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D95AC7E5-85E8-4047-A9C3-D9C4A6E8546A}" xr6:coauthVersionLast="47" xr6:coauthVersionMax="47" xr10:uidLastSave="{00000000-0000-0000-0000-000000000000}"/>
  <bookViews>
    <workbookView xWindow="-120" yWindow="-120" windowWidth="29040" windowHeight="15840" firstSheet="117" activeTab="135" xr2:uid="{00000000-000D-0000-FFFF-FFFF00000000}"/>
  </bookViews>
  <sheets>
    <sheet name="Saturs" sheetId="101" r:id="rId1"/>
    <sheet name="1.1._2022" sheetId="102" r:id="rId2"/>
    <sheet name="1.2._2022" sheetId="103" r:id="rId3"/>
    <sheet name="1.3._2022" sheetId="104" r:id="rId4"/>
    <sheet name="1.4._2022" sheetId="105" r:id="rId5"/>
    <sheet name="1.5._2022" sheetId="106" r:id="rId6"/>
    <sheet name="1.6._2022" sheetId="107" r:id="rId7"/>
    <sheet name="1.7._2022" sheetId="108" r:id="rId8"/>
    <sheet name="1.8._2022" sheetId="109" r:id="rId9"/>
    <sheet name="1.9._2022" sheetId="110" r:id="rId10"/>
    <sheet name="1.10._2022" sheetId="113" r:id="rId11"/>
    <sheet name="1.11._2022" sheetId="115" r:id="rId12"/>
    <sheet name="1.12._2022" sheetId="116" r:id="rId13"/>
    <sheet name="2.1._2022" sheetId="237" r:id="rId14"/>
    <sheet name="2.2._2022" sheetId="238" r:id="rId15"/>
    <sheet name="2.3._2022" sheetId="239" r:id="rId16"/>
    <sheet name="2.4._2022" sheetId="240" r:id="rId17"/>
    <sheet name="2.5._2022" sheetId="241" r:id="rId18"/>
    <sheet name="2.6._2022" sheetId="242" r:id="rId19"/>
    <sheet name="2.7._2022" sheetId="243" r:id="rId20"/>
    <sheet name="2.8.2022" sheetId="244" r:id="rId21"/>
    <sheet name="2.9._2022" sheetId="245" r:id="rId22"/>
    <sheet name="2.10._2022" sheetId="246" r:id="rId23"/>
    <sheet name="2.11._2022" sheetId="247" r:id="rId24"/>
    <sheet name="2.12._2022" sheetId="248" r:id="rId25"/>
    <sheet name="2.13._2022" sheetId="249" r:id="rId26"/>
    <sheet name="2.14._2022" sheetId="250" r:id="rId27"/>
    <sheet name="2.15._2022" sheetId="251" r:id="rId28"/>
    <sheet name="2.16._2022" sheetId="252" r:id="rId29"/>
    <sheet name="2.17._2022" sheetId="253" r:id="rId30"/>
    <sheet name="2.18._2022" sheetId="254" r:id="rId31"/>
    <sheet name="2.19._2022" sheetId="255" r:id="rId32"/>
    <sheet name="2.20._2022" sheetId="256" r:id="rId33"/>
    <sheet name="2.21._2022" sheetId="257" r:id="rId34"/>
    <sheet name="2.22._2022" sheetId="258" r:id="rId35"/>
    <sheet name="2.23._2022" sheetId="259" r:id="rId36"/>
    <sheet name="2.24._2022" sheetId="260" r:id="rId37"/>
    <sheet name="2.25.2022" sheetId="261" r:id="rId38"/>
    <sheet name="2.26._2022" sheetId="262" r:id="rId39"/>
    <sheet name="2.27._2022" sheetId="263" r:id="rId40"/>
    <sheet name="2.28._2022" sheetId="264" r:id="rId41"/>
    <sheet name="2.29._2022" sheetId="265" r:id="rId42"/>
    <sheet name="2.30._2022" sheetId="266" r:id="rId43"/>
    <sheet name="2.31._2022" sheetId="267" r:id="rId44"/>
    <sheet name="2.32._2022" sheetId="268" r:id="rId45"/>
    <sheet name="3.1." sheetId="150" r:id="rId46"/>
    <sheet name="3.2." sheetId="151" r:id="rId47"/>
    <sheet name="3.3." sheetId="153" r:id="rId48"/>
    <sheet name="3.4." sheetId="152" r:id="rId49"/>
    <sheet name="3.5." sheetId="155" r:id="rId50"/>
    <sheet name="3.6." sheetId="154" r:id="rId51"/>
    <sheet name="3.7." sheetId="157" r:id="rId52"/>
    <sheet name="3.8." sheetId="158" r:id="rId53"/>
    <sheet name="3.9." sheetId="156" r:id="rId54"/>
    <sheet name="3.10." sheetId="161" r:id="rId55"/>
    <sheet name="3.11." sheetId="160" r:id="rId56"/>
    <sheet name="3.12." sheetId="159" r:id="rId57"/>
    <sheet name="3.13." sheetId="162" r:id="rId58"/>
    <sheet name="4.1." sheetId="12" r:id="rId59"/>
    <sheet name="4.2." sheetId="13" r:id="rId60"/>
    <sheet name="4.3." sheetId="22" r:id="rId61"/>
    <sheet name="4.4." sheetId="26" r:id="rId62"/>
    <sheet name="4.5." sheetId="38" r:id="rId63"/>
    <sheet name="4.6." sheetId="44" r:id="rId64"/>
    <sheet name="4.7." sheetId="48" r:id="rId65"/>
    <sheet name="4.8." sheetId="52" r:id="rId66"/>
    <sheet name="4.9." sheetId="56" r:id="rId67"/>
    <sheet name="4.10." sheetId="60" r:id="rId68"/>
    <sheet name="4.11." sheetId="70" r:id="rId69"/>
    <sheet name="4.12." sheetId="76" r:id="rId70"/>
    <sheet name="4.13." sheetId="80" r:id="rId71"/>
    <sheet name="5.1." sheetId="171" r:id="rId72"/>
    <sheet name="5.2." sheetId="172" r:id="rId73"/>
    <sheet name="5.3." sheetId="173" r:id="rId74"/>
    <sheet name="5.4." sheetId="174" r:id="rId75"/>
    <sheet name="5.5." sheetId="175" r:id="rId76"/>
    <sheet name="5.6." sheetId="176" r:id="rId77"/>
    <sheet name="5.7." sheetId="177" r:id="rId78"/>
    <sheet name="5.8. " sheetId="203" r:id="rId79"/>
    <sheet name="5.9." sheetId="179" r:id="rId80"/>
    <sheet name="5.10." sheetId="180" r:id="rId81"/>
    <sheet name="5.11." sheetId="181" r:id="rId82"/>
    <sheet name="5.12." sheetId="182" r:id="rId83"/>
    <sheet name="5.13." sheetId="183" r:id="rId84"/>
    <sheet name="6.1." sheetId="82" r:id="rId85"/>
    <sheet name="6.2." sheetId="84" r:id="rId86"/>
    <sheet name="6.3." sheetId="86" r:id="rId87"/>
    <sheet name="6.4." sheetId="88" r:id="rId88"/>
    <sheet name="6.5." sheetId="164" r:id="rId89"/>
    <sheet name="6.6." sheetId="167" r:id="rId90"/>
    <sheet name="6.7." sheetId="163" r:id="rId91"/>
    <sheet name="6.8." sheetId="166" r:id="rId92"/>
    <sheet name="6.9." sheetId="165" r:id="rId93"/>
    <sheet name="6.10. " sheetId="90" r:id="rId94"/>
    <sheet name="6.11." sheetId="168" r:id="rId95"/>
    <sheet name="6.12." sheetId="169" r:id="rId96"/>
    <sheet name="6.13." sheetId="170" r:id="rId97"/>
    <sheet name="7.1." sheetId="184" r:id="rId98"/>
    <sheet name="7.2." sheetId="186" r:id="rId99"/>
    <sheet name="7.3." sheetId="187" r:id="rId100"/>
    <sheet name="7.4." sheetId="188" r:id="rId101"/>
    <sheet name="7.5." sheetId="189" r:id="rId102"/>
    <sheet name="7.6." sheetId="190" r:id="rId103"/>
    <sheet name="7.7." sheetId="191" r:id="rId104"/>
    <sheet name="7.8. " sheetId="204" r:id="rId105"/>
    <sheet name="7.9. " sheetId="205" r:id="rId106"/>
    <sheet name="7.10. " sheetId="206" r:id="rId107"/>
    <sheet name="7.11. " sheetId="208" r:id="rId108"/>
    <sheet name="7.12." sheetId="196" r:id="rId109"/>
    <sheet name="7.13." sheetId="207" r:id="rId110"/>
    <sheet name="8.1." sheetId="211" r:id="rId111"/>
    <sheet name="8.2." sheetId="212" r:id="rId112"/>
    <sheet name="8.3." sheetId="213" r:id="rId113"/>
    <sheet name="8.4." sheetId="214" r:id="rId114"/>
    <sheet name="8.5." sheetId="215" r:id="rId115"/>
    <sheet name="8.6." sheetId="216" r:id="rId116"/>
    <sheet name="8.7. " sheetId="217" r:id="rId117"/>
    <sheet name="8.8. " sheetId="218" r:id="rId118"/>
    <sheet name="8.9." sheetId="219" r:id="rId119"/>
    <sheet name="8.10. " sheetId="220" r:id="rId120"/>
    <sheet name="8.11." sheetId="221" r:id="rId121"/>
    <sheet name="8.12." sheetId="222" r:id="rId122"/>
    <sheet name="8.13." sheetId="223" r:id="rId123"/>
    <sheet name="9.1." sheetId="224" r:id="rId124"/>
    <sheet name="9.2." sheetId="225" r:id="rId125"/>
    <sheet name="9.3. " sheetId="226" r:id="rId126"/>
    <sheet name="9.4." sheetId="227" r:id="rId127"/>
    <sheet name="9.5." sheetId="228" r:id="rId128"/>
    <sheet name="9.6. " sheetId="229" r:id="rId129"/>
    <sheet name="9.7." sheetId="230" r:id="rId130"/>
    <sheet name="9.8." sheetId="231" r:id="rId131"/>
    <sheet name="9.9." sheetId="232" r:id="rId132"/>
    <sheet name="9.10." sheetId="233" r:id="rId133"/>
    <sheet name="9.11." sheetId="234" r:id="rId134"/>
    <sheet name="9.12." sheetId="235" r:id="rId135"/>
    <sheet name="9.13." sheetId="236" r:id="rId13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237" l="1"/>
  <c r="C55" i="116"/>
  <c r="D55" i="116" s="1"/>
  <c r="D52" i="116"/>
  <c r="C52" i="116"/>
  <c r="C50" i="116"/>
  <c r="D50" i="116" s="1"/>
  <c r="D48" i="116"/>
  <c r="C48" i="116"/>
  <c r="C46" i="116"/>
  <c r="D46" i="116" s="1"/>
  <c r="D44" i="116"/>
  <c r="C44" i="116"/>
  <c r="C42" i="116"/>
  <c r="D42" i="116" s="1"/>
  <c r="D40" i="116"/>
  <c r="C40" i="116"/>
  <c r="C38" i="116"/>
  <c r="D38" i="116" s="1"/>
  <c r="D36" i="116"/>
  <c r="D34" i="116"/>
  <c r="C34" i="116"/>
  <c r="C32" i="116"/>
  <c r="D32" i="116" s="1"/>
  <c r="D30" i="116"/>
  <c r="C30" i="116"/>
  <c r="C28" i="116"/>
  <c r="D28" i="116" s="1"/>
  <c r="D26" i="116"/>
  <c r="C26" i="116"/>
  <c r="C24" i="116"/>
  <c r="D24" i="116" s="1"/>
  <c r="C21" i="116"/>
  <c r="D17" i="116"/>
  <c r="D15" i="116"/>
  <c r="D18" i="116" s="1"/>
  <c r="C15" i="116"/>
  <c r="C18" i="116" s="1"/>
  <c r="D14" i="116"/>
  <c r="C55" i="115"/>
  <c r="D55" i="115" s="1"/>
  <c r="D52" i="115"/>
  <c r="C52" i="115"/>
  <c r="C50" i="115"/>
  <c r="D50" i="115" s="1"/>
  <c r="D48" i="115"/>
  <c r="C48" i="115"/>
  <c r="C46" i="115"/>
  <c r="D46" i="115" s="1"/>
  <c r="D44" i="115"/>
  <c r="C44" i="115"/>
  <c r="C42" i="115"/>
  <c r="D42" i="115" s="1"/>
  <c r="D40" i="115"/>
  <c r="C40" i="115"/>
  <c r="C38" i="115"/>
  <c r="D38" i="115" s="1"/>
  <c r="D36" i="115"/>
  <c r="D34" i="115"/>
  <c r="C34" i="115"/>
  <c r="C32" i="115"/>
  <c r="D32" i="115" s="1"/>
  <c r="D30" i="115"/>
  <c r="C30" i="115"/>
  <c r="C28" i="115"/>
  <c r="D28" i="115" s="1"/>
  <c r="D26" i="115"/>
  <c r="C26" i="115"/>
  <c r="C24" i="115"/>
  <c r="D24" i="115" s="1"/>
  <c r="C21" i="115"/>
  <c r="D17" i="115"/>
  <c r="D15" i="115"/>
  <c r="D18" i="115" s="1"/>
  <c r="C15" i="115"/>
  <c r="C18" i="115" s="1"/>
  <c r="D14" i="115"/>
  <c r="D55" i="113"/>
  <c r="C55" i="113"/>
  <c r="D52" i="113"/>
  <c r="C52" i="113"/>
  <c r="D50" i="113"/>
  <c r="C50" i="113"/>
  <c r="D48" i="113"/>
  <c r="C48" i="113"/>
  <c r="D46" i="113"/>
  <c r="C46" i="113"/>
  <c r="D44" i="113"/>
  <c r="C44" i="113"/>
  <c r="D42" i="113"/>
  <c r="C42" i="113"/>
  <c r="D40" i="113"/>
  <c r="C40" i="113"/>
  <c r="D38" i="113"/>
  <c r="C38" i="113"/>
  <c r="D36" i="113"/>
  <c r="D34" i="113"/>
  <c r="C34" i="113"/>
  <c r="C32" i="113"/>
  <c r="D32" i="113" s="1"/>
  <c r="D30" i="113"/>
  <c r="C30" i="113"/>
  <c r="C28" i="113"/>
  <c r="D28" i="113" s="1"/>
  <c r="D26" i="113"/>
  <c r="C26" i="113"/>
  <c r="C24" i="113"/>
  <c r="D24" i="113" s="1"/>
  <c r="C21" i="113"/>
  <c r="D17" i="113"/>
  <c r="D15" i="113"/>
  <c r="D18" i="113" s="1"/>
  <c r="C15" i="113"/>
  <c r="C18" i="113" s="1"/>
  <c r="D14" i="113"/>
  <c r="D22" i="110"/>
  <c r="C20" i="110"/>
  <c r="C23" i="110" s="1"/>
  <c r="D19" i="110"/>
  <c r="D15" i="110"/>
  <c r="C15" i="110"/>
  <c r="C16" i="110" s="1"/>
  <c r="D14" i="110"/>
  <c r="D16" i="110" s="1"/>
  <c r="D22" i="109"/>
  <c r="C20" i="109"/>
  <c r="C23" i="109" s="1"/>
  <c r="D19" i="109"/>
  <c r="D15" i="109"/>
  <c r="C15" i="109"/>
  <c r="C16" i="109" s="1"/>
  <c r="D14" i="109"/>
  <c r="D16" i="109" s="1"/>
  <c r="C50" i="108"/>
  <c r="D50" i="108" s="1"/>
  <c r="D47" i="108"/>
  <c r="C47" i="108"/>
  <c r="C45" i="108"/>
  <c r="D45" i="108" s="1"/>
  <c r="D43" i="108"/>
  <c r="C43" i="108"/>
  <c r="C41" i="108"/>
  <c r="D41" i="108" s="1"/>
  <c r="D39" i="108"/>
  <c r="C39" i="108"/>
  <c r="C37" i="108"/>
  <c r="D37" i="108" s="1"/>
  <c r="D35" i="108"/>
  <c r="C35" i="108"/>
  <c r="D33" i="108"/>
  <c r="C31" i="108"/>
  <c r="D31" i="108" s="1"/>
  <c r="D29" i="108"/>
  <c r="C29" i="108"/>
  <c r="C27" i="108"/>
  <c r="D27" i="108" s="1"/>
  <c r="D25" i="108"/>
  <c r="C25" i="108"/>
  <c r="C23" i="108"/>
  <c r="D23" i="108" s="1"/>
  <c r="D51" i="108" s="1"/>
  <c r="D52" i="108" s="1"/>
  <c r="D21" i="108"/>
  <c r="C21" i="108"/>
  <c r="C51" i="108" s="1"/>
  <c r="C52" i="108" s="1"/>
  <c r="C18" i="108"/>
  <c r="D17" i="108"/>
  <c r="C15" i="108"/>
  <c r="D15" i="108" s="1"/>
  <c r="D14" i="108"/>
  <c r="D18" i="108" s="1"/>
  <c r="C53" i="107"/>
  <c r="D53" i="107" s="1"/>
  <c r="D50" i="107"/>
  <c r="C50" i="107"/>
  <c r="C48" i="107"/>
  <c r="D48" i="107" s="1"/>
  <c r="D46" i="107"/>
  <c r="C46" i="107"/>
  <c r="C44" i="107"/>
  <c r="D44" i="107" s="1"/>
  <c r="D42" i="107"/>
  <c r="C42" i="107"/>
  <c r="C40" i="107"/>
  <c r="D40" i="107" s="1"/>
  <c r="D38" i="107"/>
  <c r="C38" i="107"/>
  <c r="D36" i="107"/>
  <c r="C34" i="107"/>
  <c r="D34" i="107" s="1"/>
  <c r="D32" i="107"/>
  <c r="C32" i="107"/>
  <c r="C30" i="107"/>
  <c r="D30" i="107" s="1"/>
  <c r="D28" i="107"/>
  <c r="C28" i="107"/>
  <c r="C26" i="107"/>
  <c r="D26" i="107" s="1"/>
  <c r="D54" i="107" s="1"/>
  <c r="D55" i="107" s="1"/>
  <c r="D24" i="107"/>
  <c r="C24" i="107"/>
  <c r="C54" i="107" s="1"/>
  <c r="C55" i="107" s="1"/>
  <c r="C21" i="107"/>
  <c r="D20" i="107"/>
  <c r="C18" i="107"/>
  <c r="D18" i="107" s="1"/>
  <c r="D17" i="107"/>
  <c r="D21" i="107" s="1"/>
  <c r="C49" i="106"/>
  <c r="D49" i="106" s="1"/>
  <c r="D46" i="106"/>
  <c r="C46" i="106"/>
  <c r="C44" i="106"/>
  <c r="D44" i="106" s="1"/>
  <c r="D42" i="106"/>
  <c r="C42" i="106"/>
  <c r="C40" i="106"/>
  <c r="D40" i="106" s="1"/>
  <c r="D38" i="106"/>
  <c r="C38" i="106"/>
  <c r="C36" i="106"/>
  <c r="D36" i="106" s="1"/>
  <c r="D34" i="106"/>
  <c r="C34" i="106"/>
  <c r="D32" i="106"/>
  <c r="C30" i="106"/>
  <c r="D30" i="106" s="1"/>
  <c r="D28" i="106"/>
  <c r="C28" i="106"/>
  <c r="C26" i="106"/>
  <c r="D26" i="106" s="1"/>
  <c r="D24" i="106"/>
  <c r="C24" i="106"/>
  <c r="C22" i="106"/>
  <c r="D22" i="106" s="1"/>
  <c r="D50" i="106" s="1"/>
  <c r="D51" i="106" s="1"/>
  <c r="D20" i="106"/>
  <c r="C20" i="106"/>
  <c r="C50" i="106" s="1"/>
  <c r="C51" i="106" s="1"/>
  <c r="C17" i="106"/>
  <c r="D15" i="106"/>
  <c r="C15" i="106"/>
  <c r="D14" i="106"/>
  <c r="D17" i="106" s="1"/>
  <c r="D64" i="105"/>
  <c r="C64" i="105"/>
  <c r="C61" i="105"/>
  <c r="D61" i="105" s="1"/>
  <c r="C59" i="105"/>
  <c r="D59" i="105" s="1"/>
  <c r="C57" i="105"/>
  <c r="D57" i="105" s="1"/>
  <c r="D55" i="105"/>
  <c r="C55" i="105"/>
  <c r="C53" i="105"/>
  <c r="D53" i="105" s="1"/>
  <c r="C51" i="105"/>
  <c r="D51" i="105" s="1"/>
  <c r="C49" i="105"/>
  <c r="D49" i="105" s="1"/>
  <c r="D47" i="105"/>
  <c r="C45" i="105"/>
  <c r="D45" i="105" s="1"/>
  <c r="C43" i="105"/>
  <c r="D43" i="105" s="1"/>
  <c r="C41" i="105"/>
  <c r="D41" i="105" s="1"/>
  <c r="D39" i="105"/>
  <c r="C39" i="105"/>
  <c r="C37" i="105"/>
  <c r="D37" i="105" s="1"/>
  <c r="C35" i="105"/>
  <c r="D35" i="105" s="1"/>
  <c r="C17" i="105"/>
  <c r="D17" i="105" s="1"/>
  <c r="D15" i="105"/>
  <c r="C15" i="105"/>
  <c r="C32" i="105" s="1"/>
  <c r="D14" i="105"/>
  <c r="C50" i="104"/>
  <c r="D50" i="104" s="1"/>
  <c r="C47" i="104"/>
  <c r="D47" i="104" s="1"/>
  <c r="C45" i="104"/>
  <c r="D45" i="104" s="1"/>
  <c r="C43" i="104"/>
  <c r="D43" i="104" s="1"/>
  <c r="C41" i="104"/>
  <c r="D41" i="104" s="1"/>
  <c r="D39" i="104"/>
  <c r="C39" i="104"/>
  <c r="C37" i="104"/>
  <c r="D37" i="104" s="1"/>
  <c r="C35" i="104"/>
  <c r="D35" i="104" s="1"/>
  <c r="D33" i="104"/>
  <c r="C31" i="104"/>
  <c r="D31" i="104" s="1"/>
  <c r="C29" i="104"/>
  <c r="D29" i="104" s="1"/>
  <c r="C27" i="104"/>
  <c r="D27" i="104" s="1"/>
  <c r="C25" i="104"/>
  <c r="D25" i="104" s="1"/>
  <c r="C23" i="104"/>
  <c r="D23" i="104" s="1"/>
  <c r="D21" i="104"/>
  <c r="C21" i="104"/>
  <c r="C17" i="104"/>
  <c r="D17" i="104" s="1"/>
  <c r="C15" i="104"/>
  <c r="D14" i="104"/>
  <c r="D50" i="103"/>
  <c r="C50" i="103"/>
  <c r="C47" i="103"/>
  <c r="D47" i="103" s="1"/>
  <c r="D45" i="103"/>
  <c r="C45" i="103"/>
  <c r="C43" i="103"/>
  <c r="D43" i="103" s="1"/>
  <c r="D41" i="103"/>
  <c r="C41" i="103"/>
  <c r="C39" i="103"/>
  <c r="D39" i="103" s="1"/>
  <c r="D37" i="103"/>
  <c r="C37" i="103"/>
  <c r="C35" i="103"/>
  <c r="D35" i="103" s="1"/>
  <c r="D33" i="103"/>
  <c r="C31" i="103"/>
  <c r="D31" i="103" s="1"/>
  <c r="D29" i="103"/>
  <c r="C29" i="103"/>
  <c r="C27" i="103"/>
  <c r="D27" i="103" s="1"/>
  <c r="D25" i="103"/>
  <c r="C25" i="103"/>
  <c r="C23" i="103"/>
  <c r="D23" i="103" s="1"/>
  <c r="D21" i="103"/>
  <c r="C21" i="103"/>
  <c r="D17" i="103"/>
  <c r="C17" i="103"/>
  <c r="C15" i="103"/>
  <c r="D15" i="103" s="1"/>
  <c r="D14" i="103"/>
  <c r="C55" i="102"/>
  <c r="D55" i="102" s="1"/>
  <c r="C52" i="102"/>
  <c r="D52" i="102" s="1"/>
  <c r="C50" i="102"/>
  <c r="D50" i="102" s="1"/>
  <c r="C48" i="102"/>
  <c r="D48" i="102" s="1"/>
  <c r="C46" i="102"/>
  <c r="D46" i="102" s="1"/>
  <c r="C44" i="102"/>
  <c r="D44" i="102" s="1"/>
  <c r="C42" i="102"/>
  <c r="D42" i="102" s="1"/>
  <c r="C40" i="102"/>
  <c r="D40" i="102" s="1"/>
  <c r="D38" i="102"/>
  <c r="C36" i="102"/>
  <c r="D36" i="102" s="1"/>
  <c r="C34" i="102"/>
  <c r="D34" i="102" s="1"/>
  <c r="C32" i="102"/>
  <c r="D32" i="102" s="1"/>
  <c r="C30" i="102"/>
  <c r="D30" i="102" s="1"/>
  <c r="C28" i="102"/>
  <c r="D28" i="102" s="1"/>
  <c r="C26" i="102"/>
  <c r="C17" i="102"/>
  <c r="D17" i="102" s="1"/>
  <c r="C15" i="102"/>
  <c r="D15" i="102" s="1"/>
  <c r="D14" i="102"/>
  <c r="D65" i="105" l="1"/>
  <c r="D32" i="105"/>
  <c r="C65" i="105"/>
  <c r="C66" i="105" s="1"/>
  <c r="C67" i="105" s="1"/>
  <c r="D67" i="105" s="1"/>
  <c r="C56" i="102"/>
  <c r="D21" i="116"/>
  <c r="C22" i="116"/>
  <c r="D22" i="116" s="1"/>
  <c r="D21" i="115"/>
  <c r="C22" i="115"/>
  <c r="D22" i="115" s="1"/>
  <c r="D21" i="113"/>
  <c r="C22" i="113"/>
  <c r="D22" i="113" s="1"/>
  <c r="C24" i="110"/>
  <c r="D23" i="110"/>
  <c r="D24" i="110" s="1"/>
  <c r="D20" i="110"/>
  <c r="D23" i="109"/>
  <c r="D24" i="109" s="1"/>
  <c r="C24" i="109"/>
  <c r="D20" i="109"/>
  <c r="D54" i="108"/>
  <c r="C58" i="108" s="1"/>
  <c r="D53" i="108"/>
  <c r="C53" i="108"/>
  <c r="C54" i="108"/>
  <c r="C56" i="107"/>
  <c r="D56" i="107" s="1"/>
  <c r="D57" i="107" s="1"/>
  <c r="C61" i="107" s="1"/>
  <c r="C52" i="106"/>
  <c r="D52" i="106" s="1"/>
  <c r="D53" i="106" s="1"/>
  <c r="C57" i="106" s="1"/>
  <c r="C51" i="104"/>
  <c r="D51" i="104"/>
  <c r="C18" i="104"/>
  <c r="D18" i="104"/>
  <c r="D52" i="104" s="1"/>
  <c r="D15" i="104"/>
  <c r="D18" i="103"/>
  <c r="D51" i="103"/>
  <c r="D52" i="103" s="1"/>
  <c r="C51" i="103"/>
  <c r="C18" i="103"/>
  <c r="D23" i="102"/>
  <c r="C23" i="102"/>
  <c r="D26" i="102"/>
  <c r="D56" i="102" s="1"/>
  <c r="D57" i="102" s="1"/>
  <c r="D66" i="105" l="1"/>
  <c r="D68" i="105" s="1"/>
  <c r="C71" i="105" s="1"/>
  <c r="C57" i="102"/>
  <c r="C58" i="102" s="1"/>
  <c r="D58" i="102" s="1"/>
  <c r="D59" i="102" s="1"/>
  <c r="C63" i="102" s="1"/>
  <c r="D56" i="116"/>
  <c r="D57" i="116" s="1"/>
  <c r="C56" i="116"/>
  <c r="C57" i="116" s="1"/>
  <c r="D56" i="115"/>
  <c r="D57" i="115" s="1"/>
  <c r="C56" i="115"/>
  <c r="C57" i="115" s="1"/>
  <c r="D56" i="113"/>
  <c r="D57" i="113" s="1"/>
  <c r="C56" i="113"/>
  <c r="C57" i="113" s="1"/>
  <c r="C25" i="110"/>
  <c r="D25" i="110" s="1"/>
  <c r="D26" i="110" s="1"/>
  <c r="C30" i="110" s="1"/>
  <c r="C25" i="109"/>
  <c r="D25" i="109" s="1"/>
  <c r="D26" i="109" s="1"/>
  <c r="C30" i="109" s="1"/>
  <c r="C57" i="107"/>
  <c r="C53" i="106"/>
  <c r="C68" i="105"/>
  <c r="C52" i="104"/>
  <c r="C53" i="104" s="1"/>
  <c r="D53" i="104" s="1"/>
  <c r="D54" i="104" s="1"/>
  <c r="C58" i="104" s="1"/>
  <c r="C52" i="103"/>
  <c r="C58" i="116" l="1"/>
  <c r="D58" i="116" s="1"/>
  <c r="D59" i="116" s="1"/>
  <c r="C63" i="116" s="1"/>
  <c r="C58" i="115"/>
  <c r="D58" i="115" s="1"/>
  <c r="D59" i="115" s="1"/>
  <c r="C63" i="115" s="1"/>
  <c r="C58" i="113"/>
  <c r="D58" i="113" s="1"/>
  <c r="D59" i="113"/>
  <c r="C63" i="113" s="1"/>
  <c r="C26" i="110"/>
  <c r="C26" i="109"/>
  <c r="C54" i="104"/>
  <c r="C53" i="103"/>
  <c r="D53" i="103" s="1"/>
  <c r="D54" i="103" s="1"/>
  <c r="C58" i="103" s="1"/>
  <c r="C59" i="102"/>
  <c r="C59" i="116" l="1"/>
  <c r="C59" i="115"/>
  <c r="C59" i="113"/>
  <c r="C54" i="103"/>
  <c r="C84" i="90"/>
  <c r="C82" i="90"/>
  <c r="C76" i="90"/>
  <c r="C48" i="90"/>
  <c r="C50" i="90"/>
  <c r="C52" i="90"/>
  <c r="C66" i="90"/>
  <c r="C72" i="90"/>
  <c r="C80" i="90"/>
  <c r="C28" i="90"/>
  <c r="C20" i="90"/>
  <c r="C40" i="90"/>
  <c r="C44" i="90"/>
  <c r="C46" i="90"/>
  <c r="C54" i="90"/>
  <c r="C56" i="90"/>
  <c r="C58" i="90"/>
  <c r="C60" i="90"/>
  <c r="C26" i="90"/>
  <c r="C30" i="90"/>
  <c r="C42" i="90"/>
  <c r="C34" i="90"/>
  <c r="C24" i="90"/>
  <c r="C22" i="90"/>
  <c r="C14" i="182" l="1"/>
  <c r="D14" i="182" s="1"/>
  <c r="C85" i="182"/>
  <c r="D85" i="182" s="1"/>
  <c r="C83" i="182"/>
  <c r="D83" i="182" s="1"/>
  <c r="C81" i="182"/>
  <c r="D81" i="182" s="1"/>
  <c r="D79" i="182"/>
  <c r="D77" i="182"/>
  <c r="C77" i="182"/>
  <c r="D75" i="182"/>
  <c r="C75" i="182"/>
  <c r="D73" i="182"/>
  <c r="C73" i="182"/>
  <c r="D71" i="182"/>
  <c r="C71" i="182"/>
  <c r="C69" i="182"/>
  <c r="D69" i="182" s="1"/>
  <c r="D67" i="182"/>
  <c r="C67" i="182"/>
  <c r="D65" i="182"/>
  <c r="C65" i="182"/>
  <c r="D63" i="182"/>
  <c r="C63" i="182"/>
  <c r="D61" i="182"/>
  <c r="C61" i="182"/>
  <c r="D59" i="182"/>
  <c r="C59" i="182"/>
  <c r="D57" i="182"/>
  <c r="C57" i="182"/>
  <c r="D55" i="182"/>
  <c r="C55" i="182"/>
  <c r="D53" i="182"/>
  <c r="C53" i="182"/>
  <c r="D51" i="182"/>
  <c r="C51" i="182"/>
  <c r="D49" i="182"/>
  <c r="C49" i="182"/>
  <c r="D47" i="182"/>
  <c r="C47" i="182"/>
  <c r="C45" i="182"/>
  <c r="D45" i="182" s="1"/>
  <c r="D43" i="182"/>
  <c r="C43" i="182"/>
  <c r="C41" i="182"/>
  <c r="D41" i="182" s="1"/>
  <c r="D39" i="182"/>
  <c r="C39" i="182"/>
  <c r="D37" i="182"/>
  <c r="C37" i="182"/>
  <c r="D35" i="182"/>
  <c r="C35" i="182"/>
  <c r="C33" i="182"/>
  <c r="D33" i="182" s="1"/>
  <c r="D31" i="182"/>
  <c r="C31" i="182"/>
  <c r="C29" i="182"/>
  <c r="D29" i="182" s="1"/>
  <c r="D27" i="182"/>
  <c r="C27" i="182"/>
  <c r="C25" i="182"/>
  <c r="D25" i="182" s="1"/>
  <c r="D23" i="182"/>
  <c r="C23" i="182"/>
  <c r="C21" i="182"/>
  <c r="C86" i="182" s="1"/>
  <c r="D87" i="162"/>
  <c r="C85" i="157"/>
  <c r="D85" i="157" s="1"/>
  <c r="C83" i="157"/>
  <c r="D83" i="157" s="1"/>
  <c r="C81" i="157"/>
  <c r="D81" i="157" s="1"/>
  <c r="D79" i="157"/>
  <c r="C77" i="157"/>
  <c r="D77" i="157" s="1"/>
  <c r="D75" i="157"/>
  <c r="C75" i="157"/>
  <c r="C73" i="157"/>
  <c r="D73" i="157" s="1"/>
  <c r="C71" i="157"/>
  <c r="D71" i="157" s="1"/>
  <c r="C69" i="157"/>
  <c r="D69" i="157" s="1"/>
  <c r="C67" i="157"/>
  <c r="D67" i="157" s="1"/>
  <c r="C65" i="157"/>
  <c r="D65" i="157" s="1"/>
  <c r="C63" i="157"/>
  <c r="D63" i="157" s="1"/>
  <c r="C61" i="157"/>
  <c r="D61" i="157" s="1"/>
  <c r="C59" i="157"/>
  <c r="D59" i="157" s="1"/>
  <c r="C57" i="157"/>
  <c r="D57" i="157" s="1"/>
  <c r="C55" i="157"/>
  <c r="D55" i="157" s="1"/>
  <c r="C53" i="157"/>
  <c r="D53" i="157" s="1"/>
  <c r="D51" i="157"/>
  <c r="C51" i="157"/>
  <c r="C49" i="157"/>
  <c r="D49" i="157" s="1"/>
  <c r="C47" i="157"/>
  <c r="D47" i="157" s="1"/>
  <c r="C45" i="157"/>
  <c r="D45" i="157" s="1"/>
  <c r="C43" i="157"/>
  <c r="D43" i="157" s="1"/>
  <c r="C41" i="157"/>
  <c r="D41" i="157" s="1"/>
  <c r="C39" i="157"/>
  <c r="D39" i="157" s="1"/>
  <c r="C37" i="157"/>
  <c r="D37" i="157" s="1"/>
  <c r="D35" i="157"/>
  <c r="C35" i="157"/>
  <c r="C33" i="157"/>
  <c r="D33" i="157" s="1"/>
  <c r="C31" i="157"/>
  <c r="D31" i="157" s="1"/>
  <c r="C29" i="157"/>
  <c r="D29" i="157" s="1"/>
  <c r="C27" i="157"/>
  <c r="D27" i="157" s="1"/>
  <c r="C25" i="157"/>
  <c r="D25" i="157" s="1"/>
  <c r="C23" i="157"/>
  <c r="D23" i="157" s="1"/>
  <c r="C21" i="157"/>
  <c r="D21" i="182" l="1"/>
  <c r="D86" i="182" s="1"/>
  <c r="C86" i="157"/>
  <c r="D21" i="157"/>
  <c r="D86" i="157" s="1"/>
  <c r="C65" i="251" l="1"/>
  <c r="D77" i="244"/>
  <c r="C83" i="244"/>
  <c r="C65" i="244"/>
  <c r="C57" i="244"/>
  <c r="C55" i="244"/>
  <c r="C33" i="244"/>
  <c r="C31" i="244"/>
  <c r="C43" i="244"/>
  <c r="C85" i="244"/>
  <c r="C81" i="244"/>
  <c r="D81" i="244" s="1"/>
  <c r="C71" i="244"/>
  <c r="C75" i="244"/>
  <c r="C67" i="244"/>
  <c r="C63" i="244"/>
  <c r="C51" i="244"/>
  <c r="C29" i="244"/>
  <c r="C27" i="244"/>
  <c r="C25" i="244"/>
  <c r="C23" i="244"/>
  <c r="C53" i="244"/>
  <c r="C77" i="244"/>
  <c r="D32" i="237" l="1"/>
  <c r="C77" i="241"/>
  <c r="C81" i="241"/>
  <c r="C83" i="241"/>
  <c r="C85" i="241"/>
  <c r="C69" i="241"/>
  <c r="C59" i="241"/>
  <c r="C45" i="241"/>
  <c r="C27" i="241"/>
  <c r="C75" i="241"/>
  <c r="C31" i="241"/>
  <c r="C29" i="241"/>
  <c r="C55" i="241"/>
  <c r="C25" i="241"/>
  <c r="C21" i="241"/>
  <c r="C53" i="241"/>
  <c r="C57" i="241"/>
  <c r="C63" i="241"/>
  <c r="C65" i="241"/>
  <c r="C67" i="241"/>
  <c r="C71" i="241"/>
  <c r="C15" i="241"/>
  <c r="C83" i="240"/>
  <c r="C23" i="240"/>
  <c r="C21" i="240"/>
  <c r="C67" i="240"/>
  <c r="C75" i="240"/>
  <c r="C77" i="240"/>
  <c r="C81" i="240"/>
  <c r="C85" i="240"/>
  <c r="C33" i="240"/>
  <c r="C39" i="240"/>
  <c r="C53" i="240"/>
  <c r="C69" i="240"/>
  <c r="C73" i="240"/>
  <c r="C27" i="240"/>
  <c r="C55" i="240"/>
  <c r="C71" i="240"/>
  <c r="C25" i="240"/>
  <c r="C57" i="240"/>
  <c r="C59" i="240"/>
  <c r="C65" i="240"/>
  <c r="C76" i="237"/>
  <c r="C81" i="237"/>
  <c r="C83" i="237"/>
  <c r="C58" i="237"/>
  <c r="C64" i="237"/>
  <c r="C70" i="237"/>
  <c r="C68" i="237"/>
  <c r="C20" i="237"/>
  <c r="C79" i="237"/>
  <c r="C46" i="237"/>
  <c r="C54" i="237"/>
  <c r="C72" i="237"/>
  <c r="C74" i="237"/>
  <c r="C48" i="237"/>
  <c r="C24" i="237"/>
  <c r="C22" i="237"/>
  <c r="C32" i="237"/>
  <c r="C34" i="237"/>
  <c r="C44" i="237"/>
  <c r="C50" i="237"/>
  <c r="C56" i="237"/>
  <c r="C26" i="237"/>
  <c r="C30" i="237" l="1"/>
  <c r="C66" i="237"/>
  <c r="C60" i="237"/>
  <c r="D76" i="238"/>
  <c r="C38" i="238"/>
  <c r="C66" i="238"/>
  <c r="C72" i="238"/>
  <c r="C74" i="238"/>
  <c r="C76" i="238"/>
  <c r="C78" i="238"/>
  <c r="C22" i="238"/>
  <c r="C58" i="238"/>
  <c r="C64" i="238"/>
  <c r="C82" i="238"/>
  <c r="C84" i="238"/>
  <c r="C62" i="238"/>
  <c r="C56" i="238"/>
  <c r="C50" i="238"/>
  <c r="C86" i="238"/>
  <c r="C30" i="238"/>
  <c r="C52" i="238"/>
  <c r="C28" i="238"/>
  <c r="C60" i="238"/>
  <c r="C26" i="238"/>
  <c r="C24" i="238"/>
  <c r="C54" i="238"/>
  <c r="C68" i="238"/>
  <c r="C70" i="238"/>
  <c r="C40" i="238"/>
  <c r="C16" i="238"/>
  <c r="C25" i="233" l="1"/>
  <c r="C35" i="233"/>
  <c r="C39" i="233"/>
  <c r="C33" i="233"/>
  <c r="C31" i="233"/>
  <c r="C29" i="233"/>
  <c r="C27" i="233"/>
  <c r="C23" i="233"/>
  <c r="C21" i="233"/>
  <c r="C73" i="233"/>
  <c r="C75" i="233"/>
  <c r="C77" i="233"/>
  <c r="C83" i="233"/>
  <c r="C81" i="233"/>
  <c r="C85" i="233"/>
  <c r="D79" i="233"/>
  <c r="D17" i="233"/>
  <c r="D87" i="230"/>
  <c r="C87" i="230"/>
  <c r="D17" i="230"/>
  <c r="D15" i="230"/>
  <c r="D14" i="230"/>
  <c r="C85" i="230"/>
  <c r="D85" i="230" s="1"/>
  <c r="D84" i="230"/>
  <c r="C83" i="230"/>
  <c r="D83" i="230" s="1"/>
  <c r="C81" i="230"/>
  <c r="D81" i="230" s="1"/>
  <c r="D79" i="230"/>
  <c r="C77" i="230"/>
  <c r="D77" i="230" s="1"/>
  <c r="C75" i="230"/>
  <c r="D75" i="230" s="1"/>
  <c r="D73" i="230"/>
  <c r="C73" i="230"/>
  <c r="D71" i="230"/>
  <c r="C71" i="230"/>
  <c r="D69" i="230"/>
  <c r="C69" i="230"/>
  <c r="D67" i="230"/>
  <c r="C67" i="230"/>
  <c r="D65" i="230"/>
  <c r="C65" i="230"/>
  <c r="D63" i="230"/>
  <c r="C63" i="230"/>
  <c r="D61" i="230"/>
  <c r="C61" i="230"/>
  <c r="D59" i="230"/>
  <c r="C59" i="230"/>
  <c r="D57" i="230"/>
  <c r="C57" i="230"/>
  <c r="D55" i="230"/>
  <c r="C55" i="230"/>
  <c r="D53" i="230"/>
  <c r="C53" i="230"/>
  <c r="D51" i="230"/>
  <c r="C51" i="230"/>
  <c r="D49" i="230"/>
  <c r="C49" i="230"/>
  <c r="D47" i="230"/>
  <c r="C47" i="230"/>
  <c r="D45" i="230"/>
  <c r="C45" i="230"/>
  <c r="C43" i="230"/>
  <c r="D43" i="230" s="1"/>
  <c r="C41" i="230"/>
  <c r="D41" i="230" s="1"/>
  <c r="C39" i="230"/>
  <c r="D39" i="230" s="1"/>
  <c r="C37" i="230"/>
  <c r="D37" i="230" s="1"/>
  <c r="C35" i="230"/>
  <c r="D35" i="230" s="1"/>
  <c r="D33" i="230"/>
  <c r="C33" i="230"/>
  <c r="C31" i="230"/>
  <c r="D31" i="230" s="1"/>
  <c r="C29" i="230"/>
  <c r="D29" i="230" s="1"/>
  <c r="C27" i="230"/>
  <c r="D27" i="230" s="1"/>
  <c r="D25" i="230"/>
  <c r="C25" i="230"/>
  <c r="C23" i="230"/>
  <c r="D23" i="230" s="1"/>
  <c r="C21" i="230"/>
  <c r="C75" i="229"/>
  <c r="C77" i="229"/>
  <c r="D77" i="229" s="1"/>
  <c r="C81" i="229"/>
  <c r="D81" i="229" s="1"/>
  <c r="C83" i="229"/>
  <c r="C85" i="229"/>
  <c r="D85" i="229" s="1"/>
  <c r="D84" i="229"/>
  <c r="D83" i="229"/>
  <c r="D79" i="229"/>
  <c r="D75" i="229"/>
  <c r="D73" i="229"/>
  <c r="D71" i="229"/>
  <c r="D69" i="229"/>
  <c r="D67" i="229"/>
  <c r="D65" i="229"/>
  <c r="D63" i="229"/>
  <c r="D61" i="229"/>
  <c r="D59" i="229"/>
  <c r="D57" i="229"/>
  <c r="D55" i="229"/>
  <c r="D53" i="229"/>
  <c r="D51" i="229"/>
  <c r="D49" i="229"/>
  <c r="D47" i="229"/>
  <c r="D45" i="229"/>
  <c r="D43" i="229"/>
  <c r="D41" i="229"/>
  <c r="D39" i="229"/>
  <c r="D37" i="229"/>
  <c r="D35" i="229"/>
  <c r="D33" i="229"/>
  <c r="D31" i="229"/>
  <c r="D29" i="229"/>
  <c r="D27" i="229"/>
  <c r="D25" i="229"/>
  <c r="D23" i="229"/>
  <c r="D21" i="229"/>
  <c r="D17" i="229"/>
  <c r="D15" i="229"/>
  <c r="D14" i="229"/>
  <c r="C77" i="227"/>
  <c r="D77" i="227" s="1"/>
  <c r="C81" i="227"/>
  <c r="D81" i="227" s="1"/>
  <c r="C83" i="227"/>
  <c r="D83" i="227" s="1"/>
  <c r="C85" i="227"/>
  <c r="D85" i="227" s="1"/>
  <c r="D79" i="227"/>
  <c r="D17" i="227"/>
  <c r="C85" i="225"/>
  <c r="D85" i="225" s="1"/>
  <c r="C83" i="225"/>
  <c r="D83" i="225" s="1"/>
  <c r="C81" i="225"/>
  <c r="D81" i="225" s="1"/>
  <c r="D79" i="225"/>
  <c r="C77" i="225"/>
  <c r="D77" i="225" s="1"/>
  <c r="C75" i="225"/>
  <c r="D75" i="225" s="1"/>
  <c r="C73" i="225"/>
  <c r="D73" i="225" s="1"/>
  <c r="C71" i="225"/>
  <c r="D71" i="225" s="1"/>
  <c r="C69" i="225"/>
  <c r="D69" i="225" s="1"/>
  <c r="D67" i="225"/>
  <c r="C67" i="225"/>
  <c r="C65" i="225"/>
  <c r="D65" i="225" s="1"/>
  <c r="C63" i="225"/>
  <c r="D63" i="225" s="1"/>
  <c r="C61" i="225"/>
  <c r="D61" i="225" s="1"/>
  <c r="C59" i="225"/>
  <c r="D59" i="225" s="1"/>
  <c r="C57" i="225"/>
  <c r="D57" i="225" s="1"/>
  <c r="C55" i="225"/>
  <c r="D55" i="225" s="1"/>
  <c r="C53" i="225"/>
  <c r="D53" i="225" s="1"/>
  <c r="D51" i="225"/>
  <c r="C51" i="225"/>
  <c r="C49" i="225"/>
  <c r="D49" i="225" s="1"/>
  <c r="D47" i="225"/>
  <c r="C47" i="225"/>
  <c r="C45" i="225"/>
  <c r="D45" i="225" s="1"/>
  <c r="D43" i="225"/>
  <c r="C43" i="225"/>
  <c r="C41" i="225"/>
  <c r="D41" i="225" s="1"/>
  <c r="C39" i="225"/>
  <c r="D39" i="225" s="1"/>
  <c r="C37" i="225"/>
  <c r="D37" i="225" s="1"/>
  <c r="D35" i="225"/>
  <c r="C35" i="225"/>
  <c r="C33" i="225"/>
  <c r="D33" i="225" s="1"/>
  <c r="D31" i="225"/>
  <c r="C31" i="225"/>
  <c r="C29" i="225"/>
  <c r="D29" i="225" s="1"/>
  <c r="D27" i="225"/>
  <c r="C27" i="225"/>
  <c r="C25" i="225"/>
  <c r="D25" i="225" s="1"/>
  <c r="C23" i="225"/>
  <c r="D23" i="225" s="1"/>
  <c r="C21" i="225"/>
  <c r="D21" i="225" s="1"/>
  <c r="D17" i="225"/>
  <c r="D17" i="221"/>
  <c r="C85" i="221"/>
  <c r="D85" i="221" s="1"/>
  <c r="C83" i="221"/>
  <c r="D83" i="221" s="1"/>
  <c r="C81" i="221"/>
  <c r="D81" i="221" s="1"/>
  <c r="D79" i="221"/>
  <c r="C77" i="221"/>
  <c r="D77" i="221" s="1"/>
  <c r="C75" i="221"/>
  <c r="D75" i="221" s="1"/>
  <c r="D73" i="221"/>
  <c r="C73" i="221"/>
  <c r="C71" i="221"/>
  <c r="D71" i="221" s="1"/>
  <c r="C69" i="221"/>
  <c r="D69" i="221" s="1"/>
  <c r="C67" i="221"/>
  <c r="D67" i="221" s="1"/>
  <c r="C65" i="221"/>
  <c r="D65" i="221" s="1"/>
  <c r="C63" i="221"/>
  <c r="D63" i="221" s="1"/>
  <c r="C61" i="221"/>
  <c r="D61" i="221" s="1"/>
  <c r="C59" i="221"/>
  <c r="D59" i="221" s="1"/>
  <c r="C57" i="221"/>
  <c r="D57" i="221" s="1"/>
  <c r="C55" i="221"/>
  <c r="D55" i="221" s="1"/>
  <c r="C53" i="221"/>
  <c r="D53" i="221" s="1"/>
  <c r="C51" i="221"/>
  <c r="D51" i="221" s="1"/>
  <c r="C49" i="221"/>
  <c r="D49" i="221" s="1"/>
  <c r="C47" i="221"/>
  <c r="D47" i="221" s="1"/>
  <c r="C45" i="221"/>
  <c r="D45" i="221" s="1"/>
  <c r="C43" i="221"/>
  <c r="D43" i="221" s="1"/>
  <c r="C41" i="221"/>
  <c r="D41" i="221" s="1"/>
  <c r="C39" i="221"/>
  <c r="D39" i="221" s="1"/>
  <c r="C37" i="221"/>
  <c r="D37" i="221" s="1"/>
  <c r="C35" i="221"/>
  <c r="D35" i="221" s="1"/>
  <c r="D33" i="221"/>
  <c r="C33" i="221"/>
  <c r="C31" i="221"/>
  <c r="D31" i="221" s="1"/>
  <c r="C29" i="221"/>
  <c r="D29" i="221" s="1"/>
  <c r="C27" i="221"/>
  <c r="D27" i="221" s="1"/>
  <c r="C25" i="221"/>
  <c r="D25" i="221" s="1"/>
  <c r="C23" i="221"/>
  <c r="D23" i="221" s="1"/>
  <c r="C21" i="221"/>
  <c r="D21" i="221" s="1"/>
  <c r="D87" i="220"/>
  <c r="C87" i="220"/>
  <c r="D17" i="220"/>
  <c r="D15" i="220"/>
  <c r="D14" i="220"/>
  <c r="C85" i="220"/>
  <c r="D85" i="220" s="1"/>
  <c r="C83" i="220"/>
  <c r="D83" i="220" s="1"/>
  <c r="C81" i="220"/>
  <c r="D81" i="220" s="1"/>
  <c r="D79" i="220"/>
  <c r="C77" i="220"/>
  <c r="D77" i="220" s="1"/>
  <c r="C75" i="220"/>
  <c r="D75" i="220" s="1"/>
  <c r="D73" i="220"/>
  <c r="C73" i="220"/>
  <c r="D71" i="220"/>
  <c r="C71" i="220"/>
  <c r="D69" i="220"/>
  <c r="C69" i="220"/>
  <c r="D67" i="220"/>
  <c r="C67" i="220"/>
  <c r="D65" i="220"/>
  <c r="C65" i="220"/>
  <c r="D63" i="220"/>
  <c r="C63" i="220"/>
  <c r="D61" i="220"/>
  <c r="C61" i="220"/>
  <c r="D59" i="220"/>
  <c r="C59" i="220"/>
  <c r="D57" i="220"/>
  <c r="C57" i="220"/>
  <c r="D55" i="220"/>
  <c r="C55" i="220"/>
  <c r="D53" i="220"/>
  <c r="C53" i="220"/>
  <c r="D51" i="220"/>
  <c r="C51" i="220"/>
  <c r="D49" i="220"/>
  <c r="C49" i="220"/>
  <c r="D47" i="220"/>
  <c r="C47" i="220"/>
  <c r="D45" i="220"/>
  <c r="C45" i="220"/>
  <c r="D43" i="220"/>
  <c r="C43" i="220"/>
  <c r="D41" i="220"/>
  <c r="C41" i="220"/>
  <c r="D39" i="220"/>
  <c r="C39" i="220"/>
  <c r="D37" i="220"/>
  <c r="C37" i="220"/>
  <c r="D35" i="220"/>
  <c r="C35" i="220"/>
  <c r="D33" i="220"/>
  <c r="C33" i="220"/>
  <c r="D31" i="220"/>
  <c r="C31" i="220"/>
  <c r="D29" i="220"/>
  <c r="C29" i="220"/>
  <c r="D27" i="220"/>
  <c r="C27" i="220"/>
  <c r="D25" i="220"/>
  <c r="C25" i="220"/>
  <c r="D23" i="220"/>
  <c r="C23" i="220"/>
  <c r="D21" i="220"/>
  <c r="C21" i="220"/>
  <c r="D87" i="217"/>
  <c r="C87" i="217"/>
  <c r="D17" i="217"/>
  <c r="D15" i="217"/>
  <c r="D14" i="217"/>
  <c r="C85" i="217"/>
  <c r="D85" i="217" s="1"/>
  <c r="C83" i="217"/>
  <c r="D83" i="217" s="1"/>
  <c r="C81" i="217"/>
  <c r="D81" i="217" s="1"/>
  <c r="D79" i="217"/>
  <c r="C77" i="217"/>
  <c r="D77" i="217" s="1"/>
  <c r="D75" i="217"/>
  <c r="C75" i="217"/>
  <c r="C73" i="217"/>
  <c r="D73" i="217" s="1"/>
  <c r="C71" i="217"/>
  <c r="D71" i="217" s="1"/>
  <c r="C69" i="217"/>
  <c r="D69" i="217" s="1"/>
  <c r="D67" i="217"/>
  <c r="C67" i="217"/>
  <c r="C65" i="217"/>
  <c r="D65" i="217" s="1"/>
  <c r="C63" i="217"/>
  <c r="D63" i="217" s="1"/>
  <c r="C61" i="217"/>
  <c r="D61" i="217" s="1"/>
  <c r="C59" i="217"/>
  <c r="D59" i="217" s="1"/>
  <c r="C57" i="217"/>
  <c r="D57" i="217" s="1"/>
  <c r="D55" i="217"/>
  <c r="C55" i="217"/>
  <c r="C53" i="217"/>
  <c r="D53" i="217" s="1"/>
  <c r="D51" i="217"/>
  <c r="C51" i="217"/>
  <c r="C49" i="217"/>
  <c r="D49" i="217" s="1"/>
  <c r="C47" i="217"/>
  <c r="D47" i="217" s="1"/>
  <c r="C45" i="217"/>
  <c r="D45" i="217" s="1"/>
  <c r="C43" i="217"/>
  <c r="D43" i="217" s="1"/>
  <c r="C41" i="217"/>
  <c r="D41" i="217" s="1"/>
  <c r="D39" i="217"/>
  <c r="C39" i="217"/>
  <c r="C37" i="217"/>
  <c r="D37" i="217" s="1"/>
  <c r="D35" i="217"/>
  <c r="C35" i="217"/>
  <c r="C33" i="217"/>
  <c r="D33" i="217" s="1"/>
  <c r="C31" i="217"/>
  <c r="D31" i="217" s="1"/>
  <c r="C29" i="217"/>
  <c r="D29" i="217" s="1"/>
  <c r="C27" i="217"/>
  <c r="D27" i="217" s="1"/>
  <c r="C25" i="217"/>
  <c r="D25" i="217" s="1"/>
  <c r="D23" i="217"/>
  <c r="C23" i="217"/>
  <c r="C21" i="217"/>
  <c r="D17" i="216"/>
  <c r="D15" i="216"/>
  <c r="D14" i="216"/>
  <c r="C87" i="216"/>
  <c r="C85" i="216"/>
  <c r="D85" i="216" s="1"/>
  <c r="C83" i="216"/>
  <c r="D83" i="216" s="1"/>
  <c r="C81" i="216"/>
  <c r="D81" i="216" s="1"/>
  <c r="D79" i="216"/>
  <c r="C77" i="216"/>
  <c r="D77" i="216" s="1"/>
  <c r="C75" i="216"/>
  <c r="D75" i="216" s="1"/>
  <c r="C73" i="216"/>
  <c r="D73" i="216" s="1"/>
  <c r="C71" i="216"/>
  <c r="D71" i="216" s="1"/>
  <c r="C69" i="216"/>
  <c r="D69" i="216" s="1"/>
  <c r="C67" i="216"/>
  <c r="D67" i="216" s="1"/>
  <c r="C65" i="216"/>
  <c r="D65" i="216" s="1"/>
  <c r="C63" i="216"/>
  <c r="D63" i="216" s="1"/>
  <c r="C61" i="216"/>
  <c r="D61" i="216" s="1"/>
  <c r="D59" i="216"/>
  <c r="C59" i="216"/>
  <c r="C57" i="216"/>
  <c r="D57" i="216" s="1"/>
  <c r="C55" i="216"/>
  <c r="D55" i="216" s="1"/>
  <c r="C53" i="216"/>
  <c r="D53" i="216" s="1"/>
  <c r="C51" i="216"/>
  <c r="D51" i="216" s="1"/>
  <c r="C49" i="216"/>
  <c r="D49" i="216" s="1"/>
  <c r="D47" i="216"/>
  <c r="C47" i="216"/>
  <c r="C45" i="216"/>
  <c r="D45" i="216" s="1"/>
  <c r="D43" i="216"/>
  <c r="C43" i="216"/>
  <c r="C41" i="216"/>
  <c r="D41" i="216" s="1"/>
  <c r="C39" i="216"/>
  <c r="D39" i="216" s="1"/>
  <c r="C37" i="216"/>
  <c r="D37" i="216" s="1"/>
  <c r="C35" i="216"/>
  <c r="D35" i="216" s="1"/>
  <c r="C33" i="216"/>
  <c r="D33" i="216" s="1"/>
  <c r="C31" i="216"/>
  <c r="D31" i="216" s="1"/>
  <c r="C29" i="216"/>
  <c r="D29" i="216" s="1"/>
  <c r="D27" i="216"/>
  <c r="C27" i="216"/>
  <c r="C25" i="216"/>
  <c r="D25" i="216" s="1"/>
  <c r="C23" i="216"/>
  <c r="D23" i="216" s="1"/>
  <c r="C21" i="216"/>
  <c r="D17" i="214"/>
  <c r="C85" i="214"/>
  <c r="D85" i="214" s="1"/>
  <c r="C83" i="214"/>
  <c r="D83" i="214" s="1"/>
  <c r="C81" i="214"/>
  <c r="D81" i="214" s="1"/>
  <c r="D79" i="214"/>
  <c r="C77" i="214"/>
  <c r="D77" i="214" s="1"/>
  <c r="C75" i="214"/>
  <c r="D75" i="214" s="1"/>
  <c r="C73" i="214"/>
  <c r="D73" i="214" s="1"/>
  <c r="C71" i="214"/>
  <c r="D71" i="214" s="1"/>
  <c r="C69" i="214"/>
  <c r="D69" i="214" s="1"/>
  <c r="C67" i="214"/>
  <c r="D67" i="214" s="1"/>
  <c r="C65" i="214"/>
  <c r="D65" i="214" s="1"/>
  <c r="C63" i="214"/>
  <c r="D63" i="214" s="1"/>
  <c r="C61" i="214"/>
  <c r="D61" i="214" s="1"/>
  <c r="D59" i="214"/>
  <c r="C59" i="214"/>
  <c r="C57" i="214"/>
  <c r="D57" i="214" s="1"/>
  <c r="C55" i="214"/>
  <c r="D55" i="214" s="1"/>
  <c r="C53" i="214"/>
  <c r="D53" i="214" s="1"/>
  <c r="C51" i="214"/>
  <c r="D51" i="214" s="1"/>
  <c r="C49" i="214"/>
  <c r="D49" i="214" s="1"/>
  <c r="D47" i="214"/>
  <c r="C47" i="214"/>
  <c r="C45" i="214"/>
  <c r="D45" i="214" s="1"/>
  <c r="C43" i="214"/>
  <c r="D43" i="214" s="1"/>
  <c r="C41" i="214"/>
  <c r="D41" i="214" s="1"/>
  <c r="C39" i="214"/>
  <c r="D39" i="214" s="1"/>
  <c r="C37" i="214"/>
  <c r="D37" i="214" s="1"/>
  <c r="C35" i="214"/>
  <c r="D35" i="214" s="1"/>
  <c r="C33" i="214"/>
  <c r="D33" i="214" s="1"/>
  <c r="C31" i="214"/>
  <c r="D31" i="214" s="1"/>
  <c r="C29" i="214"/>
  <c r="D29" i="214" s="1"/>
  <c r="D27" i="214"/>
  <c r="C27" i="214"/>
  <c r="C25" i="214"/>
  <c r="D25" i="214" s="1"/>
  <c r="C23" i="214"/>
  <c r="D23" i="214" s="1"/>
  <c r="C21" i="214"/>
  <c r="D18" i="212"/>
  <c r="D16" i="212"/>
  <c r="D15" i="212"/>
  <c r="C88" i="212"/>
  <c r="C86" i="212"/>
  <c r="D86" i="212" s="1"/>
  <c r="C84" i="212"/>
  <c r="D84" i="212" s="1"/>
  <c r="C82" i="212"/>
  <c r="D82" i="212" s="1"/>
  <c r="D80" i="212"/>
  <c r="C78" i="212"/>
  <c r="D78" i="212" s="1"/>
  <c r="C76" i="212"/>
  <c r="D76" i="212" s="1"/>
  <c r="D74" i="212"/>
  <c r="C74" i="212"/>
  <c r="D72" i="212"/>
  <c r="C72" i="212"/>
  <c r="D70" i="212"/>
  <c r="C70" i="212"/>
  <c r="D68" i="212"/>
  <c r="C68" i="212"/>
  <c r="D66" i="212"/>
  <c r="C66" i="212"/>
  <c r="D64" i="212"/>
  <c r="C64" i="212"/>
  <c r="D62" i="212"/>
  <c r="C62" i="212"/>
  <c r="D60" i="212"/>
  <c r="C60" i="212"/>
  <c r="D58" i="212"/>
  <c r="C58" i="212"/>
  <c r="D56" i="212"/>
  <c r="C56" i="212"/>
  <c r="D54" i="212"/>
  <c r="C54" i="212"/>
  <c r="D52" i="212"/>
  <c r="C52" i="212"/>
  <c r="D50" i="212"/>
  <c r="C50" i="212"/>
  <c r="C48" i="212"/>
  <c r="D48" i="212" s="1"/>
  <c r="C46" i="212"/>
  <c r="D46" i="212" s="1"/>
  <c r="C44" i="212"/>
  <c r="D44" i="212" s="1"/>
  <c r="C42" i="212"/>
  <c r="D42" i="212" s="1"/>
  <c r="D40" i="212"/>
  <c r="C40" i="212"/>
  <c r="C38" i="212"/>
  <c r="D38" i="212" s="1"/>
  <c r="D36" i="212"/>
  <c r="C36" i="212"/>
  <c r="C34" i="212"/>
  <c r="D34" i="212" s="1"/>
  <c r="D32" i="212"/>
  <c r="C32" i="212"/>
  <c r="C30" i="212"/>
  <c r="D30" i="212" s="1"/>
  <c r="C28" i="212"/>
  <c r="D28" i="212" s="1"/>
  <c r="D26" i="212"/>
  <c r="C26" i="212"/>
  <c r="C24" i="212"/>
  <c r="D24" i="212" s="1"/>
  <c r="D22" i="212"/>
  <c r="C22" i="212"/>
  <c r="D17" i="208"/>
  <c r="C85" i="208"/>
  <c r="D85" i="208" s="1"/>
  <c r="C83" i="208"/>
  <c r="D83" i="208" s="1"/>
  <c r="C81" i="208"/>
  <c r="D81" i="208" s="1"/>
  <c r="D79" i="208"/>
  <c r="C77" i="208"/>
  <c r="D77" i="208" s="1"/>
  <c r="C75" i="208"/>
  <c r="D75" i="208" s="1"/>
  <c r="C73" i="208"/>
  <c r="D73" i="208" s="1"/>
  <c r="C71" i="208"/>
  <c r="D71" i="208" s="1"/>
  <c r="C69" i="208"/>
  <c r="D69" i="208" s="1"/>
  <c r="C67" i="208"/>
  <c r="D67" i="208" s="1"/>
  <c r="C65" i="208"/>
  <c r="D65" i="208" s="1"/>
  <c r="C63" i="208"/>
  <c r="D63" i="208" s="1"/>
  <c r="C61" i="208"/>
  <c r="D61" i="208" s="1"/>
  <c r="C59" i="208"/>
  <c r="D59" i="208" s="1"/>
  <c r="C57" i="208"/>
  <c r="D57" i="208" s="1"/>
  <c r="C55" i="208"/>
  <c r="D55" i="208" s="1"/>
  <c r="D53" i="208"/>
  <c r="C53" i="208"/>
  <c r="C51" i="208"/>
  <c r="D51" i="208" s="1"/>
  <c r="C49" i="208"/>
  <c r="D49" i="208" s="1"/>
  <c r="C47" i="208"/>
  <c r="D47" i="208" s="1"/>
  <c r="C45" i="208"/>
  <c r="D45" i="208" s="1"/>
  <c r="C43" i="208"/>
  <c r="D43" i="208" s="1"/>
  <c r="C41" i="208"/>
  <c r="D41" i="208" s="1"/>
  <c r="C39" i="208"/>
  <c r="D39" i="208" s="1"/>
  <c r="D37" i="208"/>
  <c r="C37" i="208"/>
  <c r="C35" i="208"/>
  <c r="D35" i="208" s="1"/>
  <c r="C33" i="208"/>
  <c r="D33" i="208" s="1"/>
  <c r="C31" i="208"/>
  <c r="D31" i="208" s="1"/>
  <c r="C29" i="208"/>
  <c r="D29" i="208" s="1"/>
  <c r="C27" i="208"/>
  <c r="D27" i="208" s="1"/>
  <c r="C25" i="208"/>
  <c r="D25" i="208" s="1"/>
  <c r="C23" i="208"/>
  <c r="D23" i="208" s="1"/>
  <c r="C21" i="208"/>
  <c r="D21" i="208" s="1"/>
  <c r="C67" i="206"/>
  <c r="D67" i="206" s="1"/>
  <c r="C73" i="206"/>
  <c r="D73" i="206" s="1"/>
  <c r="C75" i="206"/>
  <c r="C81" i="206"/>
  <c r="D81" i="206" s="1"/>
  <c r="C77" i="206"/>
  <c r="D77" i="206" s="1"/>
  <c r="D75" i="206"/>
  <c r="C41" i="206"/>
  <c r="D41" i="206" s="1"/>
  <c r="C71" i="206"/>
  <c r="C63" i="206"/>
  <c r="D63" i="206" s="1"/>
  <c r="D71" i="206"/>
  <c r="C83" i="206"/>
  <c r="D83" i="206" s="1"/>
  <c r="C59" i="206"/>
  <c r="D59" i="206" s="1"/>
  <c r="C61" i="206"/>
  <c r="D61" i="206" s="1"/>
  <c r="C29" i="206"/>
  <c r="C69" i="206"/>
  <c r="C53" i="206"/>
  <c r="D53" i="206" s="1"/>
  <c r="C25" i="206"/>
  <c r="D25" i="206" s="1"/>
  <c r="D29" i="206"/>
  <c r="C85" i="206"/>
  <c r="C65" i="206"/>
  <c r="C57" i="206"/>
  <c r="C51" i="206"/>
  <c r="C43" i="206"/>
  <c r="C27" i="206"/>
  <c r="D27" i="206" s="1"/>
  <c r="C23" i="206"/>
  <c r="D23" i="206" s="1"/>
  <c r="C21" i="206"/>
  <c r="D21" i="206" s="1"/>
  <c r="D85" i="206"/>
  <c r="D79" i="206"/>
  <c r="D69" i="206"/>
  <c r="D65" i="206"/>
  <c r="D57" i="206"/>
  <c r="D55" i="206"/>
  <c r="D51" i="206"/>
  <c r="D49" i="206"/>
  <c r="D47" i="206"/>
  <c r="D45" i="206"/>
  <c r="D43" i="206"/>
  <c r="D39" i="206"/>
  <c r="D37" i="206"/>
  <c r="D35" i="206"/>
  <c r="D33" i="206"/>
  <c r="D31" i="206"/>
  <c r="D17" i="206"/>
  <c r="D15" i="206"/>
  <c r="D14" i="206"/>
  <c r="D87" i="191"/>
  <c r="C87" i="191"/>
  <c r="D17" i="191"/>
  <c r="D15" i="191"/>
  <c r="D14" i="191"/>
  <c r="C85" i="191"/>
  <c r="D85" i="191" s="1"/>
  <c r="C83" i="191"/>
  <c r="D83" i="191" s="1"/>
  <c r="C81" i="191"/>
  <c r="D81" i="191" s="1"/>
  <c r="D79" i="191"/>
  <c r="C77" i="191"/>
  <c r="D77" i="191" s="1"/>
  <c r="C75" i="191"/>
  <c r="D75" i="191" s="1"/>
  <c r="C73" i="191"/>
  <c r="D73" i="191" s="1"/>
  <c r="C71" i="191"/>
  <c r="D71" i="191" s="1"/>
  <c r="C69" i="191"/>
  <c r="D69" i="191" s="1"/>
  <c r="C67" i="191"/>
  <c r="D67" i="191" s="1"/>
  <c r="C65" i="191"/>
  <c r="D65" i="191" s="1"/>
  <c r="C63" i="191"/>
  <c r="D63" i="191" s="1"/>
  <c r="C61" i="191"/>
  <c r="D61" i="191" s="1"/>
  <c r="D59" i="191"/>
  <c r="C59" i="191"/>
  <c r="C57" i="191"/>
  <c r="D57" i="191" s="1"/>
  <c r="C55" i="191"/>
  <c r="D55" i="191" s="1"/>
  <c r="C53" i="191"/>
  <c r="D53" i="191" s="1"/>
  <c r="C51" i="191"/>
  <c r="D51" i="191" s="1"/>
  <c r="C49" i="191"/>
  <c r="D49" i="191" s="1"/>
  <c r="C47" i="191"/>
  <c r="D47" i="191" s="1"/>
  <c r="C45" i="191"/>
  <c r="D45" i="191" s="1"/>
  <c r="C43" i="191"/>
  <c r="D43" i="191" s="1"/>
  <c r="C41" i="191"/>
  <c r="D41" i="191" s="1"/>
  <c r="C39" i="191"/>
  <c r="D39" i="191" s="1"/>
  <c r="C37" i="191"/>
  <c r="D37" i="191" s="1"/>
  <c r="C35" i="191"/>
  <c r="D35" i="191" s="1"/>
  <c r="C33" i="191"/>
  <c r="D33" i="191" s="1"/>
  <c r="C31" i="191"/>
  <c r="D31" i="191" s="1"/>
  <c r="C29" i="191"/>
  <c r="D29" i="191" s="1"/>
  <c r="D27" i="191"/>
  <c r="C27" i="191"/>
  <c r="C25" i="191"/>
  <c r="D25" i="191" s="1"/>
  <c r="C23" i="191"/>
  <c r="D23" i="191" s="1"/>
  <c r="C21" i="191"/>
  <c r="C86" i="191" s="1"/>
  <c r="D87" i="190"/>
  <c r="C87" i="190"/>
  <c r="D17" i="190"/>
  <c r="D15" i="190"/>
  <c r="D14" i="190"/>
  <c r="C85" i="190"/>
  <c r="D85" i="190" s="1"/>
  <c r="C83" i="190"/>
  <c r="D83" i="190" s="1"/>
  <c r="C81" i="190"/>
  <c r="D81" i="190" s="1"/>
  <c r="D79" i="190"/>
  <c r="D77" i="190"/>
  <c r="C77" i="190"/>
  <c r="C75" i="190"/>
  <c r="D75" i="190" s="1"/>
  <c r="C73" i="190"/>
  <c r="D73" i="190" s="1"/>
  <c r="C71" i="190"/>
  <c r="D71" i="190" s="1"/>
  <c r="C69" i="190"/>
  <c r="D69" i="190" s="1"/>
  <c r="C67" i="190"/>
  <c r="D67" i="190" s="1"/>
  <c r="C65" i="190"/>
  <c r="D65" i="190" s="1"/>
  <c r="C63" i="190"/>
  <c r="D63" i="190" s="1"/>
  <c r="C61" i="190"/>
  <c r="D61" i="190" s="1"/>
  <c r="C59" i="190"/>
  <c r="D59" i="190" s="1"/>
  <c r="C57" i="190"/>
  <c r="D57" i="190" s="1"/>
  <c r="C55" i="190"/>
  <c r="D55" i="190" s="1"/>
  <c r="C53" i="190"/>
  <c r="D53" i="190" s="1"/>
  <c r="C51" i="190"/>
  <c r="D51" i="190" s="1"/>
  <c r="C49" i="190"/>
  <c r="D49" i="190" s="1"/>
  <c r="C47" i="190"/>
  <c r="D47" i="190" s="1"/>
  <c r="C45" i="190"/>
  <c r="D45" i="190" s="1"/>
  <c r="C43" i="190"/>
  <c r="D43" i="190" s="1"/>
  <c r="C41" i="190"/>
  <c r="D41" i="190" s="1"/>
  <c r="C39" i="190"/>
  <c r="D39" i="190" s="1"/>
  <c r="C37" i="190"/>
  <c r="D37" i="190" s="1"/>
  <c r="C35" i="190"/>
  <c r="D35" i="190" s="1"/>
  <c r="C33" i="190"/>
  <c r="D33" i="190" s="1"/>
  <c r="C31" i="190"/>
  <c r="D31" i="190" s="1"/>
  <c r="C29" i="190"/>
  <c r="D29" i="190" s="1"/>
  <c r="C27" i="190"/>
  <c r="D27" i="190" s="1"/>
  <c r="C25" i="190"/>
  <c r="D25" i="190" s="1"/>
  <c r="C23" i="190"/>
  <c r="D23" i="190" s="1"/>
  <c r="C21" i="190"/>
  <c r="D21" i="190" s="1"/>
  <c r="C36" i="188"/>
  <c r="C28" i="188"/>
  <c r="D28" i="188" s="1"/>
  <c r="C26" i="188"/>
  <c r="D26" i="188" s="1"/>
  <c r="C24" i="188"/>
  <c r="D24" i="188" s="1"/>
  <c r="C22" i="188"/>
  <c r="D22" i="188" s="1"/>
  <c r="C62" i="188"/>
  <c r="D62" i="188" s="1"/>
  <c r="C74" i="188"/>
  <c r="C76" i="188"/>
  <c r="C78" i="188"/>
  <c r="D78" i="188" s="1"/>
  <c r="C82" i="188"/>
  <c r="D82" i="188" s="1"/>
  <c r="C84" i="188"/>
  <c r="D84" i="188" s="1"/>
  <c r="C86" i="188"/>
  <c r="D86" i="188" s="1"/>
  <c r="D80" i="188"/>
  <c r="D76" i="188"/>
  <c r="D74" i="188"/>
  <c r="D72" i="188"/>
  <c r="D70" i="188"/>
  <c r="D68" i="188"/>
  <c r="D66" i="188"/>
  <c r="D64" i="188"/>
  <c r="D60" i="188"/>
  <c r="D58" i="188"/>
  <c r="D56" i="188"/>
  <c r="D54" i="188"/>
  <c r="D52" i="188"/>
  <c r="D50" i="188"/>
  <c r="D48" i="188"/>
  <c r="D46" i="188"/>
  <c r="D44" i="188"/>
  <c r="D42" i="188"/>
  <c r="D40" i="188"/>
  <c r="D38" i="188"/>
  <c r="D36" i="188"/>
  <c r="D34" i="188"/>
  <c r="D32" i="188"/>
  <c r="D30" i="188"/>
  <c r="D18" i="188"/>
  <c r="D16" i="188"/>
  <c r="D15" i="188"/>
  <c r="D17" i="186"/>
  <c r="C85" i="186"/>
  <c r="D85" i="186" s="1"/>
  <c r="C83" i="186"/>
  <c r="D83" i="186" s="1"/>
  <c r="C81" i="186"/>
  <c r="D81" i="186" s="1"/>
  <c r="D79" i="186"/>
  <c r="C77" i="186"/>
  <c r="D77" i="186" s="1"/>
  <c r="C75" i="186"/>
  <c r="D75" i="186" s="1"/>
  <c r="C73" i="186"/>
  <c r="D73" i="186" s="1"/>
  <c r="C71" i="186"/>
  <c r="D71" i="186" s="1"/>
  <c r="C69" i="186"/>
  <c r="D69" i="186" s="1"/>
  <c r="C67" i="186"/>
  <c r="D67" i="186" s="1"/>
  <c r="C65" i="186"/>
  <c r="D65" i="186" s="1"/>
  <c r="C63" i="186"/>
  <c r="D63" i="186" s="1"/>
  <c r="C61" i="186"/>
  <c r="D61" i="186" s="1"/>
  <c r="C59" i="186"/>
  <c r="D59" i="186" s="1"/>
  <c r="C57" i="186"/>
  <c r="D57" i="186" s="1"/>
  <c r="C55" i="186"/>
  <c r="D55" i="186" s="1"/>
  <c r="C53" i="186"/>
  <c r="D53" i="186" s="1"/>
  <c r="C51" i="186"/>
  <c r="D51" i="186" s="1"/>
  <c r="C49" i="186"/>
  <c r="D49" i="186" s="1"/>
  <c r="C47" i="186"/>
  <c r="D47" i="186" s="1"/>
  <c r="C45" i="186"/>
  <c r="D45" i="186" s="1"/>
  <c r="C43" i="186"/>
  <c r="D43" i="186" s="1"/>
  <c r="C41" i="186"/>
  <c r="D41" i="186" s="1"/>
  <c r="C39" i="186"/>
  <c r="D39" i="186" s="1"/>
  <c r="C37" i="186"/>
  <c r="D37" i="186" s="1"/>
  <c r="C35" i="186"/>
  <c r="D35" i="186" s="1"/>
  <c r="C33" i="186"/>
  <c r="D33" i="186" s="1"/>
  <c r="C31" i="186"/>
  <c r="D31" i="186" s="1"/>
  <c r="C29" i="186"/>
  <c r="D29" i="186" s="1"/>
  <c r="C27" i="186"/>
  <c r="D27" i="186" s="1"/>
  <c r="C25" i="186"/>
  <c r="D25" i="186" s="1"/>
  <c r="C23" i="186"/>
  <c r="D23" i="186" s="1"/>
  <c r="C21" i="186"/>
  <c r="C77" i="169"/>
  <c r="D77" i="169" s="1"/>
  <c r="C85" i="169"/>
  <c r="D17" i="169"/>
  <c r="D15" i="169"/>
  <c r="D14" i="169"/>
  <c r="D85" i="169"/>
  <c r="C83" i="169"/>
  <c r="D83" i="169" s="1"/>
  <c r="C81" i="169"/>
  <c r="D81" i="169" s="1"/>
  <c r="D79" i="169"/>
  <c r="C75" i="169"/>
  <c r="D75" i="169" s="1"/>
  <c r="C73" i="169"/>
  <c r="D73" i="169" s="1"/>
  <c r="C71" i="169"/>
  <c r="D71" i="169" s="1"/>
  <c r="C69" i="169"/>
  <c r="D69" i="169" s="1"/>
  <c r="C67" i="169"/>
  <c r="D67" i="169" s="1"/>
  <c r="C65" i="169"/>
  <c r="D65" i="169" s="1"/>
  <c r="C63" i="169"/>
  <c r="D63" i="169" s="1"/>
  <c r="C61" i="169"/>
  <c r="D61" i="169" s="1"/>
  <c r="C59" i="169"/>
  <c r="D59" i="169" s="1"/>
  <c r="C57" i="169"/>
  <c r="D57" i="169" s="1"/>
  <c r="C55" i="169"/>
  <c r="D55" i="169" s="1"/>
  <c r="C53" i="169"/>
  <c r="D53" i="169" s="1"/>
  <c r="C51" i="169"/>
  <c r="D51" i="169" s="1"/>
  <c r="C49" i="169"/>
  <c r="D49" i="169" s="1"/>
  <c r="C47" i="169"/>
  <c r="D47" i="169" s="1"/>
  <c r="C45" i="169"/>
  <c r="D45" i="169" s="1"/>
  <c r="C43" i="169"/>
  <c r="D43" i="169" s="1"/>
  <c r="C41" i="169"/>
  <c r="D41" i="169" s="1"/>
  <c r="C39" i="169"/>
  <c r="D39" i="169" s="1"/>
  <c r="C37" i="169"/>
  <c r="D37" i="169" s="1"/>
  <c r="C35" i="169"/>
  <c r="D35" i="169" s="1"/>
  <c r="C33" i="169"/>
  <c r="D33" i="169" s="1"/>
  <c r="C31" i="169"/>
  <c r="D31" i="169" s="1"/>
  <c r="C29" i="169"/>
  <c r="D29" i="169" s="1"/>
  <c r="C27" i="169"/>
  <c r="D27" i="169" s="1"/>
  <c r="C25" i="169"/>
  <c r="D25" i="169" s="1"/>
  <c r="C23" i="169"/>
  <c r="D23" i="169" s="1"/>
  <c r="C21" i="169"/>
  <c r="C86" i="169" s="1"/>
  <c r="C87" i="169" s="1"/>
  <c r="D87" i="168"/>
  <c r="C87" i="168"/>
  <c r="D17" i="168"/>
  <c r="D15" i="168"/>
  <c r="D14" i="168"/>
  <c r="C85" i="168"/>
  <c r="D85" i="168" s="1"/>
  <c r="C83" i="168"/>
  <c r="D83" i="168" s="1"/>
  <c r="C81" i="168"/>
  <c r="D81" i="168" s="1"/>
  <c r="D79" i="168"/>
  <c r="D77" i="168"/>
  <c r="C77" i="168"/>
  <c r="C75" i="168"/>
  <c r="D75" i="168" s="1"/>
  <c r="D73" i="168"/>
  <c r="C73" i="168"/>
  <c r="D71" i="168"/>
  <c r="C71" i="168"/>
  <c r="D69" i="168"/>
  <c r="C69" i="168"/>
  <c r="D67" i="168"/>
  <c r="C67" i="168"/>
  <c r="D65" i="168"/>
  <c r="C65" i="168"/>
  <c r="D63" i="168"/>
  <c r="C63" i="168"/>
  <c r="D61" i="168"/>
  <c r="C61" i="168"/>
  <c r="D59" i="168"/>
  <c r="C59" i="168"/>
  <c r="D57" i="168"/>
  <c r="C57" i="168"/>
  <c r="D55" i="168"/>
  <c r="C55" i="168"/>
  <c r="C53" i="168"/>
  <c r="D53" i="168" s="1"/>
  <c r="D51" i="168"/>
  <c r="C51" i="168"/>
  <c r="D49" i="168"/>
  <c r="C49" i="168"/>
  <c r="D47" i="168"/>
  <c r="C47" i="168"/>
  <c r="D45" i="168"/>
  <c r="C45" i="168"/>
  <c r="C43" i="168"/>
  <c r="D43" i="168" s="1"/>
  <c r="C41" i="168"/>
  <c r="D41" i="168" s="1"/>
  <c r="C39" i="168"/>
  <c r="D39" i="168" s="1"/>
  <c r="D37" i="168"/>
  <c r="C37" i="168"/>
  <c r="C35" i="168"/>
  <c r="D35" i="168" s="1"/>
  <c r="C33" i="168"/>
  <c r="D33" i="168" s="1"/>
  <c r="C31" i="168"/>
  <c r="D31" i="168" s="1"/>
  <c r="C29" i="168"/>
  <c r="D29" i="168" s="1"/>
  <c r="C27" i="168"/>
  <c r="D27" i="168" s="1"/>
  <c r="C25" i="168"/>
  <c r="D25" i="168" s="1"/>
  <c r="C23" i="168"/>
  <c r="D23" i="168" s="1"/>
  <c r="D21" i="168"/>
  <c r="C21" i="168"/>
  <c r="D60" i="90"/>
  <c r="D76" i="90"/>
  <c r="D82" i="90"/>
  <c r="D84" i="90"/>
  <c r="C64" i="90"/>
  <c r="D64" i="90" s="1"/>
  <c r="C62" i="90"/>
  <c r="D62" i="90" s="1"/>
  <c r="D80" i="90"/>
  <c r="D78" i="90"/>
  <c r="D74" i="90"/>
  <c r="D72" i="90"/>
  <c r="D70" i="90"/>
  <c r="D68" i="90"/>
  <c r="D66" i="90"/>
  <c r="D58" i="90"/>
  <c r="D56" i="90"/>
  <c r="D54" i="90"/>
  <c r="D52" i="90"/>
  <c r="D50" i="90"/>
  <c r="D48" i="90"/>
  <c r="D46" i="90"/>
  <c r="D44" i="90"/>
  <c r="D42" i="90"/>
  <c r="D40" i="90"/>
  <c r="D38" i="90"/>
  <c r="D36" i="90"/>
  <c r="D34" i="90"/>
  <c r="D32" i="90"/>
  <c r="D30" i="90"/>
  <c r="D28" i="90"/>
  <c r="D26" i="90"/>
  <c r="D24" i="90"/>
  <c r="D22" i="90"/>
  <c r="D20" i="90"/>
  <c r="D16" i="90"/>
  <c r="D14" i="90"/>
  <c r="D13" i="90"/>
  <c r="D87" i="165"/>
  <c r="C87" i="165"/>
  <c r="D17" i="165"/>
  <c r="D15" i="165"/>
  <c r="D14" i="165"/>
  <c r="C85" i="165"/>
  <c r="D85" i="165" s="1"/>
  <c r="C83" i="165"/>
  <c r="D83" i="165" s="1"/>
  <c r="C81" i="165"/>
  <c r="D81" i="165" s="1"/>
  <c r="C77" i="165"/>
  <c r="D77" i="165" s="1"/>
  <c r="C75" i="165"/>
  <c r="D75" i="165" s="1"/>
  <c r="C73" i="165"/>
  <c r="D73" i="165" s="1"/>
  <c r="C71" i="165"/>
  <c r="D71" i="165" s="1"/>
  <c r="C69" i="165"/>
  <c r="D69" i="165" s="1"/>
  <c r="C67" i="165"/>
  <c r="D67" i="165" s="1"/>
  <c r="C65" i="165"/>
  <c r="D65" i="165" s="1"/>
  <c r="C63" i="165"/>
  <c r="D63" i="165" s="1"/>
  <c r="C61" i="165"/>
  <c r="D61" i="165" s="1"/>
  <c r="C59" i="165"/>
  <c r="D59" i="165" s="1"/>
  <c r="C57" i="165"/>
  <c r="D57" i="165" s="1"/>
  <c r="C55" i="165"/>
  <c r="D55" i="165" s="1"/>
  <c r="C53" i="165"/>
  <c r="D53" i="165" s="1"/>
  <c r="C51" i="165"/>
  <c r="D51" i="165" s="1"/>
  <c r="C49" i="165"/>
  <c r="D49" i="165" s="1"/>
  <c r="C47" i="165"/>
  <c r="D47" i="165" s="1"/>
  <c r="C45" i="165"/>
  <c r="D45" i="165" s="1"/>
  <c r="C43" i="165"/>
  <c r="D43" i="165" s="1"/>
  <c r="C41" i="165"/>
  <c r="D41" i="165" s="1"/>
  <c r="C39" i="165"/>
  <c r="D39" i="165" s="1"/>
  <c r="C37" i="165"/>
  <c r="D37" i="165" s="1"/>
  <c r="C35" i="165"/>
  <c r="D35" i="165" s="1"/>
  <c r="C33" i="165"/>
  <c r="D33" i="165" s="1"/>
  <c r="C31" i="165"/>
  <c r="D31" i="165" s="1"/>
  <c r="C29" i="165"/>
  <c r="D29" i="165" s="1"/>
  <c r="C27" i="165"/>
  <c r="D27" i="165" s="1"/>
  <c r="C25" i="165"/>
  <c r="D25" i="165" s="1"/>
  <c r="C23" i="165"/>
  <c r="D23" i="165" s="1"/>
  <c r="C21" i="165"/>
  <c r="D21" i="165" s="1"/>
  <c r="D86" i="163"/>
  <c r="C86" i="163"/>
  <c r="D16" i="163"/>
  <c r="C84" i="163"/>
  <c r="D84" i="163" s="1"/>
  <c r="C82" i="163"/>
  <c r="D82" i="163" s="1"/>
  <c r="C80" i="163"/>
  <c r="D80" i="163" s="1"/>
  <c r="D78" i="163"/>
  <c r="C76" i="163"/>
  <c r="D76" i="163" s="1"/>
  <c r="C74" i="163"/>
  <c r="D74" i="163" s="1"/>
  <c r="C72" i="163"/>
  <c r="D72" i="163" s="1"/>
  <c r="C70" i="163"/>
  <c r="D70" i="163" s="1"/>
  <c r="C68" i="163"/>
  <c r="D68" i="163" s="1"/>
  <c r="D66" i="163"/>
  <c r="C66" i="163"/>
  <c r="C64" i="163"/>
  <c r="D64" i="163" s="1"/>
  <c r="C62" i="163"/>
  <c r="D62" i="163" s="1"/>
  <c r="C60" i="163"/>
  <c r="D60" i="163" s="1"/>
  <c r="C58" i="163"/>
  <c r="D58" i="163" s="1"/>
  <c r="C56" i="163"/>
  <c r="D56" i="163" s="1"/>
  <c r="C54" i="163"/>
  <c r="D54" i="163" s="1"/>
  <c r="C52" i="163"/>
  <c r="D52" i="163" s="1"/>
  <c r="C50" i="163"/>
  <c r="D50" i="163" s="1"/>
  <c r="C48" i="163"/>
  <c r="D48" i="163" s="1"/>
  <c r="C46" i="163"/>
  <c r="D46" i="163" s="1"/>
  <c r="C44" i="163"/>
  <c r="D44" i="163" s="1"/>
  <c r="C42" i="163"/>
  <c r="D42" i="163" s="1"/>
  <c r="C40" i="163"/>
  <c r="D40" i="163" s="1"/>
  <c r="C38" i="163"/>
  <c r="D38" i="163" s="1"/>
  <c r="C36" i="163"/>
  <c r="D36" i="163" s="1"/>
  <c r="C34" i="163"/>
  <c r="D34" i="163" s="1"/>
  <c r="C32" i="163"/>
  <c r="D32" i="163" s="1"/>
  <c r="C30" i="163"/>
  <c r="D30" i="163" s="1"/>
  <c r="C28" i="163"/>
  <c r="D28" i="163" s="1"/>
  <c r="C26" i="163"/>
  <c r="D26" i="163" s="1"/>
  <c r="C24" i="163"/>
  <c r="D24" i="163" s="1"/>
  <c r="C22" i="163"/>
  <c r="D22" i="163" s="1"/>
  <c r="C20" i="163"/>
  <c r="D85" i="167"/>
  <c r="C85" i="167"/>
  <c r="D15" i="167"/>
  <c r="D13" i="167"/>
  <c r="D12" i="167"/>
  <c r="C83" i="167"/>
  <c r="D83" i="167" s="1"/>
  <c r="C81" i="167"/>
  <c r="D81" i="167" s="1"/>
  <c r="C79" i="167"/>
  <c r="D79" i="167" s="1"/>
  <c r="D77" i="167"/>
  <c r="C75" i="167"/>
  <c r="D75" i="167" s="1"/>
  <c r="C73" i="167"/>
  <c r="D73" i="167" s="1"/>
  <c r="C71" i="167"/>
  <c r="D71" i="167" s="1"/>
  <c r="C69" i="167"/>
  <c r="D69" i="167" s="1"/>
  <c r="C67" i="167"/>
  <c r="D67" i="167" s="1"/>
  <c r="C65" i="167"/>
  <c r="D65" i="167" s="1"/>
  <c r="C63" i="167"/>
  <c r="D63" i="167" s="1"/>
  <c r="C61" i="167"/>
  <c r="D61" i="167" s="1"/>
  <c r="C59" i="167"/>
  <c r="D59" i="167" s="1"/>
  <c r="C57" i="167"/>
  <c r="D57" i="167" s="1"/>
  <c r="C55" i="167"/>
  <c r="D55" i="167" s="1"/>
  <c r="C53" i="167"/>
  <c r="D53" i="167" s="1"/>
  <c r="D51" i="167"/>
  <c r="C51" i="167"/>
  <c r="C49" i="167"/>
  <c r="D49" i="167" s="1"/>
  <c r="C47" i="167"/>
  <c r="D47" i="167" s="1"/>
  <c r="C45" i="167"/>
  <c r="D45" i="167" s="1"/>
  <c r="C43" i="167"/>
  <c r="D43" i="167" s="1"/>
  <c r="C41" i="167"/>
  <c r="D41" i="167" s="1"/>
  <c r="C39" i="167"/>
  <c r="D39" i="167" s="1"/>
  <c r="C37" i="167"/>
  <c r="D37" i="167" s="1"/>
  <c r="D35" i="167"/>
  <c r="C35" i="167"/>
  <c r="C33" i="167"/>
  <c r="D33" i="167" s="1"/>
  <c r="C31" i="167"/>
  <c r="D31" i="167" s="1"/>
  <c r="C29" i="167"/>
  <c r="D29" i="167" s="1"/>
  <c r="C27" i="167"/>
  <c r="D27" i="167" s="1"/>
  <c r="C25" i="167"/>
  <c r="D25" i="167" s="1"/>
  <c r="C23" i="167"/>
  <c r="D23" i="167" s="1"/>
  <c r="C21" i="167"/>
  <c r="D21" i="167" s="1"/>
  <c r="D19" i="167"/>
  <c r="C19" i="167"/>
  <c r="D86" i="164"/>
  <c r="C86" i="164"/>
  <c r="D16" i="164"/>
  <c r="D14" i="164"/>
  <c r="D13" i="164"/>
  <c r="C84" i="164"/>
  <c r="D84" i="164" s="1"/>
  <c r="C82" i="164"/>
  <c r="D82" i="164" s="1"/>
  <c r="C80" i="164"/>
  <c r="D80" i="164" s="1"/>
  <c r="D78" i="164"/>
  <c r="C76" i="164"/>
  <c r="D76" i="164" s="1"/>
  <c r="C74" i="164"/>
  <c r="D74" i="164" s="1"/>
  <c r="C72" i="164"/>
  <c r="D72" i="164" s="1"/>
  <c r="C70" i="164"/>
  <c r="D70" i="164" s="1"/>
  <c r="C68" i="164"/>
  <c r="D68" i="164" s="1"/>
  <c r="C66" i="164"/>
  <c r="D66" i="164" s="1"/>
  <c r="C64" i="164"/>
  <c r="D64" i="164" s="1"/>
  <c r="C62" i="164"/>
  <c r="D62" i="164" s="1"/>
  <c r="C60" i="164"/>
  <c r="D60" i="164" s="1"/>
  <c r="C58" i="164"/>
  <c r="D58" i="164" s="1"/>
  <c r="C56" i="164"/>
  <c r="D56" i="164" s="1"/>
  <c r="C54" i="164"/>
  <c r="D54" i="164" s="1"/>
  <c r="C52" i="164"/>
  <c r="D52" i="164" s="1"/>
  <c r="C50" i="164"/>
  <c r="D50" i="164" s="1"/>
  <c r="C48" i="164"/>
  <c r="D48" i="164" s="1"/>
  <c r="C46" i="164"/>
  <c r="D46" i="164" s="1"/>
  <c r="C44" i="164"/>
  <c r="D44" i="164" s="1"/>
  <c r="C42" i="164"/>
  <c r="D42" i="164" s="1"/>
  <c r="C40" i="164"/>
  <c r="D40" i="164" s="1"/>
  <c r="C38" i="164"/>
  <c r="D38" i="164" s="1"/>
  <c r="C36" i="164"/>
  <c r="D36" i="164" s="1"/>
  <c r="C34" i="164"/>
  <c r="D34" i="164" s="1"/>
  <c r="C32" i="164"/>
  <c r="D32" i="164" s="1"/>
  <c r="C30" i="164"/>
  <c r="D30" i="164" s="1"/>
  <c r="C28" i="164"/>
  <c r="D28" i="164" s="1"/>
  <c r="C26" i="164"/>
  <c r="D26" i="164" s="1"/>
  <c r="C24" i="164"/>
  <c r="D24" i="164" s="1"/>
  <c r="C22" i="164"/>
  <c r="D22" i="164" s="1"/>
  <c r="C20" i="164"/>
  <c r="C25" i="88"/>
  <c r="D25" i="88" s="1"/>
  <c r="C21" i="88"/>
  <c r="D21" i="88" s="1"/>
  <c r="C85" i="88"/>
  <c r="D85" i="88" s="1"/>
  <c r="D83" i="88"/>
  <c r="D81" i="88"/>
  <c r="D79" i="88"/>
  <c r="D77" i="88"/>
  <c r="D75" i="88"/>
  <c r="D73" i="88"/>
  <c r="D71" i="88"/>
  <c r="D69" i="88"/>
  <c r="D67" i="88"/>
  <c r="D65" i="88"/>
  <c r="D63" i="88"/>
  <c r="D61" i="88"/>
  <c r="D59" i="88"/>
  <c r="D57" i="88"/>
  <c r="D55" i="88"/>
  <c r="D53" i="88"/>
  <c r="D51" i="88"/>
  <c r="D49" i="88"/>
  <c r="D47" i="88"/>
  <c r="D45" i="88"/>
  <c r="D43" i="88"/>
  <c r="D41" i="88"/>
  <c r="D39" i="88"/>
  <c r="D37" i="88"/>
  <c r="D35" i="88"/>
  <c r="D33" i="88"/>
  <c r="D31" i="88"/>
  <c r="D29" i="88"/>
  <c r="D27" i="88"/>
  <c r="D23" i="88"/>
  <c r="D17" i="88"/>
  <c r="D15" i="88"/>
  <c r="D14" i="88"/>
  <c r="D88" i="84"/>
  <c r="C88" i="84"/>
  <c r="D18" i="84"/>
  <c r="D16" i="84"/>
  <c r="D15" i="84"/>
  <c r="C86" i="84"/>
  <c r="D86" i="84" s="1"/>
  <c r="C84" i="84"/>
  <c r="D84" i="84" s="1"/>
  <c r="C82" i="84"/>
  <c r="D82" i="84" s="1"/>
  <c r="D80" i="84"/>
  <c r="C78" i="84"/>
  <c r="D78" i="84" s="1"/>
  <c r="C76" i="84"/>
  <c r="D76" i="84" s="1"/>
  <c r="C74" i="84"/>
  <c r="D74" i="84" s="1"/>
  <c r="C72" i="84"/>
  <c r="D72" i="84" s="1"/>
  <c r="C70" i="84"/>
  <c r="D70" i="84" s="1"/>
  <c r="C68" i="84"/>
  <c r="D68" i="84" s="1"/>
  <c r="C66" i="84"/>
  <c r="D66" i="84" s="1"/>
  <c r="D64" i="84"/>
  <c r="C64" i="84"/>
  <c r="C62" i="84"/>
  <c r="D62" i="84" s="1"/>
  <c r="C60" i="84"/>
  <c r="D60" i="84" s="1"/>
  <c r="C58" i="84"/>
  <c r="D58" i="84" s="1"/>
  <c r="D56" i="84"/>
  <c r="C56" i="84"/>
  <c r="C54" i="84"/>
  <c r="D54" i="84" s="1"/>
  <c r="C52" i="84"/>
  <c r="D52" i="84" s="1"/>
  <c r="C50" i="84"/>
  <c r="D50" i="84" s="1"/>
  <c r="C48" i="84"/>
  <c r="D48" i="84" s="1"/>
  <c r="C46" i="84"/>
  <c r="D46" i="84" s="1"/>
  <c r="C44" i="84"/>
  <c r="D44" i="84" s="1"/>
  <c r="C42" i="84"/>
  <c r="D42" i="84" s="1"/>
  <c r="C40" i="84"/>
  <c r="D40" i="84" s="1"/>
  <c r="C38" i="84"/>
  <c r="D38" i="84" s="1"/>
  <c r="C36" i="84"/>
  <c r="D36" i="84" s="1"/>
  <c r="C34" i="84"/>
  <c r="D34" i="84" s="1"/>
  <c r="C32" i="84"/>
  <c r="D32" i="84" s="1"/>
  <c r="C30" i="84"/>
  <c r="D30" i="84" s="1"/>
  <c r="C28" i="84"/>
  <c r="D28" i="84" s="1"/>
  <c r="C26" i="84"/>
  <c r="D26" i="84" s="1"/>
  <c r="C24" i="84"/>
  <c r="D24" i="84" s="1"/>
  <c r="C22" i="84"/>
  <c r="C87" i="84" s="1"/>
  <c r="D17" i="182"/>
  <c r="D87" i="181"/>
  <c r="C87" i="181"/>
  <c r="D17" i="181"/>
  <c r="D15" i="181"/>
  <c r="C85" i="181"/>
  <c r="D85" i="181" s="1"/>
  <c r="C83" i="181"/>
  <c r="D83" i="181" s="1"/>
  <c r="C81" i="181"/>
  <c r="D81" i="181" s="1"/>
  <c r="D79" i="181"/>
  <c r="C77" i="181"/>
  <c r="D77" i="181" s="1"/>
  <c r="C75" i="181"/>
  <c r="D75" i="181" s="1"/>
  <c r="C73" i="181"/>
  <c r="D73" i="181" s="1"/>
  <c r="C71" i="181"/>
  <c r="D71" i="181" s="1"/>
  <c r="C69" i="181"/>
  <c r="D69" i="181" s="1"/>
  <c r="C67" i="181"/>
  <c r="D67" i="181" s="1"/>
  <c r="C65" i="181"/>
  <c r="D65" i="181" s="1"/>
  <c r="C63" i="181"/>
  <c r="D63" i="181" s="1"/>
  <c r="C61" i="181"/>
  <c r="D61" i="181" s="1"/>
  <c r="C59" i="181"/>
  <c r="D59" i="181" s="1"/>
  <c r="C57" i="181"/>
  <c r="D57" i="181" s="1"/>
  <c r="C55" i="181"/>
  <c r="D55" i="181" s="1"/>
  <c r="C53" i="181"/>
  <c r="D53" i="181" s="1"/>
  <c r="C51" i="181"/>
  <c r="D51" i="181" s="1"/>
  <c r="C49" i="181"/>
  <c r="D49" i="181" s="1"/>
  <c r="C47" i="181"/>
  <c r="D47" i="181" s="1"/>
  <c r="C45" i="181"/>
  <c r="D45" i="181" s="1"/>
  <c r="C43" i="181"/>
  <c r="D43" i="181" s="1"/>
  <c r="C41" i="181"/>
  <c r="D41" i="181" s="1"/>
  <c r="C39" i="181"/>
  <c r="D39" i="181" s="1"/>
  <c r="C37" i="181"/>
  <c r="D37" i="181" s="1"/>
  <c r="C35" i="181"/>
  <c r="D35" i="181" s="1"/>
  <c r="C33" i="181"/>
  <c r="D33" i="181" s="1"/>
  <c r="C31" i="181"/>
  <c r="D31" i="181" s="1"/>
  <c r="C29" i="181"/>
  <c r="D29" i="181" s="1"/>
  <c r="C27" i="181"/>
  <c r="D27" i="181" s="1"/>
  <c r="C25" i="181"/>
  <c r="D25" i="181" s="1"/>
  <c r="D23" i="181"/>
  <c r="C23" i="181"/>
  <c r="C21" i="181"/>
  <c r="D87" i="180"/>
  <c r="C87" i="180"/>
  <c r="C85" i="180"/>
  <c r="D85" i="180" s="1"/>
  <c r="C83" i="180"/>
  <c r="D83" i="180" s="1"/>
  <c r="C81" i="180"/>
  <c r="D81" i="180" s="1"/>
  <c r="D79" i="180"/>
  <c r="D77" i="180"/>
  <c r="C77" i="180"/>
  <c r="D75" i="180"/>
  <c r="C75" i="180"/>
  <c r="D73" i="180"/>
  <c r="C73" i="180"/>
  <c r="D71" i="180"/>
  <c r="C71" i="180"/>
  <c r="D69" i="180"/>
  <c r="C69" i="180"/>
  <c r="D67" i="180"/>
  <c r="C67" i="180"/>
  <c r="D65" i="180"/>
  <c r="C65" i="180"/>
  <c r="C63" i="180"/>
  <c r="D63" i="180" s="1"/>
  <c r="C61" i="180"/>
  <c r="D61" i="180" s="1"/>
  <c r="C59" i="180"/>
  <c r="D59" i="180" s="1"/>
  <c r="C57" i="180"/>
  <c r="D57" i="180" s="1"/>
  <c r="C55" i="180"/>
  <c r="D55" i="180" s="1"/>
  <c r="C53" i="180"/>
  <c r="D53" i="180" s="1"/>
  <c r="C51" i="180"/>
  <c r="D51" i="180" s="1"/>
  <c r="C49" i="180"/>
  <c r="D49" i="180" s="1"/>
  <c r="C47" i="180"/>
  <c r="D47" i="180" s="1"/>
  <c r="C45" i="180"/>
  <c r="D45" i="180" s="1"/>
  <c r="C43" i="180"/>
  <c r="D43" i="180" s="1"/>
  <c r="C41" i="180"/>
  <c r="D41" i="180" s="1"/>
  <c r="C39" i="180"/>
  <c r="D39" i="180" s="1"/>
  <c r="C37" i="180"/>
  <c r="D37" i="180" s="1"/>
  <c r="C35" i="180"/>
  <c r="D35" i="180" s="1"/>
  <c r="C33" i="180"/>
  <c r="D33" i="180" s="1"/>
  <c r="C31" i="180"/>
  <c r="D31" i="180" s="1"/>
  <c r="C29" i="180"/>
  <c r="D29" i="180" s="1"/>
  <c r="C27" i="180"/>
  <c r="D27" i="180" s="1"/>
  <c r="C25" i="180"/>
  <c r="D25" i="180" s="1"/>
  <c r="C23" i="180"/>
  <c r="D23" i="180" s="1"/>
  <c r="C21" i="180"/>
  <c r="D17" i="180"/>
  <c r="C86" i="186" l="1"/>
  <c r="C86" i="230"/>
  <c r="D21" i="230"/>
  <c r="D86" i="230" s="1"/>
  <c r="C90" i="230" s="1"/>
  <c r="D86" i="229"/>
  <c r="D86" i="225"/>
  <c r="C86" i="225"/>
  <c r="D86" i="221"/>
  <c r="C86" i="221"/>
  <c r="D86" i="220"/>
  <c r="C90" i="220" s="1"/>
  <c r="C86" i="220"/>
  <c r="C86" i="217"/>
  <c r="D21" i="217"/>
  <c r="D86" i="217" s="1"/>
  <c r="C90" i="217" s="1"/>
  <c r="C86" i="216"/>
  <c r="D21" i="216"/>
  <c r="D86" i="216" s="1"/>
  <c r="C86" i="214"/>
  <c r="D21" i="214"/>
  <c r="D86" i="214" s="1"/>
  <c r="D87" i="212"/>
  <c r="C87" i="212"/>
  <c r="C86" i="208"/>
  <c r="D86" i="208"/>
  <c r="D21" i="191"/>
  <c r="D86" i="191" s="1"/>
  <c r="C90" i="191" s="1"/>
  <c r="D86" i="190"/>
  <c r="C90" i="190" s="1"/>
  <c r="C86" i="190"/>
  <c r="D21" i="186"/>
  <c r="D86" i="186" s="1"/>
  <c r="D21" i="169"/>
  <c r="D86" i="169" s="1"/>
  <c r="C86" i="168"/>
  <c r="D86" i="168"/>
  <c r="C90" i="168" s="1"/>
  <c r="C86" i="165"/>
  <c r="D86" i="165"/>
  <c r="C90" i="165" s="1"/>
  <c r="C85" i="163"/>
  <c r="D20" i="163"/>
  <c r="D85" i="163" s="1"/>
  <c r="C89" i="163" s="1"/>
  <c r="C84" i="167"/>
  <c r="D84" i="167"/>
  <c r="C88" i="167" s="1"/>
  <c r="C85" i="164"/>
  <c r="D20" i="164"/>
  <c r="D85" i="164" s="1"/>
  <c r="C89" i="164" s="1"/>
  <c r="D22" i="84"/>
  <c r="D87" i="84" s="1"/>
  <c r="C91" i="84" s="1"/>
  <c r="C86" i="181"/>
  <c r="D21" i="181"/>
  <c r="D86" i="181" s="1"/>
  <c r="C90" i="181" s="1"/>
  <c r="C86" i="180"/>
  <c r="D21" i="180"/>
  <c r="D86" i="180" s="1"/>
  <c r="C90" i="180" s="1"/>
  <c r="C85" i="179"/>
  <c r="D85" i="179" s="1"/>
  <c r="C83" i="179"/>
  <c r="D83" i="179" s="1"/>
  <c r="C81" i="179"/>
  <c r="D81" i="179" s="1"/>
  <c r="D79" i="179"/>
  <c r="C77" i="179"/>
  <c r="D77" i="179" s="1"/>
  <c r="D75" i="179"/>
  <c r="C75" i="179"/>
  <c r="C73" i="179"/>
  <c r="D73" i="179" s="1"/>
  <c r="C71" i="179"/>
  <c r="D71" i="179" s="1"/>
  <c r="C69" i="179"/>
  <c r="D69" i="179" s="1"/>
  <c r="C67" i="179"/>
  <c r="D67" i="179" s="1"/>
  <c r="C65" i="179"/>
  <c r="D65" i="179" s="1"/>
  <c r="C63" i="179"/>
  <c r="D63" i="179" s="1"/>
  <c r="C61" i="179"/>
  <c r="D61" i="179" s="1"/>
  <c r="C59" i="179"/>
  <c r="D59" i="179" s="1"/>
  <c r="C57" i="179"/>
  <c r="D57" i="179" s="1"/>
  <c r="C55" i="179"/>
  <c r="D55" i="179" s="1"/>
  <c r="C53" i="179"/>
  <c r="D53" i="179" s="1"/>
  <c r="C51" i="179"/>
  <c r="D51" i="179" s="1"/>
  <c r="C49" i="179"/>
  <c r="D49" i="179" s="1"/>
  <c r="C47" i="179"/>
  <c r="D47" i="179" s="1"/>
  <c r="C45" i="179"/>
  <c r="D45" i="179" s="1"/>
  <c r="C43" i="179"/>
  <c r="D43" i="179" s="1"/>
  <c r="C41" i="179"/>
  <c r="D41" i="179" s="1"/>
  <c r="C39" i="179"/>
  <c r="D39" i="179" s="1"/>
  <c r="C37" i="179"/>
  <c r="D37" i="179" s="1"/>
  <c r="C35" i="179"/>
  <c r="D35" i="179" s="1"/>
  <c r="C33" i="179"/>
  <c r="D33" i="179" s="1"/>
  <c r="C31" i="179"/>
  <c r="D31" i="179" s="1"/>
  <c r="C29" i="179"/>
  <c r="D29" i="179" s="1"/>
  <c r="C27" i="179"/>
  <c r="D27" i="179" s="1"/>
  <c r="C25" i="179"/>
  <c r="D25" i="179" s="1"/>
  <c r="C23" i="179"/>
  <c r="D23" i="179" s="1"/>
  <c r="C21" i="179"/>
  <c r="D17" i="179"/>
  <c r="D87" i="169" l="1"/>
  <c r="C90" i="169" s="1"/>
  <c r="C86" i="179"/>
  <c r="D21" i="179"/>
  <c r="D86" i="179" s="1"/>
  <c r="D15" i="203"/>
  <c r="C83" i="203"/>
  <c r="D83" i="203" s="1"/>
  <c r="C81" i="203"/>
  <c r="D81" i="203" s="1"/>
  <c r="C79" i="203"/>
  <c r="D79" i="203" s="1"/>
  <c r="D77" i="203"/>
  <c r="C75" i="203"/>
  <c r="D75" i="203" s="1"/>
  <c r="C73" i="203"/>
  <c r="D73" i="203" s="1"/>
  <c r="D71" i="203"/>
  <c r="C71" i="203"/>
  <c r="C69" i="203"/>
  <c r="D69" i="203" s="1"/>
  <c r="D67" i="203"/>
  <c r="C67" i="203"/>
  <c r="C65" i="203"/>
  <c r="D65" i="203" s="1"/>
  <c r="D63" i="203"/>
  <c r="C63" i="203"/>
  <c r="C61" i="203"/>
  <c r="D61" i="203" s="1"/>
  <c r="D59" i="203"/>
  <c r="C59" i="203"/>
  <c r="C57" i="203"/>
  <c r="D57" i="203" s="1"/>
  <c r="D55" i="203"/>
  <c r="C55" i="203"/>
  <c r="C53" i="203"/>
  <c r="D53" i="203" s="1"/>
  <c r="D51" i="203"/>
  <c r="C51" i="203"/>
  <c r="C49" i="203"/>
  <c r="D49" i="203" s="1"/>
  <c r="D47" i="203"/>
  <c r="C47" i="203"/>
  <c r="C45" i="203"/>
  <c r="D45" i="203" s="1"/>
  <c r="D43" i="203"/>
  <c r="C43" i="203"/>
  <c r="C41" i="203"/>
  <c r="D41" i="203" s="1"/>
  <c r="D39" i="203"/>
  <c r="C39" i="203"/>
  <c r="C37" i="203"/>
  <c r="D37" i="203" s="1"/>
  <c r="D35" i="203"/>
  <c r="C35" i="203"/>
  <c r="C33" i="203"/>
  <c r="D33" i="203" s="1"/>
  <c r="D31" i="203"/>
  <c r="C31" i="203"/>
  <c r="C29" i="203"/>
  <c r="D29" i="203" s="1"/>
  <c r="D27" i="203"/>
  <c r="C27" i="203"/>
  <c r="C25" i="203"/>
  <c r="D25" i="203" s="1"/>
  <c r="D23" i="203"/>
  <c r="C23" i="203"/>
  <c r="C21" i="203"/>
  <c r="D21" i="203" s="1"/>
  <c r="D19" i="203"/>
  <c r="C19" i="203"/>
  <c r="D87" i="177"/>
  <c r="C87" i="177"/>
  <c r="D17" i="177"/>
  <c r="D15" i="177"/>
  <c r="D14" i="177"/>
  <c r="C85" i="177"/>
  <c r="D85" i="177" s="1"/>
  <c r="C83" i="177"/>
  <c r="D83" i="177" s="1"/>
  <c r="C81" i="177"/>
  <c r="D81" i="177" s="1"/>
  <c r="D79" i="177"/>
  <c r="C77" i="177"/>
  <c r="D77" i="177" s="1"/>
  <c r="D75" i="177"/>
  <c r="C75" i="177"/>
  <c r="D73" i="177"/>
  <c r="C73" i="177"/>
  <c r="D71" i="177"/>
  <c r="C71" i="177"/>
  <c r="D69" i="177"/>
  <c r="C69" i="177"/>
  <c r="D67" i="177"/>
  <c r="C67" i="177"/>
  <c r="D65" i="177"/>
  <c r="C65" i="177"/>
  <c r="C63" i="177"/>
  <c r="D63" i="177" s="1"/>
  <c r="D61" i="177"/>
  <c r="C61" i="177"/>
  <c r="D59" i="177"/>
  <c r="C59" i="177"/>
  <c r="D57" i="177"/>
  <c r="C57" i="177"/>
  <c r="D55" i="177"/>
  <c r="C55" i="177"/>
  <c r="D53" i="177"/>
  <c r="C53" i="177"/>
  <c r="D51" i="177"/>
  <c r="C51" i="177"/>
  <c r="D49" i="177"/>
  <c r="C49" i="177"/>
  <c r="D47" i="177"/>
  <c r="C47" i="177"/>
  <c r="D45" i="177"/>
  <c r="C45" i="177"/>
  <c r="D43" i="177"/>
  <c r="C43" i="177"/>
  <c r="D41" i="177"/>
  <c r="C41" i="177"/>
  <c r="D39" i="177"/>
  <c r="C39" i="177"/>
  <c r="D37" i="177"/>
  <c r="C37" i="177"/>
  <c r="C35" i="177"/>
  <c r="D35" i="177" s="1"/>
  <c r="C33" i="177"/>
  <c r="D33" i="177" s="1"/>
  <c r="C31" i="177"/>
  <c r="D31" i="177" s="1"/>
  <c r="C29" i="177"/>
  <c r="D29" i="177" s="1"/>
  <c r="D27" i="177"/>
  <c r="C27" i="177"/>
  <c r="C25" i="177"/>
  <c r="D25" i="177" s="1"/>
  <c r="C23" i="177"/>
  <c r="D23" i="177" s="1"/>
  <c r="D21" i="177"/>
  <c r="C21" i="177"/>
  <c r="D87" i="176"/>
  <c r="C87" i="176"/>
  <c r="D17" i="176"/>
  <c r="D15" i="176"/>
  <c r="D14" i="176"/>
  <c r="C85" i="176"/>
  <c r="D85" i="176" s="1"/>
  <c r="C83" i="176"/>
  <c r="D83" i="176" s="1"/>
  <c r="C81" i="176"/>
  <c r="D81" i="176" s="1"/>
  <c r="D79" i="176"/>
  <c r="D77" i="176"/>
  <c r="C77" i="176"/>
  <c r="D75" i="176"/>
  <c r="C75" i="176"/>
  <c r="D73" i="176"/>
  <c r="C73" i="176"/>
  <c r="C71" i="176"/>
  <c r="D71" i="176" s="1"/>
  <c r="C69" i="176"/>
  <c r="D69" i="176" s="1"/>
  <c r="C67" i="176"/>
  <c r="D67" i="176" s="1"/>
  <c r="C65" i="176"/>
  <c r="D65" i="176" s="1"/>
  <c r="C63" i="176"/>
  <c r="D63" i="176" s="1"/>
  <c r="C61" i="176"/>
  <c r="D61" i="176" s="1"/>
  <c r="C59" i="176"/>
  <c r="D59" i="176" s="1"/>
  <c r="C57" i="176"/>
  <c r="D57" i="176" s="1"/>
  <c r="C55" i="176"/>
  <c r="D55" i="176" s="1"/>
  <c r="C53" i="176"/>
  <c r="D53" i="176" s="1"/>
  <c r="C51" i="176"/>
  <c r="D51" i="176" s="1"/>
  <c r="C49" i="176"/>
  <c r="D49" i="176" s="1"/>
  <c r="C47" i="176"/>
  <c r="D47" i="176" s="1"/>
  <c r="C45" i="176"/>
  <c r="D45" i="176" s="1"/>
  <c r="C43" i="176"/>
  <c r="D43" i="176" s="1"/>
  <c r="C41" i="176"/>
  <c r="D41" i="176" s="1"/>
  <c r="C39" i="176"/>
  <c r="D39" i="176" s="1"/>
  <c r="C37" i="176"/>
  <c r="D37" i="176" s="1"/>
  <c r="C35" i="176"/>
  <c r="D35" i="176" s="1"/>
  <c r="C33" i="176"/>
  <c r="D33" i="176" s="1"/>
  <c r="C31" i="176"/>
  <c r="D31" i="176" s="1"/>
  <c r="C29" i="176"/>
  <c r="D29" i="176" s="1"/>
  <c r="C27" i="176"/>
  <c r="D27" i="176" s="1"/>
  <c r="C25" i="176"/>
  <c r="D25" i="176" s="1"/>
  <c r="C23" i="176"/>
  <c r="D23" i="176" s="1"/>
  <c r="C21" i="176"/>
  <c r="C68" i="174"/>
  <c r="D68" i="174" s="1"/>
  <c r="C70" i="174"/>
  <c r="D70" i="174" s="1"/>
  <c r="C78" i="174"/>
  <c r="D78" i="174" s="1"/>
  <c r="C86" i="174"/>
  <c r="D86" i="174" s="1"/>
  <c r="C62" i="174"/>
  <c r="C58" i="174"/>
  <c r="D58" i="174" s="1"/>
  <c r="C48" i="174"/>
  <c r="D48" i="174" s="1"/>
  <c r="C32" i="174"/>
  <c r="D32" i="174" s="1"/>
  <c r="C36" i="174"/>
  <c r="D36" i="174" s="1"/>
  <c r="C24" i="174"/>
  <c r="D24" i="174" s="1"/>
  <c r="C22" i="174"/>
  <c r="C74" i="174"/>
  <c r="C76" i="174"/>
  <c r="D76" i="174" s="1"/>
  <c r="D84" i="174"/>
  <c r="D82" i="174"/>
  <c r="D80" i="174"/>
  <c r="D74" i="174"/>
  <c r="D72" i="174"/>
  <c r="D66" i="174"/>
  <c r="D64" i="174"/>
  <c r="D62" i="174"/>
  <c r="D60" i="174"/>
  <c r="D56" i="174"/>
  <c r="D54" i="174"/>
  <c r="D52" i="174"/>
  <c r="D50" i="174"/>
  <c r="D46" i="174"/>
  <c r="D44" i="174"/>
  <c r="D42" i="174"/>
  <c r="D40" i="174"/>
  <c r="D38" i="174"/>
  <c r="D34" i="174"/>
  <c r="D30" i="174"/>
  <c r="D28" i="174"/>
  <c r="D26" i="174"/>
  <c r="D22" i="174"/>
  <c r="D18" i="174"/>
  <c r="D16" i="174"/>
  <c r="D15" i="174"/>
  <c r="D88" i="172"/>
  <c r="C88" i="172"/>
  <c r="D18" i="172"/>
  <c r="D16" i="172"/>
  <c r="D15" i="172"/>
  <c r="C86" i="172"/>
  <c r="D86" i="172" s="1"/>
  <c r="C84" i="172"/>
  <c r="D84" i="172" s="1"/>
  <c r="C82" i="172"/>
  <c r="D82" i="172" s="1"/>
  <c r="D80" i="172"/>
  <c r="D78" i="172"/>
  <c r="C78" i="172"/>
  <c r="D76" i="172"/>
  <c r="C76" i="172"/>
  <c r="D74" i="172"/>
  <c r="C74" i="172"/>
  <c r="D72" i="172"/>
  <c r="C72" i="172"/>
  <c r="D70" i="172"/>
  <c r="C70" i="172"/>
  <c r="D68" i="172"/>
  <c r="C68" i="172"/>
  <c r="D66" i="172"/>
  <c r="C66" i="172"/>
  <c r="D64" i="172"/>
  <c r="C64" i="172"/>
  <c r="D62" i="172"/>
  <c r="C62" i="172"/>
  <c r="D60" i="172"/>
  <c r="C60" i="172"/>
  <c r="D58" i="172"/>
  <c r="C58" i="172"/>
  <c r="D56" i="172"/>
  <c r="C56" i="172"/>
  <c r="D54" i="172"/>
  <c r="C54" i="172"/>
  <c r="D52" i="172"/>
  <c r="C52" i="172"/>
  <c r="D50" i="172"/>
  <c r="C50" i="172"/>
  <c r="D48" i="172"/>
  <c r="C48" i="172"/>
  <c r="D46" i="172"/>
  <c r="C46" i="172"/>
  <c r="D44" i="172"/>
  <c r="C44" i="172"/>
  <c r="D42" i="172"/>
  <c r="C42" i="172"/>
  <c r="C40" i="172"/>
  <c r="D40" i="172" s="1"/>
  <c r="D38" i="172"/>
  <c r="C38" i="172"/>
  <c r="D36" i="172"/>
  <c r="C36" i="172"/>
  <c r="D34" i="172"/>
  <c r="C34" i="172"/>
  <c r="D32" i="172"/>
  <c r="C32" i="172"/>
  <c r="D30" i="172"/>
  <c r="C30" i="172"/>
  <c r="C28" i="172"/>
  <c r="D28" i="172" s="1"/>
  <c r="C26" i="172"/>
  <c r="D26" i="172" s="1"/>
  <c r="C24" i="172"/>
  <c r="D24" i="172" s="1"/>
  <c r="C22" i="172"/>
  <c r="D88" i="76"/>
  <c r="C88" i="76"/>
  <c r="D18" i="76"/>
  <c r="D16" i="76"/>
  <c r="D15" i="76"/>
  <c r="C86" i="76"/>
  <c r="D86" i="76" s="1"/>
  <c r="C84" i="76"/>
  <c r="D84" i="76" s="1"/>
  <c r="C82" i="76"/>
  <c r="D82" i="76" s="1"/>
  <c r="D80" i="76"/>
  <c r="C78" i="76"/>
  <c r="D78" i="76" s="1"/>
  <c r="C76" i="76"/>
  <c r="D76" i="76" s="1"/>
  <c r="C74" i="76"/>
  <c r="D74" i="76" s="1"/>
  <c r="C72" i="76"/>
  <c r="D72" i="76" s="1"/>
  <c r="C70" i="76"/>
  <c r="D70" i="76" s="1"/>
  <c r="C68" i="76"/>
  <c r="D68" i="76" s="1"/>
  <c r="C66" i="76"/>
  <c r="D66" i="76" s="1"/>
  <c r="C64" i="76"/>
  <c r="D64" i="76" s="1"/>
  <c r="D62" i="76"/>
  <c r="C62" i="76"/>
  <c r="C60" i="76"/>
  <c r="D60" i="76" s="1"/>
  <c r="C58" i="76"/>
  <c r="D58" i="76" s="1"/>
  <c r="C56" i="76"/>
  <c r="D56" i="76" s="1"/>
  <c r="C54" i="76"/>
  <c r="D54" i="76" s="1"/>
  <c r="C52" i="76"/>
  <c r="D52" i="76" s="1"/>
  <c r="C50" i="76"/>
  <c r="D50" i="76" s="1"/>
  <c r="C48" i="76"/>
  <c r="D48" i="76" s="1"/>
  <c r="D46" i="76"/>
  <c r="C46" i="76"/>
  <c r="C44" i="76"/>
  <c r="D44" i="76" s="1"/>
  <c r="C42" i="76"/>
  <c r="D42" i="76" s="1"/>
  <c r="C40" i="76"/>
  <c r="D40" i="76" s="1"/>
  <c r="C38" i="76"/>
  <c r="D38" i="76" s="1"/>
  <c r="C36" i="76"/>
  <c r="D36" i="76" s="1"/>
  <c r="C34" i="76"/>
  <c r="D34" i="76" s="1"/>
  <c r="C32" i="76"/>
  <c r="D32" i="76" s="1"/>
  <c r="D30" i="76"/>
  <c r="C30" i="76"/>
  <c r="C28" i="76"/>
  <c r="D28" i="76" s="1"/>
  <c r="C26" i="76"/>
  <c r="D26" i="76" s="1"/>
  <c r="C24" i="76"/>
  <c r="D24" i="76" s="1"/>
  <c r="C22" i="76"/>
  <c r="D87" i="70"/>
  <c r="C87" i="70"/>
  <c r="D17" i="70"/>
  <c r="D15" i="70"/>
  <c r="D14" i="70"/>
  <c r="C85" i="70"/>
  <c r="D85" i="70" s="1"/>
  <c r="C83" i="70"/>
  <c r="D83" i="70" s="1"/>
  <c r="C81" i="70"/>
  <c r="D81" i="70" s="1"/>
  <c r="D79" i="70"/>
  <c r="C77" i="70"/>
  <c r="D77" i="70" s="1"/>
  <c r="C75" i="70"/>
  <c r="D75" i="70" s="1"/>
  <c r="C73" i="70"/>
  <c r="D73" i="70" s="1"/>
  <c r="C71" i="70"/>
  <c r="D71" i="70" s="1"/>
  <c r="C69" i="70"/>
  <c r="D69" i="70" s="1"/>
  <c r="C67" i="70"/>
  <c r="D67" i="70" s="1"/>
  <c r="C65" i="70"/>
  <c r="D65" i="70" s="1"/>
  <c r="C63" i="70"/>
  <c r="D63" i="70" s="1"/>
  <c r="C61" i="70"/>
  <c r="D61" i="70" s="1"/>
  <c r="C59" i="70"/>
  <c r="D59" i="70" s="1"/>
  <c r="C57" i="70"/>
  <c r="D57" i="70" s="1"/>
  <c r="C55" i="70"/>
  <c r="D55" i="70" s="1"/>
  <c r="C53" i="70"/>
  <c r="D53" i="70" s="1"/>
  <c r="C51" i="70"/>
  <c r="D51" i="70" s="1"/>
  <c r="C49" i="70"/>
  <c r="D49" i="70" s="1"/>
  <c r="C47" i="70"/>
  <c r="D47" i="70" s="1"/>
  <c r="C45" i="70"/>
  <c r="D45" i="70" s="1"/>
  <c r="C43" i="70"/>
  <c r="D43" i="70" s="1"/>
  <c r="C41" i="70"/>
  <c r="D41" i="70" s="1"/>
  <c r="C39" i="70"/>
  <c r="D39" i="70" s="1"/>
  <c r="C37" i="70"/>
  <c r="D37" i="70" s="1"/>
  <c r="C35" i="70"/>
  <c r="D35" i="70" s="1"/>
  <c r="C33" i="70"/>
  <c r="D33" i="70" s="1"/>
  <c r="C31" i="70"/>
  <c r="D31" i="70" s="1"/>
  <c r="C29" i="70"/>
  <c r="D29" i="70" s="1"/>
  <c r="C27" i="70"/>
  <c r="D27" i="70" s="1"/>
  <c r="C25" i="70"/>
  <c r="D25" i="70" s="1"/>
  <c r="C23" i="70"/>
  <c r="D23" i="70" s="1"/>
  <c r="C21" i="70"/>
  <c r="C86" i="70" s="1"/>
  <c r="D87" i="60"/>
  <c r="C87" i="60"/>
  <c r="D17" i="60"/>
  <c r="D15" i="60"/>
  <c r="D14" i="60"/>
  <c r="C85" i="60"/>
  <c r="D85" i="60" s="1"/>
  <c r="C83" i="60"/>
  <c r="D83" i="60" s="1"/>
  <c r="C81" i="60"/>
  <c r="D81" i="60" s="1"/>
  <c r="D79" i="60"/>
  <c r="D77" i="60"/>
  <c r="C77" i="60"/>
  <c r="D75" i="60"/>
  <c r="C75" i="60"/>
  <c r="C73" i="60"/>
  <c r="D73" i="60" s="1"/>
  <c r="C71" i="60"/>
  <c r="D71" i="60" s="1"/>
  <c r="C69" i="60"/>
  <c r="D69" i="60" s="1"/>
  <c r="D67" i="60"/>
  <c r="C67" i="60"/>
  <c r="D65" i="60"/>
  <c r="C65" i="60"/>
  <c r="C63" i="60"/>
  <c r="D63" i="60" s="1"/>
  <c r="C61" i="60"/>
  <c r="D61" i="60" s="1"/>
  <c r="C59" i="60"/>
  <c r="D59" i="60" s="1"/>
  <c r="C57" i="60"/>
  <c r="D57" i="60" s="1"/>
  <c r="C55" i="60"/>
  <c r="D55" i="60" s="1"/>
  <c r="C53" i="60"/>
  <c r="D53" i="60" s="1"/>
  <c r="C51" i="60"/>
  <c r="D51" i="60" s="1"/>
  <c r="C49" i="60"/>
  <c r="D49" i="60" s="1"/>
  <c r="C47" i="60"/>
  <c r="D47" i="60" s="1"/>
  <c r="C45" i="60"/>
  <c r="D45" i="60" s="1"/>
  <c r="C43" i="60"/>
  <c r="D43" i="60" s="1"/>
  <c r="C41" i="60"/>
  <c r="D41" i="60" s="1"/>
  <c r="C39" i="60"/>
  <c r="D39" i="60" s="1"/>
  <c r="C37" i="60"/>
  <c r="D37" i="60" s="1"/>
  <c r="C35" i="60"/>
  <c r="D35" i="60" s="1"/>
  <c r="C33" i="60"/>
  <c r="D33" i="60" s="1"/>
  <c r="C31" i="60"/>
  <c r="D31" i="60" s="1"/>
  <c r="C29" i="60"/>
  <c r="D29" i="60" s="1"/>
  <c r="C27" i="60"/>
  <c r="D27" i="60" s="1"/>
  <c r="C25" i="60"/>
  <c r="D25" i="60" s="1"/>
  <c r="C23" i="60"/>
  <c r="D23" i="60" s="1"/>
  <c r="C21" i="60"/>
  <c r="D87" i="52"/>
  <c r="C87" i="52"/>
  <c r="C85" i="52"/>
  <c r="D85" i="52" s="1"/>
  <c r="C83" i="52"/>
  <c r="D83" i="52" s="1"/>
  <c r="C81" i="52"/>
  <c r="D81" i="52" s="1"/>
  <c r="D79" i="52"/>
  <c r="C77" i="52"/>
  <c r="D77" i="52" s="1"/>
  <c r="D75" i="52"/>
  <c r="C75" i="52"/>
  <c r="D73" i="52"/>
  <c r="C73" i="52"/>
  <c r="C71" i="52"/>
  <c r="D71" i="52" s="1"/>
  <c r="D69" i="52"/>
  <c r="C69" i="52"/>
  <c r="D67" i="52"/>
  <c r="C67" i="52"/>
  <c r="D65" i="52"/>
  <c r="C65" i="52"/>
  <c r="D63" i="52"/>
  <c r="C63" i="52"/>
  <c r="D61" i="52"/>
  <c r="C61" i="52"/>
  <c r="D59" i="52"/>
  <c r="C59" i="52"/>
  <c r="D57" i="52"/>
  <c r="C57" i="52"/>
  <c r="D55" i="52"/>
  <c r="C55" i="52"/>
  <c r="D53" i="52"/>
  <c r="C53" i="52"/>
  <c r="D51" i="52"/>
  <c r="C51" i="52"/>
  <c r="D49" i="52"/>
  <c r="C49" i="52"/>
  <c r="D47" i="52"/>
  <c r="C47" i="52"/>
  <c r="D45" i="52"/>
  <c r="C45" i="52"/>
  <c r="D43" i="52"/>
  <c r="C43" i="52"/>
  <c r="D41" i="52"/>
  <c r="C41" i="52"/>
  <c r="D39" i="52"/>
  <c r="C39" i="52"/>
  <c r="D37" i="52"/>
  <c r="C37" i="52"/>
  <c r="D35" i="52"/>
  <c r="C35" i="52"/>
  <c r="D33" i="52"/>
  <c r="C33" i="52"/>
  <c r="C31" i="52"/>
  <c r="D31" i="52" s="1"/>
  <c r="C29" i="52"/>
  <c r="D29" i="52" s="1"/>
  <c r="D27" i="52"/>
  <c r="C27" i="52"/>
  <c r="D25" i="52"/>
  <c r="C25" i="52"/>
  <c r="D23" i="52"/>
  <c r="C23" i="52"/>
  <c r="D21" i="52"/>
  <c r="C21" i="52"/>
  <c r="D17" i="52"/>
  <c r="D87" i="48"/>
  <c r="C87" i="48"/>
  <c r="D17" i="48"/>
  <c r="C85" i="48"/>
  <c r="D85" i="48" s="1"/>
  <c r="C83" i="48"/>
  <c r="D83" i="48" s="1"/>
  <c r="C81" i="48"/>
  <c r="D81" i="48" s="1"/>
  <c r="D79" i="48"/>
  <c r="C77" i="48"/>
  <c r="D77" i="48" s="1"/>
  <c r="D75" i="48"/>
  <c r="C75" i="48"/>
  <c r="D73" i="48"/>
  <c r="C73" i="48"/>
  <c r="D71" i="48"/>
  <c r="C71" i="48"/>
  <c r="D69" i="48"/>
  <c r="C69" i="48"/>
  <c r="D67" i="48"/>
  <c r="C67" i="48"/>
  <c r="D65" i="48"/>
  <c r="C65" i="48"/>
  <c r="D63" i="48"/>
  <c r="C63" i="48"/>
  <c r="D61" i="48"/>
  <c r="C61" i="48"/>
  <c r="D59" i="48"/>
  <c r="C59" i="48"/>
  <c r="D57" i="48"/>
  <c r="C57" i="48"/>
  <c r="D55" i="48"/>
  <c r="C55" i="48"/>
  <c r="D53" i="48"/>
  <c r="C53" i="48"/>
  <c r="D51" i="48"/>
  <c r="C51" i="48"/>
  <c r="D49" i="48"/>
  <c r="C49" i="48"/>
  <c r="D47" i="48"/>
  <c r="C47" i="48"/>
  <c r="D45" i="48"/>
  <c r="C45" i="48"/>
  <c r="D43" i="48"/>
  <c r="C43" i="48"/>
  <c r="D41" i="48"/>
  <c r="C41" i="48"/>
  <c r="D39" i="48"/>
  <c r="C39" i="48"/>
  <c r="D37" i="48"/>
  <c r="C37" i="48"/>
  <c r="D35" i="48"/>
  <c r="C35" i="48"/>
  <c r="D33" i="48"/>
  <c r="C33" i="48"/>
  <c r="D31" i="48"/>
  <c r="C31" i="48"/>
  <c r="D29" i="48"/>
  <c r="C29" i="48"/>
  <c r="D27" i="48"/>
  <c r="C27" i="48"/>
  <c r="D25" i="48"/>
  <c r="C25" i="48"/>
  <c r="D23" i="48"/>
  <c r="C23" i="48"/>
  <c r="D21" i="48"/>
  <c r="C21" i="48"/>
  <c r="D87" i="44"/>
  <c r="C87" i="44"/>
  <c r="C85" i="44"/>
  <c r="D85" i="44" s="1"/>
  <c r="C83" i="44"/>
  <c r="D83" i="44" s="1"/>
  <c r="C81" i="44"/>
  <c r="D81" i="44" s="1"/>
  <c r="D79" i="44"/>
  <c r="C77" i="44"/>
  <c r="D77" i="44" s="1"/>
  <c r="D75" i="44"/>
  <c r="C75" i="44"/>
  <c r="D73" i="44"/>
  <c r="C73" i="44"/>
  <c r="D71" i="44"/>
  <c r="C71" i="44"/>
  <c r="D69" i="44"/>
  <c r="C69" i="44"/>
  <c r="D67" i="44"/>
  <c r="C67" i="44"/>
  <c r="D65" i="44"/>
  <c r="C65" i="44"/>
  <c r="D63" i="44"/>
  <c r="C63" i="44"/>
  <c r="D61" i="44"/>
  <c r="C61" i="44"/>
  <c r="D59" i="44"/>
  <c r="C59" i="44"/>
  <c r="D57" i="44"/>
  <c r="C57" i="44"/>
  <c r="D55" i="44"/>
  <c r="C55" i="44"/>
  <c r="D53" i="44"/>
  <c r="C53" i="44"/>
  <c r="D51" i="44"/>
  <c r="C51" i="44"/>
  <c r="D49" i="44"/>
  <c r="C49" i="44"/>
  <c r="D47" i="44"/>
  <c r="C47" i="44"/>
  <c r="D45" i="44"/>
  <c r="C45" i="44"/>
  <c r="D43" i="44"/>
  <c r="C43" i="44"/>
  <c r="D41" i="44"/>
  <c r="C41" i="44"/>
  <c r="D39" i="44"/>
  <c r="C39" i="44"/>
  <c r="D37" i="44"/>
  <c r="C37" i="44"/>
  <c r="D35" i="44"/>
  <c r="C35" i="44"/>
  <c r="D33" i="44"/>
  <c r="C33" i="44"/>
  <c r="D31" i="44"/>
  <c r="C31" i="44"/>
  <c r="D29" i="44"/>
  <c r="C29" i="44"/>
  <c r="D27" i="44"/>
  <c r="C27" i="44"/>
  <c r="D25" i="44"/>
  <c r="C25" i="44"/>
  <c r="D23" i="44"/>
  <c r="C23" i="44"/>
  <c r="D21" i="44"/>
  <c r="C21" i="44"/>
  <c r="C86" i="44" s="1"/>
  <c r="D17" i="44"/>
  <c r="D85" i="26"/>
  <c r="D83" i="26"/>
  <c r="D81" i="26"/>
  <c r="D79" i="26"/>
  <c r="D77" i="26"/>
  <c r="D75" i="26"/>
  <c r="D73" i="26"/>
  <c r="D71" i="26"/>
  <c r="D69" i="26"/>
  <c r="D67" i="26"/>
  <c r="D65" i="26"/>
  <c r="D63" i="26"/>
  <c r="D61" i="26"/>
  <c r="D59" i="26"/>
  <c r="D57" i="26"/>
  <c r="D55" i="26"/>
  <c r="D53" i="26"/>
  <c r="D51" i="26"/>
  <c r="D49" i="26"/>
  <c r="D47" i="26"/>
  <c r="D45" i="26"/>
  <c r="D43" i="26"/>
  <c r="D41" i="26"/>
  <c r="D39" i="26"/>
  <c r="D37" i="26"/>
  <c r="D35" i="26"/>
  <c r="D33" i="26"/>
  <c r="D31" i="26"/>
  <c r="D29" i="26"/>
  <c r="D27" i="26"/>
  <c r="D25" i="26"/>
  <c r="D23" i="26"/>
  <c r="D21" i="26"/>
  <c r="D27" i="13"/>
  <c r="D17" i="26"/>
  <c r="D15" i="26"/>
  <c r="D14" i="26"/>
  <c r="D85" i="13"/>
  <c r="D83" i="13"/>
  <c r="D81" i="13"/>
  <c r="D77" i="13"/>
  <c r="D75" i="13"/>
  <c r="D73" i="13"/>
  <c r="D71" i="13"/>
  <c r="D69" i="13"/>
  <c r="D67" i="13"/>
  <c r="D65" i="13"/>
  <c r="D63" i="13"/>
  <c r="D61" i="13"/>
  <c r="D59" i="13"/>
  <c r="D57" i="13"/>
  <c r="D55" i="13"/>
  <c r="D53" i="13"/>
  <c r="D51" i="13"/>
  <c r="D49" i="13"/>
  <c r="D47" i="13"/>
  <c r="D45" i="13"/>
  <c r="D43" i="13"/>
  <c r="D41" i="13"/>
  <c r="D39" i="13"/>
  <c r="D37" i="13"/>
  <c r="D35" i="13"/>
  <c r="D33" i="13"/>
  <c r="D31" i="13"/>
  <c r="D29" i="13"/>
  <c r="D25" i="13"/>
  <c r="D23" i="13"/>
  <c r="D21" i="13"/>
  <c r="D84" i="203" l="1"/>
  <c r="C84" i="203"/>
  <c r="C86" i="177"/>
  <c r="D86" i="177"/>
  <c r="C90" i="177" s="1"/>
  <c r="C86" i="176"/>
  <c r="D21" i="176"/>
  <c r="D86" i="176" s="1"/>
  <c r="C90" i="176" s="1"/>
  <c r="C87" i="172"/>
  <c r="D22" i="172"/>
  <c r="D87" i="172" s="1"/>
  <c r="C91" i="172" s="1"/>
  <c r="C87" i="76"/>
  <c r="D22" i="76"/>
  <c r="D87" i="76" s="1"/>
  <c r="C91" i="76" s="1"/>
  <c r="D21" i="70"/>
  <c r="D86" i="70" s="1"/>
  <c r="C90" i="70" s="1"/>
  <c r="C86" i="60"/>
  <c r="D21" i="60"/>
  <c r="D86" i="60" s="1"/>
  <c r="C90" i="60" s="1"/>
  <c r="C86" i="52"/>
  <c r="D86" i="52"/>
  <c r="C90" i="52" s="1"/>
  <c r="D86" i="48"/>
  <c r="C90" i="48" s="1"/>
  <c r="C86" i="48"/>
  <c r="D86" i="44"/>
  <c r="C90" i="44" s="1"/>
  <c r="D17" i="13" l="1"/>
  <c r="D15" i="13"/>
  <c r="D14" i="13"/>
  <c r="D87" i="236" l="1"/>
  <c r="C87" i="236"/>
  <c r="D86" i="235"/>
  <c r="C86" i="235"/>
  <c r="D86" i="234"/>
  <c r="C86" i="234"/>
  <c r="D86" i="232"/>
  <c r="C86" i="232"/>
  <c r="D86" i="231"/>
  <c r="C86" i="231"/>
  <c r="C86" i="229"/>
  <c r="D85" i="226"/>
  <c r="C85" i="226"/>
  <c r="D85" i="224"/>
  <c r="C85" i="224"/>
  <c r="D87" i="223"/>
  <c r="C87" i="223"/>
  <c r="D86" i="222"/>
  <c r="C86" i="222"/>
  <c r="D86" i="219"/>
  <c r="C86" i="219"/>
  <c r="D86" i="218"/>
  <c r="C86" i="218"/>
  <c r="D85" i="213"/>
  <c r="C85" i="213"/>
  <c r="C85" i="211"/>
  <c r="D86" i="196"/>
  <c r="C86" i="196"/>
  <c r="D86" i="206"/>
  <c r="C86" i="206"/>
  <c r="D86" i="205"/>
  <c r="C86" i="205"/>
  <c r="D86" i="204"/>
  <c r="C86" i="204"/>
  <c r="D87" i="189"/>
  <c r="C87" i="189"/>
  <c r="D87" i="188"/>
  <c r="C87" i="188"/>
  <c r="D85" i="187"/>
  <c r="C85" i="187"/>
  <c r="C68" i="90"/>
  <c r="C70" i="90"/>
  <c r="C74" i="90"/>
  <c r="C67" i="88"/>
  <c r="C69" i="88"/>
  <c r="C71" i="88"/>
  <c r="C73" i="88"/>
  <c r="C75" i="88"/>
  <c r="C77" i="88"/>
  <c r="C81" i="88"/>
  <c r="C83" i="88"/>
  <c r="C80" i="86"/>
  <c r="C82" i="86"/>
  <c r="C85" i="86" s="1"/>
  <c r="C80" i="82"/>
  <c r="C82" i="82"/>
  <c r="D87" i="175"/>
  <c r="C87" i="175"/>
  <c r="C82" i="174"/>
  <c r="C84" i="174"/>
  <c r="D85" i="173"/>
  <c r="C85" i="173"/>
  <c r="D85" i="171"/>
  <c r="C85" i="171"/>
  <c r="C77" i="80"/>
  <c r="C81" i="80"/>
  <c r="C83" i="80"/>
  <c r="D86" i="56"/>
  <c r="C86" i="56"/>
  <c r="C26" i="38"/>
  <c r="C24" i="38"/>
  <c r="C22" i="38"/>
  <c r="C76" i="38"/>
  <c r="C78" i="38"/>
  <c r="C82" i="38"/>
  <c r="C84" i="38"/>
  <c r="C69" i="26"/>
  <c r="C67" i="26"/>
  <c r="C65" i="26"/>
  <c r="C85" i="26"/>
  <c r="C71" i="26"/>
  <c r="C27" i="26"/>
  <c r="C25" i="26"/>
  <c r="C23" i="26"/>
  <c r="C21" i="26"/>
  <c r="C75" i="26"/>
  <c r="C77" i="26"/>
  <c r="C81" i="26"/>
  <c r="C83" i="26"/>
  <c r="C65" i="22"/>
  <c r="C67" i="22"/>
  <c r="C69" i="22"/>
  <c r="C84" i="22"/>
  <c r="C23" i="22"/>
  <c r="C21" i="22"/>
  <c r="C73" i="22"/>
  <c r="C75" i="22"/>
  <c r="C77" i="22"/>
  <c r="C80" i="22"/>
  <c r="C82" i="22"/>
  <c r="C37" i="13"/>
  <c r="C83" i="13"/>
  <c r="C85" i="13"/>
  <c r="C67" i="13"/>
  <c r="C69" i="13"/>
  <c r="C71" i="13"/>
  <c r="C35" i="13"/>
  <c r="C33" i="13"/>
  <c r="C31" i="13"/>
  <c r="C29" i="13"/>
  <c r="C27" i="13"/>
  <c r="C25" i="13"/>
  <c r="C23" i="13"/>
  <c r="C21" i="13"/>
  <c r="C73" i="13"/>
  <c r="C75" i="13"/>
  <c r="C77" i="13"/>
  <c r="C81" i="13"/>
  <c r="C25" i="12"/>
  <c r="C23" i="12"/>
  <c r="C21" i="12"/>
  <c r="C63" i="12"/>
  <c r="C61" i="12"/>
  <c r="C67" i="12"/>
  <c r="C65" i="12"/>
  <c r="C75" i="12"/>
  <c r="C77" i="12"/>
  <c r="C80" i="12"/>
  <c r="C82" i="12"/>
  <c r="C39" i="162"/>
  <c r="C37" i="162"/>
  <c r="C33" i="162"/>
  <c r="C27" i="162"/>
  <c r="C21" i="162"/>
  <c r="C23" i="162"/>
  <c r="C25" i="162"/>
  <c r="C29" i="162"/>
  <c r="C31" i="162"/>
  <c r="C63" i="162"/>
  <c r="C65" i="162"/>
  <c r="C67" i="162"/>
  <c r="C69" i="162"/>
  <c r="C71" i="162"/>
  <c r="C73" i="162"/>
  <c r="C75" i="162"/>
  <c r="C77" i="162"/>
  <c r="C81" i="162"/>
  <c r="C83" i="162"/>
  <c r="C53" i="159"/>
  <c r="C51" i="159"/>
  <c r="C49" i="159"/>
  <c r="C33" i="159"/>
  <c r="C31" i="159"/>
  <c r="C45" i="159"/>
  <c r="C63" i="159"/>
  <c r="C57" i="159"/>
  <c r="C67" i="159"/>
  <c r="C85" i="159"/>
  <c r="C29" i="159"/>
  <c r="C27" i="159"/>
  <c r="C25" i="159"/>
  <c r="C23" i="159"/>
  <c r="C21" i="159"/>
  <c r="C59" i="159"/>
  <c r="C61" i="159"/>
  <c r="C65" i="159"/>
  <c r="C69" i="159"/>
  <c r="C71" i="159"/>
  <c r="C73" i="159"/>
  <c r="C75" i="159"/>
  <c r="C77" i="159"/>
  <c r="C81" i="159"/>
  <c r="C83" i="159"/>
  <c r="C67" i="160"/>
  <c r="C71" i="160"/>
  <c r="C73" i="160"/>
  <c r="C75" i="160"/>
  <c r="C77" i="160"/>
  <c r="C81" i="160"/>
  <c r="C83" i="160"/>
  <c r="C85" i="161"/>
  <c r="D83" i="161"/>
  <c r="C31" i="161"/>
  <c r="C41" i="161"/>
  <c r="C49" i="161"/>
  <c r="C73" i="161"/>
  <c r="C47" i="161"/>
  <c r="C57" i="161"/>
  <c r="C55" i="161"/>
  <c r="C53" i="161"/>
  <c r="C29" i="161"/>
  <c r="C27" i="161"/>
  <c r="C25" i="161"/>
  <c r="C23" i="161"/>
  <c r="C21" i="161"/>
  <c r="C67" i="161"/>
  <c r="C69" i="161"/>
  <c r="C71" i="161"/>
  <c r="C75" i="161"/>
  <c r="C77" i="161"/>
  <c r="C81" i="161"/>
  <c r="C83" i="161"/>
  <c r="C33" i="156"/>
  <c r="C35" i="156"/>
  <c r="C37" i="156"/>
  <c r="C39" i="156"/>
  <c r="C41" i="156"/>
  <c r="C43" i="156"/>
  <c r="C55" i="156"/>
  <c r="C57" i="156"/>
  <c r="C63" i="156"/>
  <c r="C67" i="156"/>
  <c r="C73" i="156"/>
  <c r="C85" i="156"/>
  <c r="C27" i="156"/>
  <c r="C25" i="156"/>
  <c r="C23" i="156"/>
  <c r="C21" i="156"/>
  <c r="C65" i="156"/>
  <c r="C59" i="156"/>
  <c r="C71" i="156"/>
  <c r="C77" i="156"/>
  <c r="C75" i="156"/>
  <c r="C81" i="156"/>
  <c r="C83" i="156"/>
  <c r="C85" i="158"/>
  <c r="C55" i="158"/>
  <c r="C57" i="158"/>
  <c r="C69" i="158"/>
  <c r="C67" i="158"/>
  <c r="C65" i="158"/>
  <c r="C25" i="158"/>
  <c r="C23" i="158"/>
  <c r="C21" i="158"/>
  <c r="C63" i="158"/>
  <c r="C61" i="158"/>
  <c r="C59" i="158"/>
  <c r="C71" i="158"/>
  <c r="C73" i="158"/>
  <c r="C75" i="158"/>
  <c r="C77" i="158"/>
  <c r="C81" i="158"/>
  <c r="C83" i="158"/>
  <c r="C85" i="154"/>
  <c r="C23" i="154"/>
  <c r="C25" i="154"/>
  <c r="C21" i="154"/>
  <c r="C67" i="154"/>
  <c r="C69" i="154"/>
  <c r="C71" i="154"/>
  <c r="C73" i="154"/>
  <c r="C75" i="154"/>
  <c r="C77" i="154"/>
  <c r="C81" i="154"/>
  <c r="C83" i="154"/>
  <c r="C70" i="155"/>
  <c r="C72" i="155"/>
  <c r="C26" i="155"/>
  <c r="C24" i="155"/>
  <c r="C22" i="155"/>
  <c r="C60" i="155"/>
  <c r="C74" i="155"/>
  <c r="C76" i="155"/>
  <c r="C78" i="155"/>
  <c r="C82" i="155"/>
  <c r="C84" i="155"/>
  <c r="C85" i="152"/>
  <c r="D83" i="152"/>
  <c r="C21" i="152"/>
  <c r="C51" i="152"/>
  <c r="C59" i="152"/>
  <c r="C75" i="152"/>
  <c r="C77" i="152"/>
  <c r="C55" i="152"/>
  <c r="C71" i="152"/>
  <c r="C67" i="152"/>
  <c r="C83" i="152"/>
  <c r="C61" i="152"/>
  <c r="C57" i="152"/>
  <c r="C25" i="152"/>
  <c r="C23" i="152"/>
  <c r="C73" i="152"/>
  <c r="C81" i="152"/>
  <c r="C69" i="153"/>
  <c r="C71" i="153"/>
  <c r="C73" i="153"/>
  <c r="C83" i="153"/>
  <c r="C65" i="153"/>
  <c r="C27" i="153"/>
  <c r="C25" i="153"/>
  <c r="C23" i="153"/>
  <c r="C21" i="153"/>
  <c r="C75" i="153"/>
  <c r="C77" i="153"/>
  <c r="C81" i="153"/>
  <c r="C85" i="153"/>
  <c r="D83" i="151"/>
  <c r="C75" i="151"/>
  <c r="C77" i="151"/>
  <c r="C83" i="151"/>
  <c r="C85" i="151"/>
  <c r="C73" i="151"/>
  <c r="C81" i="151"/>
  <c r="C33" i="151"/>
  <c r="C29" i="151"/>
  <c r="C43" i="151"/>
  <c r="C59" i="151"/>
  <c r="C71" i="151"/>
  <c r="C47" i="151"/>
  <c r="C45" i="151"/>
  <c r="C27" i="151"/>
  <c r="C53" i="151"/>
  <c r="C61" i="151"/>
  <c r="C25" i="151"/>
  <c r="C23" i="151"/>
  <c r="C21" i="151"/>
  <c r="C63" i="151"/>
  <c r="C65" i="151"/>
  <c r="C69" i="151"/>
  <c r="C67" i="151"/>
  <c r="C67" i="150"/>
  <c r="C63" i="150"/>
  <c r="C77" i="150"/>
  <c r="C84" i="150"/>
  <c r="C59" i="150"/>
  <c r="C27" i="150"/>
  <c r="C55" i="150"/>
  <c r="C57" i="150"/>
  <c r="C69" i="150"/>
  <c r="C23" i="150"/>
  <c r="C21" i="150"/>
  <c r="C65" i="150"/>
  <c r="C71" i="150"/>
  <c r="C73" i="150"/>
  <c r="C75" i="150"/>
  <c r="C80" i="150"/>
  <c r="C82" i="150"/>
  <c r="C69" i="268"/>
  <c r="C75" i="268"/>
  <c r="C77" i="268"/>
  <c r="C49" i="268"/>
  <c r="C55" i="268"/>
  <c r="C23" i="268"/>
  <c r="C21" i="268"/>
  <c r="C71" i="268"/>
  <c r="C73" i="268"/>
  <c r="C81" i="268"/>
  <c r="C83" i="268"/>
  <c r="C81" i="267"/>
  <c r="C83" i="267"/>
  <c r="C86" i="267" s="1"/>
  <c r="C77" i="266"/>
  <c r="C81" i="266"/>
  <c r="C83" i="266"/>
  <c r="C81" i="265"/>
  <c r="C83" i="265"/>
  <c r="D81" i="264"/>
  <c r="C73" i="264"/>
  <c r="C75" i="264"/>
  <c r="C77" i="264"/>
  <c r="C81" i="264"/>
  <c r="C83" i="264"/>
  <c r="C51" i="264"/>
  <c r="C65" i="264"/>
  <c r="C59" i="264"/>
  <c r="C23" i="264"/>
  <c r="C21" i="264"/>
  <c r="C85" i="264"/>
  <c r="C49" i="264"/>
  <c r="C25" i="264"/>
  <c r="C67" i="263"/>
  <c r="C39" i="263"/>
  <c r="C27" i="263"/>
  <c r="C25" i="263"/>
  <c r="C63" i="263"/>
  <c r="C77" i="263"/>
  <c r="C55" i="263"/>
  <c r="C85" i="263"/>
  <c r="C65" i="263"/>
  <c r="C71" i="263"/>
  <c r="C23" i="263"/>
  <c r="C21" i="263"/>
  <c r="C59" i="263"/>
  <c r="C69" i="263"/>
  <c r="C73" i="263"/>
  <c r="C75" i="263"/>
  <c r="C81" i="263"/>
  <c r="C83" i="263"/>
  <c r="C23" i="262"/>
  <c r="C21" i="262"/>
  <c r="C49" i="262"/>
  <c r="C55" i="262"/>
  <c r="C71" i="262"/>
  <c r="C73" i="262"/>
  <c r="C75" i="262"/>
  <c r="C77" i="262"/>
  <c r="C81" i="262"/>
  <c r="C83" i="262"/>
  <c r="C77" i="261"/>
  <c r="C49" i="261"/>
  <c r="C57" i="261"/>
  <c r="C59" i="261"/>
  <c r="C67" i="261"/>
  <c r="C83" i="261"/>
  <c r="C85" i="261"/>
  <c r="C55" i="261"/>
  <c r="C69" i="261"/>
  <c r="C25" i="261"/>
  <c r="C23" i="261"/>
  <c r="C21" i="261"/>
  <c r="C71" i="261"/>
  <c r="C73" i="261"/>
  <c r="C75" i="261"/>
  <c r="C81" i="261"/>
  <c r="C55" i="260"/>
  <c r="C61" i="260"/>
  <c r="C65" i="260"/>
  <c r="C25" i="260"/>
  <c r="C23" i="260"/>
  <c r="C21" i="260"/>
  <c r="C69" i="260"/>
  <c r="C71" i="260"/>
  <c r="C73" i="260"/>
  <c r="C77" i="260"/>
  <c r="C75" i="260"/>
  <c r="C81" i="260"/>
  <c r="C83" i="260"/>
  <c r="C67" i="259"/>
  <c r="C77" i="259"/>
  <c r="C55" i="259"/>
  <c r="C69" i="259"/>
  <c r="C85" i="259"/>
  <c r="C65" i="259"/>
  <c r="C73" i="259"/>
  <c r="C71" i="259"/>
  <c r="C23" i="259"/>
  <c r="C21" i="259"/>
  <c r="C75" i="259"/>
  <c r="C81" i="259"/>
  <c r="C83" i="259"/>
  <c r="C35" i="258"/>
  <c r="C37" i="258"/>
  <c r="C69" i="258"/>
  <c r="C23" i="258"/>
  <c r="C21" i="258"/>
  <c r="C73" i="258"/>
  <c r="C75" i="258"/>
  <c r="C77" i="258"/>
  <c r="C81" i="258"/>
  <c r="C83" i="258"/>
  <c r="C21" i="257"/>
  <c r="C59" i="257"/>
  <c r="C65" i="257"/>
  <c r="C85" i="257"/>
  <c r="C81" i="257"/>
  <c r="C69" i="257"/>
  <c r="C41" i="257"/>
  <c r="C67" i="257"/>
  <c r="C71" i="257"/>
  <c r="C73" i="257"/>
  <c r="C75" i="257"/>
  <c r="C77" i="257"/>
  <c r="C83" i="257"/>
  <c r="C71" i="256"/>
  <c r="C75" i="256"/>
  <c r="C77" i="256"/>
  <c r="C81" i="256"/>
  <c r="C83" i="256"/>
  <c r="C47" i="256"/>
  <c r="C55" i="256"/>
  <c r="C67" i="256"/>
  <c r="C69" i="256"/>
  <c r="C73" i="256"/>
  <c r="C37" i="255"/>
  <c r="C49" i="255"/>
  <c r="C65" i="255"/>
  <c r="C67" i="255"/>
  <c r="C71" i="255"/>
  <c r="C73" i="255"/>
  <c r="C75" i="255"/>
  <c r="C81" i="255"/>
  <c r="C83" i="255"/>
  <c r="C69" i="254"/>
  <c r="C21" i="254"/>
  <c r="C55" i="254"/>
  <c r="C49" i="254"/>
  <c r="C63" i="254"/>
  <c r="C71" i="254"/>
  <c r="C73" i="254"/>
  <c r="C75" i="254"/>
  <c r="C77" i="254"/>
  <c r="C81" i="254"/>
  <c r="C83" i="254"/>
  <c r="C85" i="254"/>
  <c r="C21" i="253"/>
  <c r="C31" i="253"/>
  <c r="C37" i="253"/>
  <c r="C47" i="253"/>
  <c r="C55" i="253"/>
  <c r="C73" i="253"/>
  <c r="C71" i="253"/>
  <c r="C77" i="253"/>
  <c r="C75" i="253"/>
  <c r="C81" i="253"/>
  <c r="C83" i="253"/>
  <c r="C73" i="252"/>
  <c r="C80" i="252"/>
  <c r="C25" i="252"/>
  <c r="C61" i="252"/>
  <c r="C67" i="252"/>
  <c r="C71" i="252"/>
  <c r="C75" i="252"/>
  <c r="C77" i="252"/>
  <c r="C82" i="252"/>
  <c r="C23" i="252"/>
  <c r="C21" i="252"/>
  <c r="C63" i="252"/>
  <c r="C65" i="252"/>
  <c r="C69" i="252"/>
  <c r="C84" i="252"/>
  <c r="D75" i="251"/>
  <c r="C73" i="251"/>
  <c r="C75" i="251"/>
  <c r="C77" i="251"/>
  <c r="C80" i="251"/>
  <c r="C82" i="251"/>
  <c r="C84" i="251"/>
  <c r="C59" i="251"/>
  <c r="C31" i="251"/>
  <c r="C35" i="251"/>
  <c r="C37" i="251"/>
  <c r="C57" i="251"/>
  <c r="C61" i="251"/>
  <c r="C69" i="251"/>
  <c r="C71" i="251"/>
  <c r="C63" i="251"/>
  <c r="C27" i="251"/>
  <c r="C21" i="251"/>
  <c r="C67" i="251"/>
  <c r="C84" i="250"/>
  <c r="C82" i="250"/>
  <c r="C47" i="250"/>
  <c r="C45" i="250"/>
  <c r="C65" i="250"/>
  <c r="C69" i="250"/>
  <c r="C71" i="250"/>
  <c r="C75" i="250"/>
  <c r="C73" i="250"/>
  <c r="C77" i="250"/>
  <c r="C80" i="250"/>
  <c r="C27" i="250"/>
  <c r="C21" i="250"/>
  <c r="C37" i="250"/>
  <c r="C35" i="250"/>
  <c r="C49" i="250"/>
  <c r="C63" i="250"/>
  <c r="C67" i="250"/>
  <c r="C69" i="249"/>
  <c r="C61" i="249"/>
  <c r="C27" i="249"/>
  <c r="C25" i="249"/>
  <c r="C23" i="249"/>
  <c r="C21" i="249"/>
  <c r="C39" i="249"/>
  <c r="C51" i="249"/>
  <c r="C55" i="249"/>
  <c r="C59" i="249"/>
  <c r="C71" i="249"/>
  <c r="C73" i="249"/>
  <c r="C75" i="249"/>
  <c r="C77" i="249"/>
  <c r="C81" i="249"/>
  <c r="C83" i="249"/>
  <c r="C85" i="249"/>
  <c r="C50" i="248"/>
  <c r="C56" i="248"/>
  <c r="C48" i="248"/>
  <c r="C54" i="248"/>
  <c r="C58" i="248"/>
  <c r="C78" i="248"/>
  <c r="C84" i="248"/>
  <c r="C86" i="248"/>
  <c r="C82" i="248"/>
  <c r="C24" i="248"/>
  <c r="C22" i="248"/>
  <c r="C32" i="248"/>
  <c r="C60" i="248"/>
  <c r="C66" i="248"/>
  <c r="C52" i="248"/>
  <c r="C76" i="248"/>
  <c r="C30" i="248"/>
  <c r="C46" i="248"/>
  <c r="C26" i="248"/>
  <c r="C62" i="248"/>
  <c r="C72" i="248"/>
  <c r="C28" i="248"/>
  <c r="C64" i="248"/>
  <c r="C68" i="248"/>
  <c r="C74" i="248"/>
  <c r="C67" i="247"/>
  <c r="C61" i="247"/>
  <c r="C81" i="247"/>
  <c r="C73" i="247"/>
  <c r="C59" i="247"/>
  <c r="C47" i="247"/>
  <c r="C27" i="247"/>
  <c r="C21" i="247"/>
  <c r="C55" i="247"/>
  <c r="C85" i="247"/>
  <c r="C57" i="247"/>
  <c r="C65" i="247"/>
  <c r="C69" i="247"/>
  <c r="C71" i="247"/>
  <c r="C75" i="247"/>
  <c r="C77" i="247"/>
  <c r="C83" i="247"/>
  <c r="C85" i="246"/>
  <c r="C55" i="246"/>
  <c r="C51" i="246"/>
  <c r="C49" i="246"/>
  <c r="C47" i="246"/>
  <c r="C53" i="246"/>
  <c r="C67" i="246"/>
  <c r="C73" i="246"/>
  <c r="C69" i="246"/>
  <c r="C71" i="246"/>
  <c r="C75" i="246"/>
  <c r="C77" i="246"/>
  <c r="C81" i="246"/>
  <c r="C83" i="246"/>
  <c r="D81" i="245"/>
  <c r="C77" i="245"/>
  <c r="C83" i="245"/>
  <c r="C85" i="245"/>
  <c r="C71" i="245"/>
  <c r="C21" i="245"/>
  <c r="C41" i="245"/>
  <c r="C43" i="245"/>
  <c r="C57" i="245"/>
  <c r="C63" i="245"/>
  <c r="C69" i="245"/>
  <c r="C75" i="245"/>
  <c r="C81" i="245"/>
  <c r="C45" i="245"/>
  <c r="C47" i="245"/>
  <c r="C61" i="245"/>
  <c r="C59" i="245"/>
  <c r="C67" i="245"/>
  <c r="C65" i="245"/>
  <c r="C21" i="244"/>
  <c r="C35" i="244"/>
  <c r="C73" i="244"/>
  <c r="C83" i="243"/>
  <c r="C85" i="243"/>
  <c r="C67" i="243"/>
  <c r="C71" i="243"/>
  <c r="C73" i="243"/>
  <c r="C75" i="243"/>
  <c r="C77" i="243"/>
  <c r="C81" i="243"/>
  <c r="C65" i="243"/>
  <c r="C57" i="243"/>
  <c r="C61" i="243"/>
  <c r="C69" i="243"/>
  <c r="C23" i="243"/>
  <c r="C21" i="243"/>
  <c r="C15" i="243"/>
  <c r="C85" i="242"/>
  <c r="C73" i="242"/>
  <c r="C75" i="242"/>
  <c r="C77" i="242"/>
  <c r="C83" i="242"/>
  <c r="C45" i="242"/>
  <c r="C21" i="242"/>
  <c r="C63" i="242"/>
  <c r="C51" i="242"/>
  <c r="C81" i="242"/>
  <c r="C23" i="242"/>
  <c r="C33" i="242"/>
  <c r="C27" i="242"/>
  <c r="C25" i="242"/>
  <c r="C35" i="242"/>
  <c r="C37" i="242"/>
  <c r="C49" i="242"/>
  <c r="C59" i="242"/>
  <c r="C15" i="242"/>
  <c r="C61" i="242"/>
  <c r="C67" i="242"/>
  <c r="C51" i="241"/>
  <c r="C73" i="241"/>
  <c r="C23" i="241"/>
  <c r="C39" i="241"/>
  <c r="C61" i="241"/>
  <c r="D86" i="238"/>
  <c r="C67" i="239"/>
  <c r="C69" i="239"/>
  <c r="C15" i="239"/>
  <c r="C71" i="239"/>
  <c r="C77" i="239"/>
  <c r="C80" i="239"/>
  <c r="C82" i="239"/>
  <c r="C84" i="239"/>
  <c r="C61" i="239"/>
  <c r="C53" i="239"/>
  <c r="C39" i="239"/>
  <c r="C49" i="239"/>
  <c r="C51" i="239"/>
  <c r="C73" i="239"/>
  <c r="C75" i="239"/>
  <c r="C34" i="238"/>
  <c r="C32" i="238"/>
  <c r="C36" i="238"/>
  <c r="C42" i="238"/>
  <c r="C44" i="238"/>
  <c r="C46" i="238"/>
  <c r="C48" i="238"/>
  <c r="C62" i="237"/>
  <c r="C52" i="237"/>
  <c r="C42" i="237"/>
  <c r="C40" i="237"/>
  <c r="C38" i="237"/>
  <c r="C36" i="237"/>
  <c r="C85" i="90" l="1"/>
  <c r="C86" i="88"/>
  <c r="C85" i="82"/>
  <c r="C87" i="174"/>
  <c r="C86" i="80"/>
  <c r="C87" i="38"/>
  <c r="C86" i="26"/>
  <c r="C86" i="13"/>
  <c r="C85" i="12"/>
  <c r="C86" i="162"/>
  <c r="C86" i="159"/>
  <c r="C86" i="160"/>
  <c r="C86" i="161"/>
  <c r="C86" i="156"/>
  <c r="C86" i="158"/>
  <c r="C87" i="155"/>
  <c r="C86" i="152"/>
  <c r="C86" i="153"/>
  <c r="C86" i="151"/>
  <c r="C85" i="150"/>
  <c r="C86" i="268"/>
  <c r="C86" i="266"/>
  <c r="C86" i="265"/>
  <c r="C86" i="264"/>
  <c r="C86" i="263"/>
  <c r="C86" i="262"/>
  <c r="C86" i="261"/>
  <c r="C86" i="260"/>
  <c r="C86" i="259"/>
  <c r="C86" i="258"/>
  <c r="C86" i="257"/>
  <c r="C86" i="256"/>
  <c r="C86" i="255"/>
  <c r="C86" i="254"/>
  <c r="C86" i="253"/>
  <c r="C85" i="252"/>
  <c r="C85" i="251"/>
  <c r="C85" i="250"/>
  <c r="C86" i="249"/>
  <c r="C87" i="248"/>
  <c r="C86" i="247"/>
  <c r="C86" i="246"/>
  <c r="C86" i="245"/>
  <c r="C86" i="244"/>
  <c r="C86" i="243"/>
  <c r="C86" i="242"/>
  <c r="C86" i="241"/>
  <c r="C86" i="240"/>
  <c r="C87" i="240" s="1"/>
  <c r="C85" i="239"/>
  <c r="C87" i="238"/>
  <c r="C84" i="237"/>
  <c r="C88" i="248" l="1"/>
  <c r="D86" i="236" l="1"/>
  <c r="C86" i="236"/>
  <c r="D84" i="236"/>
  <c r="C84" i="236"/>
  <c r="D82" i="236"/>
  <c r="C82" i="236"/>
  <c r="D78" i="236"/>
  <c r="C78" i="236"/>
  <c r="D76" i="236"/>
  <c r="C76" i="236"/>
  <c r="D74" i="236"/>
  <c r="C74" i="236"/>
  <c r="D72" i="236"/>
  <c r="C72" i="236"/>
  <c r="D70" i="236"/>
  <c r="C70" i="236"/>
  <c r="D68" i="236"/>
  <c r="C68" i="236"/>
  <c r="D66" i="236"/>
  <c r="C66" i="236"/>
  <c r="D64" i="236"/>
  <c r="C64" i="236"/>
  <c r="D62" i="236"/>
  <c r="C62" i="236"/>
  <c r="D60" i="236"/>
  <c r="C60" i="236"/>
  <c r="D58" i="236"/>
  <c r="C58" i="236"/>
  <c r="D56" i="236"/>
  <c r="C56" i="236"/>
  <c r="D54" i="236"/>
  <c r="C54" i="236"/>
  <c r="D52" i="236"/>
  <c r="C52" i="236"/>
  <c r="D50" i="236"/>
  <c r="C50" i="236"/>
  <c r="D48" i="236"/>
  <c r="C48" i="236"/>
  <c r="D46" i="236"/>
  <c r="C46" i="236"/>
  <c r="D44" i="236"/>
  <c r="C44" i="236"/>
  <c r="D42" i="236"/>
  <c r="C42" i="236"/>
  <c r="D40" i="236"/>
  <c r="C40" i="236"/>
  <c r="D38" i="236"/>
  <c r="C38" i="236"/>
  <c r="D36" i="236"/>
  <c r="C36" i="236"/>
  <c r="D34" i="236"/>
  <c r="C34" i="236"/>
  <c r="D32" i="236"/>
  <c r="C32" i="236"/>
  <c r="D30" i="236"/>
  <c r="C30" i="236"/>
  <c r="D28" i="236"/>
  <c r="C28" i="236"/>
  <c r="D26" i="236"/>
  <c r="C26" i="236"/>
  <c r="D24" i="236"/>
  <c r="C24" i="236"/>
  <c r="D22" i="236"/>
  <c r="D88" i="236" s="1"/>
  <c r="C91" i="236" s="1"/>
  <c r="C22" i="236"/>
  <c r="C88" i="236" s="1"/>
  <c r="C85" i="235"/>
  <c r="D85" i="235" s="1"/>
  <c r="D83" i="235"/>
  <c r="C83" i="235"/>
  <c r="C81" i="235"/>
  <c r="D81" i="235" s="1"/>
  <c r="D77" i="235"/>
  <c r="C77" i="235"/>
  <c r="C75" i="235"/>
  <c r="D75" i="235" s="1"/>
  <c r="D73" i="235"/>
  <c r="C73" i="235"/>
  <c r="C71" i="235"/>
  <c r="D71" i="235" s="1"/>
  <c r="D69" i="235"/>
  <c r="C69" i="235"/>
  <c r="C67" i="235"/>
  <c r="D67" i="235" s="1"/>
  <c r="D65" i="235"/>
  <c r="C65" i="235"/>
  <c r="C63" i="235"/>
  <c r="D63" i="235" s="1"/>
  <c r="D61" i="235"/>
  <c r="C61" i="235"/>
  <c r="C59" i="235"/>
  <c r="D59" i="235" s="1"/>
  <c r="D57" i="235"/>
  <c r="C57" i="235"/>
  <c r="C55" i="235"/>
  <c r="D55" i="235" s="1"/>
  <c r="D53" i="235"/>
  <c r="C53" i="235"/>
  <c r="C51" i="235"/>
  <c r="D51" i="235" s="1"/>
  <c r="D49" i="235"/>
  <c r="C49" i="235"/>
  <c r="C47" i="235"/>
  <c r="D47" i="235" s="1"/>
  <c r="D45" i="235"/>
  <c r="C45" i="235"/>
  <c r="C43" i="235"/>
  <c r="D43" i="235" s="1"/>
  <c r="D41" i="235"/>
  <c r="C41" i="235"/>
  <c r="C39" i="235"/>
  <c r="D39" i="235" s="1"/>
  <c r="D37" i="235"/>
  <c r="C37" i="235"/>
  <c r="C35" i="235"/>
  <c r="D35" i="235" s="1"/>
  <c r="D33" i="235"/>
  <c r="C33" i="235"/>
  <c r="C31" i="235"/>
  <c r="D31" i="235" s="1"/>
  <c r="D29" i="235"/>
  <c r="C29" i="235"/>
  <c r="C27" i="235"/>
  <c r="D27" i="235" s="1"/>
  <c r="D25" i="235"/>
  <c r="C25" i="235"/>
  <c r="C23" i="235"/>
  <c r="D23" i="235" s="1"/>
  <c r="D21" i="235"/>
  <c r="C21" i="235"/>
  <c r="C87" i="235" s="1"/>
  <c r="C85" i="234"/>
  <c r="D85" i="234" s="1"/>
  <c r="C83" i="234"/>
  <c r="D83" i="234" s="1"/>
  <c r="C81" i="234"/>
  <c r="D81" i="234" s="1"/>
  <c r="C77" i="234"/>
  <c r="D77" i="234" s="1"/>
  <c r="C75" i="234"/>
  <c r="D75" i="234" s="1"/>
  <c r="C73" i="234"/>
  <c r="D73" i="234" s="1"/>
  <c r="C71" i="234"/>
  <c r="D71" i="234" s="1"/>
  <c r="C69" i="234"/>
  <c r="D69" i="234" s="1"/>
  <c r="C67" i="234"/>
  <c r="D67" i="234" s="1"/>
  <c r="C65" i="234"/>
  <c r="D65" i="234" s="1"/>
  <c r="C63" i="234"/>
  <c r="D63" i="234" s="1"/>
  <c r="C61" i="234"/>
  <c r="D61" i="234" s="1"/>
  <c r="C59" i="234"/>
  <c r="D59" i="234" s="1"/>
  <c r="C57" i="234"/>
  <c r="D57" i="234" s="1"/>
  <c r="C55" i="234"/>
  <c r="D55" i="234" s="1"/>
  <c r="C53" i="234"/>
  <c r="D53" i="234" s="1"/>
  <c r="C51" i="234"/>
  <c r="D51" i="234" s="1"/>
  <c r="C49" i="234"/>
  <c r="D49" i="234" s="1"/>
  <c r="C47" i="234"/>
  <c r="D47" i="234" s="1"/>
  <c r="C45" i="234"/>
  <c r="D45" i="234" s="1"/>
  <c r="C43" i="234"/>
  <c r="D43" i="234" s="1"/>
  <c r="C41" i="234"/>
  <c r="D41" i="234" s="1"/>
  <c r="C39" i="234"/>
  <c r="D39" i="234" s="1"/>
  <c r="C37" i="234"/>
  <c r="D37" i="234" s="1"/>
  <c r="C35" i="234"/>
  <c r="D35" i="234" s="1"/>
  <c r="C33" i="234"/>
  <c r="D33" i="234" s="1"/>
  <c r="C31" i="234"/>
  <c r="D31" i="234" s="1"/>
  <c r="C29" i="234"/>
  <c r="D29" i="234" s="1"/>
  <c r="C27" i="234"/>
  <c r="D27" i="234" s="1"/>
  <c r="C25" i="234"/>
  <c r="D25" i="234" s="1"/>
  <c r="C23" i="234"/>
  <c r="D23" i="234" s="1"/>
  <c r="C21" i="234"/>
  <c r="C87" i="234" s="1"/>
  <c r="D85" i="233"/>
  <c r="D83" i="233"/>
  <c r="D81" i="233"/>
  <c r="D77" i="233"/>
  <c r="D75" i="233"/>
  <c r="D73" i="233"/>
  <c r="C71" i="233"/>
  <c r="D71" i="233" s="1"/>
  <c r="C69" i="233"/>
  <c r="D69" i="233" s="1"/>
  <c r="C67" i="233"/>
  <c r="D67" i="233" s="1"/>
  <c r="C65" i="233"/>
  <c r="D65" i="233" s="1"/>
  <c r="C63" i="233"/>
  <c r="D63" i="233" s="1"/>
  <c r="C61" i="233"/>
  <c r="D61" i="233" s="1"/>
  <c r="C59" i="233"/>
  <c r="D59" i="233" s="1"/>
  <c r="C57" i="233"/>
  <c r="D57" i="233" s="1"/>
  <c r="C55" i="233"/>
  <c r="D55" i="233" s="1"/>
  <c r="C53" i="233"/>
  <c r="D53" i="233" s="1"/>
  <c r="C51" i="233"/>
  <c r="D51" i="233" s="1"/>
  <c r="C49" i="233"/>
  <c r="D49" i="233" s="1"/>
  <c r="C47" i="233"/>
  <c r="D47" i="233" s="1"/>
  <c r="C45" i="233"/>
  <c r="D45" i="233" s="1"/>
  <c r="C43" i="233"/>
  <c r="D43" i="233" s="1"/>
  <c r="C41" i="233"/>
  <c r="D41" i="233" s="1"/>
  <c r="D39" i="233"/>
  <c r="C37" i="233"/>
  <c r="D37" i="233" s="1"/>
  <c r="D35" i="233"/>
  <c r="D33" i="233"/>
  <c r="D31" i="233"/>
  <c r="D29" i="233"/>
  <c r="D27" i="233"/>
  <c r="D25" i="233"/>
  <c r="D23" i="233"/>
  <c r="C85" i="232"/>
  <c r="D85" i="232" s="1"/>
  <c r="D83" i="232"/>
  <c r="C83" i="232"/>
  <c r="C81" i="232"/>
  <c r="D81" i="232" s="1"/>
  <c r="D77" i="232"/>
  <c r="C77" i="232"/>
  <c r="C75" i="232"/>
  <c r="D75" i="232" s="1"/>
  <c r="D73" i="232"/>
  <c r="C73" i="232"/>
  <c r="C71" i="232"/>
  <c r="D71" i="232" s="1"/>
  <c r="D69" i="232"/>
  <c r="C69" i="232"/>
  <c r="C67" i="232"/>
  <c r="D67" i="232" s="1"/>
  <c r="D65" i="232"/>
  <c r="C65" i="232"/>
  <c r="C63" i="232"/>
  <c r="D63" i="232" s="1"/>
  <c r="D61" i="232"/>
  <c r="C61" i="232"/>
  <c r="C59" i="232"/>
  <c r="D59" i="232" s="1"/>
  <c r="D57" i="232"/>
  <c r="C57" i="232"/>
  <c r="C55" i="232"/>
  <c r="D55" i="232" s="1"/>
  <c r="D53" i="232"/>
  <c r="C53" i="232"/>
  <c r="C51" i="232"/>
  <c r="D51" i="232" s="1"/>
  <c r="D49" i="232"/>
  <c r="C49" i="232"/>
  <c r="C47" i="232"/>
  <c r="D47" i="232" s="1"/>
  <c r="D45" i="232"/>
  <c r="C45" i="232"/>
  <c r="C43" i="232"/>
  <c r="D43" i="232" s="1"/>
  <c r="D41" i="232"/>
  <c r="C41" i="232"/>
  <c r="C39" i="232"/>
  <c r="D39" i="232" s="1"/>
  <c r="D37" i="232"/>
  <c r="C37" i="232"/>
  <c r="C35" i="232"/>
  <c r="D35" i="232" s="1"/>
  <c r="D33" i="232"/>
  <c r="C33" i="232"/>
  <c r="C31" i="232"/>
  <c r="D31" i="232" s="1"/>
  <c r="D29" i="232"/>
  <c r="C29" i="232"/>
  <c r="C27" i="232"/>
  <c r="D27" i="232" s="1"/>
  <c r="D25" i="232"/>
  <c r="C25" i="232"/>
  <c r="C23" i="232"/>
  <c r="D23" i="232" s="1"/>
  <c r="D21" i="232"/>
  <c r="C21" i="232"/>
  <c r="C87" i="232" s="1"/>
  <c r="C85" i="231"/>
  <c r="D85" i="231" s="1"/>
  <c r="D83" i="231"/>
  <c r="C83" i="231"/>
  <c r="C81" i="231"/>
  <c r="D81" i="231" s="1"/>
  <c r="D77" i="231"/>
  <c r="C77" i="231"/>
  <c r="C75" i="231"/>
  <c r="D75" i="231" s="1"/>
  <c r="D73" i="231"/>
  <c r="C73" i="231"/>
  <c r="C71" i="231"/>
  <c r="D71" i="231" s="1"/>
  <c r="D69" i="231"/>
  <c r="C69" i="231"/>
  <c r="C67" i="231"/>
  <c r="D67" i="231" s="1"/>
  <c r="D65" i="231"/>
  <c r="C65" i="231"/>
  <c r="C63" i="231"/>
  <c r="D63" i="231" s="1"/>
  <c r="D61" i="231"/>
  <c r="C61" i="231"/>
  <c r="C59" i="231"/>
  <c r="D59" i="231" s="1"/>
  <c r="D57" i="231"/>
  <c r="C57" i="231"/>
  <c r="C55" i="231"/>
  <c r="D55" i="231" s="1"/>
  <c r="D53" i="231"/>
  <c r="C53" i="231"/>
  <c r="C51" i="231"/>
  <c r="D51" i="231" s="1"/>
  <c r="D49" i="231"/>
  <c r="C49" i="231"/>
  <c r="C47" i="231"/>
  <c r="D47" i="231" s="1"/>
  <c r="D45" i="231"/>
  <c r="C45" i="231"/>
  <c r="C43" i="231"/>
  <c r="D43" i="231" s="1"/>
  <c r="D41" i="231"/>
  <c r="C41" i="231"/>
  <c r="C39" i="231"/>
  <c r="D39" i="231" s="1"/>
  <c r="D37" i="231"/>
  <c r="C37" i="231"/>
  <c r="C35" i="231"/>
  <c r="D35" i="231" s="1"/>
  <c r="D33" i="231"/>
  <c r="C33" i="231"/>
  <c r="C31" i="231"/>
  <c r="D31" i="231" s="1"/>
  <c r="D29" i="231"/>
  <c r="C29" i="231"/>
  <c r="C27" i="231"/>
  <c r="D27" i="231" s="1"/>
  <c r="D25" i="231"/>
  <c r="C25" i="231"/>
  <c r="C23" i="231"/>
  <c r="D23" i="231" s="1"/>
  <c r="D21" i="231"/>
  <c r="C21" i="231"/>
  <c r="C87" i="231" s="1"/>
  <c r="C73" i="229"/>
  <c r="C71" i="229"/>
  <c r="C69" i="229"/>
  <c r="C67" i="229"/>
  <c r="C65" i="229"/>
  <c r="C63" i="229"/>
  <c r="C61" i="229"/>
  <c r="C59" i="229"/>
  <c r="C57" i="229"/>
  <c r="C55" i="229"/>
  <c r="C53" i="229"/>
  <c r="C51" i="229"/>
  <c r="C49" i="229"/>
  <c r="C47" i="229"/>
  <c r="C45" i="229"/>
  <c r="C43" i="229"/>
  <c r="C41" i="229"/>
  <c r="C39" i="229"/>
  <c r="C37" i="229"/>
  <c r="C35" i="229"/>
  <c r="C33" i="229"/>
  <c r="C31" i="229"/>
  <c r="C29" i="229"/>
  <c r="C27" i="229"/>
  <c r="C25" i="229"/>
  <c r="C23" i="229"/>
  <c r="C21" i="229"/>
  <c r="C87" i="229" s="1"/>
  <c r="C85" i="228"/>
  <c r="D85" i="228" s="1"/>
  <c r="C83" i="228"/>
  <c r="D83" i="228" s="1"/>
  <c r="C81" i="228"/>
  <c r="D81" i="228" s="1"/>
  <c r="D77" i="228"/>
  <c r="C77" i="228"/>
  <c r="C75" i="228"/>
  <c r="D75" i="228" s="1"/>
  <c r="D73" i="228"/>
  <c r="C73" i="228"/>
  <c r="C71" i="228"/>
  <c r="D71" i="228" s="1"/>
  <c r="C69" i="228"/>
  <c r="D69" i="228" s="1"/>
  <c r="C67" i="228"/>
  <c r="D67" i="228" s="1"/>
  <c r="C65" i="228"/>
  <c r="D65" i="228" s="1"/>
  <c r="C63" i="228"/>
  <c r="D63" i="228" s="1"/>
  <c r="D61" i="228"/>
  <c r="C61" i="228"/>
  <c r="C59" i="228"/>
  <c r="D59" i="228" s="1"/>
  <c r="D57" i="228"/>
  <c r="C57" i="228"/>
  <c r="C55" i="228"/>
  <c r="D55" i="228" s="1"/>
  <c r="C53" i="228"/>
  <c r="D53" i="228" s="1"/>
  <c r="C51" i="228"/>
  <c r="D51" i="228" s="1"/>
  <c r="C49" i="228"/>
  <c r="D49" i="228" s="1"/>
  <c r="C47" i="228"/>
  <c r="D47" i="228" s="1"/>
  <c r="D45" i="228"/>
  <c r="C45" i="228"/>
  <c r="C43" i="228"/>
  <c r="D43" i="228" s="1"/>
  <c r="D41" i="228"/>
  <c r="C41" i="228"/>
  <c r="C39" i="228"/>
  <c r="D39" i="228" s="1"/>
  <c r="C37" i="228"/>
  <c r="D37" i="228" s="1"/>
  <c r="C35" i="228"/>
  <c r="D35" i="228" s="1"/>
  <c r="C33" i="228"/>
  <c r="D33" i="228" s="1"/>
  <c r="C31" i="228"/>
  <c r="D31" i="228" s="1"/>
  <c r="D29" i="228"/>
  <c r="C29" i="228"/>
  <c r="C27" i="228"/>
  <c r="D27" i="228" s="1"/>
  <c r="D25" i="228"/>
  <c r="C25" i="228"/>
  <c r="C23" i="228"/>
  <c r="D23" i="228" s="1"/>
  <c r="C21" i="228"/>
  <c r="C75" i="227"/>
  <c r="D75" i="227" s="1"/>
  <c r="C73" i="227"/>
  <c r="D73" i="227" s="1"/>
  <c r="C71" i="227"/>
  <c r="D71" i="227" s="1"/>
  <c r="C69" i="227"/>
  <c r="D69" i="227" s="1"/>
  <c r="C67" i="227"/>
  <c r="D67" i="227" s="1"/>
  <c r="C65" i="227"/>
  <c r="D65" i="227" s="1"/>
  <c r="C63" i="227"/>
  <c r="D63" i="227" s="1"/>
  <c r="C61" i="227"/>
  <c r="D61" i="227" s="1"/>
  <c r="C59" i="227"/>
  <c r="D59" i="227" s="1"/>
  <c r="C57" i="227"/>
  <c r="D57" i="227" s="1"/>
  <c r="C55" i="227"/>
  <c r="D55" i="227" s="1"/>
  <c r="C53" i="227"/>
  <c r="D53" i="227" s="1"/>
  <c r="C51" i="227"/>
  <c r="D51" i="227" s="1"/>
  <c r="C49" i="227"/>
  <c r="D49" i="227" s="1"/>
  <c r="C47" i="227"/>
  <c r="D47" i="227" s="1"/>
  <c r="C45" i="227"/>
  <c r="D45" i="227" s="1"/>
  <c r="C43" i="227"/>
  <c r="D43" i="227" s="1"/>
  <c r="C41" i="227"/>
  <c r="D41" i="227" s="1"/>
  <c r="C39" i="227"/>
  <c r="D39" i="227" s="1"/>
  <c r="C37" i="227"/>
  <c r="D37" i="227" s="1"/>
  <c r="C35" i="227"/>
  <c r="D35" i="227" s="1"/>
  <c r="C33" i="227"/>
  <c r="D33" i="227" s="1"/>
  <c r="C31" i="227"/>
  <c r="D31" i="227" s="1"/>
  <c r="C29" i="227"/>
  <c r="D29" i="227" s="1"/>
  <c r="C27" i="227"/>
  <c r="D27" i="227" s="1"/>
  <c r="C25" i="227"/>
  <c r="D25" i="227" s="1"/>
  <c r="C23" i="227"/>
  <c r="D23" i="227" s="1"/>
  <c r="C21" i="227"/>
  <c r="C84" i="226"/>
  <c r="D84" i="226" s="1"/>
  <c r="D82" i="226"/>
  <c r="C82" i="226"/>
  <c r="C80" i="226"/>
  <c r="D80" i="226" s="1"/>
  <c r="D77" i="226"/>
  <c r="C77" i="226"/>
  <c r="C75" i="226"/>
  <c r="D75" i="226" s="1"/>
  <c r="D73" i="226"/>
  <c r="C73" i="226"/>
  <c r="C71" i="226"/>
  <c r="D71" i="226" s="1"/>
  <c r="D69" i="226"/>
  <c r="C69" i="226"/>
  <c r="C67" i="226"/>
  <c r="D67" i="226" s="1"/>
  <c r="D65" i="226"/>
  <c r="C65" i="226"/>
  <c r="C63" i="226"/>
  <c r="D63" i="226" s="1"/>
  <c r="D61" i="226"/>
  <c r="C61" i="226"/>
  <c r="C59" i="226"/>
  <c r="D59" i="226" s="1"/>
  <c r="D57" i="226"/>
  <c r="C57" i="226"/>
  <c r="C55" i="226"/>
  <c r="D55" i="226" s="1"/>
  <c r="D53" i="226"/>
  <c r="C53" i="226"/>
  <c r="C51" i="226"/>
  <c r="D51" i="226" s="1"/>
  <c r="D49" i="226"/>
  <c r="C49" i="226"/>
  <c r="C47" i="226"/>
  <c r="D47" i="226" s="1"/>
  <c r="D45" i="226"/>
  <c r="C45" i="226"/>
  <c r="C43" i="226"/>
  <c r="D43" i="226" s="1"/>
  <c r="D41" i="226"/>
  <c r="C41" i="226"/>
  <c r="C39" i="226"/>
  <c r="D39" i="226" s="1"/>
  <c r="D37" i="226"/>
  <c r="C37" i="226"/>
  <c r="C35" i="226"/>
  <c r="D35" i="226" s="1"/>
  <c r="D33" i="226"/>
  <c r="C33" i="226"/>
  <c r="C31" i="226"/>
  <c r="D31" i="226" s="1"/>
  <c r="D29" i="226"/>
  <c r="C29" i="226"/>
  <c r="C27" i="226"/>
  <c r="D27" i="226" s="1"/>
  <c r="D25" i="226"/>
  <c r="C25" i="226"/>
  <c r="C23" i="226"/>
  <c r="D23" i="226" s="1"/>
  <c r="D21" i="226"/>
  <c r="C21" i="226"/>
  <c r="C86" i="226" s="1"/>
  <c r="C84" i="224"/>
  <c r="D84" i="224" s="1"/>
  <c r="D82" i="224"/>
  <c r="C82" i="224"/>
  <c r="C80" i="224"/>
  <c r="D80" i="224" s="1"/>
  <c r="D77" i="224"/>
  <c r="C77" i="224"/>
  <c r="C75" i="224"/>
  <c r="D75" i="224" s="1"/>
  <c r="D73" i="224"/>
  <c r="C73" i="224"/>
  <c r="C71" i="224"/>
  <c r="D71" i="224" s="1"/>
  <c r="D69" i="224"/>
  <c r="C69" i="224"/>
  <c r="C67" i="224"/>
  <c r="D67" i="224" s="1"/>
  <c r="D65" i="224"/>
  <c r="C65" i="224"/>
  <c r="C63" i="224"/>
  <c r="D63" i="224" s="1"/>
  <c r="D61" i="224"/>
  <c r="C61" i="224"/>
  <c r="C59" i="224"/>
  <c r="D59" i="224" s="1"/>
  <c r="D57" i="224"/>
  <c r="C57" i="224"/>
  <c r="C55" i="224"/>
  <c r="D55" i="224" s="1"/>
  <c r="D53" i="224"/>
  <c r="C53" i="224"/>
  <c r="C51" i="224"/>
  <c r="D51" i="224" s="1"/>
  <c r="D49" i="224"/>
  <c r="C49" i="224"/>
  <c r="C47" i="224"/>
  <c r="D47" i="224" s="1"/>
  <c r="D45" i="224"/>
  <c r="C45" i="224"/>
  <c r="C43" i="224"/>
  <c r="D43" i="224" s="1"/>
  <c r="D41" i="224"/>
  <c r="C41" i="224"/>
  <c r="C39" i="224"/>
  <c r="D39" i="224" s="1"/>
  <c r="D37" i="224"/>
  <c r="C37" i="224"/>
  <c r="C35" i="224"/>
  <c r="D35" i="224" s="1"/>
  <c r="D33" i="224"/>
  <c r="C33" i="224"/>
  <c r="C31" i="224"/>
  <c r="D31" i="224" s="1"/>
  <c r="D29" i="224"/>
  <c r="C29" i="224"/>
  <c r="C27" i="224"/>
  <c r="D27" i="224" s="1"/>
  <c r="D25" i="224"/>
  <c r="C25" i="224"/>
  <c r="C23" i="224"/>
  <c r="D23" i="224" s="1"/>
  <c r="D21" i="224"/>
  <c r="C21" i="224"/>
  <c r="C86" i="224" s="1"/>
  <c r="C86" i="223"/>
  <c r="D86" i="223" s="1"/>
  <c r="C84" i="223"/>
  <c r="D84" i="223" s="1"/>
  <c r="C82" i="223"/>
  <c r="D82" i="223" s="1"/>
  <c r="C78" i="223"/>
  <c r="D78" i="223" s="1"/>
  <c r="C76" i="223"/>
  <c r="D76" i="223" s="1"/>
  <c r="C74" i="223"/>
  <c r="D74" i="223" s="1"/>
  <c r="C72" i="223"/>
  <c r="D72" i="223" s="1"/>
  <c r="C70" i="223"/>
  <c r="D70" i="223" s="1"/>
  <c r="C68" i="223"/>
  <c r="D68" i="223" s="1"/>
  <c r="C66" i="223"/>
  <c r="D66" i="223" s="1"/>
  <c r="C64" i="223"/>
  <c r="D64" i="223" s="1"/>
  <c r="C62" i="223"/>
  <c r="D62" i="223" s="1"/>
  <c r="C60" i="223"/>
  <c r="D60" i="223" s="1"/>
  <c r="C58" i="223"/>
  <c r="D58" i="223" s="1"/>
  <c r="C56" i="223"/>
  <c r="D56" i="223" s="1"/>
  <c r="C54" i="223"/>
  <c r="D54" i="223" s="1"/>
  <c r="C52" i="223"/>
  <c r="D52" i="223" s="1"/>
  <c r="C50" i="223"/>
  <c r="D50" i="223" s="1"/>
  <c r="C48" i="223"/>
  <c r="D48" i="223" s="1"/>
  <c r="C46" i="223"/>
  <c r="D46" i="223" s="1"/>
  <c r="C44" i="223"/>
  <c r="D44" i="223" s="1"/>
  <c r="C42" i="223"/>
  <c r="D42" i="223" s="1"/>
  <c r="C40" i="223"/>
  <c r="D40" i="223" s="1"/>
  <c r="C38" i="223"/>
  <c r="D38" i="223" s="1"/>
  <c r="C36" i="223"/>
  <c r="D36" i="223" s="1"/>
  <c r="C34" i="223"/>
  <c r="D34" i="223" s="1"/>
  <c r="C32" i="223"/>
  <c r="D32" i="223" s="1"/>
  <c r="C30" i="223"/>
  <c r="D30" i="223" s="1"/>
  <c r="C28" i="223"/>
  <c r="D28" i="223" s="1"/>
  <c r="C26" i="223"/>
  <c r="D26" i="223" s="1"/>
  <c r="C24" i="223"/>
  <c r="D24" i="223" s="1"/>
  <c r="C22" i="223"/>
  <c r="C88" i="223" s="1"/>
  <c r="C85" i="222"/>
  <c r="D85" i="222" s="1"/>
  <c r="C83" i="222"/>
  <c r="D83" i="222" s="1"/>
  <c r="C81" i="222"/>
  <c r="D81" i="222" s="1"/>
  <c r="C77" i="222"/>
  <c r="D77" i="222" s="1"/>
  <c r="C75" i="222"/>
  <c r="D75" i="222" s="1"/>
  <c r="C73" i="222"/>
  <c r="D73" i="222" s="1"/>
  <c r="C71" i="222"/>
  <c r="D71" i="222" s="1"/>
  <c r="C69" i="222"/>
  <c r="D69" i="222" s="1"/>
  <c r="C67" i="222"/>
  <c r="D67" i="222" s="1"/>
  <c r="C65" i="222"/>
  <c r="D65" i="222" s="1"/>
  <c r="C63" i="222"/>
  <c r="D63" i="222" s="1"/>
  <c r="C61" i="222"/>
  <c r="D61" i="222" s="1"/>
  <c r="C59" i="222"/>
  <c r="D59" i="222" s="1"/>
  <c r="C57" i="222"/>
  <c r="D57" i="222" s="1"/>
  <c r="C55" i="222"/>
  <c r="D55" i="222" s="1"/>
  <c r="C53" i="222"/>
  <c r="D53" i="222" s="1"/>
  <c r="C51" i="222"/>
  <c r="D51" i="222" s="1"/>
  <c r="C49" i="222"/>
  <c r="D49" i="222" s="1"/>
  <c r="C47" i="222"/>
  <c r="D47" i="222" s="1"/>
  <c r="C45" i="222"/>
  <c r="D45" i="222" s="1"/>
  <c r="C43" i="222"/>
  <c r="D43" i="222" s="1"/>
  <c r="C41" i="222"/>
  <c r="D41" i="222" s="1"/>
  <c r="C39" i="222"/>
  <c r="D39" i="222" s="1"/>
  <c r="C37" i="222"/>
  <c r="D37" i="222" s="1"/>
  <c r="C35" i="222"/>
  <c r="D35" i="222" s="1"/>
  <c r="C33" i="222"/>
  <c r="D33" i="222" s="1"/>
  <c r="C31" i="222"/>
  <c r="D31" i="222" s="1"/>
  <c r="C29" i="222"/>
  <c r="D29" i="222" s="1"/>
  <c r="C27" i="222"/>
  <c r="D27" i="222" s="1"/>
  <c r="C25" i="222"/>
  <c r="D25" i="222" s="1"/>
  <c r="C23" i="222"/>
  <c r="D23" i="222" s="1"/>
  <c r="C21" i="222"/>
  <c r="C87" i="222" s="1"/>
  <c r="C85" i="219"/>
  <c r="D85" i="219" s="1"/>
  <c r="D83" i="219"/>
  <c r="C83" i="219"/>
  <c r="C81" i="219"/>
  <c r="D81" i="219" s="1"/>
  <c r="D77" i="219"/>
  <c r="C77" i="219"/>
  <c r="C75" i="219"/>
  <c r="D75" i="219" s="1"/>
  <c r="D73" i="219"/>
  <c r="C73" i="219"/>
  <c r="C71" i="219"/>
  <c r="D71" i="219" s="1"/>
  <c r="D69" i="219"/>
  <c r="C69" i="219"/>
  <c r="C67" i="219"/>
  <c r="D67" i="219" s="1"/>
  <c r="D65" i="219"/>
  <c r="C65" i="219"/>
  <c r="C63" i="219"/>
  <c r="D63" i="219" s="1"/>
  <c r="D61" i="219"/>
  <c r="C61" i="219"/>
  <c r="C59" i="219"/>
  <c r="D59" i="219" s="1"/>
  <c r="D57" i="219"/>
  <c r="C57" i="219"/>
  <c r="C55" i="219"/>
  <c r="D55" i="219" s="1"/>
  <c r="D53" i="219"/>
  <c r="C53" i="219"/>
  <c r="C51" i="219"/>
  <c r="D51" i="219" s="1"/>
  <c r="D49" i="219"/>
  <c r="C49" i="219"/>
  <c r="C47" i="219"/>
  <c r="D47" i="219" s="1"/>
  <c r="D45" i="219"/>
  <c r="C45" i="219"/>
  <c r="C43" i="219"/>
  <c r="D43" i="219" s="1"/>
  <c r="D41" i="219"/>
  <c r="C41" i="219"/>
  <c r="C39" i="219"/>
  <c r="D39" i="219" s="1"/>
  <c r="D37" i="219"/>
  <c r="C37" i="219"/>
  <c r="C35" i="219"/>
  <c r="D35" i="219" s="1"/>
  <c r="D33" i="219"/>
  <c r="C33" i="219"/>
  <c r="C31" i="219"/>
  <c r="D31" i="219" s="1"/>
  <c r="D29" i="219"/>
  <c r="C29" i="219"/>
  <c r="C27" i="219"/>
  <c r="D27" i="219" s="1"/>
  <c r="D25" i="219"/>
  <c r="C25" i="219"/>
  <c r="C23" i="219"/>
  <c r="D23" i="219" s="1"/>
  <c r="D21" i="219"/>
  <c r="C21" i="219"/>
  <c r="C87" i="219" s="1"/>
  <c r="C85" i="218"/>
  <c r="D85" i="218" s="1"/>
  <c r="D83" i="218"/>
  <c r="C83" i="218"/>
  <c r="C81" i="218"/>
  <c r="D81" i="218" s="1"/>
  <c r="D77" i="218"/>
  <c r="C77" i="218"/>
  <c r="C75" i="218"/>
  <c r="D75" i="218" s="1"/>
  <c r="D73" i="218"/>
  <c r="C73" i="218"/>
  <c r="C71" i="218"/>
  <c r="D71" i="218" s="1"/>
  <c r="D69" i="218"/>
  <c r="C69" i="218"/>
  <c r="C67" i="218"/>
  <c r="D67" i="218" s="1"/>
  <c r="D65" i="218"/>
  <c r="C65" i="218"/>
  <c r="C63" i="218"/>
  <c r="D63" i="218" s="1"/>
  <c r="D61" i="218"/>
  <c r="C61" i="218"/>
  <c r="C59" i="218"/>
  <c r="D59" i="218" s="1"/>
  <c r="D57" i="218"/>
  <c r="C57" i="218"/>
  <c r="C55" i="218"/>
  <c r="D55" i="218" s="1"/>
  <c r="D53" i="218"/>
  <c r="C53" i="218"/>
  <c r="C51" i="218"/>
  <c r="D51" i="218" s="1"/>
  <c r="D49" i="218"/>
  <c r="C49" i="218"/>
  <c r="C47" i="218"/>
  <c r="D47" i="218" s="1"/>
  <c r="D45" i="218"/>
  <c r="C45" i="218"/>
  <c r="C43" i="218"/>
  <c r="D43" i="218" s="1"/>
  <c r="D41" i="218"/>
  <c r="C41" i="218"/>
  <c r="C39" i="218"/>
  <c r="D39" i="218" s="1"/>
  <c r="D37" i="218"/>
  <c r="C37" i="218"/>
  <c r="C35" i="218"/>
  <c r="D35" i="218" s="1"/>
  <c r="D33" i="218"/>
  <c r="C33" i="218"/>
  <c r="C31" i="218"/>
  <c r="D31" i="218" s="1"/>
  <c r="D29" i="218"/>
  <c r="C29" i="218"/>
  <c r="C27" i="218"/>
  <c r="D27" i="218" s="1"/>
  <c r="D25" i="218"/>
  <c r="C25" i="218"/>
  <c r="C23" i="218"/>
  <c r="D23" i="218" s="1"/>
  <c r="D21" i="218"/>
  <c r="C21" i="218"/>
  <c r="C87" i="218" s="1"/>
  <c r="C85" i="215"/>
  <c r="D85" i="215" s="1"/>
  <c r="C83" i="215"/>
  <c r="D83" i="215" s="1"/>
  <c r="C81" i="215"/>
  <c r="D81" i="215" s="1"/>
  <c r="D77" i="215"/>
  <c r="C77" i="215"/>
  <c r="C75" i="215"/>
  <c r="D75" i="215" s="1"/>
  <c r="D73" i="215"/>
  <c r="C73" i="215"/>
  <c r="C71" i="215"/>
  <c r="D71" i="215" s="1"/>
  <c r="C69" i="215"/>
  <c r="D69" i="215" s="1"/>
  <c r="C67" i="215"/>
  <c r="D67" i="215" s="1"/>
  <c r="C65" i="215"/>
  <c r="D65" i="215" s="1"/>
  <c r="C63" i="215"/>
  <c r="D63" i="215" s="1"/>
  <c r="D61" i="215"/>
  <c r="C61" i="215"/>
  <c r="C59" i="215"/>
  <c r="D59" i="215" s="1"/>
  <c r="D57" i="215"/>
  <c r="C57" i="215"/>
  <c r="C55" i="215"/>
  <c r="D55" i="215" s="1"/>
  <c r="C53" i="215"/>
  <c r="D53" i="215" s="1"/>
  <c r="C51" i="215"/>
  <c r="D51" i="215" s="1"/>
  <c r="D49" i="215"/>
  <c r="C49" i="215"/>
  <c r="C47" i="215"/>
  <c r="D47" i="215" s="1"/>
  <c r="C45" i="215"/>
  <c r="D45" i="215" s="1"/>
  <c r="C43" i="215"/>
  <c r="D43" i="215" s="1"/>
  <c r="D41" i="215"/>
  <c r="C41" i="215"/>
  <c r="C39" i="215"/>
  <c r="D39" i="215" s="1"/>
  <c r="C37" i="215"/>
  <c r="D37" i="215" s="1"/>
  <c r="C35" i="215"/>
  <c r="D35" i="215" s="1"/>
  <c r="D33" i="215"/>
  <c r="C33" i="215"/>
  <c r="C31" i="215"/>
  <c r="D31" i="215" s="1"/>
  <c r="C29" i="215"/>
  <c r="D29" i="215" s="1"/>
  <c r="C27" i="215"/>
  <c r="D27" i="215" s="1"/>
  <c r="D25" i="215"/>
  <c r="C25" i="215"/>
  <c r="C23" i="215"/>
  <c r="D23" i="215" s="1"/>
  <c r="C21" i="215"/>
  <c r="C84" i="213"/>
  <c r="D84" i="213" s="1"/>
  <c r="D82" i="213"/>
  <c r="C82" i="213"/>
  <c r="C80" i="213"/>
  <c r="D80" i="213" s="1"/>
  <c r="D77" i="213"/>
  <c r="C77" i="213"/>
  <c r="C75" i="213"/>
  <c r="D75" i="213" s="1"/>
  <c r="D73" i="213"/>
  <c r="C73" i="213"/>
  <c r="C71" i="213"/>
  <c r="D71" i="213" s="1"/>
  <c r="D69" i="213"/>
  <c r="C69" i="213"/>
  <c r="C67" i="213"/>
  <c r="D67" i="213" s="1"/>
  <c r="D65" i="213"/>
  <c r="C65" i="213"/>
  <c r="C63" i="213"/>
  <c r="D63" i="213" s="1"/>
  <c r="D61" i="213"/>
  <c r="C61" i="213"/>
  <c r="C59" i="213"/>
  <c r="D59" i="213" s="1"/>
  <c r="D57" i="213"/>
  <c r="C57" i="213"/>
  <c r="C55" i="213"/>
  <c r="D55" i="213" s="1"/>
  <c r="D53" i="213"/>
  <c r="C53" i="213"/>
  <c r="C51" i="213"/>
  <c r="D51" i="213" s="1"/>
  <c r="D49" i="213"/>
  <c r="C49" i="213"/>
  <c r="C47" i="213"/>
  <c r="D47" i="213" s="1"/>
  <c r="D45" i="213"/>
  <c r="C45" i="213"/>
  <c r="C43" i="213"/>
  <c r="D43" i="213" s="1"/>
  <c r="D41" i="213"/>
  <c r="C41" i="213"/>
  <c r="C39" i="213"/>
  <c r="D39" i="213" s="1"/>
  <c r="D37" i="213"/>
  <c r="C37" i="213"/>
  <c r="C35" i="213"/>
  <c r="D35" i="213" s="1"/>
  <c r="D33" i="213"/>
  <c r="C33" i="213"/>
  <c r="C31" i="213"/>
  <c r="D31" i="213" s="1"/>
  <c r="D29" i="213"/>
  <c r="C29" i="213"/>
  <c r="C27" i="213"/>
  <c r="D27" i="213" s="1"/>
  <c r="D25" i="213"/>
  <c r="C25" i="213"/>
  <c r="C23" i="213"/>
  <c r="D23" i="213" s="1"/>
  <c r="D21" i="213"/>
  <c r="C21" i="213"/>
  <c r="C86" i="213" s="1"/>
  <c r="C84" i="211"/>
  <c r="D84" i="211" s="1"/>
  <c r="D82" i="211"/>
  <c r="C82" i="211"/>
  <c r="C80" i="211"/>
  <c r="D80" i="211" s="1"/>
  <c r="D77" i="211"/>
  <c r="C77" i="211"/>
  <c r="C75" i="211"/>
  <c r="D75" i="211" s="1"/>
  <c r="D73" i="211"/>
  <c r="C73" i="211"/>
  <c r="C71" i="211"/>
  <c r="D71" i="211" s="1"/>
  <c r="D69" i="211"/>
  <c r="C69" i="211"/>
  <c r="C67" i="211"/>
  <c r="D67" i="211" s="1"/>
  <c r="D65" i="211"/>
  <c r="C65" i="211"/>
  <c r="C63" i="211"/>
  <c r="D63" i="211" s="1"/>
  <c r="D61" i="211"/>
  <c r="C61" i="211"/>
  <c r="C59" i="211"/>
  <c r="D59" i="211" s="1"/>
  <c r="D57" i="211"/>
  <c r="C57" i="211"/>
  <c r="C55" i="211"/>
  <c r="D55" i="211" s="1"/>
  <c r="D53" i="211"/>
  <c r="C53" i="211"/>
  <c r="C51" i="211"/>
  <c r="D51" i="211" s="1"/>
  <c r="D49" i="211"/>
  <c r="C49" i="211"/>
  <c r="C47" i="211"/>
  <c r="D47" i="211" s="1"/>
  <c r="D45" i="211"/>
  <c r="C45" i="211"/>
  <c r="C43" i="211"/>
  <c r="D43" i="211" s="1"/>
  <c r="D41" i="211"/>
  <c r="C41" i="211"/>
  <c r="C39" i="211"/>
  <c r="D39" i="211" s="1"/>
  <c r="D37" i="211"/>
  <c r="C37" i="211"/>
  <c r="C35" i="211"/>
  <c r="D35" i="211" s="1"/>
  <c r="D33" i="211"/>
  <c r="C33" i="211"/>
  <c r="C31" i="211"/>
  <c r="D31" i="211" s="1"/>
  <c r="D29" i="211"/>
  <c r="C29" i="211"/>
  <c r="C27" i="211"/>
  <c r="D27" i="211" s="1"/>
  <c r="D25" i="211"/>
  <c r="C25" i="211"/>
  <c r="C23" i="211"/>
  <c r="D23" i="211" s="1"/>
  <c r="D21" i="211"/>
  <c r="C21" i="211"/>
  <c r="C86" i="211" s="1"/>
  <c r="C85" i="207"/>
  <c r="D85" i="207" s="1"/>
  <c r="C83" i="207"/>
  <c r="D83" i="207" s="1"/>
  <c r="C81" i="207"/>
  <c r="D81" i="207" s="1"/>
  <c r="C77" i="207"/>
  <c r="D77" i="207" s="1"/>
  <c r="C75" i="207"/>
  <c r="D75" i="207" s="1"/>
  <c r="C73" i="207"/>
  <c r="D73" i="207" s="1"/>
  <c r="C71" i="207"/>
  <c r="D71" i="207" s="1"/>
  <c r="C69" i="207"/>
  <c r="D69" i="207" s="1"/>
  <c r="C67" i="207"/>
  <c r="D67" i="207" s="1"/>
  <c r="C65" i="207"/>
  <c r="D65" i="207" s="1"/>
  <c r="C63" i="207"/>
  <c r="D63" i="207" s="1"/>
  <c r="C61" i="207"/>
  <c r="D61" i="207" s="1"/>
  <c r="C59" i="207"/>
  <c r="D59" i="207" s="1"/>
  <c r="C57" i="207"/>
  <c r="D57" i="207" s="1"/>
  <c r="C55" i="207"/>
  <c r="D55" i="207" s="1"/>
  <c r="C53" i="207"/>
  <c r="D53" i="207" s="1"/>
  <c r="C51" i="207"/>
  <c r="D51" i="207" s="1"/>
  <c r="C49" i="207"/>
  <c r="D49" i="207" s="1"/>
  <c r="C47" i="207"/>
  <c r="D47" i="207" s="1"/>
  <c r="C45" i="207"/>
  <c r="D45" i="207" s="1"/>
  <c r="C43" i="207"/>
  <c r="D43" i="207" s="1"/>
  <c r="C41" i="207"/>
  <c r="D41" i="207" s="1"/>
  <c r="C39" i="207"/>
  <c r="D39" i="207" s="1"/>
  <c r="C37" i="207"/>
  <c r="D37" i="207" s="1"/>
  <c r="C35" i="207"/>
  <c r="D35" i="207" s="1"/>
  <c r="C33" i="207"/>
  <c r="D33" i="207" s="1"/>
  <c r="C31" i="207"/>
  <c r="D31" i="207" s="1"/>
  <c r="C29" i="207"/>
  <c r="D29" i="207" s="1"/>
  <c r="C27" i="207"/>
  <c r="D27" i="207" s="1"/>
  <c r="C25" i="207"/>
  <c r="D25" i="207" s="1"/>
  <c r="C23" i="207"/>
  <c r="D23" i="207" s="1"/>
  <c r="C21" i="207"/>
  <c r="C85" i="196"/>
  <c r="D85" i="196" s="1"/>
  <c r="D83" i="196"/>
  <c r="C83" i="196"/>
  <c r="C81" i="196"/>
  <c r="D81" i="196" s="1"/>
  <c r="D77" i="196"/>
  <c r="C77" i="196"/>
  <c r="C75" i="196"/>
  <c r="D75" i="196" s="1"/>
  <c r="D73" i="196"/>
  <c r="C73" i="196"/>
  <c r="C71" i="196"/>
  <c r="D71" i="196" s="1"/>
  <c r="D69" i="196"/>
  <c r="C69" i="196"/>
  <c r="C67" i="196"/>
  <c r="D67" i="196" s="1"/>
  <c r="D65" i="196"/>
  <c r="C65" i="196"/>
  <c r="C63" i="196"/>
  <c r="D63" i="196" s="1"/>
  <c r="D61" i="196"/>
  <c r="C61" i="196"/>
  <c r="C59" i="196"/>
  <c r="D59" i="196" s="1"/>
  <c r="D57" i="196"/>
  <c r="C57" i="196"/>
  <c r="C55" i="196"/>
  <c r="D55" i="196" s="1"/>
  <c r="D53" i="196"/>
  <c r="C53" i="196"/>
  <c r="C51" i="196"/>
  <c r="D51" i="196" s="1"/>
  <c r="D49" i="196"/>
  <c r="C49" i="196"/>
  <c r="C47" i="196"/>
  <c r="D47" i="196" s="1"/>
  <c r="D45" i="196"/>
  <c r="C45" i="196"/>
  <c r="C43" i="196"/>
  <c r="D43" i="196" s="1"/>
  <c r="D41" i="196"/>
  <c r="C41" i="196"/>
  <c r="C39" i="196"/>
  <c r="D39" i="196" s="1"/>
  <c r="D37" i="196"/>
  <c r="C37" i="196"/>
  <c r="C35" i="196"/>
  <c r="D35" i="196" s="1"/>
  <c r="D33" i="196"/>
  <c r="C33" i="196"/>
  <c r="C31" i="196"/>
  <c r="D31" i="196" s="1"/>
  <c r="D29" i="196"/>
  <c r="C29" i="196"/>
  <c r="C27" i="196"/>
  <c r="D27" i="196" s="1"/>
  <c r="D25" i="196"/>
  <c r="C25" i="196"/>
  <c r="C23" i="196"/>
  <c r="D23" i="196" s="1"/>
  <c r="D21" i="196"/>
  <c r="C21" i="196"/>
  <c r="C87" i="196" s="1"/>
  <c r="C55" i="206"/>
  <c r="C49" i="206"/>
  <c r="C47" i="206"/>
  <c r="C45" i="206"/>
  <c r="C39" i="206"/>
  <c r="C37" i="206"/>
  <c r="C35" i="206"/>
  <c r="C33" i="206"/>
  <c r="C31" i="206"/>
  <c r="C87" i="206"/>
  <c r="C85" i="205"/>
  <c r="D85" i="205" s="1"/>
  <c r="D83" i="205"/>
  <c r="C83" i="205"/>
  <c r="C81" i="205"/>
  <c r="D81" i="205" s="1"/>
  <c r="D77" i="205"/>
  <c r="C77" i="205"/>
  <c r="C75" i="205"/>
  <c r="D75" i="205" s="1"/>
  <c r="D73" i="205"/>
  <c r="C73" i="205"/>
  <c r="C71" i="205"/>
  <c r="D71" i="205" s="1"/>
  <c r="D69" i="205"/>
  <c r="C69" i="205"/>
  <c r="C67" i="205"/>
  <c r="D67" i="205" s="1"/>
  <c r="D65" i="205"/>
  <c r="C65" i="205"/>
  <c r="C63" i="205"/>
  <c r="D63" i="205" s="1"/>
  <c r="D61" i="205"/>
  <c r="C61" i="205"/>
  <c r="C59" i="205"/>
  <c r="D59" i="205" s="1"/>
  <c r="D57" i="205"/>
  <c r="C57" i="205"/>
  <c r="C55" i="205"/>
  <c r="D55" i="205" s="1"/>
  <c r="D53" i="205"/>
  <c r="C53" i="205"/>
  <c r="C51" i="205"/>
  <c r="D51" i="205" s="1"/>
  <c r="D49" i="205"/>
  <c r="C49" i="205"/>
  <c r="C47" i="205"/>
  <c r="D47" i="205" s="1"/>
  <c r="D45" i="205"/>
  <c r="C45" i="205"/>
  <c r="C43" i="205"/>
  <c r="D43" i="205" s="1"/>
  <c r="D41" i="205"/>
  <c r="C41" i="205"/>
  <c r="C39" i="205"/>
  <c r="D39" i="205" s="1"/>
  <c r="D37" i="205"/>
  <c r="C37" i="205"/>
  <c r="C35" i="205"/>
  <c r="D35" i="205" s="1"/>
  <c r="D33" i="205"/>
  <c r="C33" i="205"/>
  <c r="C31" i="205"/>
  <c r="D31" i="205" s="1"/>
  <c r="D29" i="205"/>
  <c r="C29" i="205"/>
  <c r="C27" i="205"/>
  <c r="D27" i="205" s="1"/>
  <c r="D25" i="205"/>
  <c r="C25" i="205"/>
  <c r="C23" i="205"/>
  <c r="D23" i="205" s="1"/>
  <c r="D21" i="205"/>
  <c r="C21" i="205"/>
  <c r="C87" i="205" s="1"/>
  <c r="C85" i="204"/>
  <c r="D85" i="204" s="1"/>
  <c r="C83" i="204"/>
  <c r="D83" i="204" s="1"/>
  <c r="C81" i="204"/>
  <c r="D81" i="204" s="1"/>
  <c r="C77" i="204"/>
  <c r="D77" i="204" s="1"/>
  <c r="C75" i="204"/>
  <c r="D75" i="204" s="1"/>
  <c r="C73" i="204"/>
  <c r="D73" i="204" s="1"/>
  <c r="C71" i="204"/>
  <c r="D71" i="204" s="1"/>
  <c r="C69" i="204"/>
  <c r="D69" i="204" s="1"/>
  <c r="C67" i="204"/>
  <c r="D67" i="204" s="1"/>
  <c r="C65" i="204"/>
  <c r="D65" i="204" s="1"/>
  <c r="C63" i="204"/>
  <c r="D63" i="204" s="1"/>
  <c r="C61" i="204"/>
  <c r="D61" i="204" s="1"/>
  <c r="C59" i="204"/>
  <c r="D59" i="204" s="1"/>
  <c r="C57" i="204"/>
  <c r="D57" i="204" s="1"/>
  <c r="C55" i="204"/>
  <c r="D55" i="204" s="1"/>
  <c r="C53" i="204"/>
  <c r="D53" i="204" s="1"/>
  <c r="C51" i="204"/>
  <c r="D51" i="204" s="1"/>
  <c r="C49" i="204"/>
  <c r="D49" i="204" s="1"/>
  <c r="C47" i="204"/>
  <c r="D47" i="204" s="1"/>
  <c r="C45" i="204"/>
  <c r="D45" i="204" s="1"/>
  <c r="C43" i="204"/>
  <c r="D43" i="204" s="1"/>
  <c r="C41" i="204"/>
  <c r="D41" i="204" s="1"/>
  <c r="C39" i="204"/>
  <c r="D39" i="204" s="1"/>
  <c r="C37" i="204"/>
  <c r="D37" i="204" s="1"/>
  <c r="C35" i="204"/>
  <c r="D35" i="204" s="1"/>
  <c r="C33" i="204"/>
  <c r="D33" i="204" s="1"/>
  <c r="C31" i="204"/>
  <c r="D31" i="204" s="1"/>
  <c r="C29" i="204"/>
  <c r="D29" i="204" s="1"/>
  <c r="C27" i="204"/>
  <c r="D27" i="204" s="1"/>
  <c r="C25" i="204"/>
  <c r="D25" i="204" s="1"/>
  <c r="C23" i="204"/>
  <c r="D23" i="204" s="1"/>
  <c r="C21" i="204"/>
  <c r="C87" i="204" s="1"/>
  <c r="C86" i="189"/>
  <c r="D86" i="189" s="1"/>
  <c r="C84" i="189"/>
  <c r="D84" i="189" s="1"/>
  <c r="C82" i="189"/>
  <c r="D82" i="189" s="1"/>
  <c r="C78" i="189"/>
  <c r="D78" i="189" s="1"/>
  <c r="C76" i="189"/>
  <c r="D76" i="189" s="1"/>
  <c r="C74" i="189"/>
  <c r="D74" i="189" s="1"/>
  <c r="C72" i="189"/>
  <c r="D72" i="189" s="1"/>
  <c r="C70" i="189"/>
  <c r="D70" i="189" s="1"/>
  <c r="C68" i="189"/>
  <c r="D68" i="189" s="1"/>
  <c r="C66" i="189"/>
  <c r="D66" i="189" s="1"/>
  <c r="C64" i="189"/>
  <c r="D64" i="189" s="1"/>
  <c r="C62" i="189"/>
  <c r="D62" i="189" s="1"/>
  <c r="C60" i="189"/>
  <c r="D60" i="189" s="1"/>
  <c r="C58" i="189"/>
  <c r="D58" i="189" s="1"/>
  <c r="C56" i="189"/>
  <c r="D56" i="189" s="1"/>
  <c r="C54" i="189"/>
  <c r="D54" i="189" s="1"/>
  <c r="C52" i="189"/>
  <c r="D52" i="189" s="1"/>
  <c r="C50" i="189"/>
  <c r="D50" i="189" s="1"/>
  <c r="C48" i="189"/>
  <c r="D48" i="189" s="1"/>
  <c r="C46" i="189"/>
  <c r="D46" i="189" s="1"/>
  <c r="C44" i="189"/>
  <c r="D44" i="189" s="1"/>
  <c r="C42" i="189"/>
  <c r="D42" i="189" s="1"/>
  <c r="C40" i="189"/>
  <c r="D40" i="189" s="1"/>
  <c r="C38" i="189"/>
  <c r="D38" i="189" s="1"/>
  <c r="C36" i="189"/>
  <c r="D36" i="189" s="1"/>
  <c r="C34" i="189"/>
  <c r="D34" i="189" s="1"/>
  <c r="C32" i="189"/>
  <c r="D32" i="189" s="1"/>
  <c r="C30" i="189"/>
  <c r="D30" i="189" s="1"/>
  <c r="C28" i="189"/>
  <c r="D28" i="189" s="1"/>
  <c r="C26" i="189"/>
  <c r="D26" i="189" s="1"/>
  <c r="C24" i="189"/>
  <c r="D24" i="189" s="1"/>
  <c r="C22" i="189"/>
  <c r="C88" i="189" s="1"/>
  <c r="C72" i="188"/>
  <c r="C70" i="188"/>
  <c r="C68" i="188"/>
  <c r="C66" i="188"/>
  <c r="C64" i="188"/>
  <c r="C60" i="188"/>
  <c r="C58" i="188"/>
  <c r="C56" i="188"/>
  <c r="C54" i="188"/>
  <c r="C52" i="188"/>
  <c r="C50" i="188"/>
  <c r="C48" i="188"/>
  <c r="C46" i="188"/>
  <c r="C44" i="188"/>
  <c r="C42" i="188"/>
  <c r="C40" i="188"/>
  <c r="C38" i="188"/>
  <c r="C34" i="188"/>
  <c r="C32" i="188"/>
  <c r="C30" i="188"/>
  <c r="C88" i="188"/>
  <c r="C84" i="187"/>
  <c r="D84" i="187" s="1"/>
  <c r="D82" i="187"/>
  <c r="C82" i="187"/>
  <c r="C80" i="187"/>
  <c r="D80" i="187" s="1"/>
  <c r="D77" i="187"/>
  <c r="C77" i="187"/>
  <c r="C75" i="187"/>
  <c r="D75" i="187" s="1"/>
  <c r="D73" i="187"/>
  <c r="C73" i="187"/>
  <c r="C71" i="187"/>
  <c r="D71" i="187" s="1"/>
  <c r="D69" i="187"/>
  <c r="C69" i="187"/>
  <c r="C67" i="187"/>
  <c r="D67" i="187" s="1"/>
  <c r="D65" i="187"/>
  <c r="C65" i="187"/>
  <c r="C63" i="187"/>
  <c r="D63" i="187" s="1"/>
  <c r="D61" i="187"/>
  <c r="C61" i="187"/>
  <c r="C59" i="187"/>
  <c r="D59" i="187" s="1"/>
  <c r="D57" i="187"/>
  <c r="C57" i="187"/>
  <c r="C55" i="187"/>
  <c r="D55" i="187" s="1"/>
  <c r="D53" i="187"/>
  <c r="C53" i="187"/>
  <c r="C51" i="187"/>
  <c r="D51" i="187" s="1"/>
  <c r="D49" i="187"/>
  <c r="C49" i="187"/>
  <c r="C47" i="187"/>
  <c r="D47" i="187" s="1"/>
  <c r="D45" i="187"/>
  <c r="C45" i="187"/>
  <c r="C43" i="187"/>
  <c r="D43" i="187" s="1"/>
  <c r="D41" i="187"/>
  <c r="C41" i="187"/>
  <c r="C39" i="187"/>
  <c r="D39" i="187" s="1"/>
  <c r="D37" i="187"/>
  <c r="C37" i="187"/>
  <c r="C35" i="187"/>
  <c r="D35" i="187" s="1"/>
  <c r="D33" i="187"/>
  <c r="C33" i="187"/>
  <c r="C31" i="187"/>
  <c r="D31" i="187" s="1"/>
  <c r="D29" i="187"/>
  <c r="C29" i="187"/>
  <c r="C27" i="187"/>
  <c r="D27" i="187" s="1"/>
  <c r="D25" i="187"/>
  <c r="C25" i="187"/>
  <c r="C23" i="187"/>
  <c r="D23" i="187" s="1"/>
  <c r="D21" i="187"/>
  <c r="C21" i="187"/>
  <c r="C86" i="187" s="1"/>
  <c r="C84" i="184"/>
  <c r="D84" i="184" s="1"/>
  <c r="C82" i="184"/>
  <c r="D82" i="184" s="1"/>
  <c r="C80" i="184"/>
  <c r="D80" i="184" s="1"/>
  <c r="C77" i="184"/>
  <c r="D77" i="184" s="1"/>
  <c r="C75" i="184"/>
  <c r="D75" i="184" s="1"/>
  <c r="C73" i="184"/>
  <c r="D73" i="184" s="1"/>
  <c r="C71" i="184"/>
  <c r="D71" i="184" s="1"/>
  <c r="C69" i="184"/>
  <c r="D69" i="184" s="1"/>
  <c r="C67" i="184"/>
  <c r="D67" i="184" s="1"/>
  <c r="C65" i="184"/>
  <c r="D65" i="184" s="1"/>
  <c r="C63" i="184"/>
  <c r="D63" i="184" s="1"/>
  <c r="C61" i="184"/>
  <c r="D61" i="184" s="1"/>
  <c r="C59" i="184"/>
  <c r="D59" i="184" s="1"/>
  <c r="C57" i="184"/>
  <c r="D57" i="184" s="1"/>
  <c r="C55" i="184"/>
  <c r="D55" i="184" s="1"/>
  <c r="C53" i="184"/>
  <c r="D53" i="184" s="1"/>
  <c r="C51" i="184"/>
  <c r="D51" i="184" s="1"/>
  <c r="C49" i="184"/>
  <c r="D49" i="184" s="1"/>
  <c r="C47" i="184"/>
  <c r="D47" i="184" s="1"/>
  <c r="C45" i="184"/>
  <c r="D45" i="184" s="1"/>
  <c r="C43" i="184"/>
  <c r="D43" i="184" s="1"/>
  <c r="C41" i="184"/>
  <c r="D41" i="184" s="1"/>
  <c r="C39" i="184"/>
  <c r="D39" i="184" s="1"/>
  <c r="C37" i="184"/>
  <c r="D37" i="184" s="1"/>
  <c r="C35" i="184"/>
  <c r="D35" i="184" s="1"/>
  <c r="C33" i="184"/>
  <c r="D33" i="184" s="1"/>
  <c r="C31" i="184"/>
  <c r="D31" i="184" s="1"/>
  <c r="C29" i="184"/>
  <c r="D29" i="184" s="1"/>
  <c r="C27" i="184"/>
  <c r="D27" i="184" s="1"/>
  <c r="C25" i="184"/>
  <c r="D25" i="184" s="1"/>
  <c r="C23" i="184"/>
  <c r="D23" i="184" s="1"/>
  <c r="C21" i="184"/>
  <c r="C85" i="170"/>
  <c r="D85" i="170" s="1"/>
  <c r="C83" i="170"/>
  <c r="D83" i="170" s="1"/>
  <c r="C81" i="170"/>
  <c r="D81" i="170" s="1"/>
  <c r="C77" i="170"/>
  <c r="D77" i="170" s="1"/>
  <c r="C75" i="170"/>
  <c r="D75" i="170" s="1"/>
  <c r="C73" i="170"/>
  <c r="D73" i="170" s="1"/>
  <c r="C71" i="170"/>
  <c r="D71" i="170" s="1"/>
  <c r="C69" i="170"/>
  <c r="D69" i="170" s="1"/>
  <c r="C67" i="170"/>
  <c r="D67" i="170" s="1"/>
  <c r="C65" i="170"/>
  <c r="D65" i="170" s="1"/>
  <c r="C63" i="170"/>
  <c r="D63" i="170" s="1"/>
  <c r="C61" i="170"/>
  <c r="D61" i="170" s="1"/>
  <c r="C59" i="170"/>
  <c r="D59" i="170" s="1"/>
  <c r="C57" i="170"/>
  <c r="D57" i="170" s="1"/>
  <c r="C55" i="170"/>
  <c r="D55" i="170" s="1"/>
  <c r="C53" i="170"/>
  <c r="D53" i="170" s="1"/>
  <c r="C51" i="170"/>
  <c r="D51" i="170" s="1"/>
  <c r="C49" i="170"/>
  <c r="D49" i="170" s="1"/>
  <c r="C47" i="170"/>
  <c r="D47" i="170" s="1"/>
  <c r="C45" i="170"/>
  <c r="D45" i="170" s="1"/>
  <c r="C43" i="170"/>
  <c r="D43" i="170" s="1"/>
  <c r="C41" i="170"/>
  <c r="D41" i="170" s="1"/>
  <c r="C39" i="170"/>
  <c r="D39" i="170" s="1"/>
  <c r="C37" i="170"/>
  <c r="D37" i="170" s="1"/>
  <c r="C35" i="170"/>
  <c r="D35" i="170" s="1"/>
  <c r="C33" i="170"/>
  <c r="D33" i="170" s="1"/>
  <c r="C31" i="170"/>
  <c r="D31" i="170" s="1"/>
  <c r="C29" i="170"/>
  <c r="D29" i="170" s="1"/>
  <c r="C27" i="170"/>
  <c r="D27" i="170" s="1"/>
  <c r="C25" i="170"/>
  <c r="D25" i="170" s="1"/>
  <c r="C23" i="170"/>
  <c r="D23" i="170" s="1"/>
  <c r="C21" i="170"/>
  <c r="C86" i="90"/>
  <c r="C38" i="90"/>
  <c r="C36" i="90"/>
  <c r="C32" i="90"/>
  <c r="C85" i="166"/>
  <c r="D85" i="166" s="1"/>
  <c r="D83" i="166"/>
  <c r="C83" i="166"/>
  <c r="C81" i="166"/>
  <c r="D81" i="166" s="1"/>
  <c r="C77" i="166"/>
  <c r="D77" i="166" s="1"/>
  <c r="C75" i="166"/>
  <c r="D75" i="166" s="1"/>
  <c r="D73" i="166"/>
  <c r="C73" i="166"/>
  <c r="C71" i="166"/>
  <c r="D71" i="166" s="1"/>
  <c r="C69" i="166"/>
  <c r="D69" i="166" s="1"/>
  <c r="C67" i="166"/>
  <c r="D67" i="166" s="1"/>
  <c r="C65" i="166"/>
  <c r="D65" i="166" s="1"/>
  <c r="C63" i="166"/>
  <c r="D63" i="166" s="1"/>
  <c r="C61" i="166"/>
  <c r="D61" i="166" s="1"/>
  <c r="C59" i="166"/>
  <c r="D59" i="166" s="1"/>
  <c r="C57" i="166"/>
  <c r="D57" i="166" s="1"/>
  <c r="C55" i="166"/>
  <c r="D55" i="166" s="1"/>
  <c r="C53" i="166"/>
  <c r="D53" i="166" s="1"/>
  <c r="C51" i="166"/>
  <c r="D51" i="166" s="1"/>
  <c r="C49" i="166"/>
  <c r="D49" i="166" s="1"/>
  <c r="C47" i="166"/>
  <c r="D47" i="166" s="1"/>
  <c r="C45" i="166"/>
  <c r="D45" i="166" s="1"/>
  <c r="C43" i="166"/>
  <c r="D43" i="166" s="1"/>
  <c r="C41" i="166"/>
  <c r="D41" i="166" s="1"/>
  <c r="C39" i="166"/>
  <c r="D39" i="166" s="1"/>
  <c r="C37" i="166"/>
  <c r="D37" i="166" s="1"/>
  <c r="C35" i="166"/>
  <c r="D35" i="166" s="1"/>
  <c r="C33" i="166"/>
  <c r="D33" i="166" s="1"/>
  <c r="C31" i="166"/>
  <c r="D31" i="166" s="1"/>
  <c r="C29" i="166"/>
  <c r="D29" i="166" s="1"/>
  <c r="C27" i="166"/>
  <c r="D27" i="166" s="1"/>
  <c r="C25" i="166"/>
  <c r="D25" i="166" s="1"/>
  <c r="C23" i="166"/>
  <c r="D23" i="166" s="1"/>
  <c r="C21" i="166"/>
  <c r="C87" i="88"/>
  <c r="C65" i="88"/>
  <c r="C63" i="88"/>
  <c r="C61" i="88"/>
  <c r="C59" i="88"/>
  <c r="C57" i="88"/>
  <c r="C55" i="88"/>
  <c r="C53" i="88"/>
  <c r="C51" i="88"/>
  <c r="C49" i="88"/>
  <c r="C47" i="88"/>
  <c r="C45" i="88"/>
  <c r="C43" i="88"/>
  <c r="C41" i="88"/>
  <c r="C39" i="88"/>
  <c r="C37" i="88"/>
  <c r="C35" i="88"/>
  <c r="C33" i="88"/>
  <c r="C31" i="88"/>
  <c r="C29" i="88"/>
  <c r="C27" i="88"/>
  <c r="C23" i="88"/>
  <c r="C86" i="86"/>
  <c r="D84" i="86"/>
  <c r="D82" i="86"/>
  <c r="D85" i="86" s="1"/>
  <c r="D86" i="86" s="1"/>
  <c r="D80" i="86"/>
  <c r="D78" i="86"/>
  <c r="D77" i="86"/>
  <c r="D75" i="86"/>
  <c r="D73" i="86"/>
  <c r="D71" i="86"/>
  <c r="D69" i="86"/>
  <c r="D67" i="86"/>
  <c r="D65" i="86"/>
  <c r="D63" i="86"/>
  <c r="D61" i="86"/>
  <c r="D59" i="86"/>
  <c r="D57" i="86"/>
  <c r="D55" i="86"/>
  <c r="D53" i="86"/>
  <c r="D51" i="86"/>
  <c r="D49" i="86"/>
  <c r="D47" i="86"/>
  <c r="D45" i="86"/>
  <c r="D43" i="86"/>
  <c r="D41" i="86"/>
  <c r="D39" i="86"/>
  <c r="D37" i="86"/>
  <c r="D35" i="86"/>
  <c r="D33" i="86"/>
  <c r="D31" i="86"/>
  <c r="D29" i="86"/>
  <c r="D27" i="86"/>
  <c r="D25" i="86"/>
  <c r="D23" i="86"/>
  <c r="D21" i="86"/>
  <c r="C84" i="86"/>
  <c r="C77" i="86"/>
  <c r="C75" i="86"/>
  <c r="C73" i="86"/>
  <c r="C71" i="86"/>
  <c r="C69" i="86"/>
  <c r="C67" i="86"/>
  <c r="C65" i="86"/>
  <c r="C63" i="86"/>
  <c r="C61" i="86"/>
  <c r="C59" i="86"/>
  <c r="C57" i="86"/>
  <c r="C55" i="86"/>
  <c r="C53" i="86"/>
  <c r="C51" i="86"/>
  <c r="C49" i="86"/>
  <c r="C47" i="86"/>
  <c r="C45" i="86"/>
  <c r="C43" i="86"/>
  <c r="C41" i="86"/>
  <c r="C39" i="86"/>
  <c r="C37" i="86"/>
  <c r="C35" i="86"/>
  <c r="C33" i="86"/>
  <c r="C31" i="86"/>
  <c r="C29" i="86"/>
  <c r="C27" i="86"/>
  <c r="C25" i="86"/>
  <c r="C23" i="86"/>
  <c r="C21" i="86"/>
  <c r="C85" i="184" l="1"/>
  <c r="C86" i="170"/>
  <c r="C86" i="166"/>
  <c r="C86" i="228"/>
  <c r="D21" i="228"/>
  <c r="D86" i="228" s="1"/>
  <c r="D21" i="227"/>
  <c r="D86" i="227" s="1"/>
  <c r="C86" i="227"/>
  <c r="C86" i="215"/>
  <c r="D21" i="215"/>
  <c r="C86" i="207"/>
  <c r="D21" i="233"/>
  <c r="D86" i="233" s="1"/>
  <c r="C86" i="233"/>
  <c r="D85" i="90"/>
  <c r="D86" i="88"/>
  <c r="D87" i="235"/>
  <c r="C90" i="235" s="1"/>
  <c r="D21" i="234"/>
  <c r="D87" i="234" s="1"/>
  <c r="C90" i="234" s="1"/>
  <c r="D87" i="232"/>
  <c r="C90" i="232" s="1"/>
  <c r="D87" i="231"/>
  <c r="C90" i="231" s="1"/>
  <c r="D86" i="226"/>
  <c r="C89" i="226" s="1"/>
  <c r="D86" i="224"/>
  <c r="C89" i="224" s="1"/>
  <c r="D22" i="223"/>
  <c r="D88" i="223" s="1"/>
  <c r="C91" i="223" s="1"/>
  <c r="D21" i="222"/>
  <c r="D87" i="222" s="1"/>
  <c r="C90" i="222" s="1"/>
  <c r="D87" i="219"/>
  <c r="C90" i="219" s="1"/>
  <c r="D87" i="218"/>
  <c r="C90" i="218" s="1"/>
  <c r="D86" i="213"/>
  <c r="C89" i="213" s="1"/>
  <c r="D86" i="211"/>
  <c r="C89" i="211" s="1"/>
  <c r="D21" i="207"/>
  <c r="D87" i="196"/>
  <c r="C90" i="196" s="1"/>
  <c r="D87" i="205"/>
  <c r="C90" i="205" s="1"/>
  <c r="D21" i="204"/>
  <c r="D87" i="204" s="1"/>
  <c r="C90" i="204" s="1"/>
  <c r="D22" i="189"/>
  <c r="D88" i="189" s="1"/>
  <c r="C91" i="189" s="1"/>
  <c r="D86" i="187"/>
  <c r="C89" i="187" s="1"/>
  <c r="D21" i="184"/>
  <c r="D21" i="170"/>
  <c r="D86" i="170" s="1"/>
  <c r="D21" i="166"/>
  <c r="C89" i="86"/>
  <c r="D85" i="184" l="1"/>
  <c r="D86" i="166"/>
  <c r="D86" i="215"/>
  <c r="D86" i="207"/>
  <c r="C86" i="82"/>
  <c r="C84" i="82"/>
  <c r="D84" i="82" s="1"/>
  <c r="D82" i="82"/>
  <c r="D85" i="82" s="1"/>
  <c r="D86" i="82" s="1"/>
  <c r="D80" i="82"/>
  <c r="C77" i="82"/>
  <c r="D77" i="82" s="1"/>
  <c r="C75" i="82"/>
  <c r="D75" i="82" s="1"/>
  <c r="C73" i="82"/>
  <c r="D73" i="82" s="1"/>
  <c r="C71" i="82"/>
  <c r="D71" i="82" s="1"/>
  <c r="C69" i="82"/>
  <c r="D69" i="82" s="1"/>
  <c r="C67" i="82"/>
  <c r="D67" i="82" s="1"/>
  <c r="C65" i="82"/>
  <c r="D65" i="82" s="1"/>
  <c r="C63" i="82"/>
  <c r="D63" i="82" s="1"/>
  <c r="C61" i="82"/>
  <c r="D61" i="82" s="1"/>
  <c r="C59" i="82"/>
  <c r="D59" i="82" s="1"/>
  <c r="C57" i="82"/>
  <c r="D57" i="82" s="1"/>
  <c r="C55" i="82"/>
  <c r="D55" i="82" s="1"/>
  <c r="C53" i="82"/>
  <c r="D53" i="82" s="1"/>
  <c r="C51" i="82"/>
  <c r="D51" i="82" s="1"/>
  <c r="C49" i="82"/>
  <c r="D49" i="82" s="1"/>
  <c r="C47" i="82"/>
  <c r="D47" i="82" s="1"/>
  <c r="C45" i="82"/>
  <c r="D45" i="82" s="1"/>
  <c r="D43" i="82"/>
  <c r="C43" i="82"/>
  <c r="C41" i="82"/>
  <c r="D41" i="82" s="1"/>
  <c r="C39" i="82"/>
  <c r="D39" i="82" s="1"/>
  <c r="C37" i="82"/>
  <c r="D37" i="82" s="1"/>
  <c r="C35" i="82"/>
  <c r="D35" i="82" s="1"/>
  <c r="C33" i="82"/>
  <c r="D33" i="82" s="1"/>
  <c r="C31" i="82"/>
  <c r="D31" i="82" s="1"/>
  <c r="C29" i="82"/>
  <c r="D29" i="82" s="1"/>
  <c r="C27" i="82"/>
  <c r="D27" i="82" s="1"/>
  <c r="C25" i="82"/>
  <c r="D25" i="82" s="1"/>
  <c r="C23" i="82"/>
  <c r="D23" i="82" s="1"/>
  <c r="C21" i="82"/>
  <c r="C86" i="183"/>
  <c r="D86" i="183" s="1"/>
  <c r="C84" i="183"/>
  <c r="D84" i="183" s="1"/>
  <c r="C82" i="183"/>
  <c r="D82" i="183" s="1"/>
  <c r="C78" i="183"/>
  <c r="D78" i="183" s="1"/>
  <c r="C76" i="183"/>
  <c r="D76" i="183" s="1"/>
  <c r="C74" i="183"/>
  <c r="D74" i="183" s="1"/>
  <c r="C72" i="183"/>
  <c r="D72" i="183" s="1"/>
  <c r="C70" i="183"/>
  <c r="D70" i="183" s="1"/>
  <c r="C68" i="183"/>
  <c r="D68" i="183" s="1"/>
  <c r="C66" i="183"/>
  <c r="D66" i="183" s="1"/>
  <c r="C64" i="183"/>
  <c r="D64" i="183" s="1"/>
  <c r="C62" i="183"/>
  <c r="D62" i="183" s="1"/>
  <c r="C60" i="183"/>
  <c r="D60" i="183" s="1"/>
  <c r="C58" i="183"/>
  <c r="D58" i="183" s="1"/>
  <c r="C56" i="183"/>
  <c r="D56" i="183" s="1"/>
  <c r="C54" i="183"/>
  <c r="D54" i="183" s="1"/>
  <c r="C52" i="183"/>
  <c r="D52" i="183" s="1"/>
  <c r="C50" i="183"/>
  <c r="D50" i="183" s="1"/>
  <c r="C48" i="183"/>
  <c r="D48" i="183" s="1"/>
  <c r="C46" i="183"/>
  <c r="D46" i="183" s="1"/>
  <c r="C44" i="183"/>
  <c r="D44" i="183" s="1"/>
  <c r="C42" i="183"/>
  <c r="D42" i="183" s="1"/>
  <c r="C40" i="183"/>
  <c r="D40" i="183" s="1"/>
  <c r="C38" i="183"/>
  <c r="D38" i="183" s="1"/>
  <c r="C36" i="183"/>
  <c r="D36" i="183" s="1"/>
  <c r="C34" i="183"/>
  <c r="D34" i="183" s="1"/>
  <c r="C32" i="183"/>
  <c r="D32" i="183" s="1"/>
  <c r="C30" i="183"/>
  <c r="D30" i="183" s="1"/>
  <c r="C28" i="183"/>
  <c r="D28" i="183" s="1"/>
  <c r="C26" i="183"/>
  <c r="D26" i="183" s="1"/>
  <c r="C24" i="183"/>
  <c r="D24" i="183" s="1"/>
  <c r="C22" i="183"/>
  <c r="C87" i="183" s="1"/>
  <c r="D88" i="175"/>
  <c r="C88" i="175"/>
  <c r="C86" i="175"/>
  <c r="D86" i="175" s="1"/>
  <c r="C84" i="175"/>
  <c r="D84" i="175" s="1"/>
  <c r="C82" i="175"/>
  <c r="D82" i="175" s="1"/>
  <c r="C78" i="175"/>
  <c r="D78" i="175" s="1"/>
  <c r="C76" i="175"/>
  <c r="D76" i="175" s="1"/>
  <c r="C74" i="175"/>
  <c r="D74" i="175" s="1"/>
  <c r="C72" i="175"/>
  <c r="D72" i="175" s="1"/>
  <c r="C70" i="175"/>
  <c r="D70" i="175" s="1"/>
  <c r="C68" i="175"/>
  <c r="D68" i="175" s="1"/>
  <c r="C66" i="175"/>
  <c r="D66" i="175" s="1"/>
  <c r="C64" i="175"/>
  <c r="D64" i="175" s="1"/>
  <c r="C62" i="175"/>
  <c r="D62" i="175" s="1"/>
  <c r="C60" i="175"/>
  <c r="D60" i="175" s="1"/>
  <c r="C58" i="175"/>
  <c r="D58" i="175" s="1"/>
  <c r="C56" i="175"/>
  <c r="D56" i="175" s="1"/>
  <c r="C54" i="175"/>
  <c r="D54" i="175" s="1"/>
  <c r="C52" i="175"/>
  <c r="D52" i="175" s="1"/>
  <c r="D50" i="175"/>
  <c r="C50" i="175"/>
  <c r="C48" i="175"/>
  <c r="D48" i="175" s="1"/>
  <c r="C46" i="175"/>
  <c r="D46" i="175" s="1"/>
  <c r="C44" i="175"/>
  <c r="D44" i="175" s="1"/>
  <c r="C42" i="175"/>
  <c r="D42" i="175" s="1"/>
  <c r="C40" i="175"/>
  <c r="D40" i="175" s="1"/>
  <c r="C38" i="175"/>
  <c r="D38" i="175" s="1"/>
  <c r="C36" i="175"/>
  <c r="D36" i="175" s="1"/>
  <c r="C34" i="175"/>
  <c r="D34" i="175" s="1"/>
  <c r="C32" i="175"/>
  <c r="D32" i="175" s="1"/>
  <c r="C30" i="175"/>
  <c r="D30" i="175" s="1"/>
  <c r="C28" i="175"/>
  <c r="D28" i="175" s="1"/>
  <c r="C26" i="175"/>
  <c r="D26" i="175" s="1"/>
  <c r="C24" i="175"/>
  <c r="D24" i="175" s="1"/>
  <c r="C22" i="175"/>
  <c r="D22" i="175" s="1"/>
  <c r="C88" i="174"/>
  <c r="C72" i="174"/>
  <c r="C66" i="174"/>
  <c r="C64" i="174"/>
  <c r="C60" i="174"/>
  <c r="C56" i="174"/>
  <c r="C54" i="174"/>
  <c r="C52" i="174"/>
  <c r="C50" i="174"/>
  <c r="C46" i="174"/>
  <c r="C44" i="174"/>
  <c r="C42" i="174"/>
  <c r="C40" i="174"/>
  <c r="C38" i="174"/>
  <c r="C34" i="174"/>
  <c r="C30" i="174"/>
  <c r="C28" i="174"/>
  <c r="C26" i="174"/>
  <c r="D86" i="173"/>
  <c r="C86" i="173"/>
  <c r="C84" i="173"/>
  <c r="D84" i="173" s="1"/>
  <c r="C82" i="173"/>
  <c r="D82" i="173" s="1"/>
  <c r="C80" i="173"/>
  <c r="D80" i="173" s="1"/>
  <c r="C77" i="173"/>
  <c r="D77" i="173" s="1"/>
  <c r="C75" i="173"/>
  <c r="D75" i="173" s="1"/>
  <c r="C73" i="173"/>
  <c r="D73" i="173" s="1"/>
  <c r="C71" i="173"/>
  <c r="D71" i="173" s="1"/>
  <c r="C69" i="173"/>
  <c r="D69" i="173" s="1"/>
  <c r="C67" i="173"/>
  <c r="D67" i="173" s="1"/>
  <c r="D65" i="173"/>
  <c r="C65" i="173"/>
  <c r="C63" i="173"/>
  <c r="D63" i="173" s="1"/>
  <c r="C61" i="173"/>
  <c r="D61" i="173" s="1"/>
  <c r="C59" i="173"/>
  <c r="D59" i="173" s="1"/>
  <c r="D57" i="173"/>
  <c r="C57" i="173"/>
  <c r="C55" i="173"/>
  <c r="D55" i="173" s="1"/>
  <c r="C53" i="173"/>
  <c r="D53" i="173" s="1"/>
  <c r="C51" i="173"/>
  <c r="D51" i="173" s="1"/>
  <c r="D49" i="173"/>
  <c r="C49" i="173"/>
  <c r="C47" i="173"/>
  <c r="D47" i="173" s="1"/>
  <c r="C45" i="173"/>
  <c r="D45" i="173" s="1"/>
  <c r="C43" i="173"/>
  <c r="D43" i="173" s="1"/>
  <c r="D41" i="173"/>
  <c r="C41" i="173"/>
  <c r="C39" i="173"/>
  <c r="D39" i="173" s="1"/>
  <c r="C37" i="173"/>
  <c r="D37" i="173" s="1"/>
  <c r="C35" i="173"/>
  <c r="D35" i="173" s="1"/>
  <c r="D33" i="173"/>
  <c r="C33" i="173"/>
  <c r="C31" i="173"/>
  <c r="D31" i="173" s="1"/>
  <c r="C29" i="173"/>
  <c r="D29" i="173" s="1"/>
  <c r="C27" i="173"/>
  <c r="D27" i="173" s="1"/>
  <c r="D25" i="173"/>
  <c r="C25" i="173"/>
  <c r="C23" i="173"/>
  <c r="D23" i="173" s="1"/>
  <c r="D21" i="173"/>
  <c r="C21" i="173"/>
  <c r="D86" i="171"/>
  <c r="C86" i="171"/>
  <c r="C84" i="171"/>
  <c r="D84" i="171" s="1"/>
  <c r="C82" i="171"/>
  <c r="D82" i="171" s="1"/>
  <c r="C80" i="171"/>
  <c r="D80" i="171" s="1"/>
  <c r="D77" i="171"/>
  <c r="C77" i="171"/>
  <c r="C75" i="171"/>
  <c r="D75" i="171" s="1"/>
  <c r="C73" i="171"/>
  <c r="D73" i="171" s="1"/>
  <c r="C71" i="171"/>
  <c r="D71" i="171" s="1"/>
  <c r="C69" i="171"/>
  <c r="D69" i="171" s="1"/>
  <c r="C67" i="171"/>
  <c r="D67" i="171" s="1"/>
  <c r="C65" i="171"/>
  <c r="D65" i="171" s="1"/>
  <c r="C63" i="171"/>
  <c r="D63" i="171" s="1"/>
  <c r="C61" i="171"/>
  <c r="D61" i="171" s="1"/>
  <c r="C59" i="171"/>
  <c r="D59" i="171" s="1"/>
  <c r="C57" i="171"/>
  <c r="D57" i="171" s="1"/>
  <c r="C55" i="171"/>
  <c r="D55" i="171" s="1"/>
  <c r="C53" i="171"/>
  <c r="D53" i="171" s="1"/>
  <c r="C51" i="171"/>
  <c r="D51" i="171" s="1"/>
  <c r="C49" i="171"/>
  <c r="D49" i="171" s="1"/>
  <c r="C47" i="171"/>
  <c r="D47" i="171" s="1"/>
  <c r="C45" i="171"/>
  <c r="D45" i="171" s="1"/>
  <c r="C43" i="171"/>
  <c r="D43" i="171" s="1"/>
  <c r="C41" i="171"/>
  <c r="D41" i="171" s="1"/>
  <c r="C39" i="171"/>
  <c r="D39" i="171" s="1"/>
  <c r="C37" i="171"/>
  <c r="D37" i="171" s="1"/>
  <c r="C35" i="171"/>
  <c r="D35" i="171" s="1"/>
  <c r="C33" i="171"/>
  <c r="D33" i="171" s="1"/>
  <c r="C31" i="171"/>
  <c r="D31" i="171" s="1"/>
  <c r="C29" i="171"/>
  <c r="D29" i="171" s="1"/>
  <c r="C27" i="171"/>
  <c r="D27" i="171" s="1"/>
  <c r="C25" i="171"/>
  <c r="D25" i="171" s="1"/>
  <c r="C23" i="171"/>
  <c r="D23" i="171" s="1"/>
  <c r="C21" i="171"/>
  <c r="D21" i="171" s="1"/>
  <c r="C87" i="80"/>
  <c r="C85" i="80"/>
  <c r="D85" i="80" s="1"/>
  <c r="D83" i="80"/>
  <c r="D86" i="80" s="1"/>
  <c r="D87" i="80" s="1"/>
  <c r="D81" i="80"/>
  <c r="D79" i="80"/>
  <c r="D77" i="80"/>
  <c r="C75" i="80"/>
  <c r="D75" i="80" s="1"/>
  <c r="C73" i="80"/>
  <c r="D73" i="80" s="1"/>
  <c r="C71" i="80"/>
  <c r="D71" i="80" s="1"/>
  <c r="C69" i="80"/>
  <c r="D69" i="80" s="1"/>
  <c r="C67" i="80"/>
  <c r="D67" i="80" s="1"/>
  <c r="C65" i="80"/>
  <c r="D65" i="80" s="1"/>
  <c r="C63" i="80"/>
  <c r="D63" i="80" s="1"/>
  <c r="C61" i="80"/>
  <c r="D61" i="80" s="1"/>
  <c r="C59" i="80"/>
  <c r="D59" i="80" s="1"/>
  <c r="C57" i="80"/>
  <c r="D57" i="80" s="1"/>
  <c r="C55" i="80"/>
  <c r="D55" i="80" s="1"/>
  <c r="C53" i="80"/>
  <c r="D53" i="80" s="1"/>
  <c r="C51" i="80"/>
  <c r="D51" i="80" s="1"/>
  <c r="C49" i="80"/>
  <c r="D49" i="80" s="1"/>
  <c r="C47" i="80"/>
  <c r="D47" i="80" s="1"/>
  <c r="C45" i="80"/>
  <c r="D45" i="80" s="1"/>
  <c r="C43" i="80"/>
  <c r="D43" i="80" s="1"/>
  <c r="C41" i="80"/>
  <c r="D41" i="80" s="1"/>
  <c r="C39" i="80"/>
  <c r="D39" i="80" s="1"/>
  <c r="C37" i="80"/>
  <c r="D37" i="80" s="1"/>
  <c r="C35" i="80"/>
  <c r="D35" i="80" s="1"/>
  <c r="C33" i="80"/>
  <c r="D33" i="80" s="1"/>
  <c r="C31" i="80"/>
  <c r="D31" i="80" s="1"/>
  <c r="C29" i="80"/>
  <c r="D29" i="80" s="1"/>
  <c r="C27" i="80"/>
  <c r="D27" i="80" s="1"/>
  <c r="C25" i="80"/>
  <c r="D25" i="80" s="1"/>
  <c r="C23" i="80"/>
  <c r="D23" i="80" s="1"/>
  <c r="C21" i="80"/>
  <c r="D87" i="56"/>
  <c r="C87" i="56"/>
  <c r="D85" i="56"/>
  <c r="D83" i="56"/>
  <c r="D81" i="56"/>
  <c r="D79" i="56"/>
  <c r="D77" i="56"/>
  <c r="D75" i="56"/>
  <c r="D73" i="56"/>
  <c r="D71" i="56"/>
  <c r="D69" i="56"/>
  <c r="D67" i="56"/>
  <c r="D65" i="56"/>
  <c r="D63" i="56"/>
  <c r="D61" i="56"/>
  <c r="D59" i="56"/>
  <c r="D57" i="56"/>
  <c r="D55" i="56"/>
  <c r="D53" i="56"/>
  <c r="D51" i="56"/>
  <c r="D49" i="56"/>
  <c r="D47" i="56"/>
  <c r="D45" i="56"/>
  <c r="D43" i="56"/>
  <c r="D41" i="56"/>
  <c r="D39" i="56"/>
  <c r="D37" i="56"/>
  <c r="D35" i="56"/>
  <c r="D33" i="56"/>
  <c r="D31" i="56"/>
  <c r="D29" i="56"/>
  <c r="D27" i="56"/>
  <c r="D25" i="56"/>
  <c r="D23" i="56"/>
  <c r="D21" i="56"/>
  <c r="C85" i="56"/>
  <c r="C83" i="56"/>
  <c r="C81" i="56"/>
  <c r="C77" i="56"/>
  <c r="C75" i="56"/>
  <c r="C73" i="56"/>
  <c r="C71" i="56"/>
  <c r="C69" i="56"/>
  <c r="C67" i="56"/>
  <c r="C65" i="56"/>
  <c r="C63" i="56"/>
  <c r="C61" i="56"/>
  <c r="C59" i="56"/>
  <c r="C57" i="56"/>
  <c r="C55" i="56"/>
  <c r="C53" i="56"/>
  <c r="C51" i="56"/>
  <c r="C49" i="56"/>
  <c r="C47" i="56"/>
  <c r="C45" i="56"/>
  <c r="C43" i="56"/>
  <c r="C41" i="56"/>
  <c r="C39" i="56"/>
  <c r="C37" i="56"/>
  <c r="C35" i="56"/>
  <c r="C33" i="56"/>
  <c r="C31" i="56"/>
  <c r="C29" i="56"/>
  <c r="C27" i="56"/>
  <c r="C25" i="56"/>
  <c r="C23" i="56"/>
  <c r="C21" i="56"/>
  <c r="C88" i="38"/>
  <c r="D86" i="38"/>
  <c r="D84" i="38"/>
  <c r="D82" i="38"/>
  <c r="D80" i="38"/>
  <c r="D78" i="38"/>
  <c r="D76" i="38"/>
  <c r="D74" i="38"/>
  <c r="D72" i="38"/>
  <c r="D70" i="38"/>
  <c r="D68" i="38"/>
  <c r="D66" i="38"/>
  <c r="D64" i="38"/>
  <c r="D62" i="38"/>
  <c r="D60" i="38"/>
  <c r="D58" i="38"/>
  <c r="D56" i="38"/>
  <c r="D54" i="38"/>
  <c r="D52" i="38"/>
  <c r="D50" i="38"/>
  <c r="D48" i="38"/>
  <c r="D46" i="38"/>
  <c r="D44" i="38"/>
  <c r="D42" i="38"/>
  <c r="D40" i="38"/>
  <c r="D38" i="38"/>
  <c r="D36" i="38"/>
  <c r="D34" i="38"/>
  <c r="D32" i="38"/>
  <c r="D30" i="38"/>
  <c r="D28" i="38"/>
  <c r="D26" i="38"/>
  <c r="D24" i="38"/>
  <c r="D22" i="38"/>
  <c r="C86" i="38"/>
  <c r="C74" i="38"/>
  <c r="C72" i="38"/>
  <c r="C70" i="38"/>
  <c r="C68" i="38"/>
  <c r="C66" i="38"/>
  <c r="C64" i="38"/>
  <c r="C62" i="38"/>
  <c r="C60" i="38"/>
  <c r="C58" i="38"/>
  <c r="C56" i="38"/>
  <c r="C54" i="38"/>
  <c r="C52" i="38"/>
  <c r="C50" i="38"/>
  <c r="C48" i="38"/>
  <c r="C46" i="38"/>
  <c r="C44" i="38"/>
  <c r="C42" i="38"/>
  <c r="C40" i="38"/>
  <c r="C38" i="38"/>
  <c r="C36" i="38"/>
  <c r="C34" i="38"/>
  <c r="C32" i="38"/>
  <c r="C30" i="38"/>
  <c r="C28" i="38"/>
  <c r="C87" i="26"/>
  <c r="C73" i="26"/>
  <c r="C63" i="26"/>
  <c r="C61" i="26"/>
  <c r="C59" i="26"/>
  <c r="C57" i="26"/>
  <c r="C55" i="26"/>
  <c r="C53" i="26"/>
  <c r="C51" i="26"/>
  <c r="C49" i="26"/>
  <c r="C47" i="26"/>
  <c r="C45" i="26"/>
  <c r="C43" i="26"/>
  <c r="C41" i="26"/>
  <c r="C39" i="26"/>
  <c r="C37" i="26"/>
  <c r="C35" i="26"/>
  <c r="C33" i="26"/>
  <c r="C31" i="26"/>
  <c r="C29" i="26"/>
  <c r="D84" i="22"/>
  <c r="D82" i="22"/>
  <c r="D80" i="22"/>
  <c r="D78" i="22"/>
  <c r="D77" i="22"/>
  <c r="D75" i="22"/>
  <c r="D73" i="22"/>
  <c r="D71" i="22"/>
  <c r="D69" i="22"/>
  <c r="D67" i="22"/>
  <c r="D65" i="22"/>
  <c r="D49" i="22"/>
  <c r="D41" i="22"/>
  <c r="D33" i="22"/>
  <c r="D25" i="22"/>
  <c r="D23" i="22"/>
  <c r="D21" i="22"/>
  <c r="C71" i="22"/>
  <c r="C63" i="22"/>
  <c r="D63" i="22" s="1"/>
  <c r="C61" i="22"/>
  <c r="D61" i="22" s="1"/>
  <c r="C59" i="22"/>
  <c r="D59" i="22" s="1"/>
  <c r="C57" i="22"/>
  <c r="D57" i="22" s="1"/>
  <c r="C55" i="22"/>
  <c r="D55" i="22" s="1"/>
  <c r="C53" i="22"/>
  <c r="D53" i="22" s="1"/>
  <c r="C51" i="22"/>
  <c r="D51" i="22" s="1"/>
  <c r="C49" i="22"/>
  <c r="C47" i="22"/>
  <c r="D47" i="22" s="1"/>
  <c r="C45" i="22"/>
  <c r="D45" i="22" s="1"/>
  <c r="C43" i="22"/>
  <c r="D43" i="22" s="1"/>
  <c r="C41" i="22"/>
  <c r="C39" i="22"/>
  <c r="D39" i="22" s="1"/>
  <c r="C37" i="22"/>
  <c r="D37" i="22" s="1"/>
  <c r="C35" i="22"/>
  <c r="D35" i="22" s="1"/>
  <c r="C33" i="22"/>
  <c r="C31" i="22"/>
  <c r="D31" i="22" s="1"/>
  <c r="C29" i="22"/>
  <c r="D29" i="22" s="1"/>
  <c r="C27" i="22"/>
  <c r="D27" i="22" s="1"/>
  <c r="C25" i="22"/>
  <c r="C87" i="13"/>
  <c r="D79" i="13"/>
  <c r="C65" i="13"/>
  <c r="C63" i="13"/>
  <c r="C61" i="13"/>
  <c r="C59" i="13"/>
  <c r="C57" i="13"/>
  <c r="C55" i="13"/>
  <c r="C53" i="13"/>
  <c r="C51" i="13"/>
  <c r="C49" i="13"/>
  <c r="C47" i="13"/>
  <c r="C45" i="13"/>
  <c r="C43" i="13"/>
  <c r="C41" i="13"/>
  <c r="C39" i="13"/>
  <c r="C86" i="12"/>
  <c r="D84" i="12"/>
  <c r="D82" i="12"/>
  <c r="D80" i="12"/>
  <c r="D78" i="12"/>
  <c r="D77" i="12"/>
  <c r="D75" i="12"/>
  <c r="D73" i="12"/>
  <c r="D71" i="12"/>
  <c r="D69" i="12"/>
  <c r="D67" i="12"/>
  <c r="D65" i="12"/>
  <c r="D63" i="12"/>
  <c r="D61" i="12"/>
  <c r="D59" i="12"/>
  <c r="D57" i="12"/>
  <c r="D55" i="12"/>
  <c r="D53" i="12"/>
  <c r="D51" i="12"/>
  <c r="D49" i="12"/>
  <c r="D47" i="12"/>
  <c r="D45" i="12"/>
  <c r="D43" i="12"/>
  <c r="D41" i="12"/>
  <c r="D39" i="12"/>
  <c r="D37" i="12"/>
  <c r="D35" i="12"/>
  <c r="D33" i="12"/>
  <c r="D31" i="12"/>
  <c r="D29" i="12"/>
  <c r="D27" i="12"/>
  <c r="D25" i="12"/>
  <c r="D23" i="12"/>
  <c r="D21" i="12"/>
  <c r="C84" i="12"/>
  <c r="C73" i="12"/>
  <c r="C71" i="12"/>
  <c r="C69" i="12"/>
  <c r="C59" i="12"/>
  <c r="C57" i="12"/>
  <c r="C55" i="12"/>
  <c r="C53" i="12"/>
  <c r="C51" i="12"/>
  <c r="C49" i="12"/>
  <c r="C47" i="12"/>
  <c r="C45" i="12"/>
  <c r="C43" i="12"/>
  <c r="C41" i="12"/>
  <c r="C39" i="12"/>
  <c r="C37" i="12"/>
  <c r="C35" i="12"/>
  <c r="C33" i="12"/>
  <c r="C31" i="12"/>
  <c r="C29" i="12"/>
  <c r="C27" i="12"/>
  <c r="C87" i="162"/>
  <c r="C85" i="162"/>
  <c r="D85" i="162" s="1"/>
  <c r="D83" i="162"/>
  <c r="D81" i="162"/>
  <c r="D79" i="162"/>
  <c r="D77" i="162"/>
  <c r="D75" i="162"/>
  <c r="D73" i="162"/>
  <c r="D71" i="162"/>
  <c r="D69" i="162"/>
  <c r="D67" i="162"/>
  <c r="D65" i="162"/>
  <c r="D63" i="162"/>
  <c r="C61" i="162"/>
  <c r="D61" i="162" s="1"/>
  <c r="C59" i="162"/>
  <c r="D59" i="162" s="1"/>
  <c r="C57" i="162"/>
  <c r="D57" i="162" s="1"/>
  <c r="C55" i="162"/>
  <c r="D55" i="162" s="1"/>
  <c r="C53" i="162"/>
  <c r="D53" i="162" s="1"/>
  <c r="C51" i="162"/>
  <c r="D51" i="162" s="1"/>
  <c r="C49" i="162"/>
  <c r="D49" i="162" s="1"/>
  <c r="C47" i="162"/>
  <c r="D47" i="162" s="1"/>
  <c r="C45" i="162"/>
  <c r="D45" i="162" s="1"/>
  <c r="C43" i="162"/>
  <c r="D43" i="162" s="1"/>
  <c r="C41" i="162"/>
  <c r="D41" i="162" s="1"/>
  <c r="D39" i="162"/>
  <c r="D37" i="162"/>
  <c r="C35" i="162"/>
  <c r="D35" i="162" s="1"/>
  <c r="D33" i="162"/>
  <c r="D31" i="162"/>
  <c r="D29" i="162"/>
  <c r="D27" i="162"/>
  <c r="D25" i="162"/>
  <c r="D23" i="162"/>
  <c r="C87" i="159"/>
  <c r="D85" i="159"/>
  <c r="D83" i="159"/>
  <c r="D81" i="159"/>
  <c r="D79" i="159"/>
  <c r="D77" i="159"/>
  <c r="D75" i="159"/>
  <c r="D73" i="159"/>
  <c r="D71" i="159"/>
  <c r="D69" i="159"/>
  <c r="D67" i="159"/>
  <c r="D65" i="159"/>
  <c r="D63" i="159"/>
  <c r="D61" i="159"/>
  <c r="D59" i="159"/>
  <c r="D57" i="159"/>
  <c r="D55" i="159"/>
  <c r="C55" i="159"/>
  <c r="D53" i="159"/>
  <c r="D51" i="159"/>
  <c r="D49" i="159"/>
  <c r="D47" i="159"/>
  <c r="C47" i="159"/>
  <c r="D45" i="159"/>
  <c r="D43" i="159"/>
  <c r="C43" i="159"/>
  <c r="D41" i="159"/>
  <c r="C41" i="159"/>
  <c r="D39" i="159"/>
  <c r="C39" i="159"/>
  <c r="D37" i="159"/>
  <c r="C37" i="159"/>
  <c r="D35" i="159"/>
  <c r="C35" i="159"/>
  <c r="D33" i="159"/>
  <c r="D31" i="159"/>
  <c r="D29" i="159"/>
  <c r="D27" i="159"/>
  <c r="D25" i="159"/>
  <c r="D23" i="159"/>
  <c r="D21" i="159"/>
  <c r="C87" i="160"/>
  <c r="C85" i="160"/>
  <c r="D85" i="160" s="1"/>
  <c r="D83" i="160"/>
  <c r="D81" i="160"/>
  <c r="D79" i="160"/>
  <c r="D77" i="160"/>
  <c r="D75" i="160"/>
  <c r="D73" i="160"/>
  <c r="D71" i="160"/>
  <c r="D69" i="160"/>
  <c r="C69" i="160"/>
  <c r="D67" i="160"/>
  <c r="D65" i="160"/>
  <c r="C65" i="160"/>
  <c r="D63" i="160"/>
  <c r="C63" i="160"/>
  <c r="C61" i="160"/>
  <c r="D61" i="160" s="1"/>
  <c r="C59" i="160"/>
  <c r="D59" i="160" s="1"/>
  <c r="C57" i="160"/>
  <c r="D57" i="160" s="1"/>
  <c r="D55" i="160"/>
  <c r="C55" i="160"/>
  <c r="C53" i="160"/>
  <c r="D53" i="160" s="1"/>
  <c r="C51" i="160"/>
  <c r="D51" i="160" s="1"/>
  <c r="C49" i="160"/>
  <c r="D49" i="160" s="1"/>
  <c r="D47" i="160"/>
  <c r="C47" i="160"/>
  <c r="C45" i="160"/>
  <c r="D45" i="160" s="1"/>
  <c r="C43" i="160"/>
  <c r="D43" i="160" s="1"/>
  <c r="C41" i="160"/>
  <c r="D41" i="160" s="1"/>
  <c r="D39" i="160"/>
  <c r="C39" i="160"/>
  <c r="C37" i="160"/>
  <c r="D37" i="160" s="1"/>
  <c r="C35" i="160"/>
  <c r="D35" i="160" s="1"/>
  <c r="C33" i="160"/>
  <c r="D33" i="160" s="1"/>
  <c r="D31" i="160"/>
  <c r="C31" i="160"/>
  <c r="C29" i="160"/>
  <c r="D29" i="160" s="1"/>
  <c r="C27" i="160"/>
  <c r="D27" i="160" s="1"/>
  <c r="C25" i="160"/>
  <c r="D25" i="160" s="1"/>
  <c r="D23" i="160"/>
  <c r="C23" i="160"/>
  <c r="C21" i="160"/>
  <c r="C87" i="161"/>
  <c r="D85" i="161"/>
  <c r="D81" i="161"/>
  <c r="D79" i="161"/>
  <c r="D77" i="161"/>
  <c r="D75" i="161"/>
  <c r="D73" i="161"/>
  <c r="D71" i="161"/>
  <c r="D69" i="161"/>
  <c r="D67" i="161"/>
  <c r="D65" i="161"/>
  <c r="D63" i="161"/>
  <c r="D61" i="161"/>
  <c r="D59" i="161"/>
  <c r="D57" i="161"/>
  <c r="D55" i="161"/>
  <c r="D53" i="161"/>
  <c r="D51" i="161"/>
  <c r="D49" i="161"/>
  <c r="D47" i="161"/>
  <c r="D45" i="161"/>
  <c r="D43" i="161"/>
  <c r="D41" i="161"/>
  <c r="D39" i="161"/>
  <c r="D37" i="161"/>
  <c r="D35" i="161"/>
  <c r="D33" i="161"/>
  <c r="D31" i="161"/>
  <c r="D29" i="161"/>
  <c r="D27" i="161"/>
  <c r="D25" i="161"/>
  <c r="D23" i="161"/>
  <c r="D21" i="161"/>
  <c r="C65" i="161"/>
  <c r="C63" i="161"/>
  <c r="C61" i="161"/>
  <c r="C59" i="161"/>
  <c r="C51" i="161"/>
  <c r="C45" i="161"/>
  <c r="C43" i="161"/>
  <c r="C39" i="161"/>
  <c r="C37" i="161"/>
  <c r="C35" i="161"/>
  <c r="C33" i="161"/>
  <c r="C87" i="156"/>
  <c r="D85" i="156"/>
  <c r="D83" i="156"/>
  <c r="D81" i="156"/>
  <c r="D79" i="156"/>
  <c r="D77" i="156"/>
  <c r="D75" i="156"/>
  <c r="D73" i="156"/>
  <c r="D71" i="156"/>
  <c r="C69" i="156"/>
  <c r="D69" i="156" s="1"/>
  <c r="D67" i="156"/>
  <c r="D65" i="156"/>
  <c r="D63" i="156"/>
  <c r="C61" i="156"/>
  <c r="D61" i="156" s="1"/>
  <c r="D59" i="156"/>
  <c r="D57" i="156"/>
  <c r="D55" i="156"/>
  <c r="C53" i="156"/>
  <c r="D53" i="156" s="1"/>
  <c r="C51" i="156"/>
  <c r="D51" i="156" s="1"/>
  <c r="C49" i="156"/>
  <c r="D49" i="156" s="1"/>
  <c r="C47" i="156"/>
  <c r="D47" i="156" s="1"/>
  <c r="C45" i="156"/>
  <c r="D45" i="156" s="1"/>
  <c r="D43" i="156"/>
  <c r="D41" i="156"/>
  <c r="D39" i="156"/>
  <c r="D37" i="156"/>
  <c r="D35" i="156"/>
  <c r="D33" i="156"/>
  <c r="C31" i="156"/>
  <c r="D31" i="156" s="1"/>
  <c r="C29" i="156"/>
  <c r="D29" i="156" s="1"/>
  <c r="D27" i="156"/>
  <c r="D25" i="156"/>
  <c r="D23" i="156"/>
  <c r="C87" i="158"/>
  <c r="D85" i="158"/>
  <c r="D83" i="158"/>
  <c r="D81" i="158"/>
  <c r="D79" i="158"/>
  <c r="D77" i="158"/>
  <c r="D75" i="158"/>
  <c r="D73" i="158"/>
  <c r="D71" i="158"/>
  <c r="D69" i="158"/>
  <c r="D67" i="158"/>
  <c r="D65" i="158"/>
  <c r="D63" i="158"/>
  <c r="D61" i="158"/>
  <c r="D59" i="158"/>
  <c r="D57" i="158"/>
  <c r="D55" i="158"/>
  <c r="C53" i="158"/>
  <c r="D53" i="158" s="1"/>
  <c r="C51" i="158"/>
  <c r="D51" i="158" s="1"/>
  <c r="C49" i="158"/>
  <c r="D49" i="158" s="1"/>
  <c r="C47" i="158"/>
  <c r="D47" i="158" s="1"/>
  <c r="C45" i="158"/>
  <c r="D45" i="158" s="1"/>
  <c r="C43" i="158"/>
  <c r="D43" i="158" s="1"/>
  <c r="C41" i="158"/>
  <c r="D41" i="158" s="1"/>
  <c r="C39" i="158"/>
  <c r="D39" i="158" s="1"/>
  <c r="C37" i="158"/>
  <c r="D37" i="158" s="1"/>
  <c r="C35" i="158"/>
  <c r="D35" i="158" s="1"/>
  <c r="C33" i="158"/>
  <c r="D33" i="158" s="1"/>
  <c r="C31" i="158"/>
  <c r="D31" i="158" s="1"/>
  <c r="C29" i="158"/>
  <c r="D29" i="158" s="1"/>
  <c r="C27" i="158"/>
  <c r="D27" i="158" s="1"/>
  <c r="D25" i="158"/>
  <c r="D23" i="158"/>
  <c r="D85" i="154"/>
  <c r="D83" i="154"/>
  <c r="D81" i="154"/>
  <c r="D79" i="154"/>
  <c r="D77" i="154"/>
  <c r="D75" i="154"/>
  <c r="D73" i="154"/>
  <c r="D71" i="154"/>
  <c r="D69" i="154"/>
  <c r="D67" i="154"/>
  <c r="C65" i="154"/>
  <c r="D65" i="154" s="1"/>
  <c r="C63" i="154"/>
  <c r="D63" i="154" s="1"/>
  <c r="C61" i="154"/>
  <c r="D61" i="154" s="1"/>
  <c r="C59" i="154"/>
  <c r="D59" i="154" s="1"/>
  <c r="C57" i="154"/>
  <c r="D57" i="154" s="1"/>
  <c r="C55" i="154"/>
  <c r="D55" i="154" s="1"/>
  <c r="C53" i="154"/>
  <c r="D53" i="154" s="1"/>
  <c r="C51" i="154"/>
  <c r="D51" i="154" s="1"/>
  <c r="C49" i="154"/>
  <c r="D49" i="154" s="1"/>
  <c r="C47" i="154"/>
  <c r="D47" i="154" s="1"/>
  <c r="C45" i="154"/>
  <c r="D45" i="154" s="1"/>
  <c r="C43" i="154"/>
  <c r="D43" i="154" s="1"/>
  <c r="C41" i="154"/>
  <c r="D41" i="154" s="1"/>
  <c r="C39" i="154"/>
  <c r="D39" i="154" s="1"/>
  <c r="C37" i="154"/>
  <c r="D37" i="154" s="1"/>
  <c r="D35" i="154"/>
  <c r="C35" i="154"/>
  <c r="C33" i="154"/>
  <c r="D33" i="154" s="1"/>
  <c r="C31" i="154"/>
  <c r="D31" i="154" s="1"/>
  <c r="C29" i="154"/>
  <c r="D29" i="154" s="1"/>
  <c r="D27" i="154"/>
  <c r="C27" i="154"/>
  <c r="D25" i="154"/>
  <c r="D23" i="154"/>
  <c r="C88" i="155"/>
  <c r="C86" i="155"/>
  <c r="D86" i="155" s="1"/>
  <c r="D84" i="155"/>
  <c r="D82" i="155"/>
  <c r="D80" i="155"/>
  <c r="D78" i="155"/>
  <c r="D76" i="155"/>
  <c r="D74" i="155"/>
  <c r="D72" i="155"/>
  <c r="D70" i="155"/>
  <c r="C68" i="155"/>
  <c r="D68" i="155" s="1"/>
  <c r="C66" i="155"/>
  <c r="D66" i="155" s="1"/>
  <c r="C64" i="155"/>
  <c r="D64" i="155" s="1"/>
  <c r="C62" i="155"/>
  <c r="D62" i="155" s="1"/>
  <c r="D60" i="155"/>
  <c r="C58" i="155"/>
  <c r="D58" i="155" s="1"/>
  <c r="C56" i="155"/>
  <c r="D56" i="155" s="1"/>
  <c r="C54" i="155"/>
  <c r="D54" i="155" s="1"/>
  <c r="C52" i="155"/>
  <c r="D52" i="155" s="1"/>
  <c r="C50" i="155"/>
  <c r="D50" i="155" s="1"/>
  <c r="C48" i="155"/>
  <c r="D48" i="155" s="1"/>
  <c r="C46" i="155"/>
  <c r="D46" i="155" s="1"/>
  <c r="C44" i="155"/>
  <c r="D44" i="155" s="1"/>
  <c r="C42" i="155"/>
  <c r="D42" i="155" s="1"/>
  <c r="C40" i="155"/>
  <c r="D40" i="155" s="1"/>
  <c r="C38" i="155"/>
  <c r="D38" i="155" s="1"/>
  <c r="C36" i="155"/>
  <c r="D36" i="155" s="1"/>
  <c r="C34" i="155"/>
  <c r="D34" i="155" s="1"/>
  <c r="C32" i="155"/>
  <c r="D32" i="155" s="1"/>
  <c r="C30" i="155"/>
  <c r="D30" i="155" s="1"/>
  <c r="C28" i="155"/>
  <c r="D28" i="155" s="1"/>
  <c r="D26" i="155"/>
  <c r="D24" i="155"/>
  <c r="C87" i="152"/>
  <c r="D85" i="152"/>
  <c r="D81" i="152"/>
  <c r="D79" i="152"/>
  <c r="D77" i="152"/>
  <c r="D75" i="152"/>
  <c r="D73" i="152"/>
  <c r="D71" i="152"/>
  <c r="D69" i="152"/>
  <c r="C69" i="152"/>
  <c r="D67" i="152"/>
  <c r="D65" i="152"/>
  <c r="C65" i="152"/>
  <c r="C63" i="152"/>
  <c r="D63" i="152" s="1"/>
  <c r="D61" i="152"/>
  <c r="D59" i="152"/>
  <c r="D57" i="152"/>
  <c r="D55" i="152"/>
  <c r="D53" i="152"/>
  <c r="C53" i="152"/>
  <c r="D51" i="152"/>
  <c r="D49" i="152"/>
  <c r="C49" i="152"/>
  <c r="C47" i="152"/>
  <c r="D47" i="152" s="1"/>
  <c r="C45" i="152"/>
  <c r="D45" i="152" s="1"/>
  <c r="C43" i="152"/>
  <c r="D43" i="152" s="1"/>
  <c r="C41" i="152"/>
  <c r="D41" i="152" s="1"/>
  <c r="C39" i="152"/>
  <c r="D39" i="152" s="1"/>
  <c r="D37" i="152"/>
  <c r="C37" i="152"/>
  <c r="C35" i="152"/>
  <c r="D35" i="152" s="1"/>
  <c r="D33" i="152"/>
  <c r="C33" i="152"/>
  <c r="C31" i="152"/>
  <c r="D31" i="152" s="1"/>
  <c r="C29" i="152"/>
  <c r="D29" i="152" s="1"/>
  <c r="C27" i="152"/>
  <c r="D27" i="152" s="1"/>
  <c r="D25" i="152"/>
  <c r="D23" i="152"/>
  <c r="C87" i="153"/>
  <c r="D85" i="153"/>
  <c r="D83" i="153"/>
  <c r="D81" i="153"/>
  <c r="D79" i="153"/>
  <c r="D77" i="153"/>
  <c r="D75" i="153"/>
  <c r="D73" i="153"/>
  <c r="D71" i="153"/>
  <c r="D69" i="153"/>
  <c r="D67" i="153"/>
  <c r="D65" i="153"/>
  <c r="D63" i="153"/>
  <c r="D61" i="153"/>
  <c r="D59" i="153"/>
  <c r="D57" i="153"/>
  <c r="D55" i="153"/>
  <c r="D53" i="153"/>
  <c r="D51" i="153"/>
  <c r="D49" i="153"/>
  <c r="D47" i="153"/>
  <c r="D45" i="153"/>
  <c r="D43" i="153"/>
  <c r="D41" i="153"/>
  <c r="D39" i="153"/>
  <c r="D37" i="153"/>
  <c r="D35" i="153"/>
  <c r="D33" i="153"/>
  <c r="D31" i="153"/>
  <c r="D29" i="153"/>
  <c r="D27" i="153"/>
  <c r="D25" i="153"/>
  <c r="D23" i="153"/>
  <c r="D21" i="153"/>
  <c r="C67" i="153"/>
  <c r="C63" i="153"/>
  <c r="C61" i="153"/>
  <c r="C59" i="153"/>
  <c r="C57" i="153"/>
  <c r="C55" i="153"/>
  <c r="C53" i="153"/>
  <c r="C51" i="153"/>
  <c r="C49" i="153"/>
  <c r="C47" i="153"/>
  <c r="C45" i="153"/>
  <c r="C43" i="153"/>
  <c r="C41" i="153"/>
  <c r="C39" i="153"/>
  <c r="C37" i="153"/>
  <c r="C35" i="153"/>
  <c r="C33" i="153"/>
  <c r="C31" i="153"/>
  <c r="C29" i="153"/>
  <c r="C87" i="151"/>
  <c r="D85" i="151"/>
  <c r="D81" i="151"/>
  <c r="D79" i="151"/>
  <c r="D77" i="151"/>
  <c r="D75" i="151"/>
  <c r="D73" i="151"/>
  <c r="D71" i="151"/>
  <c r="D69" i="151"/>
  <c r="D67" i="151"/>
  <c r="D65" i="151"/>
  <c r="D63" i="151"/>
  <c r="D61" i="151"/>
  <c r="D59" i="151"/>
  <c r="D57" i="151"/>
  <c r="C57" i="151"/>
  <c r="D55" i="151"/>
  <c r="C55" i="151"/>
  <c r="D53" i="151"/>
  <c r="D51" i="151"/>
  <c r="C51" i="151"/>
  <c r="D49" i="151"/>
  <c r="C49" i="151"/>
  <c r="D47" i="151"/>
  <c r="D45" i="151"/>
  <c r="D43" i="151"/>
  <c r="D41" i="151"/>
  <c r="C41" i="151"/>
  <c r="D39" i="151"/>
  <c r="C39" i="151"/>
  <c r="D37" i="151"/>
  <c r="C37" i="151"/>
  <c r="D35" i="151"/>
  <c r="C35" i="151"/>
  <c r="D33" i="151"/>
  <c r="D31" i="151"/>
  <c r="C31" i="151"/>
  <c r="D29" i="151"/>
  <c r="D27" i="151"/>
  <c r="D25" i="151"/>
  <c r="D23" i="151"/>
  <c r="D84" i="150"/>
  <c r="D82" i="150"/>
  <c r="D80" i="150"/>
  <c r="D77" i="150"/>
  <c r="D75" i="150"/>
  <c r="D73" i="150"/>
  <c r="D71" i="150"/>
  <c r="D69" i="150"/>
  <c r="D67" i="150"/>
  <c r="D65" i="150"/>
  <c r="D63" i="150"/>
  <c r="C61" i="150"/>
  <c r="D61" i="150" s="1"/>
  <c r="D59" i="150"/>
  <c r="D57" i="150"/>
  <c r="D55" i="150"/>
  <c r="C53" i="150"/>
  <c r="D53" i="150" s="1"/>
  <c r="D51" i="150"/>
  <c r="C51" i="150"/>
  <c r="C49" i="150"/>
  <c r="D49" i="150" s="1"/>
  <c r="C47" i="150"/>
  <c r="D47" i="150" s="1"/>
  <c r="C45" i="150"/>
  <c r="D45" i="150" s="1"/>
  <c r="C43" i="150"/>
  <c r="D43" i="150" s="1"/>
  <c r="C41" i="150"/>
  <c r="D41" i="150" s="1"/>
  <c r="C39" i="150"/>
  <c r="D39" i="150" s="1"/>
  <c r="C37" i="150"/>
  <c r="D37" i="150" s="1"/>
  <c r="C35" i="150"/>
  <c r="D35" i="150" s="1"/>
  <c r="C33" i="150"/>
  <c r="D33" i="150" s="1"/>
  <c r="C31" i="150"/>
  <c r="D31" i="150" s="1"/>
  <c r="C29" i="150"/>
  <c r="D29" i="150" s="1"/>
  <c r="D27" i="150"/>
  <c r="C25" i="150"/>
  <c r="D25" i="150" s="1"/>
  <c r="D23" i="150"/>
  <c r="C87" i="268"/>
  <c r="C85" i="268"/>
  <c r="D85" i="268" s="1"/>
  <c r="D83" i="268"/>
  <c r="D81" i="268"/>
  <c r="D79" i="268"/>
  <c r="D77" i="268"/>
  <c r="D75" i="268"/>
  <c r="D73" i="268"/>
  <c r="D71" i="268"/>
  <c r="D69" i="268"/>
  <c r="C67" i="268"/>
  <c r="D67" i="268" s="1"/>
  <c r="C65" i="268"/>
  <c r="D65" i="268" s="1"/>
  <c r="C63" i="268"/>
  <c r="D63" i="268" s="1"/>
  <c r="C61" i="268"/>
  <c r="D61" i="268" s="1"/>
  <c r="C59" i="268"/>
  <c r="D59" i="268" s="1"/>
  <c r="C57" i="268"/>
  <c r="D57" i="268" s="1"/>
  <c r="D55" i="268"/>
  <c r="C53" i="268"/>
  <c r="D53" i="268" s="1"/>
  <c r="C51" i="268"/>
  <c r="D51" i="268" s="1"/>
  <c r="D49" i="268"/>
  <c r="C47" i="268"/>
  <c r="D47" i="268" s="1"/>
  <c r="C45" i="268"/>
  <c r="D45" i="268" s="1"/>
  <c r="C43" i="268"/>
  <c r="D43" i="268" s="1"/>
  <c r="C41" i="268"/>
  <c r="D41" i="268" s="1"/>
  <c r="C39" i="268"/>
  <c r="D39" i="268" s="1"/>
  <c r="C37" i="268"/>
  <c r="D37" i="268" s="1"/>
  <c r="C35" i="268"/>
  <c r="D35" i="268" s="1"/>
  <c r="D33" i="268"/>
  <c r="C33" i="268"/>
  <c r="C31" i="268"/>
  <c r="D31" i="268" s="1"/>
  <c r="C29" i="268"/>
  <c r="D29" i="268" s="1"/>
  <c r="C27" i="268"/>
  <c r="D27" i="268" s="1"/>
  <c r="C25" i="268"/>
  <c r="D25" i="268" s="1"/>
  <c r="D23" i="268"/>
  <c r="D17" i="268"/>
  <c r="C14" i="268"/>
  <c r="C15" i="268" s="1"/>
  <c r="D15" i="268" s="1"/>
  <c r="C87" i="267"/>
  <c r="C85" i="267"/>
  <c r="D85" i="267" s="1"/>
  <c r="D83" i="267"/>
  <c r="D86" i="267" s="1"/>
  <c r="D87" i="267" s="1"/>
  <c r="D81" i="267"/>
  <c r="D79" i="267"/>
  <c r="C77" i="267"/>
  <c r="D77" i="267" s="1"/>
  <c r="D75" i="267"/>
  <c r="C75" i="267"/>
  <c r="D73" i="267"/>
  <c r="C73" i="267"/>
  <c r="D71" i="267"/>
  <c r="C71" i="267"/>
  <c r="D69" i="267"/>
  <c r="C69" i="267"/>
  <c r="C67" i="267"/>
  <c r="D67" i="267" s="1"/>
  <c r="D65" i="267"/>
  <c r="C65" i="267"/>
  <c r="D63" i="267"/>
  <c r="C63" i="267"/>
  <c r="D61" i="267"/>
  <c r="C61" i="267"/>
  <c r="D59" i="267"/>
  <c r="C59" i="267"/>
  <c r="D57" i="267"/>
  <c r="C57" i="267"/>
  <c r="D56" i="267"/>
  <c r="C55" i="267"/>
  <c r="D55" i="267" s="1"/>
  <c r="C53" i="267"/>
  <c r="D53" i="267" s="1"/>
  <c r="C51" i="267"/>
  <c r="D51" i="267" s="1"/>
  <c r="C49" i="267"/>
  <c r="D49" i="267" s="1"/>
  <c r="C47" i="267"/>
  <c r="D47" i="267" s="1"/>
  <c r="C45" i="267"/>
  <c r="D45" i="267" s="1"/>
  <c r="C43" i="267"/>
  <c r="D43" i="267" s="1"/>
  <c r="C41" i="267"/>
  <c r="D41" i="267" s="1"/>
  <c r="C39" i="267"/>
  <c r="D39" i="267" s="1"/>
  <c r="C37" i="267"/>
  <c r="D37" i="267" s="1"/>
  <c r="C35" i="267"/>
  <c r="D35" i="267" s="1"/>
  <c r="C33" i="267"/>
  <c r="D33" i="267" s="1"/>
  <c r="C31" i="267"/>
  <c r="D31" i="267" s="1"/>
  <c r="C29" i="267"/>
  <c r="D29" i="267" s="1"/>
  <c r="C27" i="267"/>
  <c r="D27" i="267" s="1"/>
  <c r="C25" i="267"/>
  <c r="D25" i="267" s="1"/>
  <c r="C23" i="267"/>
  <c r="D23" i="267" s="1"/>
  <c r="C21" i="267"/>
  <c r="D17" i="267"/>
  <c r="C14" i="267"/>
  <c r="C15" i="267" s="1"/>
  <c r="D15" i="267" s="1"/>
  <c r="C87" i="266"/>
  <c r="D85" i="266"/>
  <c r="D83" i="266"/>
  <c r="D86" i="266" s="1"/>
  <c r="D87" i="266" s="1"/>
  <c r="D81" i="266"/>
  <c r="D79" i="266"/>
  <c r="D77" i="266"/>
  <c r="D75" i="266"/>
  <c r="D73" i="266"/>
  <c r="D71" i="266"/>
  <c r="D69" i="266"/>
  <c r="D67" i="266"/>
  <c r="D65" i="266"/>
  <c r="D63" i="266"/>
  <c r="D61" i="266"/>
  <c r="D59" i="266"/>
  <c r="D57" i="266"/>
  <c r="D55" i="266"/>
  <c r="D53" i="266"/>
  <c r="D51" i="266"/>
  <c r="D49" i="266"/>
  <c r="D47" i="266"/>
  <c r="D45" i="266"/>
  <c r="D43" i="266"/>
  <c r="D41" i="266"/>
  <c r="D39" i="266"/>
  <c r="D37" i="266"/>
  <c r="D35" i="266"/>
  <c r="D33" i="266"/>
  <c r="D31" i="266"/>
  <c r="D29" i="266"/>
  <c r="D27" i="266"/>
  <c r="D25" i="266"/>
  <c r="D23" i="266"/>
  <c r="D21" i="266"/>
  <c r="C85" i="266"/>
  <c r="C75" i="266"/>
  <c r="C73" i="266"/>
  <c r="C71" i="266"/>
  <c r="C69" i="266"/>
  <c r="C67" i="266"/>
  <c r="C65" i="266"/>
  <c r="C63" i="266"/>
  <c r="C61" i="266"/>
  <c r="C59" i="266"/>
  <c r="C57" i="266"/>
  <c r="C55" i="266"/>
  <c r="C53" i="266"/>
  <c r="C51" i="266"/>
  <c r="C49" i="266"/>
  <c r="C47" i="266"/>
  <c r="C45" i="266"/>
  <c r="C43" i="266"/>
  <c r="C41" i="266"/>
  <c r="C39" i="266"/>
  <c r="C37" i="266"/>
  <c r="C35" i="266"/>
  <c r="C33" i="266"/>
  <c r="C31" i="266"/>
  <c r="C29" i="266"/>
  <c r="C27" i="266"/>
  <c r="C25" i="266"/>
  <c r="C23" i="266"/>
  <c r="C21" i="266"/>
  <c r="D17" i="266"/>
  <c r="C14" i="266"/>
  <c r="C15" i="266" s="1"/>
  <c r="D15" i="266" s="1"/>
  <c r="C87" i="265"/>
  <c r="D85" i="265"/>
  <c r="D83" i="265"/>
  <c r="D86" i="265" s="1"/>
  <c r="D87" i="265" s="1"/>
  <c r="D81" i="265"/>
  <c r="D79" i="265"/>
  <c r="D77" i="265"/>
  <c r="D75" i="265"/>
  <c r="D73" i="265"/>
  <c r="D71" i="265"/>
  <c r="D69" i="265"/>
  <c r="D67" i="265"/>
  <c r="D65" i="265"/>
  <c r="D63" i="265"/>
  <c r="D61" i="265"/>
  <c r="D59" i="265"/>
  <c r="D57" i="265"/>
  <c r="D55" i="265"/>
  <c r="D53" i="265"/>
  <c r="D51" i="265"/>
  <c r="D49" i="265"/>
  <c r="D47" i="265"/>
  <c r="D45" i="265"/>
  <c r="D43" i="265"/>
  <c r="D41" i="265"/>
  <c r="D39" i="265"/>
  <c r="D37" i="265"/>
  <c r="D35" i="265"/>
  <c r="D33" i="265"/>
  <c r="D31" i="265"/>
  <c r="D29" i="265"/>
  <c r="D27" i="265"/>
  <c r="D25" i="265"/>
  <c r="D23" i="265"/>
  <c r="D21" i="265"/>
  <c r="C85" i="265"/>
  <c r="C77" i="265"/>
  <c r="C75" i="265"/>
  <c r="C73" i="265"/>
  <c r="C71" i="265"/>
  <c r="C69" i="265"/>
  <c r="C67" i="265"/>
  <c r="C65" i="265"/>
  <c r="C63" i="265"/>
  <c r="C61" i="265"/>
  <c r="C59" i="265"/>
  <c r="C57" i="265"/>
  <c r="C55" i="265"/>
  <c r="C53" i="265"/>
  <c r="C51" i="265"/>
  <c r="C49" i="265"/>
  <c r="C47" i="265"/>
  <c r="C45" i="265"/>
  <c r="C43" i="265"/>
  <c r="C41" i="265"/>
  <c r="C39" i="265"/>
  <c r="C37" i="265"/>
  <c r="C35" i="265"/>
  <c r="C33" i="265"/>
  <c r="C31" i="265"/>
  <c r="C29" i="265"/>
  <c r="C27" i="265"/>
  <c r="C25" i="265"/>
  <c r="C23" i="265"/>
  <c r="C21" i="265"/>
  <c r="D17" i="265"/>
  <c r="C14" i="265"/>
  <c r="C15" i="265" s="1"/>
  <c r="D15" i="265" s="1"/>
  <c r="D67" i="264"/>
  <c r="C87" i="264"/>
  <c r="D85" i="264"/>
  <c r="D83" i="264"/>
  <c r="D79" i="264"/>
  <c r="D77" i="264"/>
  <c r="D75" i="264"/>
  <c r="D73" i="264"/>
  <c r="D71" i="264"/>
  <c r="D69" i="264"/>
  <c r="D65" i="264"/>
  <c r="D63" i="264"/>
  <c r="D61" i="264"/>
  <c r="D59" i="264"/>
  <c r="D57" i="264"/>
  <c r="D55" i="264"/>
  <c r="D53" i="264"/>
  <c r="D51" i="264"/>
  <c r="D49" i="264"/>
  <c r="D47" i="264"/>
  <c r="D45" i="264"/>
  <c r="D43" i="264"/>
  <c r="D41" i="264"/>
  <c r="D39" i="264"/>
  <c r="D37" i="264"/>
  <c r="D35" i="264"/>
  <c r="D33" i="264"/>
  <c r="D31" i="264"/>
  <c r="D29" i="264"/>
  <c r="D27" i="264"/>
  <c r="D25" i="264"/>
  <c r="D23" i="264"/>
  <c r="D21" i="264"/>
  <c r="C71" i="264"/>
  <c r="C69" i="264"/>
  <c r="C67" i="264"/>
  <c r="C63" i="264"/>
  <c r="C61" i="264"/>
  <c r="C57" i="264"/>
  <c r="C55" i="264"/>
  <c r="C53" i="264"/>
  <c r="C47" i="264"/>
  <c r="C45" i="264"/>
  <c r="C43" i="264"/>
  <c r="C41" i="264"/>
  <c r="C39" i="264"/>
  <c r="C37" i="264"/>
  <c r="C35" i="264"/>
  <c r="C33" i="264"/>
  <c r="C31" i="264"/>
  <c r="C29" i="264"/>
  <c r="C27" i="264"/>
  <c r="D17" i="264"/>
  <c r="C14" i="264"/>
  <c r="C15" i="264" s="1"/>
  <c r="D15" i="264" s="1"/>
  <c r="C87" i="263"/>
  <c r="D49" i="263"/>
  <c r="D85" i="263"/>
  <c r="D83" i="263"/>
  <c r="D81" i="263"/>
  <c r="D79" i="263"/>
  <c r="D77" i="263"/>
  <c r="D75" i="263"/>
  <c r="D73" i="263"/>
  <c r="D71" i="263"/>
  <c r="D69" i="263"/>
  <c r="D67" i="263"/>
  <c r="D65" i="263"/>
  <c r="D63" i="263"/>
  <c r="D61" i="263"/>
  <c r="D59" i="263"/>
  <c r="D57" i="263"/>
  <c r="D55" i="263"/>
  <c r="D53" i="263"/>
  <c r="D51" i="263"/>
  <c r="D47" i="263"/>
  <c r="D45" i="263"/>
  <c r="D43" i="263"/>
  <c r="D41" i="263"/>
  <c r="D39" i="263"/>
  <c r="D37" i="263"/>
  <c r="D35" i="263"/>
  <c r="D33" i="263"/>
  <c r="D31" i="263"/>
  <c r="D29" i="263"/>
  <c r="D27" i="263"/>
  <c r="D25" i="263"/>
  <c r="D23" i="263"/>
  <c r="D21" i="263"/>
  <c r="C61" i="263"/>
  <c r="C57" i="263"/>
  <c r="C53" i="263"/>
  <c r="C51" i="263"/>
  <c r="C49" i="263"/>
  <c r="C47" i="263"/>
  <c r="C45" i="263"/>
  <c r="C43" i="263"/>
  <c r="C41" i="263"/>
  <c r="C37" i="263"/>
  <c r="C35" i="263"/>
  <c r="C33" i="263"/>
  <c r="C31" i="263"/>
  <c r="C29" i="263"/>
  <c r="D17" i="263"/>
  <c r="C14" i="263"/>
  <c r="C15" i="263" s="1"/>
  <c r="D15" i="263" s="1"/>
  <c r="C87" i="262"/>
  <c r="C85" i="262"/>
  <c r="D85" i="262" s="1"/>
  <c r="D83" i="262"/>
  <c r="D81" i="262"/>
  <c r="D79" i="262"/>
  <c r="D77" i="262"/>
  <c r="D75" i="262"/>
  <c r="D73" i="262"/>
  <c r="D71" i="262"/>
  <c r="C69" i="262"/>
  <c r="D69" i="262" s="1"/>
  <c r="C67" i="262"/>
  <c r="D67" i="262" s="1"/>
  <c r="C65" i="262"/>
  <c r="D65" i="262" s="1"/>
  <c r="C63" i="262"/>
  <c r="D63" i="262" s="1"/>
  <c r="C61" i="262"/>
  <c r="D61" i="262" s="1"/>
  <c r="C59" i="262"/>
  <c r="D59" i="262" s="1"/>
  <c r="C57" i="262"/>
  <c r="D57" i="262" s="1"/>
  <c r="D55" i="262"/>
  <c r="C53" i="262"/>
  <c r="D53" i="262" s="1"/>
  <c r="C51" i="262"/>
  <c r="D51" i="262" s="1"/>
  <c r="D49" i="262"/>
  <c r="C47" i="262"/>
  <c r="D47" i="262" s="1"/>
  <c r="C45" i="262"/>
  <c r="D45" i="262" s="1"/>
  <c r="C43" i="262"/>
  <c r="D43" i="262" s="1"/>
  <c r="C41" i="262"/>
  <c r="D41" i="262" s="1"/>
  <c r="C39" i="262"/>
  <c r="D39" i="262" s="1"/>
  <c r="C37" i="262"/>
  <c r="D37" i="262" s="1"/>
  <c r="C35" i="262"/>
  <c r="D35" i="262" s="1"/>
  <c r="C33" i="262"/>
  <c r="D33" i="262" s="1"/>
  <c r="C31" i="262"/>
  <c r="D31" i="262" s="1"/>
  <c r="C29" i="262"/>
  <c r="D29" i="262" s="1"/>
  <c r="C27" i="262"/>
  <c r="D27" i="262" s="1"/>
  <c r="C25" i="262"/>
  <c r="D25" i="262" s="1"/>
  <c r="D23" i="262"/>
  <c r="D17" i="262"/>
  <c r="C14" i="262"/>
  <c r="C87" i="261"/>
  <c r="D85" i="261"/>
  <c r="D83" i="261"/>
  <c r="D81" i="261"/>
  <c r="D79" i="261"/>
  <c r="D77" i="261"/>
  <c r="D75" i="261"/>
  <c r="D73" i="261"/>
  <c r="D71" i="261"/>
  <c r="D69" i="261"/>
  <c r="D67" i="261"/>
  <c r="C65" i="261"/>
  <c r="D65" i="261" s="1"/>
  <c r="C63" i="261"/>
  <c r="D63" i="261" s="1"/>
  <c r="C61" i="261"/>
  <c r="D61" i="261" s="1"/>
  <c r="D59" i="261"/>
  <c r="D57" i="261"/>
  <c r="D55" i="261"/>
  <c r="D53" i="261"/>
  <c r="C53" i="261"/>
  <c r="C51" i="261"/>
  <c r="D51" i="261" s="1"/>
  <c r="D49" i="261"/>
  <c r="C47" i="261"/>
  <c r="D47" i="261" s="1"/>
  <c r="C45" i="261"/>
  <c r="D45" i="261" s="1"/>
  <c r="C43" i="261"/>
  <c r="D43" i="261" s="1"/>
  <c r="C41" i="261"/>
  <c r="D41" i="261" s="1"/>
  <c r="C39" i="261"/>
  <c r="D39" i="261" s="1"/>
  <c r="D37" i="261"/>
  <c r="C37" i="261"/>
  <c r="C35" i="261"/>
  <c r="D35" i="261" s="1"/>
  <c r="C33" i="261"/>
  <c r="D33" i="261" s="1"/>
  <c r="C31" i="261"/>
  <c r="D31" i="261" s="1"/>
  <c r="C29" i="261"/>
  <c r="D29" i="261" s="1"/>
  <c r="C27" i="261"/>
  <c r="D27" i="261" s="1"/>
  <c r="D25" i="261"/>
  <c r="D23" i="261"/>
  <c r="D21" i="261"/>
  <c r="D17" i="261"/>
  <c r="C14" i="261"/>
  <c r="C15" i="261" s="1"/>
  <c r="C87" i="260"/>
  <c r="D79" i="260"/>
  <c r="C85" i="260"/>
  <c r="D85" i="260" s="1"/>
  <c r="D83" i="260"/>
  <c r="D81" i="260"/>
  <c r="D77" i="260"/>
  <c r="D75" i="260"/>
  <c r="D73" i="260"/>
  <c r="D71" i="260"/>
  <c r="D69" i="260"/>
  <c r="C67" i="260"/>
  <c r="D67" i="260" s="1"/>
  <c r="D65" i="260"/>
  <c r="C63" i="260"/>
  <c r="D63" i="260" s="1"/>
  <c r="D61" i="260"/>
  <c r="C59" i="260"/>
  <c r="D59" i="260" s="1"/>
  <c r="C57" i="260"/>
  <c r="D57" i="260" s="1"/>
  <c r="D55" i="260"/>
  <c r="C53" i="260"/>
  <c r="D53" i="260" s="1"/>
  <c r="C51" i="260"/>
  <c r="D51" i="260" s="1"/>
  <c r="C49" i="260"/>
  <c r="D49" i="260" s="1"/>
  <c r="C47" i="260"/>
  <c r="D47" i="260" s="1"/>
  <c r="C45" i="260"/>
  <c r="D45" i="260" s="1"/>
  <c r="C43" i="260"/>
  <c r="D43" i="260" s="1"/>
  <c r="C41" i="260"/>
  <c r="D41" i="260" s="1"/>
  <c r="C39" i="260"/>
  <c r="D39" i="260" s="1"/>
  <c r="C37" i="260"/>
  <c r="D37" i="260" s="1"/>
  <c r="C35" i="260"/>
  <c r="D35" i="260" s="1"/>
  <c r="C33" i="260"/>
  <c r="D33" i="260" s="1"/>
  <c r="C31" i="260"/>
  <c r="D31" i="260" s="1"/>
  <c r="C29" i="260"/>
  <c r="D29" i="260" s="1"/>
  <c r="C27" i="260"/>
  <c r="D27" i="260" s="1"/>
  <c r="D25" i="260"/>
  <c r="D23" i="260"/>
  <c r="D17" i="260"/>
  <c r="C14" i="260"/>
  <c r="C15" i="260" s="1"/>
  <c r="D15" i="260" s="1"/>
  <c r="C87" i="259"/>
  <c r="D85" i="259"/>
  <c r="D83" i="259"/>
  <c r="D81" i="259"/>
  <c r="D79" i="259"/>
  <c r="D77" i="259"/>
  <c r="D75" i="259"/>
  <c r="D73" i="259"/>
  <c r="D71" i="259"/>
  <c r="D69" i="259"/>
  <c r="D67" i="259"/>
  <c r="D65" i="259"/>
  <c r="C63" i="259"/>
  <c r="D63" i="259" s="1"/>
  <c r="C61" i="259"/>
  <c r="D61" i="259" s="1"/>
  <c r="C59" i="259"/>
  <c r="D59" i="259" s="1"/>
  <c r="C57" i="259"/>
  <c r="D57" i="259" s="1"/>
  <c r="D55" i="259"/>
  <c r="C53" i="259"/>
  <c r="D53" i="259" s="1"/>
  <c r="C51" i="259"/>
  <c r="D51" i="259" s="1"/>
  <c r="C49" i="259"/>
  <c r="D49" i="259" s="1"/>
  <c r="C47" i="259"/>
  <c r="D47" i="259" s="1"/>
  <c r="C45" i="259"/>
  <c r="D45" i="259" s="1"/>
  <c r="C43" i="259"/>
  <c r="D43" i="259" s="1"/>
  <c r="C41" i="259"/>
  <c r="D41" i="259" s="1"/>
  <c r="C39" i="259"/>
  <c r="D39" i="259" s="1"/>
  <c r="C37" i="259"/>
  <c r="D37" i="259" s="1"/>
  <c r="C35" i="259"/>
  <c r="D35" i="259" s="1"/>
  <c r="C33" i="259"/>
  <c r="D33" i="259" s="1"/>
  <c r="C31" i="259"/>
  <c r="D31" i="259" s="1"/>
  <c r="C29" i="259"/>
  <c r="D29" i="259" s="1"/>
  <c r="C27" i="259"/>
  <c r="D27" i="259" s="1"/>
  <c r="C25" i="259"/>
  <c r="D25" i="259" s="1"/>
  <c r="D23" i="259"/>
  <c r="D17" i="259"/>
  <c r="D14" i="259"/>
  <c r="C14" i="259"/>
  <c r="C15" i="259" s="1"/>
  <c r="D15" i="259" s="1"/>
  <c r="C87" i="258"/>
  <c r="D21" i="258"/>
  <c r="D23" i="258"/>
  <c r="C25" i="258"/>
  <c r="D25" i="258" s="1"/>
  <c r="C27" i="258"/>
  <c r="D27" i="258" s="1"/>
  <c r="C29" i="258"/>
  <c r="D29" i="258" s="1"/>
  <c r="C31" i="258"/>
  <c r="D31" i="258" s="1"/>
  <c r="C33" i="258"/>
  <c r="D33" i="258" s="1"/>
  <c r="D35" i="258"/>
  <c r="D37" i="258"/>
  <c r="C39" i="258"/>
  <c r="D39" i="258" s="1"/>
  <c r="C41" i="258"/>
  <c r="D41" i="258" s="1"/>
  <c r="C43" i="258"/>
  <c r="D43" i="258" s="1"/>
  <c r="C45" i="258"/>
  <c r="D45" i="258" s="1"/>
  <c r="C47" i="258"/>
  <c r="D47" i="258" s="1"/>
  <c r="C49" i="258"/>
  <c r="D49" i="258" s="1"/>
  <c r="C51" i="258"/>
  <c r="D51" i="258" s="1"/>
  <c r="C53" i="258"/>
  <c r="D53" i="258" s="1"/>
  <c r="C55" i="258"/>
  <c r="D55" i="258" s="1"/>
  <c r="C57" i="258"/>
  <c r="D57" i="258" s="1"/>
  <c r="C59" i="258"/>
  <c r="D59" i="258" s="1"/>
  <c r="C61" i="258"/>
  <c r="D61" i="258" s="1"/>
  <c r="C63" i="258"/>
  <c r="D63" i="258" s="1"/>
  <c r="C65" i="258"/>
  <c r="D65" i="258" s="1"/>
  <c r="C67" i="258"/>
  <c r="D67" i="258" s="1"/>
  <c r="D69" i="258"/>
  <c r="C71" i="258"/>
  <c r="D71" i="258" s="1"/>
  <c r="D73" i="258"/>
  <c r="D75" i="258"/>
  <c r="D77" i="258"/>
  <c r="D79" i="258"/>
  <c r="C85" i="258"/>
  <c r="D85" i="258" s="1"/>
  <c r="D81" i="258"/>
  <c r="D17" i="258"/>
  <c r="C14" i="258"/>
  <c r="C15" i="258" s="1"/>
  <c r="D15" i="258" s="1"/>
  <c r="C87" i="257"/>
  <c r="D65" i="257"/>
  <c r="D85" i="257"/>
  <c r="D83" i="257"/>
  <c r="D81" i="257"/>
  <c r="D79" i="257"/>
  <c r="D77" i="257"/>
  <c r="D75" i="257"/>
  <c r="D73" i="257"/>
  <c r="D71" i="257"/>
  <c r="D69" i="257"/>
  <c r="D67" i="257"/>
  <c r="D63" i="257"/>
  <c r="D61" i="257"/>
  <c r="D59" i="257"/>
  <c r="D57" i="257"/>
  <c r="D55" i="257"/>
  <c r="D53" i="257"/>
  <c r="D51" i="257"/>
  <c r="D49" i="257"/>
  <c r="D47" i="257"/>
  <c r="D45" i="257"/>
  <c r="D43" i="257"/>
  <c r="D41" i="257"/>
  <c r="D39" i="257"/>
  <c r="D37" i="257"/>
  <c r="D35" i="257"/>
  <c r="D33" i="257"/>
  <c r="D31" i="257"/>
  <c r="D29" i="257"/>
  <c r="D27" i="257"/>
  <c r="D25" i="257"/>
  <c r="D23" i="257"/>
  <c r="D21" i="257"/>
  <c r="C63" i="257"/>
  <c r="C61" i="257"/>
  <c r="C57" i="257"/>
  <c r="C55" i="257"/>
  <c r="C53" i="257"/>
  <c r="C51" i="257"/>
  <c r="C49" i="257"/>
  <c r="C47" i="257"/>
  <c r="C45" i="257"/>
  <c r="C43" i="257"/>
  <c r="C39" i="257"/>
  <c r="C37" i="257"/>
  <c r="C35" i="257"/>
  <c r="C33" i="257"/>
  <c r="C31" i="257"/>
  <c r="C29" i="257"/>
  <c r="C27" i="257"/>
  <c r="C25" i="257"/>
  <c r="C23" i="257"/>
  <c r="D17" i="257"/>
  <c r="C14" i="257"/>
  <c r="C15" i="257" s="1"/>
  <c r="D15" i="257" s="1"/>
  <c r="D79" i="256"/>
  <c r="C85" i="256"/>
  <c r="D85" i="256" s="1"/>
  <c r="D83" i="256"/>
  <c r="D81" i="256"/>
  <c r="D77" i="256"/>
  <c r="D75" i="256"/>
  <c r="D73" i="256"/>
  <c r="D71" i="256"/>
  <c r="D69" i="256"/>
  <c r="D67" i="256"/>
  <c r="C65" i="256"/>
  <c r="D65" i="256" s="1"/>
  <c r="C63" i="256"/>
  <c r="D63" i="256" s="1"/>
  <c r="C61" i="256"/>
  <c r="D61" i="256" s="1"/>
  <c r="C59" i="256"/>
  <c r="D59" i="256" s="1"/>
  <c r="C57" i="256"/>
  <c r="D57" i="256" s="1"/>
  <c r="D55" i="256"/>
  <c r="C53" i="256"/>
  <c r="D53" i="256" s="1"/>
  <c r="C51" i="256"/>
  <c r="D51" i="256" s="1"/>
  <c r="C49" i="256"/>
  <c r="D49" i="256" s="1"/>
  <c r="D47" i="256"/>
  <c r="C45" i="256"/>
  <c r="D45" i="256" s="1"/>
  <c r="C43" i="256"/>
  <c r="D43" i="256" s="1"/>
  <c r="C41" i="256"/>
  <c r="D41" i="256" s="1"/>
  <c r="C39" i="256"/>
  <c r="D39" i="256" s="1"/>
  <c r="C37" i="256"/>
  <c r="D37" i="256" s="1"/>
  <c r="C35" i="256"/>
  <c r="D35" i="256" s="1"/>
  <c r="C33" i="256"/>
  <c r="D33" i="256" s="1"/>
  <c r="C31" i="256"/>
  <c r="D31" i="256" s="1"/>
  <c r="C29" i="256"/>
  <c r="D29" i="256" s="1"/>
  <c r="C27" i="256"/>
  <c r="D27" i="256" s="1"/>
  <c r="C25" i="256"/>
  <c r="D25" i="256" s="1"/>
  <c r="C23" i="256"/>
  <c r="D23" i="256" s="1"/>
  <c r="C21" i="256"/>
  <c r="D21" i="256" s="1"/>
  <c r="D17" i="256"/>
  <c r="C14" i="256"/>
  <c r="D14" i="256" s="1"/>
  <c r="C87" i="255"/>
  <c r="C85" i="255"/>
  <c r="D85" i="255" s="1"/>
  <c r="D83" i="255"/>
  <c r="D81" i="255"/>
  <c r="D79" i="255"/>
  <c r="C77" i="255"/>
  <c r="D77" i="255" s="1"/>
  <c r="D75" i="255"/>
  <c r="D73" i="255"/>
  <c r="D71" i="255"/>
  <c r="C69" i="255"/>
  <c r="D69" i="255" s="1"/>
  <c r="D67" i="255"/>
  <c r="D65" i="255"/>
  <c r="C63" i="255"/>
  <c r="D63" i="255" s="1"/>
  <c r="D61" i="255"/>
  <c r="C61" i="255"/>
  <c r="C59" i="255"/>
  <c r="D59" i="255" s="1"/>
  <c r="C57" i="255"/>
  <c r="D57" i="255" s="1"/>
  <c r="C55" i="255"/>
  <c r="D55" i="255" s="1"/>
  <c r="C53" i="255"/>
  <c r="D53" i="255" s="1"/>
  <c r="C51" i="255"/>
  <c r="D51" i="255" s="1"/>
  <c r="D49" i="255"/>
  <c r="C47" i="255"/>
  <c r="D47" i="255" s="1"/>
  <c r="D45" i="255"/>
  <c r="C45" i="255"/>
  <c r="C43" i="255"/>
  <c r="D43" i="255" s="1"/>
  <c r="C41" i="255"/>
  <c r="D41" i="255" s="1"/>
  <c r="C39" i="255"/>
  <c r="D39" i="255" s="1"/>
  <c r="D37" i="255"/>
  <c r="C35" i="255"/>
  <c r="D35" i="255" s="1"/>
  <c r="C33" i="255"/>
  <c r="D33" i="255" s="1"/>
  <c r="C31" i="255"/>
  <c r="D31" i="255" s="1"/>
  <c r="D29" i="255"/>
  <c r="C29" i="255"/>
  <c r="C27" i="255"/>
  <c r="D27" i="255" s="1"/>
  <c r="C25" i="255"/>
  <c r="D25" i="255" s="1"/>
  <c r="C23" i="255"/>
  <c r="D23" i="255" s="1"/>
  <c r="C21" i="255"/>
  <c r="D17" i="255"/>
  <c r="D14" i="255"/>
  <c r="C14" i="255"/>
  <c r="C15" i="255" s="1"/>
  <c r="C87" i="254"/>
  <c r="D85" i="254"/>
  <c r="D83" i="254"/>
  <c r="D81" i="254"/>
  <c r="D79" i="254"/>
  <c r="D77" i="254"/>
  <c r="D75" i="254"/>
  <c r="D73" i="254"/>
  <c r="D71" i="254"/>
  <c r="D69" i="254"/>
  <c r="D67" i="254"/>
  <c r="D65" i="254"/>
  <c r="D63" i="254"/>
  <c r="D61" i="254"/>
  <c r="D59" i="254"/>
  <c r="D57" i="254"/>
  <c r="D55" i="254"/>
  <c r="D53" i="254"/>
  <c r="D51" i="254"/>
  <c r="D49" i="254"/>
  <c r="D47" i="254"/>
  <c r="D45" i="254"/>
  <c r="D43" i="254"/>
  <c r="D41" i="254"/>
  <c r="D39" i="254"/>
  <c r="D37" i="254"/>
  <c r="D35" i="254"/>
  <c r="D33" i="254"/>
  <c r="D31" i="254"/>
  <c r="D29" i="254"/>
  <c r="D27" i="254"/>
  <c r="D25" i="254"/>
  <c r="D23" i="254"/>
  <c r="D21" i="254"/>
  <c r="C67" i="254"/>
  <c r="C65" i="254"/>
  <c r="C61" i="254"/>
  <c r="C59" i="254"/>
  <c r="C57" i="254"/>
  <c r="C53" i="254"/>
  <c r="C51" i="254"/>
  <c r="C47" i="254"/>
  <c r="C45" i="254"/>
  <c r="C43" i="254"/>
  <c r="C41" i="254"/>
  <c r="C39" i="254"/>
  <c r="C37" i="254"/>
  <c r="C35" i="254"/>
  <c r="C33" i="254"/>
  <c r="C31" i="254"/>
  <c r="C29" i="254"/>
  <c r="C27" i="254"/>
  <c r="C25" i="254"/>
  <c r="C23" i="254"/>
  <c r="D17" i="254"/>
  <c r="C14" i="254"/>
  <c r="C15" i="254" s="1"/>
  <c r="C87" i="253"/>
  <c r="D75" i="253"/>
  <c r="D85" i="253"/>
  <c r="D83" i="253"/>
  <c r="D81" i="253"/>
  <c r="D79" i="253"/>
  <c r="D77" i="253"/>
  <c r="D73" i="253"/>
  <c r="D71" i="253"/>
  <c r="D69" i="253"/>
  <c r="D67" i="253"/>
  <c r="D65" i="253"/>
  <c r="D63" i="253"/>
  <c r="D61" i="253"/>
  <c r="D59" i="253"/>
  <c r="D57" i="253"/>
  <c r="D55" i="253"/>
  <c r="D53" i="253"/>
  <c r="D51" i="253"/>
  <c r="D49" i="253"/>
  <c r="D47" i="253"/>
  <c r="D45" i="253"/>
  <c r="D43" i="253"/>
  <c r="D41" i="253"/>
  <c r="D39" i="253"/>
  <c r="D37" i="253"/>
  <c r="D35" i="253"/>
  <c r="D33" i="253"/>
  <c r="D31" i="253"/>
  <c r="D29" i="253"/>
  <c r="D27" i="253"/>
  <c r="D25" i="253"/>
  <c r="D23" i="253"/>
  <c r="D21" i="253"/>
  <c r="C85" i="253"/>
  <c r="C69" i="253"/>
  <c r="C67" i="253"/>
  <c r="C65" i="253"/>
  <c r="C63" i="253"/>
  <c r="C61" i="253"/>
  <c r="C59" i="253"/>
  <c r="C57" i="253"/>
  <c r="C53" i="253"/>
  <c r="C51" i="253"/>
  <c r="C49" i="253"/>
  <c r="C45" i="253"/>
  <c r="C43" i="253"/>
  <c r="C41" i="253"/>
  <c r="C39" i="253"/>
  <c r="C35" i="253"/>
  <c r="C33" i="253"/>
  <c r="C29" i="253"/>
  <c r="C27" i="253"/>
  <c r="C25" i="253"/>
  <c r="C23" i="253"/>
  <c r="D17" i="253"/>
  <c r="C14" i="253"/>
  <c r="C15" i="253" s="1"/>
  <c r="D15" i="253" s="1"/>
  <c r="C86" i="252"/>
  <c r="D84" i="252"/>
  <c r="D82" i="252"/>
  <c r="D80" i="252"/>
  <c r="D78" i="252"/>
  <c r="D77" i="252"/>
  <c r="D75" i="252"/>
  <c r="D73" i="252"/>
  <c r="D71" i="252"/>
  <c r="D69" i="252"/>
  <c r="D67" i="252"/>
  <c r="D65" i="252"/>
  <c r="D63" i="252"/>
  <c r="D61" i="252"/>
  <c r="C59" i="252"/>
  <c r="D59" i="252" s="1"/>
  <c r="C57" i="252"/>
  <c r="D57" i="252" s="1"/>
  <c r="C55" i="252"/>
  <c r="D55" i="252" s="1"/>
  <c r="C53" i="252"/>
  <c r="D53" i="252" s="1"/>
  <c r="C51" i="252"/>
  <c r="D51" i="252" s="1"/>
  <c r="C49" i="252"/>
  <c r="D49" i="252" s="1"/>
  <c r="C47" i="252"/>
  <c r="D47" i="252" s="1"/>
  <c r="C45" i="252"/>
  <c r="D45" i="252" s="1"/>
  <c r="C43" i="252"/>
  <c r="D43" i="252" s="1"/>
  <c r="C41" i="252"/>
  <c r="D41" i="252" s="1"/>
  <c r="C39" i="252"/>
  <c r="D39" i="252" s="1"/>
  <c r="C37" i="252"/>
  <c r="D37" i="252" s="1"/>
  <c r="C35" i="252"/>
  <c r="D35" i="252" s="1"/>
  <c r="C33" i="252"/>
  <c r="D33" i="252" s="1"/>
  <c r="C31" i="252"/>
  <c r="D31" i="252" s="1"/>
  <c r="C29" i="252"/>
  <c r="D29" i="252" s="1"/>
  <c r="C27" i="252"/>
  <c r="D27" i="252" s="1"/>
  <c r="D25" i="252"/>
  <c r="D23" i="252"/>
  <c r="D17" i="252"/>
  <c r="D14" i="252"/>
  <c r="C14" i="252"/>
  <c r="C15" i="252" s="1"/>
  <c r="C86" i="251"/>
  <c r="D84" i="251"/>
  <c r="D82" i="251"/>
  <c r="D80" i="251"/>
  <c r="D78" i="251"/>
  <c r="D77" i="251"/>
  <c r="D73" i="251"/>
  <c r="D71" i="251"/>
  <c r="D69" i="251"/>
  <c r="D67" i="251"/>
  <c r="D65" i="251"/>
  <c r="D63" i="251"/>
  <c r="D61" i="251"/>
  <c r="D59" i="251"/>
  <c r="D57" i="251"/>
  <c r="D55" i="251"/>
  <c r="D53" i="251"/>
  <c r="D51" i="251"/>
  <c r="D49" i="251"/>
  <c r="D47" i="251"/>
  <c r="D45" i="251"/>
  <c r="D43" i="251"/>
  <c r="D41" i="251"/>
  <c r="D39" i="251"/>
  <c r="D37" i="251"/>
  <c r="D35" i="251"/>
  <c r="D33" i="251"/>
  <c r="D31" i="251"/>
  <c r="D29" i="251"/>
  <c r="D27" i="251"/>
  <c r="D25" i="251"/>
  <c r="D23" i="251"/>
  <c r="D21" i="251"/>
  <c r="C55" i="251"/>
  <c r="C53" i="251"/>
  <c r="C51" i="251"/>
  <c r="C49" i="251"/>
  <c r="C47" i="251"/>
  <c r="C45" i="251"/>
  <c r="C43" i="251"/>
  <c r="C41" i="251"/>
  <c r="C39" i="251"/>
  <c r="C33" i="251"/>
  <c r="C29" i="251"/>
  <c r="C25" i="251"/>
  <c r="C23" i="251"/>
  <c r="D17" i="251"/>
  <c r="C14" i="251"/>
  <c r="C15" i="251" s="1"/>
  <c r="D15" i="251" s="1"/>
  <c r="C86" i="250"/>
  <c r="D84" i="250"/>
  <c r="D82" i="250"/>
  <c r="D80" i="250"/>
  <c r="D78" i="250"/>
  <c r="D77" i="250"/>
  <c r="D75" i="250"/>
  <c r="D73" i="250"/>
  <c r="D71" i="250"/>
  <c r="D69" i="250"/>
  <c r="D67" i="250"/>
  <c r="D65" i="250"/>
  <c r="D63" i="250"/>
  <c r="D61" i="250"/>
  <c r="D59" i="250"/>
  <c r="D57" i="250"/>
  <c r="D55" i="250"/>
  <c r="D53" i="250"/>
  <c r="D51" i="250"/>
  <c r="D49" i="250"/>
  <c r="D47" i="250"/>
  <c r="D45" i="250"/>
  <c r="D43" i="250"/>
  <c r="D41" i="250"/>
  <c r="D39" i="250"/>
  <c r="D37" i="250"/>
  <c r="D35" i="250"/>
  <c r="D33" i="250"/>
  <c r="D31" i="250"/>
  <c r="D29" i="250"/>
  <c r="D27" i="250"/>
  <c r="D25" i="250"/>
  <c r="D23" i="250"/>
  <c r="D21" i="250"/>
  <c r="C61" i="250"/>
  <c r="C59" i="250"/>
  <c r="C57" i="250"/>
  <c r="C55" i="250"/>
  <c r="C53" i="250"/>
  <c r="C51" i="250"/>
  <c r="C43" i="250"/>
  <c r="C41" i="250"/>
  <c r="C39" i="250"/>
  <c r="C33" i="250"/>
  <c r="C31" i="250"/>
  <c r="C29" i="250"/>
  <c r="C25" i="250"/>
  <c r="C23" i="250"/>
  <c r="D17" i="250"/>
  <c r="C14" i="250"/>
  <c r="D14" i="250" s="1"/>
  <c r="C87" i="249"/>
  <c r="D85" i="249"/>
  <c r="D83" i="249"/>
  <c r="D81" i="249"/>
  <c r="D79" i="249"/>
  <c r="D77" i="249"/>
  <c r="D75" i="249"/>
  <c r="D73" i="249"/>
  <c r="D71" i="249"/>
  <c r="D69" i="249"/>
  <c r="D67" i="249"/>
  <c r="D65" i="249"/>
  <c r="D63" i="249"/>
  <c r="D61" i="249"/>
  <c r="D59" i="249"/>
  <c r="D57" i="249"/>
  <c r="D55" i="249"/>
  <c r="D53" i="249"/>
  <c r="D51" i="249"/>
  <c r="D49" i="249"/>
  <c r="D47" i="249"/>
  <c r="D45" i="249"/>
  <c r="D43" i="249"/>
  <c r="D41" i="249"/>
  <c r="D39" i="249"/>
  <c r="D37" i="249"/>
  <c r="D35" i="249"/>
  <c r="D33" i="249"/>
  <c r="D31" i="249"/>
  <c r="D29" i="249"/>
  <c r="D27" i="249"/>
  <c r="D25" i="249"/>
  <c r="D23" i="249"/>
  <c r="D21" i="249"/>
  <c r="C67" i="249"/>
  <c r="C65" i="249"/>
  <c r="C63" i="249"/>
  <c r="C57" i="249"/>
  <c r="C53" i="249"/>
  <c r="C49" i="249"/>
  <c r="C47" i="249"/>
  <c r="C45" i="249"/>
  <c r="C43" i="249"/>
  <c r="C41" i="249"/>
  <c r="C37" i="249"/>
  <c r="C35" i="249"/>
  <c r="C33" i="249"/>
  <c r="C31" i="249"/>
  <c r="C29" i="249"/>
  <c r="D17" i="249"/>
  <c r="C14" i="249"/>
  <c r="C15" i="249" s="1"/>
  <c r="D15" i="249" s="1"/>
  <c r="C87" i="247"/>
  <c r="D86" i="248"/>
  <c r="D84" i="248"/>
  <c r="D82" i="248"/>
  <c r="D80" i="248"/>
  <c r="D78" i="248"/>
  <c r="D76" i="248"/>
  <c r="D74" i="248"/>
  <c r="D72" i="248"/>
  <c r="D70" i="248"/>
  <c r="D68" i="248"/>
  <c r="D66" i="248"/>
  <c r="D64" i="248"/>
  <c r="D62" i="248"/>
  <c r="D60" i="248"/>
  <c r="D58" i="248"/>
  <c r="D56" i="248"/>
  <c r="D54" i="248"/>
  <c r="D52" i="248"/>
  <c r="D50" i="248"/>
  <c r="D48" i="248"/>
  <c r="D46" i="248"/>
  <c r="D44" i="248"/>
  <c r="D42" i="248"/>
  <c r="D40" i="248"/>
  <c r="D38" i="248"/>
  <c r="D36" i="248"/>
  <c r="D34" i="248"/>
  <c r="D32" i="248"/>
  <c r="D30" i="248"/>
  <c r="D28" i="248"/>
  <c r="D26" i="248"/>
  <c r="D24" i="248"/>
  <c r="D22" i="248"/>
  <c r="C70" i="248"/>
  <c r="C44" i="248"/>
  <c r="C42" i="248"/>
  <c r="C40" i="248"/>
  <c r="C38" i="248"/>
  <c r="C36" i="248"/>
  <c r="C34" i="248"/>
  <c r="D18" i="248"/>
  <c r="C15" i="248"/>
  <c r="D85" i="247"/>
  <c r="D83" i="247"/>
  <c r="D81" i="247"/>
  <c r="D79" i="247"/>
  <c r="D77" i="247"/>
  <c r="D75" i="247"/>
  <c r="D73" i="247"/>
  <c r="D71" i="247"/>
  <c r="D69" i="247"/>
  <c r="D67" i="247"/>
  <c r="D65" i="247"/>
  <c r="D63" i="247"/>
  <c r="D61" i="247"/>
  <c r="D59" i="247"/>
  <c r="D57" i="247"/>
  <c r="D55" i="247"/>
  <c r="D53" i="247"/>
  <c r="D51" i="247"/>
  <c r="D49" i="247"/>
  <c r="D47" i="247"/>
  <c r="D45" i="247"/>
  <c r="D43" i="247"/>
  <c r="D41" i="247"/>
  <c r="D39" i="247"/>
  <c r="D37" i="247"/>
  <c r="D35" i="247"/>
  <c r="D33" i="247"/>
  <c r="D31" i="247"/>
  <c r="D29" i="247"/>
  <c r="D27" i="247"/>
  <c r="D25" i="247"/>
  <c r="D23" i="247"/>
  <c r="D21" i="247"/>
  <c r="C63" i="247"/>
  <c r="C53" i="247"/>
  <c r="C51" i="247"/>
  <c r="C49" i="247"/>
  <c r="C45" i="247"/>
  <c r="C43" i="247"/>
  <c r="C41" i="247"/>
  <c r="C39" i="247"/>
  <c r="C37" i="247"/>
  <c r="C35" i="247"/>
  <c r="C33" i="247"/>
  <c r="C31" i="247"/>
  <c r="C29" i="247"/>
  <c r="C25" i="247"/>
  <c r="C23" i="247"/>
  <c r="D17" i="247"/>
  <c r="D14" i="247"/>
  <c r="C14" i="247"/>
  <c r="C21" i="246"/>
  <c r="D21" i="246" s="1"/>
  <c r="D85" i="246"/>
  <c r="D83" i="246"/>
  <c r="D81" i="246"/>
  <c r="D79" i="246"/>
  <c r="D77" i="246"/>
  <c r="D75" i="246"/>
  <c r="D73" i="246"/>
  <c r="D71" i="246"/>
  <c r="D69" i="246"/>
  <c r="D67" i="246"/>
  <c r="D65" i="246"/>
  <c r="D63" i="246"/>
  <c r="D61" i="246"/>
  <c r="D59" i="246"/>
  <c r="D57" i="246"/>
  <c r="D55" i="246"/>
  <c r="D53" i="246"/>
  <c r="D51" i="246"/>
  <c r="D49" i="246"/>
  <c r="D47" i="246"/>
  <c r="D45" i="246"/>
  <c r="D43" i="246"/>
  <c r="D41" i="246"/>
  <c r="D39" i="246"/>
  <c r="D37" i="246"/>
  <c r="D35" i="246"/>
  <c r="D33" i="246"/>
  <c r="D31" i="246"/>
  <c r="D29" i="246"/>
  <c r="D27" i="246"/>
  <c r="D25" i="246"/>
  <c r="D23" i="246"/>
  <c r="C65" i="246"/>
  <c r="C63" i="246"/>
  <c r="C61" i="246"/>
  <c r="C59" i="246"/>
  <c r="C57" i="246"/>
  <c r="C45" i="246"/>
  <c r="C43" i="246"/>
  <c r="C41" i="246"/>
  <c r="C39" i="246"/>
  <c r="C37" i="246"/>
  <c r="C35" i="246"/>
  <c r="C33" i="246"/>
  <c r="C31" i="246"/>
  <c r="C29" i="246"/>
  <c r="C27" i="246"/>
  <c r="C25" i="246"/>
  <c r="C23" i="246"/>
  <c r="D17" i="246"/>
  <c r="C14" i="246"/>
  <c r="D14" i="246" s="1"/>
  <c r="C85" i="22" l="1"/>
  <c r="C86" i="154"/>
  <c r="D87" i="174"/>
  <c r="D87" i="38"/>
  <c r="D88" i="38" s="1"/>
  <c r="C91" i="38" s="1"/>
  <c r="D86" i="26"/>
  <c r="D85" i="22"/>
  <c r="D86" i="13"/>
  <c r="D85" i="12"/>
  <c r="D86" i="12" s="1"/>
  <c r="C89" i="12" s="1"/>
  <c r="D86" i="159"/>
  <c r="D87" i="159" s="1"/>
  <c r="C90" i="159" s="1"/>
  <c r="D86" i="160"/>
  <c r="D87" i="160" s="1"/>
  <c r="D86" i="161"/>
  <c r="D87" i="161" s="1"/>
  <c r="C90" i="161" s="1"/>
  <c r="D86" i="153"/>
  <c r="D87" i="153" s="1"/>
  <c r="D86" i="264"/>
  <c r="D86" i="263"/>
  <c r="D87" i="263" s="1"/>
  <c r="C90" i="263" s="1"/>
  <c r="D86" i="261"/>
  <c r="D87" i="261" s="1"/>
  <c r="C90" i="261" s="1"/>
  <c r="D86" i="257"/>
  <c r="D87" i="257" s="1"/>
  <c r="C90" i="257" s="1"/>
  <c r="D86" i="256"/>
  <c r="D86" i="255"/>
  <c r="D87" i="255" s="1"/>
  <c r="C90" i="255" s="1"/>
  <c r="D86" i="254"/>
  <c r="D87" i="254" s="1"/>
  <c r="D86" i="253"/>
  <c r="D87" i="253" s="1"/>
  <c r="C90" i="253" s="1"/>
  <c r="D85" i="251"/>
  <c r="D86" i="251" s="1"/>
  <c r="C89" i="251" s="1"/>
  <c r="D85" i="250"/>
  <c r="D86" i="250" s="1"/>
  <c r="C89" i="250" s="1"/>
  <c r="D86" i="249"/>
  <c r="D87" i="249" s="1"/>
  <c r="C90" i="249" s="1"/>
  <c r="D87" i="248"/>
  <c r="D88" i="248" s="1"/>
  <c r="D86" i="247"/>
  <c r="D87" i="247" s="1"/>
  <c r="C90" i="247" s="1"/>
  <c r="D86" i="246"/>
  <c r="D21" i="82"/>
  <c r="C89" i="82" s="1"/>
  <c r="D22" i="183"/>
  <c r="C91" i="175"/>
  <c r="C89" i="173"/>
  <c r="C89" i="171"/>
  <c r="D21" i="80"/>
  <c r="C90" i="80" s="1"/>
  <c r="C90" i="56"/>
  <c r="D21" i="162"/>
  <c r="D21" i="160"/>
  <c r="D21" i="156"/>
  <c r="D21" i="158"/>
  <c r="D86" i="158" s="1"/>
  <c r="D87" i="158" s="1"/>
  <c r="D21" i="154"/>
  <c r="D86" i="154" s="1"/>
  <c r="D22" i="155"/>
  <c r="D87" i="155" s="1"/>
  <c r="D88" i="155" s="1"/>
  <c r="D21" i="152"/>
  <c r="C90" i="153"/>
  <c r="D21" i="151"/>
  <c r="D86" i="151" s="1"/>
  <c r="D87" i="151" s="1"/>
  <c r="D21" i="150"/>
  <c r="D85" i="150" s="1"/>
  <c r="D21" i="268"/>
  <c r="D86" i="268" s="1"/>
  <c r="D87" i="268" s="1"/>
  <c r="C90" i="268" s="1"/>
  <c r="D14" i="268"/>
  <c r="D18" i="268" s="1"/>
  <c r="C18" i="268"/>
  <c r="D21" i="267"/>
  <c r="C90" i="267" s="1"/>
  <c r="D14" i="267"/>
  <c r="D18" i="267" s="1"/>
  <c r="C18" i="267"/>
  <c r="C90" i="266"/>
  <c r="D14" i="266"/>
  <c r="D18" i="266" s="1"/>
  <c r="C18" i="266"/>
  <c r="C90" i="265"/>
  <c r="D14" i="265"/>
  <c r="D18" i="265" s="1"/>
  <c r="C18" i="265"/>
  <c r="C18" i="264"/>
  <c r="D14" i="264"/>
  <c r="D18" i="264" s="1"/>
  <c r="D14" i="263"/>
  <c r="D18" i="263" s="1"/>
  <c r="C18" i="263"/>
  <c r="C18" i="262"/>
  <c r="C15" i="262"/>
  <c r="D15" i="262" s="1"/>
  <c r="D14" i="262"/>
  <c r="D18" i="262" s="1"/>
  <c r="D21" i="262"/>
  <c r="D86" i="262" s="1"/>
  <c r="D87" i="262" s="1"/>
  <c r="C18" i="261"/>
  <c r="D15" i="261"/>
  <c r="D14" i="261"/>
  <c r="D18" i="261" s="1"/>
  <c r="D21" i="260"/>
  <c r="D86" i="260" s="1"/>
  <c r="D87" i="260" s="1"/>
  <c r="D14" i="260"/>
  <c r="D18" i="260" s="1"/>
  <c r="C18" i="260"/>
  <c r="D21" i="259"/>
  <c r="D86" i="259" s="1"/>
  <c r="D87" i="259" s="1"/>
  <c r="D18" i="259"/>
  <c r="C18" i="259"/>
  <c r="D83" i="258"/>
  <c r="D86" i="258" s="1"/>
  <c r="D87" i="258" s="1"/>
  <c r="C90" i="258" s="1"/>
  <c r="D14" i="258"/>
  <c r="D18" i="258" s="1"/>
  <c r="C18" i="258"/>
  <c r="C15" i="256"/>
  <c r="D15" i="256" s="1"/>
  <c r="D14" i="257"/>
  <c r="D18" i="257" s="1"/>
  <c r="C18" i="257"/>
  <c r="D18" i="256"/>
  <c r="C18" i="256"/>
  <c r="D21" i="255"/>
  <c r="D15" i="255"/>
  <c r="D18" i="255" s="1"/>
  <c r="C18" i="255"/>
  <c r="D14" i="254"/>
  <c r="C90" i="254"/>
  <c r="D15" i="254"/>
  <c r="D18" i="254" s="1"/>
  <c r="C18" i="254"/>
  <c r="D14" i="253"/>
  <c r="D18" i="253" s="1"/>
  <c r="C18" i="253"/>
  <c r="D21" i="252"/>
  <c r="D85" i="252" s="1"/>
  <c r="D86" i="252" s="1"/>
  <c r="D15" i="252"/>
  <c r="D18" i="252" s="1"/>
  <c r="C18" i="252"/>
  <c r="D14" i="251"/>
  <c r="D18" i="251" s="1"/>
  <c r="C18" i="251"/>
  <c r="C15" i="250"/>
  <c r="D15" i="250" s="1"/>
  <c r="D18" i="250" s="1"/>
  <c r="C18" i="249"/>
  <c r="D14" i="249"/>
  <c r="D18" i="249" s="1"/>
  <c r="C16" i="248"/>
  <c r="D16" i="248" s="1"/>
  <c r="C91" i="248"/>
  <c r="D15" i="248"/>
  <c r="D19" i="248" s="1"/>
  <c r="C15" i="247"/>
  <c r="D15" i="247" s="1"/>
  <c r="D18" i="247" s="1"/>
  <c r="C15" i="246"/>
  <c r="D15" i="246" s="1"/>
  <c r="D18" i="246" s="1"/>
  <c r="C87" i="246"/>
  <c r="C18" i="246"/>
  <c r="C87" i="245"/>
  <c r="D85" i="245"/>
  <c r="D83" i="245"/>
  <c r="D79" i="245"/>
  <c r="D77" i="245"/>
  <c r="D75" i="245"/>
  <c r="D73" i="245"/>
  <c r="D71" i="245"/>
  <c r="D69" i="245"/>
  <c r="D67" i="245"/>
  <c r="D65" i="245"/>
  <c r="D63" i="245"/>
  <c r="D61" i="245"/>
  <c r="D59" i="245"/>
  <c r="D57" i="245"/>
  <c r="D55" i="245"/>
  <c r="D53" i="245"/>
  <c r="D51" i="245"/>
  <c r="D49" i="245"/>
  <c r="D47" i="245"/>
  <c r="D45" i="245"/>
  <c r="D43" i="245"/>
  <c r="D41" i="245"/>
  <c r="D39" i="245"/>
  <c r="D37" i="245"/>
  <c r="D35" i="245"/>
  <c r="D33" i="245"/>
  <c r="D31" i="245"/>
  <c r="D29" i="245"/>
  <c r="D27" i="245"/>
  <c r="D25" i="245"/>
  <c r="D23" i="245"/>
  <c r="D21" i="245"/>
  <c r="C73" i="245"/>
  <c r="C55" i="245"/>
  <c r="C53" i="245"/>
  <c r="C51" i="245"/>
  <c r="C49" i="245"/>
  <c r="C39" i="245"/>
  <c r="C37" i="245"/>
  <c r="C35" i="245"/>
  <c r="C33" i="245"/>
  <c r="C31" i="245"/>
  <c r="C29" i="245"/>
  <c r="C27" i="245"/>
  <c r="C25" i="245"/>
  <c r="C23" i="245"/>
  <c r="D17" i="245"/>
  <c r="C15" i="245"/>
  <c r="D15" i="245" s="1"/>
  <c r="C14" i="245"/>
  <c r="D14" i="245" s="1"/>
  <c r="D79" i="243"/>
  <c r="D79" i="242"/>
  <c r="D79" i="241"/>
  <c r="D80" i="238"/>
  <c r="C87" i="244"/>
  <c r="D79" i="244"/>
  <c r="D85" i="244"/>
  <c r="D83" i="244"/>
  <c r="D75" i="244"/>
  <c r="D73" i="244"/>
  <c r="D71" i="244"/>
  <c r="C69" i="244"/>
  <c r="D69" i="244" s="1"/>
  <c r="D67" i="244"/>
  <c r="D65" i="244"/>
  <c r="D63" i="244"/>
  <c r="C61" i="244"/>
  <c r="D61" i="244" s="1"/>
  <c r="C59" i="244"/>
  <c r="D59" i="244" s="1"/>
  <c r="D57" i="244"/>
  <c r="D55" i="244"/>
  <c r="D53" i="244"/>
  <c r="D51" i="244"/>
  <c r="C49" i="244"/>
  <c r="D49" i="244" s="1"/>
  <c r="C47" i="244"/>
  <c r="D47" i="244" s="1"/>
  <c r="C45" i="244"/>
  <c r="D45" i="244" s="1"/>
  <c r="D43" i="244"/>
  <c r="C41" i="244"/>
  <c r="D41" i="244" s="1"/>
  <c r="C39" i="244"/>
  <c r="D39" i="244" s="1"/>
  <c r="C37" i="244"/>
  <c r="D37" i="244" s="1"/>
  <c r="D35" i="244"/>
  <c r="D33" i="244"/>
  <c r="D31" i="244"/>
  <c r="D29" i="244"/>
  <c r="D27" i="244"/>
  <c r="D25" i="244"/>
  <c r="D23" i="244"/>
  <c r="D21" i="244"/>
  <c r="D17" i="244"/>
  <c r="D14" i="244"/>
  <c r="C14" i="244"/>
  <c r="C15" i="244" s="1"/>
  <c r="D85" i="243"/>
  <c r="D83" i="243"/>
  <c r="D81" i="243"/>
  <c r="D77" i="243"/>
  <c r="D75" i="243"/>
  <c r="D73" i="243"/>
  <c r="D71" i="243"/>
  <c r="D69" i="243"/>
  <c r="D67" i="243"/>
  <c r="D65" i="243"/>
  <c r="D63" i="243"/>
  <c r="C63" i="243"/>
  <c r="D61" i="243"/>
  <c r="C59" i="243"/>
  <c r="D59" i="243" s="1"/>
  <c r="D57" i="243"/>
  <c r="C55" i="243"/>
  <c r="D55" i="243" s="1"/>
  <c r="C53" i="243"/>
  <c r="D53" i="243" s="1"/>
  <c r="C51" i="243"/>
  <c r="D51" i="243" s="1"/>
  <c r="C49" i="243"/>
  <c r="D49" i="243" s="1"/>
  <c r="C47" i="243"/>
  <c r="D47" i="243" s="1"/>
  <c r="C45" i="243"/>
  <c r="D45" i="243" s="1"/>
  <c r="C43" i="243"/>
  <c r="D43" i="243" s="1"/>
  <c r="C41" i="243"/>
  <c r="D41" i="243" s="1"/>
  <c r="C39" i="243"/>
  <c r="D39" i="243" s="1"/>
  <c r="C37" i="243"/>
  <c r="D37" i="243" s="1"/>
  <c r="C35" i="243"/>
  <c r="D35" i="243" s="1"/>
  <c r="C33" i="243"/>
  <c r="D33" i="243" s="1"/>
  <c r="C31" i="243"/>
  <c r="D31" i="243" s="1"/>
  <c r="C29" i="243"/>
  <c r="D29" i="243" s="1"/>
  <c r="C27" i="243"/>
  <c r="D27" i="243" s="1"/>
  <c r="C25" i="243"/>
  <c r="D25" i="243" s="1"/>
  <c r="D23" i="243"/>
  <c r="D17" i="243"/>
  <c r="C14" i="243"/>
  <c r="D85" i="242"/>
  <c r="D83" i="242"/>
  <c r="D81" i="242"/>
  <c r="D77" i="242"/>
  <c r="D75" i="242"/>
  <c r="D73" i="242"/>
  <c r="C71" i="242"/>
  <c r="D71" i="242" s="1"/>
  <c r="D69" i="242"/>
  <c r="C69" i="242"/>
  <c r="D67" i="242"/>
  <c r="D65" i="242"/>
  <c r="C65" i="242"/>
  <c r="D63" i="242"/>
  <c r="D61" i="242"/>
  <c r="D59" i="242"/>
  <c r="D57" i="242"/>
  <c r="C57" i="242"/>
  <c r="C55" i="242"/>
  <c r="D55" i="242" s="1"/>
  <c r="D53" i="242"/>
  <c r="C53" i="242"/>
  <c r="D51" i="242"/>
  <c r="D49" i="242"/>
  <c r="C47" i="242"/>
  <c r="D47" i="242" s="1"/>
  <c r="D45" i="242"/>
  <c r="C43" i="242"/>
  <c r="D43" i="242" s="1"/>
  <c r="D41" i="242"/>
  <c r="C41" i="242"/>
  <c r="C39" i="242"/>
  <c r="D39" i="242" s="1"/>
  <c r="D37" i="242"/>
  <c r="D35" i="242"/>
  <c r="D33" i="242"/>
  <c r="C31" i="242"/>
  <c r="D31" i="242" s="1"/>
  <c r="D29" i="242"/>
  <c r="C29" i="242"/>
  <c r="D27" i="242"/>
  <c r="D25" i="242"/>
  <c r="D23" i="242"/>
  <c r="D21" i="242"/>
  <c r="D17" i="242"/>
  <c r="C18" i="242"/>
  <c r="D14" i="242"/>
  <c r="C14" i="242"/>
  <c r="D69" i="241"/>
  <c r="D85" i="241"/>
  <c r="D83" i="241"/>
  <c r="D81" i="241"/>
  <c r="D77" i="241"/>
  <c r="D75" i="241"/>
  <c r="D73" i="241"/>
  <c r="D71" i="241"/>
  <c r="D67" i="241"/>
  <c r="D65" i="241"/>
  <c r="D63" i="241"/>
  <c r="D61" i="241"/>
  <c r="D59" i="241"/>
  <c r="D57" i="241"/>
  <c r="D55" i="241"/>
  <c r="D53" i="241"/>
  <c r="D51" i="241"/>
  <c r="C49" i="241"/>
  <c r="D49" i="241" s="1"/>
  <c r="C47" i="241"/>
  <c r="D47" i="241" s="1"/>
  <c r="D45" i="241"/>
  <c r="C43" i="241"/>
  <c r="D43" i="241" s="1"/>
  <c r="C41" i="241"/>
  <c r="D41" i="241" s="1"/>
  <c r="D39" i="241"/>
  <c r="C37" i="241"/>
  <c r="D37" i="241" s="1"/>
  <c r="C35" i="241"/>
  <c r="D35" i="241" s="1"/>
  <c r="C33" i="241"/>
  <c r="D33" i="241" s="1"/>
  <c r="D31" i="241"/>
  <c r="D29" i="241"/>
  <c r="D27" i="241"/>
  <c r="D25" i="241"/>
  <c r="D23" i="241"/>
  <c r="D21" i="241"/>
  <c r="D17" i="241"/>
  <c r="C14" i="241"/>
  <c r="D15" i="241" s="1"/>
  <c r="D47" i="240"/>
  <c r="D85" i="240"/>
  <c r="D77" i="240"/>
  <c r="D75" i="240"/>
  <c r="D69" i="240"/>
  <c r="D67" i="240"/>
  <c r="D61" i="240"/>
  <c r="D59" i="240"/>
  <c r="D39" i="240"/>
  <c r="D83" i="240"/>
  <c r="D81" i="240"/>
  <c r="D73" i="240"/>
  <c r="D71" i="240"/>
  <c r="D65" i="240"/>
  <c r="C63" i="240"/>
  <c r="D63" i="240" s="1"/>
  <c r="C61" i="240"/>
  <c r="D57" i="240"/>
  <c r="D55" i="240"/>
  <c r="D53" i="240"/>
  <c r="C51" i="240"/>
  <c r="D51" i="240" s="1"/>
  <c r="C49" i="240"/>
  <c r="D49" i="240" s="1"/>
  <c r="C47" i="240"/>
  <c r="C45" i="240"/>
  <c r="D45" i="240" s="1"/>
  <c r="C43" i="240"/>
  <c r="D43" i="240" s="1"/>
  <c r="C41" i="240"/>
  <c r="D41" i="240" s="1"/>
  <c r="C37" i="240"/>
  <c r="D37" i="240" s="1"/>
  <c r="C35" i="240"/>
  <c r="D35" i="240" s="1"/>
  <c r="D33" i="240"/>
  <c r="C31" i="240"/>
  <c r="D31" i="240" s="1"/>
  <c r="C29" i="240"/>
  <c r="D29" i="240" s="1"/>
  <c r="D27" i="240"/>
  <c r="D25" i="240"/>
  <c r="D23" i="240"/>
  <c r="D21" i="240"/>
  <c r="D17" i="240"/>
  <c r="C14" i="240"/>
  <c r="C15" i="240" s="1"/>
  <c r="D15" i="240" s="1"/>
  <c r="D84" i="239"/>
  <c r="D82" i="239"/>
  <c r="D80" i="239"/>
  <c r="D78" i="239"/>
  <c r="D77" i="239"/>
  <c r="D75" i="239"/>
  <c r="D73" i="239"/>
  <c r="D71" i="239"/>
  <c r="D69" i="239"/>
  <c r="D67" i="239"/>
  <c r="D65" i="239"/>
  <c r="C65" i="239"/>
  <c r="D63" i="239"/>
  <c r="C63" i="239"/>
  <c r="D61" i="239"/>
  <c r="D59" i="239"/>
  <c r="C59" i="239"/>
  <c r="D57" i="239"/>
  <c r="C57" i="239"/>
  <c r="D55" i="239"/>
  <c r="C55" i="239"/>
  <c r="D53" i="239"/>
  <c r="D51" i="239"/>
  <c r="D49" i="239"/>
  <c r="D47" i="239"/>
  <c r="C47" i="239"/>
  <c r="D45" i="239"/>
  <c r="C45" i="239"/>
  <c r="D43" i="239"/>
  <c r="C43" i="239"/>
  <c r="D41" i="239"/>
  <c r="C41" i="239"/>
  <c r="D39" i="239"/>
  <c r="D37" i="239"/>
  <c r="C37" i="239"/>
  <c r="D35" i="239"/>
  <c r="C35" i="239"/>
  <c r="D33" i="239"/>
  <c r="C33" i="239"/>
  <c r="D31" i="239"/>
  <c r="C31" i="239"/>
  <c r="D29" i="239"/>
  <c r="C29" i="239"/>
  <c r="D27" i="239"/>
  <c r="C27" i="239"/>
  <c r="D25" i="239"/>
  <c r="C25" i="239"/>
  <c r="D23" i="239"/>
  <c r="C23" i="239"/>
  <c r="D21" i="239"/>
  <c r="C21" i="239"/>
  <c r="D17" i="239"/>
  <c r="C14" i="239"/>
  <c r="D84" i="238"/>
  <c r="D72" i="238"/>
  <c r="D64" i="238"/>
  <c r="D56" i="238"/>
  <c r="D48" i="238"/>
  <c r="D40" i="238"/>
  <c r="D32" i="238"/>
  <c r="D24" i="238"/>
  <c r="D82" i="238"/>
  <c r="D78" i="238"/>
  <c r="D74" i="238"/>
  <c r="D70" i="238"/>
  <c r="D68" i="238"/>
  <c r="D66" i="238"/>
  <c r="D62" i="238"/>
  <c r="D60" i="238"/>
  <c r="D58" i="238"/>
  <c r="D54" i="238"/>
  <c r="D52" i="238"/>
  <c r="D50" i="238"/>
  <c r="D46" i="238"/>
  <c r="D44" i="238"/>
  <c r="D42" i="238"/>
  <c r="D38" i="238"/>
  <c r="D36" i="238"/>
  <c r="D34" i="238"/>
  <c r="D30" i="238"/>
  <c r="D28" i="238"/>
  <c r="D26" i="238"/>
  <c r="D22" i="238"/>
  <c r="D18" i="238"/>
  <c r="C15" i="238"/>
  <c r="D16" i="238" s="1"/>
  <c r="D83" i="237"/>
  <c r="D79" i="237"/>
  <c r="D76" i="237"/>
  <c r="D74" i="237"/>
  <c r="D72" i="237"/>
  <c r="D70" i="237"/>
  <c r="D68" i="237"/>
  <c r="D66" i="237"/>
  <c r="D64" i="237"/>
  <c r="D62" i="237"/>
  <c r="D60" i="237"/>
  <c r="D58" i="237"/>
  <c r="D56" i="237"/>
  <c r="D54" i="237"/>
  <c r="D52" i="237"/>
  <c r="D50" i="237"/>
  <c r="D48" i="237"/>
  <c r="D44" i="237"/>
  <c r="D46" i="237"/>
  <c r="D42" i="237"/>
  <c r="D40" i="237"/>
  <c r="D38" i="237"/>
  <c r="D36" i="237"/>
  <c r="D34" i="237"/>
  <c r="D30" i="237"/>
  <c r="D28" i="237"/>
  <c r="D26" i="237"/>
  <c r="D22" i="237"/>
  <c r="D81" i="237"/>
  <c r="D77" i="237"/>
  <c r="D16" i="237"/>
  <c r="C13" i="237"/>
  <c r="D87" i="183" l="1"/>
  <c r="C14" i="237"/>
  <c r="D14" i="237" s="1"/>
  <c r="D86" i="240"/>
  <c r="D87" i="240" s="1"/>
  <c r="D87" i="238"/>
  <c r="D88" i="238" s="1"/>
  <c r="D86" i="162"/>
  <c r="C90" i="162" s="1"/>
  <c r="C90" i="160"/>
  <c r="D86" i="156"/>
  <c r="D87" i="156" s="1"/>
  <c r="C90" i="156" s="1"/>
  <c r="C90" i="158"/>
  <c r="C91" i="155"/>
  <c r="D86" i="152"/>
  <c r="D87" i="152" s="1"/>
  <c r="C90" i="152" s="1"/>
  <c r="C90" i="151"/>
  <c r="C90" i="262"/>
  <c r="C90" i="260"/>
  <c r="C90" i="259"/>
  <c r="C89" i="252"/>
  <c r="D86" i="245"/>
  <c r="D87" i="245" s="1"/>
  <c r="C90" i="245" s="1"/>
  <c r="D86" i="244"/>
  <c r="D87" i="244" s="1"/>
  <c r="D86" i="242"/>
  <c r="D86" i="241"/>
  <c r="D85" i="239"/>
  <c r="D20" i="237"/>
  <c r="D87" i="264"/>
  <c r="C90" i="264" s="1"/>
  <c r="D87" i="256"/>
  <c r="C90" i="256" s="1"/>
  <c r="C87" i="256"/>
  <c r="C18" i="250"/>
  <c r="C19" i="248"/>
  <c r="C18" i="247"/>
  <c r="D87" i="246"/>
  <c r="C90" i="246" s="1"/>
  <c r="C18" i="245"/>
  <c r="D18" i="245"/>
  <c r="C18" i="244"/>
  <c r="D15" i="244"/>
  <c r="D18" i="244" s="1"/>
  <c r="D15" i="243"/>
  <c r="C18" i="243"/>
  <c r="D14" i="243"/>
  <c r="D21" i="243"/>
  <c r="D86" i="243" s="1"/>
  <c r="D15" i="242"/>
  <c r="D18" i="242" s="1"/>
  <c r="C87" i="242"/>
  <c r="D14" i="241"/>
  <c r="D18" i="241" s="1"/>
  <c r="C18" i="241"/>
  <c r="C87" i="241" s="1"/>
  <c r="D14" i="240"/>
  <c r="D18" i="240" s="1"/>
  <c r="C18" i="240"/>
  <c r="D14" i="239"/>
  <c r="C18" i="239"/>
  <c r="C86" i="239" s="1"/>
  <c r="D15" i="239"/>
  <c r="D18" i="239" s="1"/>
  <c r="D15" i="238"/>
  <c r="D19" i="238" s="1"/>
  <c r="C19" i="238"/>
  <c r="C88" i="238" s="1"/>
  <c r="D13" i="237"/>
  <c r="C17" i="237"/>
  <c r="D24" i="237"/>
  <c r="C15" i="236"/>
  <c r="C16" i="236" s="1"/>
  <c r="C14" i="235"/>
  <c r="D14" i="235" s="1"/>
  <c r="C14" i="234"/>
  <c r="D14" i="234" s="1"/>
  <c r="C14" i="233"/>
  <c r="C14" i="232"/>
  <c r="C15" i="232" s="1"/>
  <c r="C14" i="231"/>
  <c r="C15" i="231" s="1"/>
  <c r="C14" i="230"/>
  <c r="C15" i="230" s="1"/>
  <c r="C14" i="229"/>
  <c r="C15" i="229" s="1"/>
  <c r="C14" i="228"/>
  <c r="C15" i="228" s="1"/>
  <c r="D15" i="228" s="1"/>
  <c r="C14" i="227"/>
  <c r="C14" i="226"/>
  <c r="D14" i="226" s="1"/>
  <c r="C14" i="225"/>
  <c r="D14" i="225" s="1"/>
  <c r="C14" i="224"/>
  <c r="C15" i="223"/>
  <c r="C16" i="223" s="1"/>
  <c r="C14" i="222"/>
  <c r="C15" i="222" s="1"/>
  <c r="C18" i="222" s="1"/>
  <c r="C14" i="221"/>
  <c r="D14" i="221" s="1"/>
  <c r="C14" i="220"/>
  <c r="C14" i="219"/>
  <c r="C15" i="219" s="1"/>
  <c r="D15" i="219" s="1"/>
  <c r="C14" i="218"/>
  <c r="D14" i="218" s="1"/>
  <c r="C14" i="217"/>
  <c r="C14" i="216"/>
  <c r="C15" i="216" s="1"/>
  <c r="C14" i="215"/>
  <c r="C15" i="215" s="1"/>
  <c r="D15" i="215" s="1"/>
  <c r="C14" i="214"/>
  <c r="D14" i="214" s="1"/>
  <c r="C14" i="213"/>
  <c r="C15" i="213" s="1"/>
  <c r="D15" i="213" s="1"/>
  <c r="C15" i="212"/>
  <c r="C16" i="212" s="1"/>
  <c r="C14" i="211"/>
  <c r="D18" i="236"/>
  <c r="D17" i="235"/>
  <c r="C15" i="235"/>
  <c r="C18" i="235" s="1"/>
  <c r="D17" i="234"/>
  <c r="C15" i="234"/>
  <c r="D15" i="234" s="1"/>
  <c r="D17" i="232"/>
  <c r="D17" i="231"/>
  <c r="D17" i="228"/>
  <c r="D17" i="226"/>
  <c r="D17" i="224"/>
  <c r="C15" i="224"/>
  <c r="C18" i="224" s="1"/>
  <c r="D14" i="224"/>
  <c r="D18" i="223"/>
  <c r="D17" i="222"/>
  <c r="C15" i="221"/>
  <c r="D15" i="221" s="1"/>
  <c r="D17" i="219"/>
  <c r="D17" i="218"/>
  <c r="D17" i="215"/>
  <c r="D17" i="213"/>
  <c r="D17" i="211"/>
  <c r="C15" i="211"/>
  <c r="C18" i="211" s="1"/>
  <c r="D14" i="211"/>
  <c r="D17" i="237" l="1"/>
  <c r="C15" i="227"/>
  <c r="D15" i="227" s="1"/>
  <c r="D14" i="227"/>
  <c r="C15" i="225"/>
  <c r="D15" i="225" s="1"/>
  <c r="C91" i="238"/>
  <c r="C15" i="233"/>
  <c r="D15" i="233" s="1"/>
  <c r="D14" i="233"/>
  <c r="C90" i="244"/>
  <c r="D18" i="243"/>
  <c r="C85" i="237"/>
  <c r="D84" i="237"/>
  <c r="D85" i="237" s="1"/>
  <c r="D14" i="231"/>
  <c r="C15" i="226"/>
  <c r="D15" i="226" s="1"/>
  <c r="D18" i="226" s="1"/>
  <c r="D15" i="211"/>
  <c r="D18" i="211" s="1"/>
  <c r="C87" i="243"/>
  <c r="D87" i="243"/>
  <c r="C90" i="243" s="1"/>
  <c r="D87" i="242"/>
  <c r="C90" i="242" s="1"/>
  <c r="D87" i="241"/>
  <c r="C90" i="241" s="1"/>
  <c r="C90" i="240"/>
  <c r="D86" i="239"/>
  <c r="C89" i="239" s="1"/>
  <c r="D15" i="236"/>
  <c r="D14" i="232"/>
  <c r="D14" i="222"/>
  <c r="D18" i="222" s="1"/>
  <c r="D14" i="213"/>
  <c r="D16" i="236"/>
  <c r="D19" i="236" s="1"/>
  <c r="C19" i="236"/>
  <c r="C18" i="234"/>
  <c r="D18" i="234"/>
  <c r="C18" i="233"/>
  <c r="C87" i="233" s="1"/>
  <c r="D15" i="232"/>
  <c r="D18" i="232" s="1"/>
  <c r="C18" i="232"/>
  <c r="D15" i="231"/>
  <c r="C18" i="231"/>
  <c r="D18" i="230"/>
  <c r="C18" i="230"/>
  <c r="C18" i="229"/>
  <c r="D14" i="228"/>
  <c r="D18" i="228" s="1"/>
  <c r="D87" i="228" s="1"/>
  <c r="C90" i="228" s="1"/>
  <c r="C18" i="228"/>
  <c r="C87" i="228" s="1"/>
  <c r="C18" i="227"/>
  <c r="C87" i="227" s="1"/>
  <c r="C18" i="225"/>
  <c r="C87" i="225" s="1"/>
  <c r="D18" i="225"/>
  <c r="D87" i="225" s="1"/>
  <c r="C90" i="225" s="1"/>
  <c r="D15" i="224"/>
  <c r="D18" i="224" s="1"/>
  <c r="D16" i="223"/>
  <c r="C19" i="223"/>
  <c r="D15" i="223"/>
  <c r="D15" i="222"/>
  <c r="C18" i="221"/>
  <c r="C87" i="221" s="1"/>
  <c r="D18" i="221"/>
  <c r="D87" i="221" s="1"/>
  <c r="C90" i="221" s="1"/>
  <c r="C15" i="220"/>
  <c r="D14" i="219"/>
  <c r="D18" i="219" s="1"/>
  <c r="C18" i="219"/>
  <c r="C15" i="218"/>
  <c r="D15" i="218" s="1"/>
  <c r="D18" i="218" s="1"/>
  <c r="C15" i="217"/>
  <c r="C18" i="216"/>
  <c r="D14" i="215"/>
  <c r="D18" i="215" s="1"/>
  <c r="D87" i="215" s="1"/>
  <c r="C90" i="215" s="1"/>
  <c r="C18" i="215"/>
  <c r="C87" i="215" s="1"/>
  <c r="C15" i="214"/>
  <c r="D15" i="214" s="1"/>
  <c r="D18" i="213"/>
  <c r="C18" i="213"/>
  <c r="C19" i="212"/>
  <c r="D19" i="212"/>
  <c r="D88" i="212" s="1"/>
  <c r="C91" i="212" s="1"/>
  <c r="D15" i="235"/>
  <c r="D18" i="235" s="1"/>
  <c r="C14" i="207"/>
  <c r="C15" i="207" s="1"/>
  <c r="D15" i="207" s="1"/>
  <c r="C14" i="196"/>
  <c r="C15" i="196" s="1"/>
  <c r="D15" i="196" s="1"/>
  <c r="C14" i="208"/>
  <c r="D14" i="208" s="1"/>
  <c r="C14" i="206"/>
  <c r="C15" i="206" s="1"/>
  <c r="C14" i="205"/>
  <c r="C15" i="205" s="1"/>
  <c r="D15" i="205" s="1"/>
  <c r="C14" i="204"/>
  <c r="C15" i="204" s="1"/>
  <c r="D15" i="204" s="1"/>
  <c r="C14" i="191"/>
  <c r="C15" i="191" s="1"/>
  <c r="C14" i="190"/>
  <c r="C15" i="190" s="1"/>
  <c r="C15" i="189"/>
  <c r="C16" i="189" s="1"/>
  <c r="D16" i="189" s="1"/>
  <c r="C15" i="188"/>
  <c r="C16" i="188" s="1"/>
  <c r="C14" i="187"/>
  <c r="C15" i="187" s="1"/>
  <c r="D15" i="187" s="1"/>
  <c r="C14" i="186"/>
  <c r="D14" i="186" s="1"/>
  <c r="C14" i="184"/>
  <c r="C15" i="183"/>
  <c r="C16" i="183" s="1"/>
  <c r="D16" i="183" s="1"/>
  <c r="C14" i="181"/>
  <c r="D14" i="181" s="1"/>
  <c r="C14" i="180"/>
  <c r="C14" i="179"/>
  <c r="D17" i="166"/>
  <c r="C12" i="203"/>
  <c r="C14" i="177"/>
  <c r="C15" i="177" s="1"/>
  <c r="C14" i="176"/>
  <c r="C15" i="176" s="1"/>
  <c r="C15" i="175"/>
  <c r="C16" i="175" s="1"/>
  <c r="D16" i="175" s="1"/>
  <c r="C15" i="174"/>
  <c r="C16" i="174" s="1"/>
  <c r="C14" i="173"/>
  <c r="C15" i="172"/>
  <c r="C14" i="171"/>
  <c r="C13" i="203" l="1"/>
  <c r="D13" i="203" s="1"/>
  <c r="D12" i="203"/>
  <c r="C15" i="180"/>
  <c r="D15" i="180" s="1"/>
  <c r="D14" i="180"/>
  <c r="C15" i="179"/>
  <c r="D15" i="179" s="1"/>
  <c r="D14" i="179"/>
  <c r="C88" i="237"/>
  <c r="D18" i="233"/>
  <c r="D87" i="233" s="1"/>
  <c r="C90" i="233" s="1"/>
  <c r="D18" i="231"/>
  <c r="D18" i="229"/>
  <c r="D87" i="229" s="1"/>
  <c r="C90" i="229" s="1"/>
  <c r="C18" i="226"/>
  <c r="D19" i="223"/>
  <c r="D14" i="207"/>
  <c r="D18" i="227"/>
  <c r="D87" i="227" s="1"/>
  <c r="C90" i="227" s="1"/>
  <c r="D18" i="216"/>
  <c r="D87" i="216" s="1"/>
  <c r="C90" i="216" s="1"/>
  <c r="D15" i="189"/>
  <c r="D18" i="220"/>
  <c r="C18" i="220"/>
  <c r="C18" i="218"/>
  <c r="D18" i="217"/>
  <c r="C18" i="217"/>
  <c r="D18" i="214"/>
  <c r="D87" i="214" s="1"/>
  <c r="C90" i="214" s="1"/>
  <c r="C18" i="214"/>
  <c r="C87" i="214" s="1"/>
  <c r="D14" i="205"/>
  <c r="D14" i="204"/>
  <c r="D14" i="187"/>
  <c r="D15" i="183"/>
  <c r="D15" i="175"/>
  <c r="C14" i="170" l="1"/>
  <c r="C15" i="170" s="1"/>
  <c r="C14" i="169"/>
  <c r="C14" i="168"/>
  <c r="C13" i="90"/>
  <c r="C14" i="90" s="1"/>
  <c r="C14" i="165"/>
  <c r="C15" i="165" s="1"/>
  <c r="C14" i="166"/>
  <c r="C13" i="163"/>
  <c r="C12" i="167"/>
  <c r="C13" i="164"/>
  <c r="C14" i="88"/>
  <c r="C14" i="86"/>
  <c r="C15" i="84"/>
  <c r="C14" i="82"/>
  <c r="C15" i="76"/>
  <c r="C14" i="80"/>
  <c r="C15" i="80" s="1"/>
  <c r="D15" i="80" s="1"/>
  <c r="C14" i="70"/>
  <c r="C14" i="60"/>
  <c r="C14" i="56"/>
  <c r="C14" i="52"/>
  <c r="D14" i="52" s="1"/>
  <c r="C14" i="48"/>
  <c r="D14" i="48" s="1"/>
  <c r="C14" i="44"/>
  <c r="D14" i="44" s="1"/>
  <c r="C15" i="38"/>
  <c r="D17" i="151"/>
  <c r="C14" i="163" l="1"/>
  <c r="D14" i="163" s="1"/>
  <c r="D13" i="163"/>
  <c r="C15" i="166"/>
  <c r="D15" i="166" s="1"/>
  <c r="C14" i="26"/>
  <c r="C14" i="22"/>
  <c r="C14" i="12"/>
  <c r="D14" i="12" s="1"/>
  <c r="C14" i="162"/>
  <c r="C14" i="159"/>
  <c r="C14" i="160"/>
  <c r="C14" i="161"/>
  <c r="C14" i="156"/>
  <c r="C14" i="158"/>
  <c r="C14" i="157"/>
  <c r="C14" i="154"/>
  <c r="C14" i="151"/>
  <c r="C14" i="153"/>
  <c r="C14" i="152"/>
  <c r="C15" i="155"/>
  <c r="D15" i="155" s="1"/>
  <c r="C14" i="150"/>
  <c r="C18" i="166" l="1"/>
  <c r="C87" i="166" s="1"/>
  <c r="C16" i="172" l="1"/>
  <c r="C17" i="163"/>
  <c r="C19" i="172" l="1"/>
  <c r="D17" i="163"/>
  <c r="D19" i="172"/>
  <c r="C15" i="208" l="1"/>
  <c r="D15" i="208" s="1"/>
  <c r="D17" i="207"/>
  <c r="C18" i="207"/>
  <c r="C87" i="207" s="1"/>
  <c r="D18" i="206"/>
  <c r="D87" i="206" s="1"/>
  <c r="C90" i="206" s="1"/>
  <c r="C18" i="206"/>
  <c r="D17" i="205"/>
  <c r="C18" i="205"/>
  <c r="D17" i="204"/>
  <c r="C18" i="208" l="1"/>
  <c r="C87" i="208" s="1"/>
  <c r="D18" i="205"/>
  <c r="D18" i="208"/>
  <c r="D87" i="208" s="1"/>
  <c r="C90" i="208" s="1"/>
  <c r="D18" i="207"/>
  <c r="D87" i="207" s="1"/>
  <c r="C90" i="207" s="1"/>
  <c r="C18" i="204"/>
  <c r="D18" i="204"/>
  <c r="C16" i="203"/>
  <c r="C85" i="203" s="1"/>
  <c r="D16" i="203"/>
  <c r="D85" i="203" s="1"/>
  <c r="C88" i="203" s="1"/>
  <c r="D17" i="196" l="1"/>
  <c r="C18" i="196"/>
  <c r="D14" i="196"/>
  <c r="C18" i="191"/>
  <c r="C18" i="190"/>
  <c r="D18" i="189"/>
  <c r="C19" i="189"/>
  <c r="C19" i="188"/>
  <c r="D19" i="188"/>
  <c r="D88" i="188" s="1"/>
  <c r="C91" i="188" s="1"/>
  <c r="D17" i="187"/>
  <c r="C18" i="187"/>
  <c r="C15" i="186"/>
  <c r="D15" i="186" s="1"/>
  <c r="D17" i="184"/>
  <c r="C15" i="184"/>
  <c r="D14" i="184"/>
  <c r="C18" i="186" l="1"/>
  <c r="C87" i="186" s="1"/>
  <c r="C18" i="184"/>
  <c r="C86" i="184" s="1"/>
  <c r="D15" i="184"/>
  <c r="D18" i="184" s="1"/>
  <c r="D86" i="184" s="1"/>
  <c r="C89" i="184" s="1"/>
  <c r="D18" i="187"/>
  <c r="D18" i="196"/>
  <c r="D18" i="191"/>
  <c r="D18" i="190"/>
  <c r="D19" i="189"/>
  <c r="D18" i="186"/>
  <c r="D87" i="186" s="1"/>
  <c r="C90" i="186" s="1"/>
  <c r="D17" i="86" l="1"/>
  <c r="D17" i="80"/>
  <c r="D14" i="80"/>
  <c r="D17" i="56"/>
  <c r="D14" i="56"/>
  <c r="D18" i="38" l="1"/>
  <c r="D15" i="38" l="1"/>
  <c r="D17" i="22"/>
  <c r="D14" i="22"/>
  <c r="D17" i="12"/>
  <c r="D18" i="183" l="1"/>
  <c r="D18" i="175" l="1"/>
  <c r="D17" i="173" l="1"/>
  <c r="D14" i="173"/>
  <c r="D17" i="171"/>
  <c r="D14" i="171"/>
  <c r="D15" i="171" s="1"/>
  <c r="C18" i="177"/>
  <c r="D19" i="183" l="1"/>
  <c r="D88" i="183" s="1"/>
  <c r="C91" i="183" s="1"/>
  <c r="C15" i="182"/>
  <c r="D15" i="182" s="1"/>
  <c r="C15" i="181"/>
  <c r="D18" i="177"/>
  <c r="D18" i="176"/>
  <c r="C18" i="176"/>
  <c r="D19" i="175"/>
  <c r="C19" i="174"/>
  <c r="C15" i="173"/>
  <c r="C18" i="180"/>
  <c r="D18" i="171"/>
  <c r="C15" i="171"/>
  <c r="C18" i="171" s="1"/>
  <c r="D17" i="170"/>
  <c r="D14" i="170"/>
  <c r="D18" i="182" l="1"/>
  <c r="D87" i="182" s="1"/>
  <c r="C90" i="182" s="1"/>
  <c r="D18" i="181"/>
  <c r="C18" i="173"/>
  <c r="D15" i="173"/>
  <c r="C19" i="183"/>
  <c r="C88" i="183" s="1"/>
  <c r="C18" i="182"/>
  <c r="C87" i="182" s="1"/>
  <c r="C18" i="181"/>
  <c r="D18" i="179"/>
  <c r="D87" i="179" s="1"/>
  <c r="C90" i="179" s="1"/>
  <c r="C18" i="179"/>
  <c r="C87" i="179" s="1"/>
  <c r="C19" i="175"/>
  <c r="D19" i="174"/>
  <c r="D88" i="174" s="1"/>
  <c r="C91" i="174" s="1"/>
  <c r="D18" i="173"/>
  <c r="D18" i="180"/>
  <c r="C17" i="90" l="1"/>
  <c r="C15" i="169"/>
  <c r="C15" i="168"/>
  <c r="C18" i="165"/>
  <c r="D14" i="166"/>
  <c r="D18" i="166" s="1"/>
  <c r="D87" i="166" s="1"/>
  <c r="C90" i="166" s="1"/>
  <c r="C18" i="169" l="1"/>
  <c r="C18" i="168"/>
  <c r="D18" i="168"/>
  <c r="C18" i="170"/>
  <c r="C87" i="170" s="1"/>
  <c r="D15" i="170"/>
  <c r="D18" i="170" s="1"/>
  <c r="D87" i="170" s="1"/>
  <c r="C90" i="170" s="1"/>
  <c r="D17" i="90"/>
  <c r="D86" i="90" s="1"/>
  <c r="C89" i="90" s="1"/>
  <c r="D18" i="169"/>
  <c r="D18" i="165"/>
  <c r="C13" i="167"/>
  <c r="C16" i="84"/>
  <c r="C15" i="86"/>
  <c r="D15" i="86" s="1"/>
  <c r="C14" i="164"/>
  <c r="C15" i="88"/>
  <c r="C16" i="38"/>
  <c r="D16" i="38" s="1"/>
  <c r="D14" i="86"/>
  <c r="D18" i="86" l="1"/>
  <c r="C16" i="167"/>
  <c r="C17" i="164"/>
  <c r="C18" i="88"/>
  <c r="C18" i="86"/>
  <c r="C19" i="38"/>
  <c r="D16" i="167"/>
  <c r="D17" i="164"/>
  <c r="D19" i="38"/>
  <c r="D18" i="88"/>
  <c r="D87" i="88" s="1"/>
  <c r="C90" i="88" s="1"/>
  <c r="C19" i="84"/>
  <c r="D19" i="84" l="1"/>
  <c r="D17" i="82"/>
  <c r="D14" i="82"/>
  <c r="C15" i="82"/>
  <c r="D15" i="82" s="1"/>
  <c r="C15" i="13"/>
  <c r="C15" i="26"/>
  <c r="C18" i="82" l="1"/>
  <c r="D18" i="82"/>
  <c r="D18" i="26"/>
  <c r="D87" i="26" s="1"/>
  <c r="C90" i="26" s="1"/>
  <c r="C15" i="12"/>
  <c r="D15" i="12" l="1"/>
  <c r="D18" i="12" s="1"/>
  <c r="D18" i="13"/>
  <c r="D87" i="13" s="1"/>
  <c r="C90" i="13" s="1"/>
  <c r="C18" i="13" l="1"/>
  <c r="D14" i="162"/>
  <c r="C15" i="162"/>
  <c r="D15" i="162" s="1"/>
  <c r="D17" i="162"/>
  <c r="D14" i="159"/>
  <c r="D17" i="159"/>
  <c r="D14" i="160"/>
  <c r="D17" i="160"/>
  <c r="D14" i="161"/>
  <c r="D17" i="161"/>
  <c r="D14" i="156"/>
  <c r="D17" i="156"/>
  <c r="D17" i="158"/>
  <c r="D14" i="157"/>
  <c r="D17" i="157"/>
  <c r="D14" i="154"/>
  <c r="D17" i="154"/>
  <c r="D18" i="155"/>
  <c r="D14" i="152"/>
  <c r="D17" i="152"/>
  <c r="C15" i="153"/>
  <c r="D17" i="153"/>
  <c r="D14" i="151"/>
  <c r="D15" i="153" l="1"/>
  <c r="C18" i="153"/>
  <c r="C16" i="155"/>
  <c r="D16" i="155" s="1"/>
  <c r="D14" i="153"/>
  <c r="D18" i="153" s="1"/>
  <c r="C15" i="154"/>
  <c r="D15" i="154" s="1"/>
  <c r="D18" i="154" s="1"/>
  <c r="D87" i="154" s="1"/>
  <c r="C90" i="154" s="1"/>
  <c r="C15" i="157"/>
  <c r="D15" i="157" s="1"/>
  <c r="D18" i="157" s="1"/>
  <c r="D87" i="157" s="1"/>
  <c r="C90" i="157" s="1"/>
  <c r="C15" i="161"/>
  <c r="D15" i="161" s="1"/>
  <c r="D18" i="161" s="1"/>
  <c r="C15" i="160"/>
  <c r="D15" i="160" s="1"/>
  <c r="D18" i="160" s="1"/>
  <c r="C15" i="159"/>
  <c r="D15" i="159" s="1"/>
  <c r="C18" i="162"/>
  <c r="D18" i="159"/>
  <c r="D18" i="162"/>
  <c r="C15" i="156"/>
  <c r="D14" i="158"/>
  <c r="C15" i="158"/>
  <c r="D15" i="158" s="1"/>
  <c r="C15" i="152"/>
  <c r="C15" i="151"/>
  <c r="D15" i="151" s="1"/>
  <c r="D17" i="150"/>
  <c r="D14" i="150"/>
  <c r="D15" i="156" l="1"/>
  <c r="D19" i="155"/>
  <c r="C18" i="159"/>
  <c r="C18" i="160"/>
  <c r="C18" i="161"/>
  <c r="C18" i="157"/>
  <c r="C87" i="157" s="1"/>
  <c r="C18" i="154"/>
  <c r="C87" i="154" s="1"/>
  <c r="D15" i="152"/>
  <c r="D18" i="152" s="1"/>
  <c r="C19" i="155"/>
  <c r="D18" i="151"/>
  <c r="D18" i="158"/>
  <c r="C18" i="156"/>
  <c r="D18" i="156"/>
  <c r="C18" i="158"/>
  <c r="C18" i="152"/>
  <c r="C18" i="151"/>
  <c r="C15" i="150"/>
  <c r="D15" i="150" s="1"/>
  <c r="D18" i="150" l="1"/>
  <c r="D86" i="150" s="1"/>
  <c r="C89" i="150" s="1"/>
  <c r="C18" i="150"/>
  <c r="C86" i="150" s="1"/>
  <c r="C16" i="76" l="1"/>
  <c r="C15" i="70"/>
  <c r="C15" i="60"/>
  <c r="C18" i="70" l="1"/>
  <c r="C15" i="56"/>
  <c r="C15" i="52"/>
  <c r="D15" i="52" s="1"/>
  <c r="C15" i="48"/>
  <c r="D15" i="48" s="1"/>
  <c r="C15" i="44"/>
  <c r="D15" i="44" s="1"/>
  <c r="D15" i="56" l="1"/>
  <c r="C15" i="22"/>
  <c r="D15" i="22" l="1"/>
  <c r="D18" i="22" s="1"/>
  <c r="D86" i="22" s="1"/>
  <c r="C89" i="22" s="1"/>
  <c r="D18" i="70"/>
  <c r="D18" i="80"/>
  <c r="C18" i="80"/>
  <c r="D19" i="76" l="1"/>
  <c r="C19" i="76"/>
  <c r="D18" i="48" l="1"/>
  <c r="D18" i="44"/>
  <c r="D18" i="52"/>
  <c r="C18" i="52" l="1"/>
  <c r="C18" i="44"/>
  <c r="D18" i="60"/>
  <c r="C18" i="60"/>
  <c r="C18" i="56"/>
  <c r="D18" i="56"/>
  <c r="C18" i="48"/>
  <c r="C18" i="26" l="1"/>
  <c r="C18" i="22"/>
  <c r="C86" i="22" s="1"/>
  <c r="C18" i="12" l="1"/>
</calcChain>
</file>

<file path=xl/sharedStrings.xml><?xml version="1.0" encoding="utf-8"?>
<sst xmlns="http://schemas.openxmlformats.org/spreadsheetml/2006/main" count="11607" uniqueCount="2168">
  <si>
    <t>Satura rādītājs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</si>
  <si>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</si>
  <si>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</si>
  <si>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</si>
  <si>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</si>
  <si>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</si>
  <si>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</si>
  <si>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</si>
  <si>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</si>
  <si>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</si>
  <si>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</si>
  <si>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</si>
  <si>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</si>
  <si>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</si>
  <si>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</si>
  <si>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</si>
  <si>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</si>
  <si>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</si>
  <si>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</si>
  <si>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</si>
  <si>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</si>
  <si>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</si>
  <si>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</si>
  <si>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2.5.</t>
  </si>
  <si>
    <t>2.6.</t>
  </si>
  <si>
    <t>A apakšgrupas (A1 un A2) precizēšana ABO sistēmā ar lektīniem, stobriņu metodi</t>
  </si>
  <si>
    <t>2.7.</t>
  </si>
  <si>
    <t>ABO asins grupas (dubultreakcija) un Rh (D) noteikšana ar gelkaršu metodi (karte ABO/D+reverse grouping)</t>
  </si>
  <si>
    <t>2.8.</t>
  </si>
  <si>
    <t>2.9.</t>
  </si>
  <si>
    <t>ABO asins grupas (tiešā reakcija) un RH(D) noteikšana ar gelkaršu metodi (karte DiaClon ABO/D)</t>
  </si>
  <si>
    <t>2.10.</t>
  </si>
  <si>
    <t>ABO asins grupas (tiešā reakcija) un RH(D) un DAT noteikšana ar gelkaršu metodi (karte DiaClon ABO/D+DAT)</t>
  </si>
  <si>
    <t>2.11.</t>
  </si>
  <si>
    <t>Rh(D) noteikšana ar plaknes metodi</t>
  </si>
  <si>
    <t>2.12.</t>
  </si>
  <si>
    <t>2.13.</t>
  </si>
  <si>
    <t>Rh fenotipa CcEe un Kell antigēna noteikšana ar gelkaršu metodi</t>
  </si>
  <si>
    <t>2.14.</t>
  </si>
  <si>
    <t>2.15.</t>
  </si>
  <si>
    <t>Eritrocitāra antigēna noteikšana ar gelkaršu metodi.</t>
  </si>
  <si>
    <t>2.16.</t>
  </si>
  <si>
    <t>Eritrocitāru antigēnu P1,Lea,Leb,Lua, Lub vai K,Kpa,Kpb,ka,kb kompleksa noteikšana ar gelkaršu metodi (ag profils I vai II)</t>
  </si>
  <si>
    <t>2.17.</t>
  </si>
  <si>
    <t>Eritrocitāru antigēnu M,N,S,s,Fya,Fyb kompleksa noteikšana ar gelkaršu metodi (ag profils III)</t>
  </si>
  <si>
    <t>2.18.</t>
  </si>
  <si>
    <t>D antigēna apstiprināšana ar gelkaršu metodi, netiešo antiglobulīna testu, ar karti Coombs anti IgG un parciālā D antigēna noteikšanas komplektu</t>
  </si>
  <si>
    <t>2.19.</t>
  </si>
  <si>
    <t>Antieritrocitāro antivielu skrīnings ar gelkaršu metodi, netiešo antiglobulīna testu (1/2 karte Liss Coombs)</t>
  </si>
  <si>
    <t>2.20.</t>
  </si>
  <si>
    <t>2.21.</t>
  </si>
  <si>
    <t>2.22.</t>
  </si>
  <si>
    <t>Antieritrocitāro antivielu identifikācija ar gelkaršu metodi, netiešais antiglobulīna tests (2 kartes Liss/Coombs)</t>
  </si>
  <si>
    <t>2.23.</t>
  </si>
  <si>
    <t>2.24.</t>
  </si>
  <si>
    <t>2.25.</t>
  </si>
  <si>
    <t>2.26.</t>
  </si>
  <si>
    <t>Antieritrocitāro antivielu identifikācija ar gelkaršu metodi, netiešais antiglobulīna tests izmantojot papildus paneli ID Dia Panel Plus (1 karte Liss /Coombs)</t>
  </si>
  <si>
    <t>2.27.</t>
  </si>
  <si>
    <t>2.28.</t>
  </si>
  <si>
    <t>Antieritrocitāro antivielu identifikācija ar gelkaršu metodi, netiešo antiglobulīna testu izmantojot papildus paneli "Column panel 16" (3 kartes Liss/Coombs)</t>
  </si>
  <si>
    <t>2.29.</t>
  </si>
  <si>
    <t>2.30.</t>
  </si>
  <si>
    <t>Recipienta un donora asins saderības tests ar gelkaršu metodi (netiešais antiglobulīna tests)- vienas eritrocītu masas saderināšanai</t>
  </si>
  <si>
    <t>2.31.</t>
  </si>
  <si>
    <t>2.32.</t>
  </si>
  <si>
    <t>Antieritrocitāro antivielu titrēšana ar gelkaršu metodi (1 antigēnu, 2 kartes Liss/Coombs)</t>
  </si>
  <si>
    <t>Antieritrocitāro antivielu titrēšana ar gelkaršu metodi (1 antigēnu, 1 karti Liss/Coombs)</t>
  </si>
  <si>
    <t>Hemolīzes tests 0 grupas standarteritrocītiem (Donāta -Landšteinera tests)</t>
  </si>
  <si>
    <t>Tiešais antiglobulīna tests (DAT) ar gelkaršu metodi</t>
  </si>
  <si>
    <t>Eluāta iegūšana no DAT pozitīviem eritrocītiem ar Dia Cidel</t>
  </si>
  <si>
    <t>Seruma autoadsorbcija ar PEG (divkārša)</t>
  </si>
  <si>
    <t>Seruma alloadsorbcija ar PEG (divkārša)</t>
  </si>
  <si>
    <t>Seruma alloadsorbcija ar enzīmiem apstrādātiem eritrocītiem (bez skrīninga un identifikācijas)</t>
  </si>
  <si>
    <t>Izmeklējamo eritrocītu atmazgāšana imūnhenatoloģiskiem testiem (trīskārša)</t>
  </si>
  <si>
    <t>„Valsts asinsdonoru centra maksas</t>
  </si>
  <si>
    <t xml:space="preserve">pakalpojumu cenrādis" sākotnējās (ex-ante) </t>
  </si>
  <si>
    <t xml:space="preserve">ietekmes novērtējuma ziņojumam (anotācijai) </t>
  </si>
  <si>
    <t>Maksas pakalpojuma izcenojuma aprēķins</t>
  </si>
  <si>
    <t>Plānotais pakalpojuma sniegšanas vienību skaits: 200</t>
  </si>
  <si>
    <t>Izdevumu klasifikācijas kods</t>
  </si>
  <si>
    <t>Rādītājs (materiāla/izejvielas nosaukums, atlīdzība un citi izmaksu veidi)</t>
  </si>
  <si>
    <t>Izmaksu apjoms 1 izmeklējumam (euro)</t>
  </si>
  <si>
    <t>Izmaksu apjoms noteiktā laikposmā viena maksas pakalpojuma veida nodrošināšanai  (euro)</t>
  </si>
  <si>
    <t xml:space="preserve">Tiešās izmaksas </t>
  </si>
  <si>
    <t>Atalgojums</t>
  </si>
  <si>
    <t>Zāles, ķimikālijas, laboratorijas preces</t>
  </si>
  <si>
    <t>Tiešās izmaksas kopā</t>
  </si>
  <si>
    <t>Netiešās izmaksas izmeklējumam</t>
  </si>
  <si>
    <t>Izdevumi par siltumenerģiju</t>
  </si>
  <si>
    <t>Izdevumi par ūdensapgādi un kanalizāciju</t>
  </si>
  <si>
    <t>Izdevumi par elektroenerģiju</t>
  </si>
  <si>
    <t>Nekustamā īpašuma uzturēšana</t>
  </si>
  <si>
    <t>Biroja preces</t>
  </si>
  <si>
    <t>Netiešās izmaksas kopā</t>
  </si>
  <si>
    <t>Pakalpojumu izmaksas kopā</t>
  </si>
  <si>
    <t>Maksas pakalpojuma vienību skaits noteiktā laikposmā (gab.)</t>
  </si>
  <si>
    <t xml:space="preserve">Zāles, ķimikālijas, laboratorijas preces. </t>
  </si>
  <si>
    <t>Plānotais pakalpojuma sniegšanas vienību skaits: 60</t>
  </si>
  <si>
    <t>Izmaksu apjoms 1 izmeklējumam ( euro)</t>
  </si>
  <si>
    <t>Iekārtas, inventāra un aparatūras remonts, tehhniskā apkalpošana</t>
  </si>
  <si>
    <t>Licences, koncesijas un patenti, preču zīmes un līdzīgas tiesības</t>
  </si>
  <si>
    <t>Plānotais pakalpojuma sniegšanas vienību skaits: 100</t>
  </si>
  <si>
    <t>Plānotais pakalpojuma sniegšanas vienību skaits: 20</t>
  </si>
  <si>
    <t>Plānotais pakalpojuma sniegšanas vienību skaits: 700</t>
  </si>
  <si>
    <t>Plānotais pakalpojuma sniegšanas vienību skaits: 30</t>
  </si>
  <si>
    <t>Plānotais pakalpojuma sniegšanas vienību skaits: 10</t>
  </si>
  <si>
    <t xml:space="preserve">Zāles , ķimikālijas, laboratorijas preces. </t>
  </si>
  <si>
    <t>Plānotais pakalpojuma sniegšanas vienību skaits:  10</t>
  </si>
  <si>
    <t>Plānotais pakalpojuma sniegšanas vienību skaits: 4</t>
  </si>
  <si>
    <t>Plānotais pakalpojuma sniegšanas vienību skaits: 5</t>
  </si>
  <si>
    <r>
      <t>Iestāde:</t>
    </r>
    <r>
      <rPr>
        <sz val="9"/>
        <rFont val="Times New Roman"/>
        <family val="1"/>
        <charset val="186"/>
      </rPr>
      <t xml:space="preserve"> Valsts asinsdonoru centrs</t>
    </r>
    <r>
      <rPr>
        <b/>
        <sz val="9"/>
        <rFont val="Times New Roman"/>
        <family val="1"/>
        <charset val="186"/>
      </rPr>
      <t xml:space="preserve"> </t>
    </r>
  </si>
  <si>
    <r>
      <rPr>
        <b/>
        <sz val="9"/>
        <rFont val="Times New Roman"/>
        <family val="1"/>
        <charset val="186"/>
      </rPr>
      <t>Laikaposms:</t>
    </r>
    <r>
      <rPr>
        <sz val="9"/>
        <rFont val="Times New Roman"/>
        <family val="1"/>
        <charset val="186"/>
      </rPr>
      <t xml:space="preserve"> 1 gads</t>
    </r>
  </si>
  <si>
    <r>
      <t xml:space="preserve">Maksas pakalpojuma izcenojums (euro) </t>
    </r>
    <r>
      <rPr>
        <i/>
        <sz val="9"/>
        <rFont val="Times New Roman"/>
        <family val="1"/>
        <charset val="186"/>
      </rPr>
      <t>(pakalpojuma izmaksas kopā, dalītas ar maksas pakalpojuma vienību skaitu noteiktā laikposmā)</t>
    </r>
  </si>
  <si>
    <t>Asins grupas noteikšana ABO sistēmā izmantojot plaknes metodi (dubultreakcija)</t>
  </si>
  <si>
    <t>Izdevumi par atkritumu savākšanu, izvešanu no apdzīvotām vietām un teritorijām ārpus apdzīvotām vietām un atkritumu utilizācija</t>
  </si>
  <si>
    <t>Tehnoloģiskās iekārtas un mašīnas (neizmanto izmeklējuma veikšanai)</t>
  </si>
  <si>
    <t>Datortehnika, sakaru un cita biroja tehnika</t>
  </si>
  <si>
    <t xml:space="preserve">Zāles, ķimikālijas, laboratorijas preces </t>
  </si>
  <si>
    <t>Tehnoloģiskās iekārtas un mašīnas</t>
  </si>
  <si>
    <t xml:space="preserve">Tehnoloģiskās iekārtas un mašīnas </t>
  </si>
  <si>
    <t>Izdevumi iestādes sabiedrisko aktivitāšu īstenošanai</t>
  </si>
  <si>
    <t>Informācijas tehnoloģiju pakalpojumi</t>
  </si>
  <si>
    <t>Iestāžu uzturēšanas materiāli un preces</t>
  </si>
  <si>
    <t>Inventārs</t>
  </si>
  <si>
    <t>Plānotais pakalpojuma sniegšanas vienību skaits: 50</t>
  </si>
  <si>
    <t>Plānotais pakalpojuma sniegšanas vienību skaits: 400</t>
  </si>
  <si>
    <t>Plānotais pakalpojuma sniegšanas vienību skaits:  80</t>
  </si>
  <si>
    <t>Kursi "Transfuzioloģija ārstiem" (30 akadēmiskās stundas)</t>
  </si>
  <si>
    <t>Kursi "Transfuzioloģija medicīnas māsām" (16 akadēmiskās stundas)</t>
  </si>
  <si>
    <t>Kursi "Transfuzioloģija asins dienesta māsām" (30 akadēmiskās stundas)</t>
  </si>
  <si>
    <t>Kursi "Imūnhematoloģijas pamati" (70 akadēmiskās stundas)</t>
  </si>
  <si>
    <t>Kursi "Imūnhematoloģija kvalifikācijas uzturēšanai" (16 akadēmiskās stundas)</t>
  </si>
  <si>
    <t>Lekcija Valsts asinsdonoru centrā (1 akadēmiskā stunda)</t>
  </si>
  <si>
    <t>Lekcija Valsts asinsdonoru centrā  ar vieslektoru (1 akadēmiskā stunda)</t>
  </si>
  <si>
    <t>Izbraukuma kursi Rīgā "Transfuzioloģija un imūnhemetoloģija" (12 akadēmiskās stundas)</t>
  </si>
  <si>
    <t>Izbraukuma kursi ārpus Rīgas "Transfuzioloģija un imūnhemetoloģija" (12 akadēmiskās stundas)</t>
  </si>
  <si>
    <t>Vebinārs (1 akadēmiskā stunda) juridiskām personām</t>
  </si>
  <si>
    <t>Vebinārs (12 akadēmiskās stundas) juridiskām personām</t>
  </si>
  <si>
    <t>Vebinārs (12 akadēmiskās stundas) 1 dalībnieks</t>
  </si>
  <si>
    <t>Izdevumu klasifikāci jas kods</t>
  </si>
  <si>
    <t>Izdevumi sakaru pakalpojumi</t>
  </si>
  <si>
    <t>Atkritumu izvešana</t>
  </si>
  <si>
    <t>Izdevumi par transporta pakalpojumiem</t>
  </si>
  <si>
    <t>Pakalpojuma veikšanai neizmanto transporta pakalpojumus</t>
  </si>
  <si>
    <t>Informācijas tehnoloģoju pakalpojumi</t>
  </si>
  <si>
    <t>Ēku, telpu īre un noma</t>
  </si>
  <si>
    <t>Pakalpojuma veikšanai neizmanto tehnoloģiskās iekārtas</t>
  </si>
  <si>
    <t>Datortehnikas nolietojums</t>
  </si>
  <si>
    <t>Pakalpojumu izmaksas kopā (bez PVN)</t>
  </si>
  <si>
    <t>PVN 21%</t>
  </si>
  <si>
    <t>Pakalpojumu izmaksas kopā (ar PVN) vienam dalībniekam</t>
  </si>
  <si>
    <t>Izmaksu apjoms 1 dalībniekam (euro)</t>
  </si>
  <si>
    <t>Izmeklējuma veikšanai neizmanto tehnoloģiskās iekārtas</t>
  </si>
  <si>
    <t xml:space="preserve"> </t>
  </si>
  <si>
    <t xml:space="preserve">Reaģentu, materiālu izmaksas praktiskajām nodarbībām </t>
  </si>
  <si>
    <t>Plānotais pakalpojuma sniegšanas vienību skaits: 3</t>
  </si>
  <si>
    <t>Izmaksu apjoms 1 kursam  (euro)</t>
  </si>
  <si>
    <t>Pārējie komandējumu un darba braucienu izdevumi (Izdevumi par braucienu uz kursu vietu un atpakaļ)</t>
  </si>
  <si>
    <t>2 lektori * 1,15 euro sabiedriskā transporta biļete * 2 biļetes vienā virzienā*2 virzieni*2 reizes = 18,40 euro</t>
  </si>
  <si>
    <t>Degviela</t>
  </si>
  <si>
    <t>(juridiskām personām)</t>
  </si>
  <si>
    <t>Plānotais pakalpojuma sniegšanas vienību skaits: 2</t>
  </si>
  <si>
    <t>Darba devēja valsts sociālās apdrošināšanas obligātās iemaksas, sociāla rakstura pabalsti un kompensācijas 7,66 * 23,59%</t>
  </si>
  <si>
    <t>(juridiskai personai)</t>
  </si>
  <si>
    <r>
      <t xml:space="preserve">Maksas pakalpojuma veids: </t>
    </r>
    <r>
      <rPr>
        <sz val="9"/>
        <rFont val="Times New Roman"/>
        <family val="1"/>
        <charset val="186"/>
      </rPr>
      <t>2.14. Asins grupas noteikšana ABO sistēmā izmantojot plaknes metodi (tiešā reakcija)</t>
    </r>
  </si>
  <si>
    <r>
      <t xml:space="preserve">Maksas pakalpojuma veids: </t>
    </r>
    <r>
      <rPr>
        <sz val="9"/>
        <rFont val="Times New Roman"/>
        <family val="1"/>
        <charset val="186"/>
      </rPr>
      <t>2.16. Vēnas punkcija ar 2 vai vairāk vakutaineriem</t>
    </r>
  </si>
  <si>
    <r>
      <t xml:space="preserve">Maksas pakalpojuma veids: </t>
    </r>
    <r>
      <rPr>
        <sz val="9"/>
        <rFont val="Times New Roman"/>
        <family val="1"/>
        <charset val="186"/>
      </rPr>
      <t>2.17. A apakšgrupas (A1 un A2) precizēšana ABO sistēmā ar lektīniem, stobriņu metode</t>
    </r>
  </si>
  <si>
    <r>
      <t xml:space="preserve">Maksas pakalpojuma veids: </t>
    </r>
    <r>
      <rPr>
        <sz val="9"/>
        <rFont val="Times New Roman"/>
        <family val="1"/>
        <charset val="186"/>
      </rPr>
      <t>2.19. ABO asins grupas (tiešā reakcija) Rh (D) noteikšana ar gelkaršu metodi (karte DiaClon ABO/D+DAT)</t>
    </r>
  </si>
  <si>
    <r>
      <t xml:space="preserve">Maksas pakalpojuma veids: </t>
    </r>
    <r>
      <rPr>
        <sz val="9"/>
        <rFont val="Times New Roman"/>
        <family val="1"/>
        <charset val="186"/>
      </rPr>
      <t>2.20. Eritrocitāra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</si>
  <si>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2.21. Eritrocitāru antigēnu P1, Lea, Leb, Lua, Lub, vai K, Kpa, Kpb, ka, kb kompleksa noteikšana ar gelkaršu metodi (ag profils I vai II)</t>
    </r>
  </si>
  <si>
    <r>
      <t xml:space="preserve">Maksas pakalpojuma veids: </t>
    </r>
    <r>
      <rPr>
        <sz val="9"/>
        <rFont val="Times New Roman"/>
        <family val="1"/>
        <charset val="186"/>
      </rPr>
      <t>2.22. Eritrocitāru antigēnu M, N, S, s, Fya, Fyb kompleksa noteikšana ar gelkaršu metodi (ag profils III)</t>
    </r>
  </si>
  <si>
    <r>
      <t xml:space="preserve">Maksas pakalpojuma veids: </t>
    </r>
    <r>
      <rPr>
        <sz val="9"/>
        <rFont val="Times New Roman"/>
        <family val="1"/>
        <charset val="186"/>
      </rPr>
      <t>2.23. D antigēna apstiprināšana ar gelkaršu metodi, netiešo antiglobulīna testu, ar karti Coombs anti IgG un parciālā D antigēna noteikšanas komplektu.</t>
    </r>
  </si>
  <si>
    <r>
      <t xml:space="preserve">Maksas pakalpojuma veids: </t>
    </r>
    <r>
      <rPr>
        <sz val="9"/>
        <rFont val="Times New Roman"/>
        <family val="1"/>
        <charset val="186"/>
      </rPr>
      <t>2.24. Antieritrocitāro antivielu skrīnings identifikācija (37° vai 4°, vai 20°) ar gelkaršu metodi, enzīmu testu (1/2/ karte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</si>
  <si>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2.25. Antieritrocitāro antivielu titrēšana ar gelkaršu metodi (1 antigēnu, 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</si>
  <si>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2.26. Antieritrocitāro antivielu titrēšana ar gelkaršu metodi (1 antigēnu, 1 karti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</si>
  <si>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2.27. Hemolīzes tests 0 grupas standarteritrocītiem (Donāta - Landšteinera tests)</t>
    </r>
  </si>
  <si>
    <r>
      <t xml:space="preserve">Maksas pakalpojuma veids: </t>
    </r>
    <r>
      <rPr>
        <sz val="9"/>
        <rFont val="Times New Roman"/>
        <family val="1"/>
        <charset val="186"/>
      </rPr>
      <t>2.28. Tiešā antiglobulīna testa diferencēšana (IgG; IgA; IgM; C3c; C3d; ctl)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</si>
  <si>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2.29. Seruma autoadsorbcija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</si>
  <si>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2.30. Seruma alloadsorbcija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</si>
  <si>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2.32. Izmeklējamo eritrocītu atmazgāšana imūnhenatoloģiskiem testiem (trīskārša)</t>
    </r>
  </si>
  <si>
    <r>
      <t xml:space="preserve">Maksas pakalpojuma veids: </t>
    </r>
    <r>
      <rPr>
        <sz val="9"/>
        <rFont val="Times New Roman"/>
        <family val="1"/>
        <charset val="186"/>
      </rPr>
      <t>2.31. Seruma alloadsorbcija ar enzīmiem apstrādātiem eritrocītiem (bez skrīninga un identifikācijas)</t>
    </r>
  </si>
  <si>
    <t>Plānotais pakalpojuma sniegšanas vienību skaits: 26</t>
  </si>
  <si>
    <t>Plānotais pakalpojuma sniegšanas vienību skaits: 7</t>
  </si>
  <si>
    <t>Plānotais pakalpojuma sniegšanas vienību skaits: 1</t>
  </si>
  <si>
    <t>Plānotais pakalpojuma sniegšanas vienību skaits:1</t>
  </si>
  <si>
    <t>Plānotais pakalpojuma sniegšanas vienību skaits:  1</t>
  </si>
  <si>
    <t>Plānotais pakalpojuma sniegšanas vienību skaits: 269</t>
  </si>
  <si>
    <t>Plānotais pakalpojuma sniegšanas vienību skaits: 895</t>
  </si>
  <si>
    <t>Plānotais pakalpojuma sniegšanas vienību skaits: 626</t>
  </si>
  <si>
    <t>Plānotais pakalpojuma sniegšanas vienību skaits: 224</t>
  </si>
  <si>
    <t>Plānotais pakalpojuma sniegšanas vienību skaits: 16</t>
  </si>
  <si>
    <t>Plānotais pakalpojuma sniegšanas vienību skaits: 1970</t>
  </si>
  <si>
    <t>Plānotais pakalpojuma sniegšanas vienību skaits: 34</t>
  </si>
  <si>
    <t>Plānotais pakalpojuma sniegšanas vienību skaits: 71</t>
  </si>
  <si>
    <t>Plānotais pakalpojuma sniegšanas vienību skaits: 43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</si>
  <si>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1,08 euro</t>
    </r>
    <r>
      <rPr>
        <sz val="9"/>
        <rFont val="Times New Roman"/>
        <family val="1"/>
        <charset val="186"/>
      </rPr>
      <t>, tai skaitā: 1) 5% Standarteritrocītu komplekts ABO asins grupas noteikšanai ar apgriezto reakciju 0;A1;B (Hematest) - 0,3 ml - 0,72 euro; 2) anti A monoklonālais reaģents 0,1 ml - 0,05  euro; 3) anti B monoklonālais reaģents 0,1 ml - 0,05 euro; 4) dezinfekcijas līdzeklis 1 proced. -  0,0086 euro; 5) vienreizējās lietošanas cimdi, pāris -  0,047 euro; 6) Pastēra pipete 3,5 ml 1 gb. - 0,019 euro. Izdevumi kopā: 0,72+0,05+0,05+0,0086+0,047+0,019= 0,8946 euro. Ar PVN 21%-1,08 euro. Gadā plānots 4 * 1,08 euro = 4,32 euro.</t>
    </r>
  </si>
  <si>
    <t>Plānotais pakalpojuma sniegšanas vienību skaits: 27</t>
  </si>
  <si>
    <t>Plānotais pakalpojuma sniegšanas vienību skaits: 23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</si>
  <si>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1,08 euro</t>
    </r>
    <r>
      <rPr>
        <sz val="9"/>
        <rFont val="Times New Roman"/>
        <family val="1"/>
        <charset val="186"/>
      </rPr>
      <t>, tai skaitā: 1) 5% Standarteritrocītu komplekts ABO asins grupas noteikšanai ar apgriezto reakciju 0;A1;B (Hematest) - 0,3 ml - 0,72 euro; 2) anti A monoklonālais reaģents 0,1 ml - 0,05  euro; 3) anti B monoklonālais reaģents 0,1 ml - 0,05 euro; 4) dezinfekcijas līdzeklis 1 proced. -  0,0086 euro; 5) vienreizējās lietošanas cimdi, pāris -  0,047 euro; 6) Pastēra pipete 3,5 ml 1 gb. - 0,019 euro. Izdevumi kopā: 0,72+0,05+0,05+0,0086+0,047+0,019= 0,8946 euro. Ar PVN 21%-1,08 euro. Gadā plānots 1 * 1,08 euro = 1,08 euro.</t>
    </r>
  </si>
  <si>
    <t>Darba devēja valsts sociālās apdrošināšanas obligātās iemaksas, sociāla rakstura pabalsti un kompensācijas 13,88 euro * 23,59%.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</si>
  <si>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0,28 euro</t>
    </r>
    <r>
      <rPr>
        <sz val="9"/>
        <rFont val="Times New Roman"/>
        <family val="1"/>
        <charset val="186"/>
      </rPr>
      <t xml:space="preserve">, tai skaitā: 1) Negatīva kontrole monoklonālam reaģentam 0,1 ml - 0,06 euro; 2) Anti- D IgM monoklonālais reaģents 0,1 ml -  0,10 euro; 3) dezinfekcijas līdzeklis 1 proced. -  0,0086 euro; 4) vienreizējās lietošanas cimdi, pāris - 0,047 euro; 5) Pastēra pipete 3,5 ml 1 gb.-0,019 euro. Izdevumi kopā: 0,06+0,10+0,0086+0,047+0,019= 0,23 euro. Izdevumi ar PVN 21%-0,28 euro. Gadā plānots 3 * 0,28 euro =0,84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</si>
  <si>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0,28 euro</t>
    </r>
    <r>
      <rPr>
        <sz val="9"/>
        <rFont val="Times New Roman"/>
        <family val="1"/>
        <charset val="186"/>
      </rPr>
      <t xml:space="preserve">, tai skaitā: 1) Negatīva kontrole monoklonālam reaģentam 0,1 ml - 0,06 euro; 2) Anti- D IgM monoklonālais reaģents 0,1 ml -  0,10 euro; 3) dezinfekcijas līdzeklis 1 proced. -  0,0086 euro; 4) vienreizējās lietošanas cimdi, pāris - 0,047 euro; 5) Pastēra pipete 3,5 ml 1 gb.-0,019 euro. Izdevumi kopā: 0,06+0,10+0,0086+0,047+0,019= 0,23 euro. Izdevumi ar PVN 21%-0,28 euro. Gadā plānots 27 * 0,28 euro =7,56 euro. </t>
    </r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</si>
  <si>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</si>
  <si>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</si>
  <si>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</si>
  <si>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</si>
  <si>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</si>
  <si>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</si>
  <si>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</si>
  <si>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</si>
  <si>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</si>
  <si>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</si>
  <si>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</si>
  <si>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</si>
  <si>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</si>
  <si>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</si>
  <si>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</si>
  <si>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</si>
  <si>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</si>
  <si>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</si>
  <si>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</si>
  <si>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</si>
  <si>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</si>
  <si>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</si>
  <si>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</si>
  <si>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</si>
  <si>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</si>
  <si>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</si>
  <si>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</si>
  <si>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</si>
  <si>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4.14.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</si>
  <si>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</si>
  <si>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</si>
  <si>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</si>
  <si>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</si>
  <si>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</si>
  <si>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</si>
  <si>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</si>
  <si>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</si>
  <si>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</si>
  <si>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</si>
  <si>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</si>
  <si>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</si>
  <si>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</si>
  <si>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</si>
  <si>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</si>
  <si>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</si>
  <si>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</si>
  <si>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</si>
  <si>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</si>
  <si>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</si>
  <si>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</si>
  <si>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</si>
  <si>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</si>
  <si>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</si>
  <si>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</si>
  <si>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</si>
  <si>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</si>
  <si>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</si>
  <si>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7.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</si>
  <si>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</si>
  <si>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</si>
  <si>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</si>
  <si>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</si>
  <si>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</si>
  <si>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</si>
  <si>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</si>
  <si>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</si>
  <si>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</si>
  <si>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</si>
  <si>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</si>
  <si>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</si>
  <si>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</si>
  <si>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Plānotais pakalpojuma sniegšanas vienību skaits:  20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</si>
  <si>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0,28 euro</t>
    </r>
    <r>
      <rPr>
        <sz val="9"/>
        <rFont val="Times New Roman"/>
        <family val="1"/>
        <charset val="186"/>
      </rPr>
      <t xml:space="preserve">, tai skaitā: 1) Negatīva kontrole monoklonālam reaģentam 0,1 ml - 0,06 euro; 2) Anti- D IgM monoklonālais reaģents 0,1 ml -  0,10 euro; 3) dezinfekcijas līdzeklis 1 proced. -  0,0086 euro; 4) vienreizējās lietošanas cimdi, pāris - 0,047 euro; 5) Pastēra pipete 3,5 ml 1 gb.-0,019 euro. Izdevumi kopā: 0,06+0,10+0,0086+0,047+0,019= 0,23 euro. Izdevumi ar PVN 21%- 0,28 euro. Gadā plānots 60 * 0,28 euro =16,80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</si>
  <si>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0,28 euro</t>
    </r>
    <r>
      <rPr>
        <sz val="9"/>
        <rFont val="Times New Roman"/>
        <family val="1"/>
        <charset val="186"/>
      </rPr>
      <t xml:space="preserve">, tai skaitā: 1) Negatīva kontrole monoklonālam reaģentam 0,1 ml - 0,06 euro; 2) Anti- D IgM monoklonālais reaģents 0,1 ml -  0,10 euro; 3) dezinfekcijas līdzeklis 1 proced. -  0,0086 euro; 4) vienreizējās lietošanas cimdi, pāris - 0,047 euro; 5) Pastēra pipete 3,5 ml 1 gb.-0,019 euro. Izdevumi kopā: 0,06+0,10+0,0086+0,047+0,019= 0,2346 euro. Izdevumi ar PVN 21%-0,28 euro. Gadā plānots 1 * 0,28 euro =0,28 euro. </t>
    </r>
  </si>
  <si>
    <t>Darba devēja valsts sociālās apdrošināšanas obligātās iemaksas, sociāla rakstura pabalsti un kompensācijas 24,08 * 23,59%</t>
  </si>
  <si>
    <t>Darba devēja valsts sociālās apdrošināšanas obligātās iemaksas, sociāla rakstura pabalsti un kompensācijas 12,84 * 23,59%</t>
  </si>
  <si>
    <t>Netiešās izmaksas</t>
  </si>
  <si>
    <t xml:space="preserve">Netiešās izmaksas </t>
  </si>
  <si>
    <t>Darba devēja valsts sociālās apdrošināšanas obligātās iemaksas, sociāla rakstura pabalsti un kompensācijas 56,18 * 23,59%</t>
  </si>
  <si>
    <t>Darba devēja valsts sociālās apdrošināšanas obligātās iemaksas, sociāla rakstura pabalsti un kompensācijas 0,80 * 23,59%</t>
  </si>
  <si>
    <t>Darba devēja valsts sociālās apdrošināšanas obligātās iemaksas, sociāla rakstura pabalsti un kompensācijas 96,30 * 23,59%</t>
  </si>
  <si>
    <t>Darba devēja valsts sociālās apdrošināšanas obligātās iemaksas, sociāla rakstura pabalsti un kompensācijas 8,03 * 23,59%</t>
  </si>
  <si>
    <t>Darba devēja valsts sociālās apdrošināšanas obligātās iemaksas, sociāla rakstura pabalsti un kompensācijas 96,36 * 23,59%</t>
  </si>
  <si>
    <r>
      <t xml:space="preserve">Maksas pakalpojuma veids: </t>
    </r>
    <r>
      <rPr>
        <sz val="9"/>
        <rFont val="Times New Roman"/>
        <family val="1"/>
        <charset val="186"/>
      </rPr>
      <t xml:space="preserve">3.11. Tiešais antiglobulīna tests (DAT) ar gelkaršu metodi, neatliekami. Materiāls saņemts pēc plkst.12:00, izmeklējums veikts tajā pašā dienā līdz plkst.17:00 (piemaksa par steidzamību) </t>
    </r>
  </si>
  <si>
    <r>
      <t>Maksas pakalpojuma veids:</t>
    </r>
    <r>
      <rPr>
        <sz val="9"/>
        <rFont val="Times New Roman"/>
        <family val="1"/>
        <charset val="186"/>
      </rPr>
      <t xml:space="preserve"> 3.12.Tiešā antiglobulīna diferencēšana IgG; C3d; ctl ar gelkaršu metodi,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</si>
  <si>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3.10. Recipienta un donora asins saderības tests ar gelkaršu metodi (netiešais antiglobulīna tests) vienas eritrocīta masas saderināšanai,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</si>
  <si>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3.9. Antieritrocitāro antivielu identifikācija ar gelkaršu metodi, netiešo antiglobulīna testu izmantojot papildus "Column panel 16" (3 kartes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</si>
  <si>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3.8. Antieritrocitāro antivielu identifikācija ar gelkaršu metodi, netiešais antiglobulīna tests izmantojot papildus paneli ID Dia Panel Plus (1 karte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</si>
  <si>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3.7. Antieritrocitāro antivielu identifikācija (37° vai 4°, vai 20°) ar gelkaršu metodi, enzīmu testu (2 kartes Na Cl enzyme),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</si>
  <si>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3.6. Antieritrocitāro antivielu identifikācija ar gelkaršu metodi, netiešais antiglobulīna tests (2 kartes Liss/Coombs),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</si>
  <si>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3.5. Antieritrocitāro antivielu skrīnings ar gelkaršu metodi, netiešo antiglobulīna testu (1/2 karte Liss 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</si>
  <si>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3.4. Rh fenotipa CcEe un Kell antigēna noteikšana ar gelkaršu metodi, neatliekami.  Materiāls saņemts pēc plkst.12:00, izmeklējums veikts tajā pašā dienā līdz plkst. 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</si>
  <si>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3.3. Rh (D) noteikšana ar plaknes metodi,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</si>
  <si>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3.2. ABO asins grupas (dubultreakcija) Rh (D) noteikšana ar gelkaršu metodi (karte ABO/D+reverse grouping),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</si>
  <si>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3.1.  Asins grupas noteikšana ABO sistēmā izmantojot plaknes metodi (dubultreakcija),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</si>
  <si>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>2.15. Vēnas punkcija ar 1 vakutaineri</t>
    </r>
  </si>
  <si>
    <r>
      <t xml:space="preserve">Maksas pakalpojuma veids: </t>
    </r>
    <r>
      <rPr>
        <sz val="9"/>
        <rFont val="Times New Roman"/>
        <family val="1"/>
        <charset val="186"/>
      </rPr>
      <t>2.12. Tiešā antiglobulīna diferencēšana IgG; C3d; ctl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</si>
  <si>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2.10. Recipienta un donora asins saderības tests ar gelkaršu metodi (netiešais antiglobulīna tests) vienas eritrocīta masas saderināšanai</t>
    </r>
  </si>
  <si>
    <r>
      <rPr>
        <b/>
        <sz val="9"/>
        <rFont val="Times New Roman"/>
        <family val="1"/>
        <charset val="186"/>
      </rPr>
      <t>Maksas pakalpojuma veids:</t>
    </r>
    <r>
      <rPr>
        <sz val="9"/>
        <rFont val="Times New Roman"/>
        <family val="1"/>
        <charset val="186"/>
      </rPr>
      <t xml:space="preserve"> 2.8. Antieritrocitāro antivielu identifikācija ar gelkaršu metodi, netiešais antiglobulīna tests izmantojot papildus paneli ID Dia Panel Plus (1 karte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</si>
  <si>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2.7. Antieritrocitāro antivielu identifikācija (37° vai 4°, vai 20°) ar gelkaršu metodi, enzīmu testu (2 kartes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</si>
  <si>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2.6. Antieritrocitāro antivielu identifikācija ar gelkaršu metodi, netiešais antiglobulīna tests (2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</si>
  <si>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2.5. Antieritrocitāro antivielu skrīnings ar gelkaršu metodi, netiešo antiglobulīna testu (1/2 karte Liss Coombs)</t>
    </r>
  </si>
  <si>
    <r>
      <t xml:space="preserve">Maksas pakalpojuma veids: </t>
    </r>
    <r>
      <rPr>
        <sz val="9"/>
        <rFont val="Times New Roman"/>
        <family val="1"/>
        <charset val="186"/>
      </rPr>
      <t>2.4. Rh fenotipa CcEe un Kell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</si>
  <si>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2.3. Rh (D) noteikšana ar plaknes metodi</t>
    </r>
  </si>
  <si>
    <r>
      <t xml:space="preserve">Maksas pakalpojuma veids: </t>
    </r>
    <r>
      <rPr>
        <sz val="9"/>
        <rFont val="Times New Roman"/>
        <family val="1"/>
        <charset val="186"/>
      </rPr>
      <t>2.2. ABO asins grupas (dubultreakcija) Rh (D) noteikšana ar gelkaršu metodi (karte ABO/D+reverse grouping)</t>
    </r>
  </si>
  <si>
    <r>
      <t xml:space="preserve">Maksas pakalpojuma veids: </t>
    </r>
    <r>
      <rPr>
        <sz val="9"/>
        <rFont val="Times New Roman"/>
        <family val="1"/>
        <charset val="186"/>
      </rPr>
      <t>2.1. Asins grupas noteikšana ABO sistēmā izmantojot plaknes metodi (dubultreakcija)</t>
    </r>
  </si>
  <si>
    <r>
      <t xml:space="preserve">Maksas pakalpojuma veids: </t>
    </r>
    <r>
      <rPr>
        <sz val="9"/>
        <rFont val="Times New Roman"/>
        <family val="1"/>
        <charset val="186"/>
      </rPr>
      <t>1.9. Izbraukuma kursi ārpus Rīgas "Transfuzioloģija un imūnhematoloģija"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</si>
  <si>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1.8. Izbraukuma kursi Rīgā "Transfuzioloģija un imūnhematoloģija" (12 akadēmiskās stundas)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</si>
  <si>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1.7. Lekcija VADC ar vieslektoru (1 akadēmiskā stunda)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</si>
  <si>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1.6. Lekcija VADC (1 akadēmiskā stunda)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</si>
  <si>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1.5.Kursi "Imūnhematoloģija kvalifikācijas uzturēšanai" (16 akadēmiskās stundas)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</si>
  <si>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1.4.Kursi "Imūnhematoloģijas pamati" (70 akadēmiskās stundas)</t>
    </r>
  </si>
  <si>
    <r>
      <rPr>
        <b/>
        <sz val="9"/>
        <rFont val="Times New Roman"/>
        <family val="1"/>
        <charset val="186"/>
      </rPr>
      <t>13. Fizioloģiskā šķīguma aizvietošanas tehnika apgrieztās reakcijas noteikšanai</t>
    </r>
    <r>
      <rPr>
        <sz val="9"/>
        <rFont val="Times New Roman"/>
        <family val="1"/>
        <charset val="186"/>
      </rPr>
      <t xml:space="preserve">, tai skaitā : 1)Mēģene ar apaļu pamatni 1 gb. - 0,01 euro*6 gb.*1 izmeklējums= </t>
    </r>
    <r>
      <rPr>
        <b/>
        <sz val="9"/>
        <rFont val="Times New Roman"/>
        <family val="1"/>
        <charset val="186"/>
      </rPr>
      <t>0,06 euro</t>
    </r>
    <r>
      <rPr>
        <sz val="9"/>
        <rFont val="Times New Roman"/>
        <family val="1"/>
        <charset val="186"/>
      </rPr>
      <t xml:space="preserve">. 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</si>
  <si>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1.3.Kursi "Transfuzioloģija asins dienesta māsām" (30 akadēmiskās stundas)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</si>
  <si>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1.2.Kursi "Transfuzioloģija medicīnas māsām" (16 akadēmiskās stundas)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</si>
  <si>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1.1.Kursi "Transfuzioloģija ārstiem" (30 akadēmiskās stundas)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</si>
  <si>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  <charset val="186"/>
      </rPr>
      <t xml:space="preserve">o </t>
    </r>
    <r>
      <rPr>
        <sz val="10"/>
        <color theme="1"/>
        <rFont val="Times New Roman"/>
        <family val="1"/>
        <charset val="186"/>
      </rPr>
      <t>vai 4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>, vai 20</t>
    </r>
    <r>
      <rPr>
        <vertAlign val="superscript"/>
        <sz val="10"/>
        <color theme="1"/>
        <rFont val="Times New Roman"/>
        <family val="1"/>
        <charset val="186"/>
      </rPr>
      <t>o)</t>
    </r>
    <r>
      <rPr>
        <sz val="10"/>
        <color theme="1"/>
        <rFont val="Times New Roman"/>
        <family val="1"/>
        <charset val="186"/>
      </rPr>
      <t>ar gelkaršu metodi, enzīmu testu (2 kartes Na Cl enzyme)</t>
    </r>
  </si>
  <si>
    <r>
      <t>Antieritrocitāro antivielu skrīnings (37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>vai 4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 xml:space="preserve"> , vai 20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>)</t>
    </r>
    <r>
      <rPr>
        <vertAlign val="superscript"/>
        <sz val="10"/>
        <color theme="1"/>
        <rFont val="Times New Roman"/>
        <family val="1"/>
        <charset val="186"/>
      </rPr>
      <t xml:space="preserve"> </t>
    </r>
    <r>
      <rPr>
        <sz val="10"/>
        <color theme="1"/>
        <rFont val="Times New Roman"/>
        <family val="1"/>
        <charset val="186"/>
      </rPr>
      <t>ar gelkaršu metodi ,enzīmu testu (1/2 karte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</si>
  <si>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2.9. Antieritrocitāro antivielu identifikācija ar gelkaršu metodi, netiešo antiglobulīna testu izmantojot papildus "Column panel 16" (3 kartes Liss/Coombs).</t>
    </r>
  </si>
  <si>
    <t>Maksas pakalpojuma veids: 2.11. Tiešais antiglobulīna tests (DAT) ar gelkaršu metodi</t>
  </si>
  <si>
    <t>Maksas pakalpojuma veids: 2.13. Eluāta iegūšana no DAT pozitīviem eritrocītiem ar Dia Cidel</t>
  </si>
  <si>
    <t>Darba devēja valsts sociālās apdrošināšanas obligātās iemaksas, sociāla rakstura pabalsti un kompensācijas 1,02 euro * 23,59%.</t>
  </si>
  <si>
    <t>Darba devēja valsts sociālās apdrošināšanas obligātās iemaksas, sociāla rakstura pabalsti un kompensācijas 3,40 euro * 23,59%.</t>
  </si>
  <si>
    <t>Darba devēja valsts sociālās apdrošināšanas obligātās iemaksas, sociāla rakstura pabalsti un kompensācijas 3,40 euro * 23,59%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</si>
  <si>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1,08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- 0,72 euro; 2) anti A monoklonālais reaģents 0,1 ml - 0,05  euro; 3) anti B monoklonālais reaģents 0,1 ml - 0,05 euro; 4) dezinfekcijas līdzeklis 1 proced. -  0,0086 euro; 5) vienreizējās lietošanas cimdi, pāris -  0,047 euro; 6) Pastēra pipete 3,5 ml 1 gb. - 0,019 euro. Izdevumi kopā: 0,72+0,05+0,05+0,0086+0,047+0,019= 0,8946 euro. Ar PVN 21%- 1,08 euro. Gadā plānots 269 * 1,08 euro = 290,52 euro.</t>
    </r>
  </si>
  <si>
    <t>Darba devēja valsts sociālās apdrošināšanas obligātās iemaksas, sociāla rakstura pabalsti un kompensācijas 3,40 euro * 23,59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</si>
  <si>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3,85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ml- 0,25 euro; 3) dezinfekcijas līdzeklis 1 proced. -  0,0086 euro; 4) vienreizējās lietošanas cimdi, pāris - 0,047 euro; 5) mēģene ar apaļu pamatni 1 gb - 0,01 euro; 6)  Pastēra pipete 3,5 ml sterila 1 gb.-  0,019 euro; 7) FT 9400230  uzgaļi 0,5-250 uL 3 gb.- 0,09 euro. Izdevumi kopā: 2,76+0,25+0,0086+0,047+0,01+0,019+0,09= 3,1846 euro. Izdevumi ar PVN 21%- 3,85 euro. Gadā plānots 224 * 3,85 euro = 862,40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</si>
  <si>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626 * 5,28 euro = 3305,28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</si>
  <si>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0,28 euro</t>
    </r>
    <r>
      <rPr>
        <sz val="9"/>
        <rFont val="Times New Roman"/>
        <family val="1"/>
        <charset val="186"/>
      </rPr>
      <t xml:space="preserve">, tai skaitā  1) Negatīva kontrole monoklonālam reaģentam 0,1 ml - 0,06 euro; 2) Anti- D IgM monoklonālais reaģents 0,1 ml -  0,10 euro; 3) dezinfekcijas līdzeklis 1 proced. -  0,0086 euro; 4) vienreizējās lietošanas cimdi, pāris - 0,047 euro; 5) Pastēra pipete 3,5 ml 1 gb.-0,019 euro. Izdevumi kopā: 0,06+0,10+0,0086+0,047+0,019= 0,23 euro. Izdevumi ar PVN 21%-0,28 euro. Gadā plānots 269 * 0,28 euro =75,32 euro. </t>
    </r>
  </si>
  <si>
    <t>Darba devēja valsts sociālās apdrošināšanas obligātās iemaksas, sociāla rakstura pabalsti un kompensācijas 1,70 euro * 23,59%.</t>
  </si>
  <si>
    <t>Darba devēja valsts sociālās apdrošināšanas obligātās iemaksas, sociāla rakstura pabalsti un kompensācijas 2,55 euro * 23,59%.</t>
  </si>
  <si>
    <t>Viena izmeklējuma veikšanu nodrošina ārsts (mēnešalga- 1668 euro, piemaksa par darba stāžu- 50,04 euro, kopā- 1718,04 euro). Darba laika patēriņš 1 izmeklējuma veikšanai 15 minūtes. 1 minūtes darba izmaksas- 1718,04 euro : 168,17 stundas (vidējais darba stundu skaits mēnesī 2022.gadā) : 60 minūtes  ir  1718,04 :168,17 : 60= 0,17 euro. Samaksa par izmeklējumu- 2,55 euro (0,17 euro*15 minūtes). Gadā plānots 71 * 2,55 euro=181,05 euro.</t>
  </si>
  <si>
    <t>Viena izmeklējuma veikšanu nodrošina ārsts (mēnešalga- 1668 euro, piemaksa par darba stāžu- 50,04 euro, kopā- 1718,04 euro). Darba laika patēriņš 1 izmeklējuma veikšanai 6 minūtes. 1 minūtes darba izmaksas- 1718,04 euro : 168,17 stundas (vidējais darba stundu skaits mēnesī 2022.gadā) : 60 minūtes  ir  1718,04 :168,17 : 60= 0,17 euro. Samaksa par izmeklējumu- 1,02 euro (0,17 euro*6 minūtes). Gadā plānots 269 * 1,02 euro= 274,38 euro.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</si>
  <si>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895 * 3,40 euro= 3043,00 euro.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</si>
  <si>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269 * 3,40 euro= 914,60 euro. 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</si>
  <si>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626 * 3,40 euro= 2128,40 euro.  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</si>
  <si>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224 * 3,40 euro= 761,60 euro.   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</si>
  <si>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Gadā plānots 895 * 3,40 euro= 3043,00 euro.     </t>
  </si>
  <si>
    <r>
  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Gadā plānots 895 * 3,40 euro= 3043,00 euro.      </t>
    </r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</si>
  <si>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Gadā plānots 7 * 3,40 euro= 23,80 euro.     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</si>
  <si>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16 * 3,40 euro= 54,40 euro.        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</si>
  <si>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1970 * 3,40 euro= 6698,00 euro.         </t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</si>
  <si>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 : 168,17 stundas (vidējais darba stundu skaits mēnesī 2022.gadā) : 60 minūtes  ir  1718,04 :168,17 : 60= 0,17 euro. Samaksa par izmeklējumu- 1,70 euro (0,17 euro*10 minūtes).  Gadā plānots 34 * 1,70 euro= 57,80 euro.    </t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</si>
  <si>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 : 168,17 stundas (vidējais darba stundu skaits mēnesī 2022.gadā) : 60 minūtes  ir  1718,04 :168,17 : 60= 0,17 euro. Samaksa par izmeklējumu- 1,70 euro (0,17 euro*10 minūtes). Gadā plānots 43 *1,70 euro=73,10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</si>
  <si>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5,66 euro</t>
    </r>
    <r>
      <rPr>
        <sz val="9"/>
        <rFont val="Times New Roman"/>
        <family val="1"/>
        <charset val="186"/>
      </rPr>
      <t>, tai skaitā: 1) vienreizējās lietošanas cimdi, pāris - 0,047euro; 2) dezinfekcijas līdzeklis 1 proced.- 0,0086 euro; 3) mēģene ar apaļu pamatni 3 gb.- 0,03 euro; 4) Pastēra pipetes 3,5 ml sterilas 3 gb.- 0,06 euro; 5) Dia Cidel komplekts 0,5 gb.- 4,53 euro. Izdevumi kopā: 0,047+0,0086+0,03+0,06+4,53=4,6756 euro. Izdevumi ar PVN 21%- 5,66 euro. Gadā plānots 43*5,66 euro =243,38 euro.</t>
    </r>
  </si>
  <si>
    <t>Viena izmeklējuma veikšanu nodrošina ārsts (mēnešalga- 1668 euro, piemaksa par darba stāžu- 50,04 euro, kopā- 1718,04 euro). Darba laika patēriņš 1 izmeklējuma veikšanai 5 minūtes. 1 minūtes darba izmaksas- 1718,04 euro : 168,17 stundas (vidējais darba stundu skaits mēnesī 2022.gadā) : 60 minūtes  ir  1718,04 :168,17 : 60= 0,17 euro. 1 izmeklējuma veikšanas darba izmaksas 0,17 euro * 5 minūtes = 0,85 euro. Gadā plānots 100*0,85 euro = 85,00 euro.</t>
  </si>
  <si>
    <t>Darba devēja valsts sociālās apdrošināšanas obligātās iemaksas, sociāla rakstura pabalsti un kompensācijas 0,85 euro * 23,59%</t>
  </si>
  <si>
    <r>
      <t xml:space="preserve">1 izmeklējuma veikšanai nepieciešams kopā </t>
    </r>
    <r>
      <rPr>
        <b/>
        <sz val="9"/>
        <rFont val="Times New Roman"/>
        <family val="1"/>
        <charset val="186"/>
      </rPr>
      <t>0,64 euro</t>
    </r>
    <r>
      <rPr>
        <sz val="9"/>
        <rFont val="Times New Roman"/>
        <family val="1"/>
        <charset val="186"/>
      </rPr>
      <t>, tai skaitā  1) Anti-A IgM monoklonālais reaģents (ABO1) 10 ml - 0,05 euro; 2) Anti-B IgM monoklonālais reaģents (ABO2) 10ml-  0,05 euro;3) Anti-D IgM monoklonālais reaģents (RHI) 0,1 ml - 0,10 euro 4) Nacryl plāksnīte 1 gb.- 0,15 euro;  5) Pastēra pipete 1 ml sterila, 1 gb.- 0,019 euro; 6) lāpstiņa maisīšanai 2 gb. - 0,03 euro; 7) lancetes SFETY 21G- 0,06 euro; 8) dezinfekcijas līdzeklis 1 proced. -  0,0086 euro; 9) plāksteris Mepore - 0,01 euro; 10) sterilas salvetes 5x5 cm- 0,002; 11) vienreizējās lietošanas cimdi, pāris- 0,047 euro. Izdevumi kopā:  0,05+0,05+0,10+0,15+0,019+0,03+0,06+0,0086+0,01+0,002+0,047= 0,5266 euro. Izdevumi ar PVN 21%- 0,64  euro. Gadā plānots 100*0,64 euro =64,00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</si>
  <si>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0,76 euro</t>
    </r>
    <r>
      <rPr>
        <sz val="9"/>
        <rFont val="Times New Roman"/>
        <family val="1"/>
        <charset val="186"/>
      </rPr>
      <t>, tai skaitā  1) vates tamponi- 0,01 euro; 2) dezinfekcijas līdzeklis 1 procedūrai-  0,0086 euro; 3) salvetes neaustas, sterilas 1 gb. -  0,02 euro; 4) vakuumstobra adata 21G ar drošības sistēmu un turētēju 1 gb.- 0,21 euro; 5) vienreizējās lietošanas cimdi,  pāris - 0,047 euro; 6) elastīgā saite 0,25 gb. - 0,13 euro; 7) sterili kociņi 1 gb. - 0,05 euro; 8)  st/vakutaineri 9 ml 1 gb. - 0,08 euro;  9) vakuuma stobriņš EDTA 1 gb. - 0,07 euro. Izdevumi kopā: 0,01+0,0086+0,02+0,21+0,047+0,13+0,05+0,08+0,07=0,6256 euro. Izdevumi ar PVN 21%-  0,76  euro. Gadā plānots 200*0,76 euro= 152,0 euro.</t>
    </r>
  </si>
  <si>
    <t>Viena izmeklējuma veikšanu nodrošina ārsts (mēnešalga- 1668 euro, piemaksa par darba stāžu- 50,04 euro, kopā- 1718,04 euro). Darba laika patēriņš 1 izmeklējuma veikšanai 10 minūtes. 1 minūtes darba izmaksas- 1718,04 euro : 168,17 stundas (vidējais darba stundu skaits mēnesī 2022.gadā) : 60 minūtes  ir  1718,04 :168,17 : 60= 0,17 euro. Samaksa par izmeklējumu- 1,70 euro (0,17 euro*10 minūtes). Gadā plānots 200 * 1,70 euro = 340,00 euro.</t>
  </si>
  <si>
    <t>Viena izmeklējuma veikšanu nodrošina ārsts (mēnešalga- 1668 euro, piemaksa par darba stāžu- 50,04 euro, kopā- 1718,04 euro). Darba laika patēriņš 1 izmeklējuma veikšanai 10 minūtes. 1 minūtes darba izmaksas- 1718,04 euro : 168,17 stundas (vidējais darba stundu skaits mēnesī 2022.gadā) : 60 minūtes  ir  1718,04 :168,17 : 60= 0,17 euro. Samaksa par izmeklējumu- 1,70 euro (0,17 euro*10 minūtes).   Gadā plānots 100 * 1,70 euro = 170,00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</si>
  <si>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0,94 euro</t>
    </r>
    <r>
      <rPr>
        <sz val="9"/>
        <rFont val="Times New Roman"/>
        <family val="1"/>
        <charset val="186"/>
      </rPr>
      <t>, tai skaitā: 1) vates tamponi - 0,01 euro; 2) dezinfekcijas līdzeklis 1 proced.- 0,0086 euro; 3) salvetes neaustas, sterilas  1 gb.- 0,02 euro;  4) vakumstobra adata 21G ar drošības sistēmu un turētēju 1 gb. - 0,21 euro; 5) vienreizējās lietošanas cimdi, pāris -  0,047 euro; 6) elastīgā saite 0,25 gb.- 0,13 euro; 7) sterili kociņi 1 gb. - 0,05 euro; 8) St/vakutaineri 9 ml 2 gb. - 0,16 euro; 9) vakuuma stobriņš EDTA 2 gb.- 0,14 euro. Izdevumi kopā: 0,01+0,0086+0,02+0,21 +0,047+0,13+0,05+0,16+0,14=0,7756 euro. Izdevumi ar PVN 21%- 0,94  euro. Gadā plānots 100*0,94 euro=94,0 euro.</t>
    </r>
  </si>
  <si>
    <t>Viena izmeklējuma veikšanu nodrošina ārsts (mēnešalga- 1668 euro, piemaksa par darba stāžu- 50,04 euro, kopā- 1718,04 euro). Darba laika patēriņš 1 izmeklējuma veikšanai 5 minūtes. 1 minūtes darba izmaksas- 1718,04 euro : 168,17 stundas (vidējais darba stundu skaits mēnesī 2022.gadā) : 60 minūtes  ir  1718,04 :168,17 : 60= 0,17 euro. 1 izmeklējuma veikšanas darba izmaksas 0,17 euro * 5 minūtes = 0,85 euro.  Gadā plānots 20*0,85 euro = 17,00 euro.</t>
  </si>
  <si>
    <t>Darba devēja valsts sociālās apdrošināšanas obligātās iemaksas, sociāla rakstura pabalsti un kompensācijas 0,85 euro * 23,59%.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</si>
  <si>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>, tai skaitā: 1) Anti- A1 lektīns  0.1 ml - 0,20 euro; 2) Anti-H lektīns  0,1 ml - 0,23 euro; 3) dezinfekcijas līdzeklis 1 proced. -  0,0086 euro; 4) vienreizējās lietošanas cimdi, pāris - 0,047 euro; 5) Pastēra pipetes 3,5 ml  sterilas 2 gb - 0,038 euro; 6) mēģenes ar apaļu pamatni 2 gb.- 0,02 euro. Izdevumi kopā: 0,20+0,23+0,0086+0,047 +0,038+0,02= 0,5436 euro.  Izdevumi ar PVN 21%- 0,66 euro. Gadā plānots 20 * 0,66 euro = 13,20 euro.</t>
    </r>
  </si>
  <si>
    <r>
      <t xml:space="preserve">Maksas pakalpojuma veids: </t>
    </r>
    <r>
      <rPr>
        <sz val="9"/>
        <rFont val="Times New Roman"/>
        <family val="1"/>
        <charset val="186"/>
      </rPr>
      <t>2.18. ABO asins grupas (tiešā reakcija) Rh (D) noteikšana ar gelkaršu metodi (karte DiaClon ABO/D)</t>
    </r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</si>
  <si>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Gadā plānots 50 * 3,40 euro=170,00 euro.</t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</si>
  <si>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50 * 3,40 euro=170,00 euro.</t>
  </si>
  <si>
    <t>Plānotais pakalpojuma sniegšanas vienību skaits  50</t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</si>
  <si>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 Gadā plānots 700 * 3,40 euro=2380,00 euro.</t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</si>
  <si>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Gadā plānots 30*3,40 euro =102,00 euro.</t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</si>
  <si>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Gadā plānots 30 * 3,40 euro=102,00 euro.</t>
  </si>
  <si>
    <t>Viena izmeklējuma veikšanu nodrošina ārsts (mēnešalga- 1668 euro, piemaksa par darba stāžu- 50,04 euro, kopā- 1718,04 euro). Darba laika patēriņš 1 izmeklējuma veikšanai 45 minūtes. 1 minūtes darba izmaksas- 1718,04 euro : 168,17 stundas (vidējais darba stundu skaits mēnesī 2022.gadā) : 60 minūtes  ir  1718,04 :168,17 : 60= 0,17 euro. Samaksa par izmeklējumu- 7,65 euro (0,17 euro*45 minūtes).  Gadā plānots 20*7,65 euro=153,00 euro.</t>
  </si>
  <si>
    <t>Darba devēja valsts sociālās apdrošināšanas obligātās iemaksas, sociāla rakstura pabalsti un kompensācijas 7,65 euro * 23,59%.</t>
  </si>
  <si>
    <t>Viena izmeklējuma veikšanu nodrošina ārsts (mēnešalga- 1668 euro, piemaksa par darba stāžu- 50,04 euro, kopā- 1718,04 euro). Darba laika patēriņš 1 izmeklējuma veikšanai  20 minūtes. 1 minūtes darba izmaksas- 1718,04 euro : 168,17 stundas (vidējais darba stundu skaits mēnesī 2022.gadā) : 60 minūtes  ir  1718,04 :168,17 : 60= 0,17 euro. Samaksa par izmeklējumu- 3,40 euro (0,17 euro*20 minūtes).  Gadā plānots 100*3,40 euro=340,00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</si>
  <si>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3,42 euro</t>
    </r>
    <r>
      <rPr>
        <sz val="9"/>
        <rFont val="Times New Roman"/>
        <family val="1"/>
        <charset val="186"/>
      </rPr>
      <t>, tai skaitā  1) Karte Na Cl enzyme test (4x12) 0,5 gb - 2,14 euro; 2) 0,8% skrīningeritrocīti ID-Dia Cell I-II-IIIP 0,15 ml - 0,51 euro; 3) dezinfekcijas līdzeklis 1 proced. -  0,0086 euro; 4) vienreizējās lietošanas cimdi, pāris - 0,047 euro; 5) mēģene ar apaļu pamatni 1 gb - 0,01 euro; 6) Pastēra pipete 3,5 ml  sterila 1 gb - 0,019 euro; 7) FT 9400230 uzgaļi 0,5-250 uL 3 gb.- 0,09 euro. Izdevumi kopā: 2,14+0,51+0,0086+0,047+0,01+0,019+0,09= 2,8246 euro. Izdevumi ar PVN 21%- 3,42 euro. Gadā plānots 100*3,42 euro = 342,00 euro.</t>
    </r>
  </si>
  <si>
    <t>Viena izmeklējuma veikšanu nodrošina ārsts (mēnešalga- 1668 euro, piemaksa par darba stāžu- 50,04 euro, kopā- 1718,04 euro). Darba laika patēriņš 1 izmeklējuma veikšanai 30 minūtes. 1 minūtes darba izmaksas- 1718,04 euro : 168,17 stundas (vidējais darba stundu skaits mēnesī 2022.gadā) : 60 minūtes  ir  1718,04 :168,17 : 60= 0,17 euro. Samaksa par izmeklējumu- 5,10 euro (0,17 euro*30 minūtes).  Gadā plānots 200 * 5,10 euro=1020,00 euro.</t>
  </si>
  <si>
    <t>Darba devēja valsts sociālās apdrošināšanas obligātās iemaksas, sociāla rakstura pabalsti un kompensācijas 5,10 euro * 23,59%.</t>
  </si>
  <si>
    <t>Viena izmeklējuma veikšanu nodrošina ārsts (mēnešalga- 1668 euro, piemaksa par darba stāžu- 50,04 euro, kopā- 1718,04 euro). Darba laika patēriņš 1 izmeklējuma veikšanai 30 minūtes. 1 minūtes darba izmaksas- 1718,04 euro : 168,17 stundas (vidējais darba stundu skaits mēnesī 2022.gadā) : 60 minūtes  ir  1718,04 :168,17 : 60= 0,17 euro. Samaksa par izmeklējumu- 5,10 euro (0,17 euro*30 minūtes).  Gadā plānots 100 * 5,10 euro=510,00 euro.</t>
  </si>
  <si>
    <t>Darba devēja valsts sociālās apdrošināšanas obligātās iemaksas, sociāla rakstura pabalsti un kompensācijas 13,60 euro * 23,59%.</t>
  </si>
  <si>
    <t>Viena izmeklējuma veikšanu nodrošina ārsts (mēnešalga- 1668 euro, piemaksa par darba stāžu- 50,04 euro, kopā- 1718,04 euro). Darba laika patēriņš 1 izmeklējuma veikšanai 15 minūtes. 1 minūtes darba izmaksas- 1718,04 euro : 168,17 stundas (vidējais darba stundu skaits mēnesī 2022.gadā) : 60 minūtes  ir  1718,04 :168,17 : 60= 0,17 euro. Samaksa par izmeklējumu- 2,55 euro (0,17 euro*15 minūtes). Gadā plānots 80 * 2,55 euro=204,00 euro.</t>
  </si>
  <si>
    <t>Viena izmeklējuma veikšanu nodrošina ārsts (mēnešalga- 1668 euro, piemaksa par darba stāžu- 50,04 euro, kopā- 1718,04 euro). Darba laika patēriņš 1 izmeklējuma veikšanai 30 minūtes. 1 minūtes darba izmaksas- 1718,04 euro : 168,17 stundas (vidējais darba stundu skaits mēnesī 2022.gadā) : 60 minūtes  ir  1718,04 :168,17 : 60= 0,17 euro. Samaksa par izmeklējumu- 5,10 euro (0,17 euro*30 minūtes).  Gadā plānots 4*5,10 euro=20,40 euro.</t>
  </si>
  <si>
    <t>Darba devēja valsts sociālās apdrošināšanas obligātās iemaksas, sociāla rakstura pabalsti un kompensācijas 5,10 euro* 23,59%.</t>
  </si>
  <si>
    <t>Darba devēja valsts sociālās apdrošināšanas obligātās iemaksas, sociāla rakstura pabalsti un kompensācijas 18,70 euro * 23,59%.</t>
  </si>
  <si>
    <t>Viena izmeklējuma veikšanu nodrošina ārsts (mēnešalga- 1668 euro, piemaksa par darba stāžu- 50,04 euro, kopā- 1718,04 euro). Darba laika patēriņš 1 izmeklējuma veikšanai 110 minūtes. 1 minūtes darba izmaksas- 1718,04 euro : 168,17 stundas (vidējais darba stundu skaits mēnesī 2022.gadā) : 60 minūtes  ir  1718,04 :168,17 : 60= 0,17 euro. Samaksa par izmeklējumu- 18,70 euro (0,17 euro*110 minūtes).  Gadā plānots 5*18,70 euro=93,50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</si>
  <si>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3,52 euro</t>
    </r>
    <r>
      <rPr>
        <sz val="9"/>
        <rFont val="Times New Roman"/>
        <family val="1"/>
        <charset val="186"/>
      </rPr>
      <t>, tai skaitā: 1) vienreizējās lietošanas cimdi, pāris - 0,047 euro; 2) dezinfekcijas līdzeklis 1 proced.- 0,0086 euro; 3) mēģene ar apaļu pamatni 15 gb.- 0,135 euro; 4) Pastēra pipetes 3,5 ml sterila  28 gb.- 0,532 euro; 5) 20% peg 4000 šķīdums (polietilēnglikols) 3 ml - 2,08 euro; 6) Na Cl 0,9% fizioloģiskais šķīdums 100 ml - 0,11 euro. Izdevumi kopā: 0,047+0,0086+0,135+0,532+2,08+0,11=2,9126 euro. Izdevumi ar PVN 21%- 3,52 euro. Gadā plānots 5 * 3,52 euro = 17,60 euro.</t>
    </r>
  </si>
  <si>
    <t>Darba devēja valsts sociālās apdrošināšanas obligātās iemaksas, sociāla rakstura pabalsti un kompensācijas 33,15 euro * 23,59%.</t>
  </si>
  <si>
    <t>Viena izmeklējuma veikšanu nodrošina ārsts (mēnešalga- 1668 euro, piemaksa par darba stāžu- 50,04 euro, kopā- 1718,04 euro). Darba laika patēriņš 1 izmeklējuma veikšanai 5 minūtes. 1 minūtes darba izmaksas- 1718,04 euro : 168,17 stundas (vidējais darba stundu skaits mēnesī 2022.gadā) : 60 minūtes  ir  1718,04 :168,17 : 60= 0,17 euro. 1 izmeklējuma veikšanas darba izmaksas 0,17 euro * 5 minūtes = 0,85 euro.  Gadā plānots 30 * 0,85 euro =25,50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</si>
  <si>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0,17 euro</t>
    </r>
    <r>
      <rPr>
        <sz val="9"/>
        <rFont val="Times New Roman"/>
        <family val="1"/>
        <charset val="186"/>
      </rPr>
      <t>, tai skaitā: 1) vienreizējās lietošanas cimdi, pāris - 0,047 euro; 2) dezinfekcijas līdzeklis 1 proced.- 0,0086 euro; 3) Pastēra pipete 3,5 ml sterila 3 gb.- 0,057 euro; 4) Na Cl 0,9 % fizioloģiskais šķīdums  24 ml - 0,03 euro. Izdevumi kopā: 0,047+0,0086+0,057+0,03=0,1426 euro. Izdevumi ar PVN 21%- 0,17 euro. Gadā plānots 30*0,17 euro = 5,10 euro.</t>
    </r>
  </si>
  <si>
    <t>Viena izmeklējuma veikšanu nodrošina ārsts (mēnešalga- 1668 euro, piemaksa par darba stāžu- 50,04 euro, kopā- 1718,04 euro). Darba laika patēriņš 1 izmeklējuma veikšanai 6 minūtes. 1 minūtes darba izmaksas- 1718,04 euro : 168,17 stundas (vidējais darba stundu skaits mēnesī 2022.gadā) : 60 minūtes  ir  1718,04 :168,17 : 60= 0,17 euro. 1 izmeklējuma veikšanas darba izmaksas 0,17 euro*6 minūtes=1,02 euro.  Steidzama izmeklējuma veikšanai papildus nepieciešamas 13 minūtes- 0,17 euro*13 minūtes = 2,21 euro. Samaksa par izmeklējumu- 3,23 euro (1,02+ 2,21). Gadā plānots 20*3,23 euro = 64,60 euro.</t>
  </si>
  <si>
    <t>Darba devēja valsts sociālās apdrošināšanas obligātās iemaksas, sociāla rakstura pabalsti un kompensācijas 3,23 euro * 23,59%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</si>
  <si>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1,08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- 0,72 euro; 2) anti A monoklonālais reaģents 0,1 ml - 0,05  euro; 3) anti B monoklonālais reaģents 0,1 ml - 0,05 euro; 4) dezinfekcijas līdzeklis 1 proced. -  0,0086 euro; 5) vienreizējās lietošanas cimdi, pāris -  0,047 euro; 6) Pastēra pipete 3,5 ml 1 gb. - 0,019 euro. Izdevumi kopā: 0,72+0,05+0,05+0,0086+0,047+0,019= 0,8946 euro. Ar PVN 21%- 1,08 euro. Gadā plānots 20*1,08 euro = 21,60 euro.</t>
    </r>
  </si>
  <si>
    <t xml:space="preserve"> 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200 * 5,61 euro = 1122,00 euro.</t>
  </si>
  <si>
    <t>Darba devēja valsts sociālās apdrošināšanas obligātās iemaksas, sociāla rakstura pabalsti un kompensācijas 5,61 euro * 23,59%</t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</si>
  <si>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60 * 5,61 euro = 336,60 euro.</t>
  </si>
  <si>
    <t xml:space="preserve"> 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60 * 5,61 euro = 336,60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</si>
  <si>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60 * 5,28 euro = 316,80 euro.</t>
    </r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</si>
  <si>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10 * 5,61 euro = 56,10 euro.</t>
  </si>
  <si>
    <t>Darba devēja valsts sociālās apdrošināšanas obligātās iemaksas, sociāla rakstura pabalsti un kompensācijas 5,61 euro * 23,59%.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</si>
  <si>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3,85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ml- 0,25 euro; 3) dezinfekcijas līdzeklis 1 proced. -  0,0086 euro; 4) vienreizējās lietošanas cimdi, pāris - 0,047 euro; 5) mēģene ar apaļu pamatni 1 gb - 0,01 euro; 6)  Pastēra pipete 3,5 ml sterila 1 gb.-  0,019 euro; 7) FT 9400230  uzgaļi 0,5-250 uL 3 gb.- 0,09 euro. Izdevumi kopā: 2,76+0,25+0,0086+0,047+0,01+0,019+0,09 = 3,1846 euro. Izdevumi ar PVN 21%- 3,85 euro. Gadā plānots 10*3,85 euro =38,50 euro.</t>
    </r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</si>
  <si>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100*5,61 euro = 561,00 euro.</t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</si>
  <si>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100 * 5,61 euro = 561,00 euro.</t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</si>
  <si>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20*5,61 euro = 112,20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</si>
  <si>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10,96 euro</t>
    </r>
    <r>
      <rPr>
        <sz val="9"/>
        <rFont val="Times New Roman"/>
        <family val="1"/>
        <charset val="186"/>
      </rPr>
      <t>, tai skaitā 1) Karte Liss Coombs 1 gb.- 6,68 euro; 2) Eritrocīti no ID-Dia panel Pluss 6 (papildpanelis) (6x4) 0,3 ml - 2,08 euro; 3) dezinfekcijas līdzeklis 1 proced.- 0,0086 euro; 4) vienreizējās lietošanas cimdi, pāris - 0,047 euro; 5) mēģene ar apaļu pamatni  1 gb- 0,01 euro; 6) Pastēra pipete 3,5 ml sterila 1 gb- 0,019 euro; 7) FT 250 9400230 uzgaļi 0,5-250 uL 7 gb - 0,21 euro. Izdevumi kopā: 6,68+2,08+0,0086+0,047+0,01+0,019+0,21=9,0546 euro .Izdevumi ar PVN 21%- 10,96 euro.  Gadā plānots 7 *10,96 euro =76,72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</si>
  <si>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10,96 euro</t>
    </r>
    <r>
      <rPr>
        <sz val="9"/>
        <rFont val="Times New Roman"/>
        <family val="1"/>
        <charset val="186"/>
      </rPr>
      <t>, tai skaitā 1) Karte Liss Coombs 1 gb.- 6,68 euro; 2) Eritrocīti no ID-Dia panel Pluss 6 (papildpanelis) (6x4) 0,3 ml - 2,08 euro; 3) dezinfekcijas līdzeklis 1 proced.- 0,0086 euro; 4) vienreizējās lietošanas cimdi, pāris - 0,047 euro; 5) mēģene ar apaļu pamatni  1 gb- 0,01 euro; 6) Pastēra pipete 3,5 ml sterila 1 gb- 0,019 euro; 7) FT 250 9400230 uzgaļi 0,5-250 uL 7 gb - 0,21 euro. Izdevumi kopā: 6,68+2,08+0,0086+0,047+0,01+0,019+0,21=9,0546 euro .Izdevumi ar PVN 21%- 10,96 euro. Gadā plānots 20*10,96 euro =219,20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</si>
  <si>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19,15 euro</t>
    </r>
    <r>
      <rPr>
        <sz val="9"/>
        <rFont val="Times New Roman"/>
        <family val="1"/>
        <charset val="186"/>
      </rPr>
      <t>, tai skaitā: 1) Anti P1,Lea,Leb,Lua,lub vai anti k,Kpa,Kpb,Jka, Jkb karte (1x12) 1 karte- 13,17 euro; 2) Diluents -1 0,5 ml - 0,42 euro; 3) dezinfekcijas līdzeklis 1 proced. -  0,0086 euro; 4) vienreizējās lietošanas cimdi, pāris - 0,047 euro; 5) mēģene ar apaļu pamatni 1 gb.- 0,01 euro; 6) Pastēra pipete 3,5 ml sterila 1 gb.-  0,019 euro. Izdevumi kopā: 13,17+0,42+0,0086+0,047+0,01+0,019=13,6746 euro.  Izdevumi ar PVN 21%- 16,55 euro. Gadā plānots 30 * 16,55 euro=496,50 euro.</t>
    </r>
  </si>
  <si>
    <t>Viena izmeklējuma veikšanu nodrošina ārsts (mēnešalga- 1668 euro, piemaksa par darba stāžu- 50,04 euro, kopā- 1718,04 euro). Darba laika patēriņš 1 izmeklējuma veikšanai 20 minūtes. 1 minūtes darba izmaksas- 1718,04 euro : 168,17 stundas (vidējais darba stundu skaits mēnesī 2022.gadā)  : 60 minūtes ir 1718,04: 168,17 : 60 = 0,17 euro. 1 izmeklējuma veikšanas darba izmaksas 0,17 euro * 20 minūtes = 3,40 euro. Steidzama izmeklējuma veikšanai papildus nepieciešamas 13 minūtes - 0,17 euro*13 minūtes=2,21 euro. Samaksa par izmeklējumu- 5,61 euro (3,40 + 2,21). Gadā plānots 400 * 5,61 euro = 2244,00 euro.</t>
  </si>
  <si>
    <t>Viena izmeklējuma veikšanu nodrošina ārsts (mēnešalga- 1668 euro, piemaksa par darba stāžu- 50,04 euro, kopā- 1718,04 euro). Darba laika patēriņš 1 izmeklējuma veikšanai 10 minūtes. 1 minūtes darba izmaksas- 1718,04 euro : 168,17 stundas (vidējais darba stundu darba stundu skaits mēnesī 2022.gadā) : 60 minūtes ir 1718,04 : 168,17 : 60 = 0,17 euro. 1 izmeklējuma veikšanas darba izmaksas 0,17 euro*10 minūtes=1,70 euro. Steidzama izmeklējuma veikšanai papildus nepieciešamas 13 minūtes - 0,17 euro*13 minūtes=2,21 euro. Samaksa par izmeklējumu- 3,91 euro (1,70 + 2,21). Gadā plānots 10 * 3,91 euro = 39,10 euro.</t>
  </si>
  <si>
    <t>Darba devēja valsts sociālās apdrošināšanas obligātās iemaksas, sociāla rakstura pabalsti un kompensācijas 3,91 euro * 23,59%.</t>
  </si>
  <si>
    <t>Viena izmeklējuma veikšanu nodrošina ārsts (mēnešalga- 1668 euro, piemaksa par darba stāžu- 50,04 euro, kopā- 1718,04 euro). Darba laika patēriņš 1 izmeklējuma veikšanai 15 minūtes. 1 minūtes darba izmaksas 1718,04 : 168,17 stundas (vidējais darba stundu skaits mēnesī 2022.gadā) : 60 minūtes ir 1718,04 : 168,17 : 60 = 0,17 euro. 1 izmeklējuma veikšanas darba izmaksas 0,17 euro*15 minūtes =2,55 euro. Steidzama izmeklējuma veikšanai papildus nepieciešamas 13 minūtes - 0,17 euro*13 minūtes = 2,21 euro. Samaksa par izmeklējumu- 4,76 euro (2,55+2,21).  Gadā plānots 10 * 4,76 euro = 47,60 euro.</t>
  </si>
  <si>
    <t>Darba devēja valsts sociālās apdrošināšanas obligātās iemaksas, sociāla rakstura pabalsti un kompensācijas 4,76 euro * 23,59%.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</si>
  <si>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5,66 euro</t>
    </r>
    <r>
      <rPr>
        <sz val="9"/>
        <rFont val="Times New Roman"/>
        <family val="1"/>
        <charset val="186"/>
      </rPr>
      <t>, tai skaitā: 1) vienreizējās lietošanas cimdi, pāris - 0,047euro; 2) dezinfekcijas līdzeklis 1 proced.- 0,0086 euro; 3) mēģene ar apaļu pamatni 3 gb.- 0,03 euro; 4) Pastēra pipetes 3,5 ml sterilas 3 gb.- 0,06 euro; 5) Dia Cidel komplekts 0,5 gb.- 4,53 euro. Izdevumi kopā: 0,047+0,0086+0,03+0,06+4,53=4,6756 euro. Izdevumi ar PVN 21%- 5,66 euro. Gadā plānots 10*5,66 euro =56,60 euro.</t>
    </r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</si>
  <si>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Piemaksa  par virsstundu darbu saskaņā ar Darba likuma 68.panta 1.punktu 100% apmērā- 1668 euro : 168,17 stundas : 60 minūtes= 0,17*6 minūtes=1,02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izmeklējumu- 9,54 euro (1,02+1,02+7,50).  Gadā plānots 26 * 9,54 euro = 248,04 euro.</t>
  </si>
  <si>
    <t>Darba devēja valsts sociālās apdrošināšanas obligātās iemaksas, sociāla rakstura pabalsti un kompensācijas 9,54 * 23,59%.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</si>
  <si>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1,08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- 0,72 euro; 2) anti A monoklonālais reaģents 0,1 ml - 0,05  euro; 3) anti B monoklonālais reaģents 0,1 ml - 0,05 euro; 4) dezinfekcijas līdzeklis 1 proced. -  0,0086 euro; 5) vienreizējās lietošanas cimdi, pāris -  0,047 euro; 6) Pastēra pipete 3,5 ml 1 gb. - 0,019 euro. Izdevumi kopā: 0,72+0,05+0,05+0,0086+0,047+0,019= 0,8946 euro. Ar PVN 21%- 1,08 euro. Gadā plānots 26*1,08 euro = 28,08 euro.</t>
    </r>
  </si>
  <si>
    <t xml:space="preserve"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Gadā plānots 27 * 14,30 euro = 386,10 euro. </t>
  </si>
  <si>
    <t>Darba devēja valsts sociālās apdrošināšanas obligātās iemaksas, sociāla rakstura pabalsti un kompensācijas 14,30 euro * 23,59%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</si>
  <si>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895 * 4,83 euro= 4322,85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</si>
  <si>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895 *17,21 euro =15402,95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</si>
  <si>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1,43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 -  0,0086 euro; 3) mēģene ar apaļu pamatni  1 gb.- 0,01 euro; 4) Pastēra pipete 3,5 ml sterila 1 gb. - 0,019 euro; 5) FT 9400230 uzgaļi 0,5-250 uL 1 gb. - 0,03 euro; 6) Karte Liss/Coombs 0,17 gb.- 0,92 euro; 7) Diluents - 2  0,5 ml.- 0,15 euro. Izdevumi kopā: 0,047+0,0086+0,01+ 0,019+0,03+0,92+0,15=1,1846 euro. Izdevumi ar PVN 21%- 1,43 euro. Gadā plānots 34 * 1,43 euro =48,62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</si>
  <si>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1970 * 2,01 euro = 3959,70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</si>
  <si>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16 * 23,72 euro =379,52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</si>
  <si>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895 * 14,67 euro = 13129,65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</si>
  <si>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5,24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proced.- 0,0086 euro; 3) mēģene ar apaļu pamatni 1 gb. - 0,01 euro; 4) Pastēra pipete 3,5 ml sterila 1 gb.- 0,019 euro; 5) FT 9400230 uzgaļi 0,5-250 uL 1 gb.- 0,03 euro; 6) Karte DAT Screening 2- 0,5 gb.- 4,07 euro; 7) Diluents- 2 0,5 ml - 0,15 euro. Izdevumi kopā: 0,047+0,0086+0,01+0,019+ 0,03+3,10+0,15=4,3346 euro. Izdevumi ar PVN 21%- 5,24 euro. Gadā plānots 71 * 5,24 euro =372,04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</si>
  <si>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4,36 euro,</t>
    </r>
    <r>
      <rPr>
        <sz val="9"/>
        <rFont val="Times New Roman"/>
        <family val="1"/>
        <charset val="186"/>
      </rPr>
      <t xml:space="preserve"> tai skaitā  1) Diulents -2 0,5 ml - 0,15 euro; 2) karte Dia Clon ABO/D 1 gb.- 3,34 euro; 3) dezinfekcijas līdzeklis 1 proced.- 0,0086 euro; 4) vienreizējās lietošanas cimdi, pāris - 0,047 euro;  5) Pastēra pipete 3,5 ml  strerila 1 gb.- 0,02 euro; 6) mēģenes ar apaļu pamatni 1 gb. - 0,01 euro; 7) FT 9400230 0,5-250 uL uzgalis 1 gb.- 0,03 euro. Izdevumi kopā: 0,15+3,34+0,0086+0,047+0,02+0,01+0,03= 3,6056 euro.  Izdevumi ar PVN 21%- `4,36 euro. Gadā plānots 50 * 4,36 euro =218,00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</si>
  <si>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4,51 euro</t>
    </r>
    <r>
      <rPr>
        <sz val="9"/>
        <rFont val="Times New Roman"/>
        <family val="1"/>
        <charset val="186"/>
      </rPr>
      <t>, tai skaitā  1) Diulents -2 0,5 ml - 0,15 euro; 2) karte Dia Clon ABO/D+DAT 1 gb - 3,46 euro; 3) dezinfekcijas līdzeklis 1 proced.- 0,0086 euro; 4) vienreizējās lietošanas cimdi, pāris- 0,047 euro; 5) Pastēra pipete 3,5 ml sterila 1 gb.- 0,02 euro; 6) mēģenes ar apaļu pamatni 1 gb.- 0,01 euro; 7) FT 9400230 0,5-250 uL uzgalis 1 gb. - 0,03 euro. Izdevumi kopā: 0,15+3,46+0,0086+0,047+0,02+0,01+0,03= 3,7256 euro. Izdevumi ar PVN 21%- 4,51 euro. Gadā plānots 50 * 4,51 euro = 225,50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</si>
  <si>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3,79 euro</t>
    </r>
    <r>
      <rPr>
        <sz val="9"/>
        <rFont val="Times New Roman"/>
        <family val="1"/>
        <charset val="186"/>
      </rPr>
      <t xml:space="preserve">, tai skaitā: Vidējās izmaksas -1) Anti:  kartes  </t>
    </r>
    <r>
      <rPr>
        <u/>
        <sz val="9"/>
        <rFont val="Times New Roman"/>
        <family val="1"/>
        <charset val="186"/>
      </rPr>
      <t>vidējās izmaksas- 2,48 euro</t>
    </r>
    <r>
      <rPr>
        <sz val="9"/>
        <rFont val="Times New Roman"/>
        <family val="1"/>
        <charset val="186"/>
      </rPr>
      <t xml:space="preserve"> ; 2) Diluents -2 0,5 ml - 0,15 euro; 3) dezinfekcijas līdzeklis 1 proced. -  0,0086 euro; 4) vienreizējās lietošanas cimdi, pāris - 0,047 euro; 5) mēģene ar apaļu pamatni  1 gb- 0,01 euro; 6) Pastēra pipete 3,5 ml sterila 1 gb.-  0,019 euro; 7) Diluents -1 0,5 ml - 0,42 euro. Izdevumi kopā: 2,48+0,15+0,0086+0,047+0,01+0,019+0,42=3,1346 6euro.  Izdevumi ar PVN 21%- 3,79  euro. Gadā plānots 700 * 3,79 euro =2653,00 euro.</t>
    </r>
  </si>
  <si>
    <r>
      <t xml:space="preserve">1 izmeklējuma veikšanai nepieciešami </t>
    </r>
    <r>
      <rPr>
        <b/>
        <sz val="9"/>
        <rFont val="Times New Roman"/>
        <family val="1"/>
        <charset val="186"/>
      </rPr>
      <t>14,54 euro</t>
    </r>
    <r>
      <rPr>
        <sz val="9"/>
        <rFont val="Times New Roman"/>
        <family val="1"/>
        <charset val="186"/>
      </rPr>
      <t>, tai skaitā: 1) Anti M,N,S,s,Fya,Fyb (1x12) 1 karte - 5,89 euro ; 2) Diluents-2 0,5 ml - 0,15 euro; 3) dezinfekcijas līdzeklis 1 proced. -  0,0086 euro; 4) vienreizējās lietošanas cimdi, pāris - 0,047 euro; 5) mēģene ar apaļu pamatni 1 gb - 0,01 euro; 6) Pastēra pipete 3,5 ml sterila 1 gb -  0,019 euro; 7) Anti M,N,S,s,Fya,Fyb 0,3 ml - 5,89 euro. Izdevumi kopā: 5,89+0,15+0,0086+0,047+0,01+ 0,019+5,89=12,0146 euro. Izdevumi ar PVN 21%- 14,54 euro. Gadā plānots 30 * 14,54 euro =436,20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</si>
  <si>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10,70 euro</t>
    </r>
    <r>
      <rPr>
        <sz val="9"/>
        <rFont val="Times New Roman"/>
        <family val="1"/>
        <charset val="186"/>
      </rPr>
      <t>, tai skaitā  1) vienreizējās lietošanas cimdi, pāris- 0,047 euro; 2) dezinfekcijas līdzeklis 1 proced.-  0,0086 euro; 3) mēģene ar apaļu pamatni 1 gb.- 0,01 euro; 4) Pastēra pipete 3,5 ml sterila 1 gb.- 0,019 euro; 5) FT 9400230 uzgaļi 0,5 -250 uL 1 gb.- 0,03 euro; 6) Karte DAT Screening 1- 1 gb.- 8,58 euro; 7) Diluents -2  0,5 ml.- 0,15 euro. Izdevumi kopā: 0,047+0,0086+0,01+ 0,019+0,03+8,58+0,15=8,8446 euro. Izdevumi ar PVN 21%- 10,70 euro.Gadā plānots 80 * 10,70 =856,00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</si>
  <si>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23,21 euro</t>
    </r>
    <r>
      <rPr>
        <sz val="9"/>
        <rFont val="Times New Roman"/>
        <family val="1"/>
        <charset val="186"/>
      </rPr>
      <t>, tai skaitā: 1) vienreizējās lietošanas cimdi, pāris - 0,047 euro; 2) dezinfekcijas līdzeklis 1 proced.- 0,0086 euro; 3) mēģene ar apaļu pamatni 21 gb. - 0,18 euro; 4) Pastēra pipetes 3,5 ml sterila 42 gb - 0,798 euro; 5) 1% papaīna šķīdums ID- Papain 6 ml - 18,00 euro; 6) Na Cl 0,9% fizioloģiskais šķīdums 140 ml - 0,15 euro. Izdevumi kopā: 0,047+0,0086+0,18+0,798+18,00+0,15= 19,1836 euro. Izdevumi ar PVN 21%- 23,21 euro. Gadā plānots 4 * 23,21 euro =92,84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</si>
  <si>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200 * 4,83 euro= 966,00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</si>
  <si>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100 *17,21 euro =1721,00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</si>
  <si>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100 * 14,67 euro =1467,00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</si>
  <si>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10 * 23,72 euro =237,20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</si>
  <si>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400 * 2,01 euro =804,00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</si>
  <si>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1,43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 -  0,0086 euro; 3) mēģene ar apaļu pamatni  1 gb.- 0,01 euro; 4) Pastēra pipete 3,5 ml sterila 1 gb. - 0,019 euro; 5) FT 9400230 uzgaļi 0,5-250 uL 1 gb. - 0,03 euro; 6) Karte Liss/Coombs 0,17 gb.- 0,92 euro; 7) Diluents - 2  0,5 ml.- 0,15 euro. Izdevumi kopā: 0,047+0,0086+0,01+ 0,019+0,03+0,92+0,15=1,1846 euro. Izdevumi ar PVN 21%- 1,43 euro. Gadā plānots 10 * 1,43 euro =14,30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</si>
  <si>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5,24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proced.- 0,0086 euro; 3) mēģene ar apaļu pamatni 1 gb. - 0,01 euro; 4) Pastēra pipete 3,5 ml sterila 1 gb.- 0,019 euro; 5) FT 9400230 uzgaļi 0,5-250 uL 1 gb.- 0,03 euro; 6) Karte DAT Screening 2- 0,5 gb.- 4,07 euro; 7) Diluents- 2 0,5 ml - 0,15 euro. Izdevumi kopā: 0,047+0,0086+0,01+0,019+ 0,03+3,10+0,15=4,3346 euro. Izdevumi ar PVN 21%- 5,24 euro. Gadā plānots 10 * 5,24 euro =52,40 euro.</t>
    </r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</si>
  <si>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 Gadā plānots 23 *14,30 euro=328,90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</si>
  <si>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3,85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ml- 0,25 euro; 3) dezinfekcijas līdzeklis 1 proced. -  0,0086 euro; 4) vienreizējās lietošanas cimdi, pāris - 0,047 euro; 5) mēģene ar apaļu pamatni 1 gb - 0,01 euro; 6)  Pastēra pipete 3,5 ml sterila 1 gb.-  0,019 euro; 7) FT 9400230  uzgaļi 0,5-250 uL 3 gb.- 0,09 euro. Izdevumi kopā: 2,76+0,25+0,0086+0,047+0,01+0,019+0,09 = 3,1846 euro. Izdevumi ar PVN 21%- 3,85 euro. Gadā plānots 23*3,85 euro =88,55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</si>
  <si>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10,96 euro</t>
    </r>
    <r>
      <rPr>
        <sz val="9"/>
        <rFont val="Times New Roman"/>
        <family val="1"/>
        <charset val="186"/>
      </rPr>
      <t>, tai skaitā 1) Karte Liss Coombs 1 gb.- 6,68 euro; 2) Eritrocīti no ID-Dia panel Pluss 6 (papildpanelis) (6x4) 0,3 ml - 2,08 euro; 3) dezinfekcijas līdzeklis 1 proced.- 0,0086 euro; 4) vienreizējās lietošanas cimdi, pāris - 0,047 euro; 5) mēģene ar apaļu pamatni  1 gb- 0,01 euro; 6) Pastēra pipete 3,5 ml sterila 1 gb- 0,019 euro; 7) FT 250 9400230 uzgaļi 0,5-250 uL 7 gb - 0,21 euro. Izdevumi kopā: 6,68+2,08+0,0086+0,047+0,01+0,019+0,21=9,0546 euro .Izdevumi ar PVN 21%- 10,96 euro. Gadā plānots 1 *10,96 euro =10,96 euro.</t>
    </r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</si>
  <si>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Gadā plānots 2 * 14,30 euro=28,60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</si>
  <si>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2 * 23,72 euro =47,44 euro.</t>
    </r>
  </si>
  <si>
    <t>Darba devēja valsts sociālās apdrošināšanas obligātās iemaksas, sociāla rakstura pabalsti un kompensācijas 14,30 euro * 23,59%.</t>
  </si>
  <si>
    <t>Viena izmeklējuma veikšanu nodrošina 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Piemaksa  par virsstundu darbu saskaņā ar Darba likuma 68.panta 1.punktu 100% apmērā- 1668 euro : 168,17 stundas : 60 minūtes= 0,17*10 minūtes=1,70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izmeklējumu- 10,90 euro (1,70+1,70+7,50).  Gadā plānots 5 * 10,90 euro=54,50 euro.</t>
  </si>
  <si>
    <t>Darba devēja valsts sociālās apdrošināšanas obligātās iemaksas, sociāla rakstura pabalsti un kompensācijas 10,90 euro * 23,59%.</t>
  </si>
  <si>
    <t>Darba devēja valsts sociālās apdrošināšanas obligātās iemaksas, sociāla rakstura pabalsti un kompensācijas 12,60 euro * 23,59%.</t>
  </si>
  <si>
    <t>Darba devēja valsts sociālās apdrošināšanas obligātās iemaksas, sociāla rakstura pabalsti un kompensācijas 14,04 * 23,59%.</t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</si>
  <si>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Piemaksa  par virsstundu darbu saskaņā ar Darba likuma 68.panta 1.punktu 100% apmērā- 1668 euro : 168,17 stundas : 60 minūtes= 0,17*6 minūtes=1,02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izmeklējumu- 14,04 euro (1,02+1,02+ 12,00).   Gadā plānots 4 * 14,04 euro =56,16 euro.</t>
  </si>
  <si>
    <t>Darba devēja valsts sociālās apdrošināšanas obligātās iemaksas, sociāla rakstura pabalsti un kompensācijas 18,80 euro * 23,59%.</t>
  </si>
  <si>
    <t>Darba devēja valsts sociālās apdrošināšanas obligātās iemaksas, sociāla rakstura pabalsti un kompensācijas 18,80 euro * 23,59%</t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</si>
  <si>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3*18,80 euro =56,40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</si>
  <si>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10 *17,21 euro =172,10 euro.</t>
    </r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</si>
  <si>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1*18,80 euro =18,80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</si>
  <si>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1 * 23,72 euro =23,72 euro.</t>
    </r>
  </si>
  <si>
    <t>Viena izmeklējuma veikšanu nodrošina 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Piemaksa  par virsstundu darbu saskaņā ar Darba likuma 68.panta 1.punktu 100% apmērā- 1668 euro : 168,17 stundas : 60 minūtes= 0,17*10 minūtes=1,70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izmeklējumu- 15,40 euro (1,70+1,70+ 12,00).  Gadā plānots 1 * 15,40euro=15,40 euro.</t>
  </si>
  <si>
    <t>Darba devēja valsts sociālās apdrošināšanas obligātās iemaksas, sociāla rakstura pabalsti un kompensācijas 15,40 euro * 23,59%.</t>
  </si>
  <si>
    <t>Darba devēja valsts sociālās apdrošināšanas obligātās iemaksas, sociāla rakstura pabalsti un kompensācijas 17,10 euro * 23,59%.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</si>
  <si>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5,24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proced.- 0,0086 euro; 3) mēģene ar apaļu pamatni 1 gb. - 0,01 euro; 4) Pastēra pipete 3,5 ml sterila 1 gb.- 0,019 euro; 5) FT 9400230 uzgaļi 0,5-250 uL 1 gb.- 0,03 euro; 6) Karte DAT Screening 2- 0,5 gb.- 4,07 euro; 7) Diluents- 2 0,5 ml - 0,15 euro. Izdevumi kopā: 0,047+0,0086+0,01+0,019+ 0,03+3,10+0,15=4,3346 euro. Izdevumi ar PVN 21%- 5,24 euro. Gadā plānots 1 * 5,24 euro =5,24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</si>
  <si>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5,66 euro</t>
    </r>
    <r>
      <rPr>
        <sz val="9"/>
        <rFont val="Times New Roman"/>
        <family val="1"/>
        <charset val="186"/>
      </rPr>
      <t>, tai skaitā: 1) vienreizējās lietošanas cimdi, pāris - 0,047euro; 2) dezinfekcijas līdzeklis 1 proced.- 0,0086 euro; 3) mēģene ar apaļu pamatni 3 gb.- 0,03 euro; 4) Pastēra pipetes 3,5 ml sterilas 3 gb.- 0,06 euro; 5) Dia Cidel komplekts 0,5 gb.- 4,53 euro. Izdevumi kopā: 0,047+0,0086+0,03+0,06+4,53=4,6756 euro. Izdevumi ar PVN 21%- 5,66 euro. Gadā plānots 1*5,66 euro =5,66 euro.</t>
    </r>
  </si>
  <si>
    <t>Viena izmeklējuma veikšanu nodrošina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 Samaksa par virsstundu darbu, piemaksa 100% apmērā- 1668 euro : 168,17 stundas : 60 minūtes= 0,17 euro * 6 minūtes= 1,02 euro. Piemaksa par nakts darbu saskaņā ar Darba likuma 67.panta 1.punktu  50% apmērā- 0,51 euro (1,02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izmeklējumu- 10,05 euro (1,02+1,02+0,51+7,50). Gadā plānots 1 * 10,05 euro = 10,05 euro.</t>
  </si>
  <si>
    <t>Darba devēja valsts sociālās apdrošināšanas obligātās iemaksas, sociāla rakstura pabalsti un kompensācijas 10,05 * 23,59%.</t>
  </si>
  <si>
    <t>Darba devēja valsts sociālās apdrošināšanas obligātās iemaksas, sociāla rakstura pabalsti un kompensācijas 16,00 euro * 23,59%.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</si>
  <si>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1*16,00 euro =16,00 euro. </t>
  </si>
  <si>
    <t>Darba devēja valsts sociālās apdrošināšanas obligātās iemaksas, sociāla rakstura pabalsti un kompensācijas 16,00 euro * 23,59%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</si>
  <si>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3,85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ml- 0,25 euro; 3) dezinfekcijas līdzeklis 1 proced. -  0,0086 euro; 4) vienreizējās lietošanas cimdi, pāris - 0,047 euro; 5) mēģene ar apaļu pamatni 1 gb - 0,01 euro; 6)  Pastēra pipete 3,5 ml sterila 1 gb.-  0,019 euro; 7) FT 9400230  uzgaļi 0,5-250 uL 3 gb.- 0,09 euro. Izdevumi kopā: 2,76+0,25+0,0086+0,047+0,01+0,019+0,09 = 3,1846 euro. Izdevumi ar PVN 21%- 3,85 euro. Gadā plānots 1*3,85 euro =3,85 euro.</t>
    </r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</si>
  <si>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 10 minūtes=1,70 euro.  Samaksa par virsstundu darbu, piemaksa 100% apmērā- 1668 euro : 168,17 stundas : 60 minūtes= 0,17 euro * 10 minūtes= 1,70 euro. Piemaksa par nakts darbu saskaņā ar Darba likuma 67.panta 1.punktu  50% apmērā- 0,85 euro (1,70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izmeklējumu- 11,75 euro (1,70+1,70+0,85+7,50). Gadā plānots 1*11,75euro = 11,75 euro. </t>
  </si>
  <si>
    <t>Darba devēja valsts sociālās apdrošināšanas obligātās iemaksas, sociāla rakstura pabalsti un kompensācija 11,75 euro * 23,59%.</t>
  </si>
  <si>
    <t>Viena izmeklējuma veikšanu nodrošina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 Samaksa par virsstundu darbu, piemaksa 100% apmērā- 1668 euro : 168,17 stundas : 60 minūtes= 0,17 euro * 6 minūtes= 1,02 euro. Piemaksa par nakts darbu saskaņā ar Darba likuma 67.panta 1.punktu  50% apmērā- 0,51 euro (1,02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izmeklējumu- 14,55 euro (1,02+1,02+0,51+12,00). Gadā plānots 1 * 14,55 euro = 14,55 euro.</t>
  </si>
  <si>
    <t>Darba devēja valsts sociālās apdrošināšanas obligātās iemaksas, sociāla rakstura pabalsti un kompensācijas 14,55 * 23,59%.</t>
  </si>
  <si>
    <t>Darba devēja valsts sociālās apdrošināšanas obligātās iemaksas, sociāla rakstura pabalsti un kompensācijas 20,50 euro * 23,59%.</t>
  </si>
  <si>
    <t>Darba devēja valsts sociālās apdrošināšanas obligātās iemaksas, sociāla rakstura pabalsti un kompensācija 16,25 euro * 23,59%.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</si>
  <si>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1,43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 -  0,0086 euro; 3) mēģene ar apaļu pamatni  1 gb.- 0,01 euro; 4) Pastēra pipete 3,5 ml sterila 1 gb. - 0,019 euro; 5) FT 9400230 uzgaļi 0,5-250 uL 1 gb. - 0,03 euro; 6) Karte Liss/Coombs 0,17 gb.- 0,92 euro; 7) Diluents - 2  0,5 ml.- 0,15 euro. Izdevumi kopā: 0,047+0,0086+0,01+ 0,019+0,03+0,92+0,15=1,1846 euro. Izdevumi ar PVN 21%- 1,43 euro. Gadā plānots 1*1,43 euro =1,43 euro.</t>
    </r>
  </si>
  <si>
    <t xml:space="preserve">Viena izmeklējuma veikšanu nodrošina ārsts (mēnešalga- 1668 euro, piemaksa par darba stāžu- 50,04 euro, kopā- 1718,04 euro). Darba laika patēriņš 1 izmeklējuma veikšanai 15 minūtes. 1 minūtes darba izmaksas- 1718,04 euro: 168,17 stundas (vidējais darba stundu skaits mēnesī 2022.gadā) : 60 minūtes  ir  1718,04: 168,17 : 60=  0,17 euro. 1 izmeklējuma veikšanas darba izmaksas 0,17 euro*15 minūtes=2,55 euro.  Samaksa par virsstundu darbu, piemaksa 100% apmērā- 1668 euro : 168,17 stundas : 60 minūtes= 0,17 euro * 15 minūtes=2,55 euro. Piemaksa par nakts darbu saskaņā ar Darba likuma 67.panta 1.punktu  50% apmērā- 1,28 euro (2,55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izmeklējumu- 18,38 euro (2,55+2,55+1,28+12,00). Gadā plānots 1 * 18,38 euro = 18,38 euro. </t>
  </si>
  <si>
    <t>Darba devēja valsts sociālās apdrošināšanas obligātās iemaksas, sociāla rakstura pabalsti un kompensācijas 18,38 euro * 23,59%.</t>
  </si>
  <si>
    <t>Viena izmeklējuma veikšanu nodrošina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Piemaksa par virsstundu darbu askaņā ar Darba likuma 68.panta 1.punktu 100% apmērā- 1,02 euro. Piemaksa par  darbu svētku dienās saskaņā ar Darba likuma 68.panta 1.punktu 100% apmērā- 1,02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 Samaksa par izmeklējumu- 27,06 euro (1,02+ 1,02+1,02+24,00).  Gadā plānots 1 * 27,06 euro = 27,06 euro.</t>
  </si>
  <si>
    <t>Darba devēja valsts sociālās apdrošināšanas obligātās iemaksas, sociāla rakstura pabalsti un kompensācijas 27,06 * 23,59%.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</si>
  <si>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plānots1*34,20 euro =34,20 euro. </t>
  </si>
  <si>
    <t>Darba devēja valsts sociālās apdrošināšanas obligātās iemaksas, sociāla rakstura pabalsti un kompensācijas 34,20 euro * 23,59%.</t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</si>
  <si>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 10 minūtes=1,70 euro. Piemaksa par virsstundu darbu askaņā ar Darba likuma 68.panta 1.punktu 100% apmērā- 1,70 euro. Piemaksa par  darbu svētku dienās saskaņā ar Darba likuma 68.panta 1.punktu 100% apmērā- 1,70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 29,10 euro (1,70+ 1,70+1,70+24,00). Gadā plānots 1*29,10 euro =29,10 euro. </t>
  </si>
  <si>
    <t>Darba devēja valsts sociālās apdrošināšanas obligātās iemaksas, sociāla rakstura pabalsti un kompensācija 29,10 euro * 23,59%.</t>
  </si>
  <si>
    <t xml:space="preserve">Viena izmeklējuma veikšanu nodrošina ārsts (mēnešalga- 1668 euro, piemaksa par darba stāžu- 50,04 euro, kopā- 1718,04 euro). Darba laika patēriņš 1 izmeklējuma veikšanai 15 minūtes. 1 minūtes darba izmaksas- 1718,04 euro: 168,17 stundas (vidējais darba stundu skaits mēnesī 2022.gadā) : 60 minūtes  ir  1718,04: 168,17 : 60=  0,17 euro. 1 izmeklējuma veikšanas darba izmaksas 0,17 euro* 15 minūtes=2,55 euro. Piemaksa par virsstundu darbu askaņā ar Darba likuma 68.panta 1.punktu 100% apmērā- 2,55 euro. Piemaksa par  darbu svētku dienās saskaņā ar Darba likuma 68.panta 1.punktu 100% apmērā- 2,55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izmeklējumu- 31,65 euro (2,55+2,55+2,55+24,00). Gadā plānots 1*31,65 euro =31,65 euro. </t>
  </si>
  <si>
    <t>Darba devēja valsts sociālās apdrošināšanas obligātās iemaksas, sociāla rakstura pabalsti un kompensācijas 31,65 euro * 23,59%.</t>
  </si>
  <si>
    <t>Viena izmeklējuma veikšanu nodrošina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euro*6 minūtes=1,02 euro. Piemaksa par virsstundu darbu askaņā ar Darba likuma 68.panta 1.punktu 100% apmērā- 1,02 euro. Piemaksa par  darbu svētku dienās saskaņā ar Darba likuma 68.panta 1.punktu 100% apmērā- 1,02 euro.  Piemaksa par nakts darbu saskaņā ar Darba likuma 67.panta 1.punktu 50% apmērā- 0,51 euro (1,02*50%).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 Samaksa par izmeklējumu- 27,57 euro (1,02+ 1,02+1,02+0,51+24,00).  Gadā plānots 1*27,57 euro =27,57 euro.</t>
  </si>
  <si>
    <t>Darba devēja valsts sociālās apdrošināšanas obligātās iemaksas, sociāla rakstura pabalsti un kompensācijas 27,57 * 23,59%.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</si>
  <si>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euro: 168,17 stundas (vidējais darba stundu skaits mēnesī 2022.gadā) : 60 minūtes  ir  1718,04: 168,17 : 60=  0,17 euro. 1 izmeklējuma veikšanas darba izmaksas 0,17 euro* 20 minūtes=3,40 euro. Piemaksa par virsstundu darbu askaņā ar Darba likuma 68.panta 1.punktu 100% apmērā- 3,40 euro. Piemaksa par  darbu svētku dienās saskaņā ar Darba likuma 68.panta 1.punktu 100% apmērā- 3,40 euro.  Piemaksa par nakts darbu saskaņā ar Darba likuma 67.panta 1.punktu 50% apmērā- 1,70 euro (3,40*50%).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izmeklējumu- 35,90 euro (3,40+3,40+3,40+1,70+24,00).  Gadā plānots 1*35,90 euro = 35,90 euro. </t>
  </si>
  <si>
    <t>Darba devēja valsts sociālās apdrošināšanas obligātās iemaksas, sociāla rakstura pabalsti un kompensācijas 35,90 euro * 23,59%.</t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</si>
  <si>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 Samaksa par virsstundu darbu, piemaksa 100% apmērā- 1668 euro : 168,17 stundas : 60 minūtes= 0,17 euro * 10 minūtes= 1,70 euro. Piemaksa par nakts darbu saskaņā ar Darba likuma 67.panta 1.punktu  50% apmērā- 0,85 euro (1,70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izmeklējumu- 16,25 euro (1,70+1,70+0,85+12,00). Gadā plānots 1 * 16,25 euro = 16,25 euro. </t>
  </si>
  <si>
    <t xml:space="preserve">Viena izmeklējuma veikšanu nodrošina ārsts (mēnešalga- 1668 euro, piemaksa par darba stāžu- 50,04 euro, kopā- 1718,04 euro). Darba laika patēriņš 1 izmeklējuma veikšanai  10 minūtes. 1 minūtes darba izmaksas- 1718,04 euro: 168,17 stundas (vidējais darba stundu skaits mēnesī 2022.gadā) : 60 minūtes  ir  1718,04: 168,17 : 60=  0,17 euro. 1 izmeklējuma veikšanas darba izmaksas 0,17 euro*10 minūtes=1,70 euro. Piemaksa par virsstundu darbu askaņā ar Darba likuma 68.panta 1.punktu 100% apmērā- 1,70 euro. Piemaksa par  darbu svētku dienās saskaņā ar Darba likuma 68.panta 1.punktu 100% apmērā- 1,70 euro.  Piemaksa par nakts darbu saskaņā ar Darba likuma 67.panta 1.punktu 50% apmērā- 0,85 euro (1,70*50%).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izmeklējumu- 29,95 euro (1,70+ 1,70+1,70+0,85+24,00). Gadā plānots 1*29,95 euro =29,95 euro. </t>
  </si>
  <si>
    <t>Darba devēja valsts sociālās apdrošināšanas obligātās iemaksas, sociāla rakstura pabalsti un kompensācija 29,95 euro * 23,59%.</t>
  </si>
  <si>
    <t xml:space="preserve">Viena izmeklējuma veikšanu nodrošina ārsts (mēnešalga- 1668 euro, piemaksa par darba stāžu- 50,04 euro, kopā- 1718,04 euro). Darba laika patēriņš 1 izmeklējuma veikšanai  15 minūtes. 1 minūtes darba izmaksas- 1718,04 euro: 168,17 stundas (vidējais darba stundu skaits mēnesī 2022.gadā) : 60 minūtes  ir  1718,04: 168,17 : 60=  0,17 euro. 1 izmeklējuma veikšanas darba izmaksas 0,17 euro*15 minūtes=2,55 euro. Piemaksa par virsstundu darbu askaņā ar Darba likuma 68.panta 1.punktu 100% apmērā- 2,55 euro. Piemaksa par  darbu svētku dienās saskaņā ar Darba likuma 68.panta 1.punktu 100% apmērā- 2,55 euro.  Piemaksa par nakts darbu saskaņā ar Darba likuma 67.panta 1.punktu 50% apmērā- 1,28 euro (2,55*50%).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izmeklējumu- 32,93 euro (2,55+2,55+2,55+1,28+24,00). Gadā plānots 1*32,93 euro =32,93 euro. </t>
  </si>
  <si>
    <t>Darba devēja valsts sociālās apdrošināšanas obligātās iemaksas, sociāla rakstura pabalsti un kompensācijas 32,93 euro * 23,59%.</t>
  </si>
  <si>
    <r>
      <t xml:space="preserve">Maksas pakalpojuma veids: </t>
    </r>
    <r>
      <rPr>
        <sz val="9"/>
        <rFont val="Times New Roman"/>
        <family val="1"/>
        <charset val="186"/>
      </rPr>
      <t>6.1. Asins grupas noteikšana ABO sistēmā izmantojot plaknes metodi (dubultreakcija);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</si>
  <si>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6.2. ABO asins grupas (dubultreakcija) Rh (D) noteikšana ar gelkaršu metodi (karte ABO/D+reverse grouping); izmeklējums veikts  brīvdienā no plkst. 08:00 līdz 08:00 ( piemaksa par virsstundu darbu brīvdienās), atlīdzība par "izsaukuma gatavību"  brīvdienās par laika periodu no plkst. 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</si>
  <si>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6.3. Rh (D) noteikšana ar plaknes metodi;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</si>
  <si>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6.4. Rh fenotipa CcEe un Kell antigēna noteikšana ar gelkaršu metodi; 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</si>
  <si>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6.5. Antieritrocitāro antivielu skrīnings ar gelkaršu metodi, netiešo antiglobulīna testu (1/2 karte Liss 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</si>
  <si>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6.6. Antieritrocitāro antivielu identifikācija ar gelkaršu metodi, netiešais antiglobulīna tests (2 kartes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</si>
  <si>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6.7. Antieritrocitāro antivielu identifikācija (37° vai 4°, vai 20°) ar gelkaršu metodi, enzīmu testu (2 kartes Na Cl enzyme);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</si>
  <si>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6.8. Antieritrocitāro antivielu identifikācija ar gelkaršu metodi, netiešais antiglobulīna tests izmantojot papildus paneli ID Dia Panel Plus (1 karte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</si>
  <si>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6.9. Antieritrocitāro antivielu identifikācija ar gelkaršu metodi, netiešo antiglobulīna testu izmantojot papildus "Column panel 16" (3 kartes Liss/Coombs);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</si>
  <si>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6.10. Recipienta un donora asins saderības tests ar gelkaršu metodi (netiešais antiglobulīna tests) vienas eritrocīta masas saderināšanai; izmeklējums veikts  brīvdienā no plkst. 08:00 līdz 08:00 (piemaksa par virsstundu darbu brīvdienās), atlīdzība par "izsaukuma gatavību"  brīvdienās par laika periodu no plkst. 08:00 līdz plkst. 08:00- 24 stundas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</si>
  <si>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6.11.  Tiešais antiglobulīna tests (DAT) ar gelkaršu metodi; izmeklējums veikts  brīvdienā no plkst. 08:00 līdz 08:00 (piemaksa par virsstundu darbu brīvdienās), atlīdzība par "izsaukuma gatavību"  brīvdienās par laika periodu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</si>
  <si>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6.12. Tiešā antiglobulīna diferencēšana IgG; C3d; ctl ar gelkaršu metodi; izmeklējums veikts  brīvdienā no plkst. 08:00 līdz 08:00 (piemaksa par virsstundu darbu brīvdienās), atlīdzība par "izsaukuma gatavību"  brīvdienās par laika periodu no plkst. 08:00 līdz plkst. 08:00- 24 stundas </t>
    </r>
  </si>
  <si>
    <r>
      <t xml:space="preserve">Maksas pakalpojuma veids: </t>
    </r>
    <r>
      <rPr>
        <sz val="9"/>
        <rFont val="Times New Roman"/>
        <family val="1"/>
        <charset val="186"/>
      </rPr>
      <t>6.13. Eluāta iegūšana no DAT pozitīviem eritrocītiem ar Dia Cidel; izmeklējums veikts  brīvdienā no plkst. 08:00 līdz 08:00 (piemaksa par virsstundu darbu brīvdienās), atlīdzība par "izsaukuma gatavību"  brīvdienās par laika periodu no plkst. 08:00 līdz plkst. 08:00- 24 stundas 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</si>
  <si>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5.2. ABO asins grupas (dubultreakcija) Rh (D) noteikšana ar gelkaršu metodi (karte ABO/D+reverse grouping);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</si>
  <si>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5.1.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Asins grupas noteikšana ABO sistēmā izmantojot plaknes metodi (dubultreakcija);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</si>
  <si>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5.3. Rh (D) noteikšana ar plaknes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</si>
  <si>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5.4. Rh fenotipa CcEe un Kell antigēna noteikšana ar gelkaršu metodi;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</si>
  <si>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5.5. Antieritrocitāro antivielu skrīnings ar gelkaršu metodi, netiešo antiglobulīna testu (1/2 karte Liss 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</si>
  <si>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5.6. Antieritrocitāro antivielu identifikācija ar gelkaršu metodi, netiešais antiglobulīna tests (2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</si>
  <si>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5.7. Antieritrocitāro antivielu identifikācija (37° vai 4°, vai 20°) ar gelkaršu metodi, enzīmu testu (2 kartes Na Cl enzyme);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</si>
  <si>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5.8. Antieritrocitāro antivielu identifikācija ar gelkaršu metodi, netiešais antiglobulīna tests izmantojot papildus paneli ID Dia Panel Plus (1 karte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</si>
  <si>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5.9. Antieritrocitāro antivielu identifikācija ar gelkaršu metodi, netiešo antiglobulīna testu izmantojot papildus "Column panel 16" (3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</si>
  <si>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5.10. Recipienta un donora asins saderības tests ar gelkaršu metodi (netiešais antiglobulīna tests) vienas eritrocīta masas saderināšanai;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</si>
  <si>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5.11. Tiešais antiglobulīna tests (DAT)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</si>
  <si>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5.12.Tiešā antiglobulīna diferencēšana IgG; C3d; ctl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</si>
  <si>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5.13. Eluāta iegūšana no DAT pozitīviem eritrocītiem ar Dia Cidel;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</si>
  <si>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7.1. Asins grupas noteikšana ABO sistēmā izmantojot plaknes metodi (dubultreakcija);  izmeklējums veikts brīvdienās- naktī no plkst. 22:00 līdz 06:00- 8 stundas (virsstundas, piemaksa par nakts darbu), "izsaukuma gatavība" brīvdienās-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</si>
  <si>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7.2. ABO asins grupas (dubultreakcija) Rh (D) noteikšana ar gelkaršu metodi (karte ABO/D+reverse grouping);  izmeklējums veikts brīvdienās- naktī no plkst. 22:00 līdz 06:00- 8 stundas (virsstundas, piemaksa par nakts darbu), "izsaukuma gatavība" brīvdienās- no plkst. 08:00 līdz plkst. 08:00- 24 stundas                 </t>
    </r>
  </si>
  <si>
    <r>
      <t>Maksas pakalpojuma veids:</t>
    </r>
    <r>
      <rPr>
        <sz val="9"/>
        <rFont val="Times New Roman"/>
        <family val="1"/>
        <charset val="186"/>
      </rPr>
      <t xml:space="preserve"> 7.3. Rh (D) noteikšana ar plaknes metodi;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</si>
  <si>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7.4. Rh fenotipa CcEe un Kell antigēna noteikšana ar gelkaršu metodi; izmeklējums veikts brīvdienās- naktī no plkst. 22:00 līdz 06:00- 8 stundas (virsstundas, piemaksa par nakts darbu), "izsaukuma gatavība" brīvdienās- no plkst. 08:00 līdz plkst. 08:00- 24 stundas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</si>
  <si>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7.5. Antieritrocitāro antivielu skrīnings ar gelkaršu metodi, netiešo antiglobulīna testu (1/2 karte Liss Coombs);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</si>
  <si>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7.6. Antieritrocitāro antivielu identifikācija ar gelkaršu metodi, netiešais antiglobulīna tests (2 kartes Liss/Coombs);  izmeklējums veikts brīvdienās- naktī no plkst. 22:00 līdz 06:00- 8 stundas (virsstundas, piemaksa par nakts darbu), "izsaukuma gatavība" brīvdienās- no plkst. 08:00 līdz plkst. 08:00- 24 stundas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</si>
  <si>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7.7. Antieritrocitāro antivielu identifikācija (37° vai 4°, vai 20°) ar gelkaršu metodi, enzīmu testu (2 kartes Na Cl enzyme);  izmeklējums veikts brīvdienās- naktī no plkst. 22:00 līdz 06:00- 8 stundas (virsstundas, piemaksa par nakts darbu), "izsaukuma gatavība" brīvdienās- no plkst. 08:00 līdz plkst. 08:00- 24 stundas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</si>
  <si>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7.8. Antieritrocitāro antivielu identifikācija ar gelkaršu metodi, netiešais antiglobulīna tests izmantojot papildus paneli ID Dia Panel Plus (1 karte Liss/Coombs);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</si>
  <si>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7.9. Antieritrocitāro antivielu identifikācija ar gelkaršu metodi, netiešo antiglobulīna testu izmantojot papildus "Column panel 16" (3 kartes Liss/Coombs); 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</si>
  <si>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7.11. Tiešais antiglobulīna tests (DAT) ar gelkaršu metodi;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</si>
  <si>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7.12.Tiešā antiglobulīna diferencēšana IgG; C3d; ctl ar gelkaršu metodi;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</si>
  <si>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7.13. Eluāta iegūšana no DAT pozitīviem eritrocītiem ar Dia Cidel;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</si>
  <si>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>8.1. Asins grupas noteikšana ABO sistēmā izmantojot plaknes metodi (dubultreakcija);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</si>
  <si>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8.2. ABO asins grupas (dubultreakcija) Rh (D) noteikšana ar gelkaršu metodi (karte ABO/D+reverse grouping); izmeklējums veikts svētku dienā no plkst. 8:00 līdz 22:00 (dežūra svētku dienā, piemaksa par virsstundu darbu svētku dienā), "izsaukuma gatavība" no plkst. 08:00 līdz plkst.08:00- 24 stundas         </t>
    </r>
  </si>
  <si>
    <r>
      <t>Maksas pakalpojuma veids:</t>
    </r>
    <r>
      <rPr>
        <sz val="9"/>
        <rFont val="Times New Roman"/>
        <family val="1"/>
        <charset val="186"/>
      </rPr>
      <t xml:space="preserve"> 8.3. Rh (D) noteikšana ar plaknes metodi;  izmeklējums veikts svētku dienā no plkst. 8:00 līdz 22:00 (dežūra svētku dienā, piemaksa par virsstundu darbu svētku dienā), "izsaukuma gatavība" no plkst. 08:00 līdz plkst.08:00- 24 stundas</t>
    </r>
  </si>
  <si>
    <r>
      <rPr>
        <b/>
        <sz val="9"/>
        <rFont val="Times New Roman"/>
        <family val="1"/>
        <charset val="186"/>
      </rPr>
      <t xml:space="preserve">Maksas pakalpojuma veids: </t>
    </r>
    <r>
      <rPr>
        <sz val="9"/>
        <rFont val="Times New Roman"/>
        <family val="1"/>
        <charset val="186"/>
      </rPr>
      <t>8.4. Rh fenotipa CcEe un Kell antigēna noteikšana ar gelkaršu metodi; izmeklējums veikts svētku dienā no plkst. 8:00 līdz 22:00 (dežūra svētku dienā, piemaksa par virsstundu darbu svētku dienā), "izsaukuma gatavība" no plkst. 08:00 līdz plkst.08:00- 24 stundas</t>
    </r>
  </si>
  <si>
    <r>
      <t>Maksas pakalpojuma veids</t>
    </r>
    <r>
      <rPr>
        <sz val="9"/>
        <rFont val="Times New Roman"/>
        <family val="1"/>
        <charset val="186"/>
      </rPr>
      <t>: 8.5. Antieritrocitāro antivielu skrīnings ar gelkaršu metodi, netiešo antiglobulīna testu (1/2 karte Liss Coombs);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</si>
  <si>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8.6. Antieritrocitāro antivielu identifikācija ar gelkaršu metodi, netiešais antiglobulīna tests (2 kartes Liss/Coombs);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</si>
  <si>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8.7. Antieritrocitāro antivielu identifikācija (37° vai 4°, vai 20°) ar gelkaršu metodi, enzīmu testu (2 kartes Na Cl enzyme);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</si>
  <si>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8.8. Antieritrocitāro antivielu identifikācija ar gelkaršu metodi, netiešais antiglobulīna tests izmantojot papildus paneli ID Dia Panel Plus (1 karte Liss/Coombs);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</si>
  <si>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8.9. Antieritrocitāro antivielu identifikācija ar gelkaršu metodi, netiešo antiglobulīna testu izmantojot papildus "Column panel 16" (3 kartes Liss/Coombs);  izmeklējums veikts svētku dienā no plkst. 8:00 līdz 22:00 (dežūra svētku dienā, piemaksa par virsstundu darbu svētku dienā), "izsaukuma gatavība" no plkst. 08:00 līdz plkst.08:00- 24 stundas</t>
    </r>
  </si>
  <si>
    <t>Maksas pakalpojuma veids: 8.10. Recipienta un donora asins saderības tests ar gelkaršu metodi (netiešais antiglobulīna tests) vienas eritrocīta masas saderināšanai;  izmeklējums veikts svētku dienā no plkst. 8:00 līdz 22:00 (dežūra svētku dienā, piemaksa par virsstundu darbu svētku dienā), "izsaukuma gatavība" no plkst. 08:00 līdz plkst.08:00- 24 stundas</t>
  </si>
  <si>
    <r>
      <t>Maksas pakalpojuma veids</t>
    </r>
    <r>
      <rPr>
        <sz val="9"/>
        <rFont val="Times New Roman"/>
        <family val="1"/>
        <charset val="186"/>
      </rPr>
      <t>: 8.11. Tiešais antiglobulīna tests (DAT)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</si>
  <si>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8.12.Tiešā antiglobulīna diferencēšana IgG; C3d; ctl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</si>
  <si>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8.13. Eluāta iegūšana no DAT pozitīviem eritrocītiem ar Dia Cidel;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</si>
  <si>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9.1. Asins grupas noteikšana ABO sistēmā izmantojot plaknes metodi (dubultreakcija);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</si>
  <si>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9.2. ABO asins grupas (dubultreakcija) Rh (D) noteikšana ar gelkaršu metodi (karte ABO/D+reverse grouping);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</si>
  <si>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9.3. Rh (D) noteikšana ar plaknes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</si>
  <si>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9.4. Rh fenotipa CcEe un Kell antigēna noteikšana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</si>
  <si>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9.5. Antieritrocitāro antivielu skrīnings ar gelkaršu metodi, netiešo antiglobulīna testu (1/2 karte Liss 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</si>
  <si>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9.6. Antieritrocitāro antivielu identifikācija ar gelkaršu metodi, netiešais antiglobulīna tests (2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</si>
  <si>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9.7. Antieritrocitāro antivielu identifikācija (37° vai 4°, vai 20°) ar gelkaršu metodi, enzīmu testu (2 kartes Na Cl enzyme);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</si>
  <si>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9.8. Antieritrocitāro antivielu identifikācija ar gelkaršu metodi, netiešais antiglobulīna tests izmantojot papildus paneli ID Dia Panel Plus (1 karte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</si>
  <si>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9.9. Antieritrocitāro antivielu identifikācija ar gelkaršu metodi, netiešo antiglobulīna testu izmantojot papildus "Column panel 16" (3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</si>
  <si>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9.10. Recipienta un donora asins saderības tests ar gelkaršu metodi (netiešais antiglobulīna tests) vienas eritrocīta masas saderināšanai;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</si>
  <si>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9.11. Tiešais antiglobulīna tests (DAT)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</si>
  <si>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9.12.Tiešā antiglobulīna diferencēšana IgG; C3d; ctl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</si>
  <si>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9.13. Eluāta iegūšana no DAT pozitīviem eritrocītiem ar Dia Cidel;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</si>
  <si>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4.1. Asins grupas noteikšana ABO sistēmā izmantojot plaknes metodi (dubultreakcija); 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</si>
  <si>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4.2. ABO asins grupas (dubultreakcija) Rh (D) noteikšana ar gelkaršu metodi (karte ABO/D+reverse grouping);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</si>
  <si>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4.3. Rh (D) noteikšana ar plaknes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</si>
  <si>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4.4. Rh fenotipa CcEe un Kell antigēna noteikšana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</si>
  <si>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4.5. Antieritrocitāro antivielu skrīnings ar gelkaršu metodi, netiešo antiglobulīna testu (1/2 karte Liss Coombs);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</si>
  <si>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4.6. Antieritrocitāro antivielu identifikācija ar gelkaršu metodi, netiešais antiglobulīna tests (2 kartes Liss/Coombs);izmeklējums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</si>
  <si>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4.7. Antieritrocitāro antivielu identifikācija (37° vai 4°, vai 20°) ar gelkaršu metodi, enzīmu testu (2 kartes Na Cl enzyme);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</si>
  <si>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4.8. Antieritrocitāro antivielu identifikācija ar gelkaršu metodi, netiešais antiglobulīna tests izmantojot papildus paneli ID Dia Panel Plus (1 karte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</si>
  <si>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4.9. Antieritrocitāro antivielu identifikācija ar gelkaršu metodi, netiešo antiglobulīna testu izmantojot papildus "Column panel 16" (3 kartes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</si>
  <si>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4.10. Recipienta un donora asins saderības tests ar gelkaršu metodi (netiešais antiglobulīna tests) vienas eritrocīta masas saderināšanai;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</si>
  <si>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4.11.  Tiešais antiglobulīna tests (DAT)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</si>
  <si>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4.12. Tiešā antiglobulīna diferencēšana IgG; C3d; ctl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</si>
  <si>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4.13. Eluāta iegūšana no DAT pozitīviem eritrocītiem ar Dia Cidel; izmeklējums veikts tajā pašā darba dienā no plkst. 17:00 līdz 22:00 (dežūra darba dienā, virsstundas), "izsaukuma gatavība" darba dienās no plkst.17:00 līdz plkst.08:00- 15 stundas</t>
    </r>
  </si>
  <si>
    <r>
      <t>1 izmeklējuma veikšanai nepieciešams 70</t>
    </r>
    <r>
      <rPr>
        <b/>
        <sz val="9"/>
        <color theme="1"/>
        <rFont val="Times New Roman"/>
        <family val="1"/>
        <charset val="186"/>
      </rPr>
      <t>,40 euro,</t>
    </r>
    <r>
      <rPr>
        <sz val="9"/>
        <color theme="1"/>
        <rFont val="Times New Roman"/>
        <family val="1"/>
        <charset val="186"/>
      </rPr>
      <t xml:space="preserve"> tai skaitā: 1) karte Coombs Anti IgG91x12 - 2 kartes - 9,60 euro ; 2) Diluents-2 1 ml- 0,30 euro; 3) dezinfekcijas līdzeklis 1 proced. -  0,0086 euro; 4) vienreizējās lietošanas cimdi, pāris - 0,047 euro; 5) mēģene ar apaļu pamatni  1 gb -0,01 euro; 6) Pastēra pipete 3,5 ml sterila 1 gb.- 0,019 euro; 7) partial- D Typing set  0,6 ml- 48,20 euro. Izdevumi kopā: 9,60+0,30+0,0086+0,047+0,01+0,019+48,20 =58,1846 euro. Izdevumi ar PVN 21%- 70,40 euro. Gadā plānots 20*70,40 euro=1408,00 euro.</t>
    </r>
  </si>
  <si>
    <r>
      <t>1 izmeklējuma veikšanai nepieciešams</t>
    </r>
    <r>
      <rPr>
        <b/>
        <sz val="9"/>
        <color theme="1"/>
        <rFont val="Times New Roman"/>
        <family val="1"/>
        <charset val="186"/>
      </rPr>
      <t xml:space="preserve"> 1,07 euro</t>
    </r>
    <r>
      <rPr>
        <sz val="9"/>
        <color theme="1"/>
        <rFont val="Times New Roman"/>
        <family val="1"/>
        <charset val="186"/>
      </rPr>
      <t>, tai skaitā: 1) vienreizējās lietošanas cimdi, pāris - 0,047 euro; 2) dezinfekcijas līdzeklis 1 proced.- 0,0086 euro; 3) mēģene ar apaļu pamatni 6 gb.- 0,05 euro.; 4) Pastēra pipete 3,5 ml  sterila 4 gb.- 0,076 euro; 5) 20% peg 4000 šķīdums (polietilēnglikols) 1 ml - 0,70 euro. Izdevumi kopā: 0,047+0,0086+0,05+0,076+0,70= 0,88 euro.  Izdevumi ar PVN 21%- 1,07 euro. Gadā plānots 4 * 1,07 euro =4,28 euro.</t>
    </r>
  </si>
  <si>
    <r>
      <t>1 izmeklējuma veikšanai nepieciešams</t>
    </r>
    <r>
      <rPr>
        <b/>
        <sz val="9"/>
        <color theme="1"/>
        <rFont val="Times New Roman"/>
        <family val="1"/>
        <charset val="186"/>
      </rPr>
      <t xml:space="preserve"> 8,61 euro</t>
    </r>
    <r>
      <rPr>
        <sz val="9"/>
        <color theme="1"/>
        <rFont val="Times New Roman"/>
        <family val="1"/>
        <charset val="186"/>
      </rPr>
      <t>, tai skaitā  1) Karte Liss Coombs 1 gb.- 5,52 euro;  2) Eritrocīti no panel Diamed (Panelis) ID-DiaPanel 0,3 ml - 1,30 euro; 3) Na Cl fizioloģiskais šķīdums 3 ml - 0,01 euro; 4) dezinfekcijas līdzeklis 1 proced. -  0,0086 euro;  5) vienreizējās lietošanas cimdi, pāris - 0,047 euro; 6) mēģene ar apaļu pamatni 6 gb.- 0,05 euro; 7) FT 9400230 uzgaļi  0,5-250 uL 7 gb.- 0,18 euro. Izdevumi kopā: 5,52+1,30+0,01+0,0086+0,047+0,05+0,18=7,1156 euro. Izdevumi ar PVN 21%- 8,61 euro. Gadā plānots 100 * 8,61 euro= 861,00 euro.</t>
    </r>
  </si>
  <si>
    <t>Viena izmeklējuma veikšanu nodrošina ārsts (mēnešalga- 1668 euro, piemaksa par darba stāžu- 50,04 euro, kopā- 1718,04 euro). Darba laika patēriņš 1 izmeklējuma veikšanai 80 minūtes. 1 minūtes darba izmaksas- 1718,04 euro : 168,17 stundas (vidējais darba stundu skaits mēnesī 2022.gadā) : 60 minūtes  ir  1718,04 :168,17 : 60= 0,17 euro. Samaksa par izmeklējumu- 13,60 euro (0,17 euro*80 minūtes). Gadā plānots 10 * 13,60 euro=136,00 euro.</t>
  </si>
  <si>
    <r>
      <t xml:space="preserve">1 izmeklējuma veikšanai nepieciešams </t>
    </r>
    <r>
      <rPr>
        <b/>
        <sz val="9"/>
        <color theme="1"/>
        <rFont val="Times New Roman"/>
        <family val="1"/>
        <charset val="186"/>
      </rPr>
      <t>0,27 euro</t>
    </r>
    <r>
      <rPr>
        <sz val="9"/>
        <color theme="1"/>
        <rFont val="Times New Roman"/>
        <family val="1"/>
        <charset val="186"/>
      </rPr>
      <t>, tai skaitā  1) vienreizējās lietošanas cimdi, pāris - 0,047 euro; 2) dezinfekcijas līdzeklis 1 proced. -  0,0086 euro; 3) mēģene ar apaļu pamatni  10 gb.- 0,09 euro; 4) Pastēra pipetes 3,5 ml sterilas 4 gb.- 0,07 euro. Izdevumi kopā: 0,047+0,0086+0,09+0,07=0,22 euro. Izdevumi ar PVN 21%- 0,27 euro.  Gadā plānots 10 * 0,27 euro = 2,70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</si>
  <si>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5,66 euro</t>
    </r>
    <r>
      <rPr>
        <sz val="9"/>
        <rFont val="Times New Roman"/>
        <family val="1"/>
        <charset val="186"/>
      </rPr>
      <t>, tai skaitā: 1) vienreizējās lietošanas cimdi, pāris - 0,047euro; 2) dezinfekcijas līdzeklis 1 proced.- 0,0086 euro; 3) mēģene ar apaļu pamatni 3 gb.- 0,03 euro; 4) Pastēra pipetes 3,5 ml sterilas 3 gb.- 0,06 euro; 5) Dia Cidel komplekts 0,5 gb.- 4,53 euro. Izdevumi kopā: 0,047+0,0086+0,03+0,06+4,53=4,6756 euro. Izdevumi ar PVN 21%- 5,66 euro. Gadā plānots 5*5,66 euro =28,30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</si>
  <si>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minūtes=3,40euro.  Samaksa par virsstundu darbu, piemaksa 100% apmērā- 1668 euro : 168,17 stundas : 60 minūtes= 0,17 euro * 20 minūtes=3,40 euro. Piemaksa par nakts darbu saskaņā ar Darba likuma 67.panta 1.punktu  50% apmērā- 1,70 euro (3,40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izmeklējumu- 20,50 euro (3,40+3,40+1,70+12,00). Gadā plānots 1 *20,50 euro = 20,50 euro. </t>
  </si>
  <si>
    <t>Izdevumi par sakaru pakalpojumiem</t>
  </si>
  <si>
    <t>Izdevumi par saņemtajiem mācību pakalpojumiem</t>
  </si>
  <si>
    <t>Pārējie neklasificētie pakalpojumi</t>
  </si>
  <si>
    <t>Transportlīdzekļu uzturēšana un remonts</t>
  </si>
  <si>
    <t>Apdrošināšanas izdevumi</t>
  </si>
  <si>
    <t>Pārējie remontdarbu un iestāžu uzturēšanas pakalpojumi</t>
  </si>
  <si>
    <t>Zemes noma</t>
  </si>
  <si>
    <t>Iekārtu, aparatūras un inventāra īre un noma</t>
  </si>
  <si>
    <t>Izdevumi par precēm iestādes sabiedrisko aktivitāšu  īstenošanai</t>
  </si>
  <si>
    <t xml:space="preserve">Degviela </t>
  </si>
  <si>
    <t>Mīkstais inventārs</t>
  </si>
  <si>
    <t>Budžeta iestāžu nekustamā īpašuma nodokļa maksājumi</t>
  </si>
  <si>
    <t>Pārējie budžeta iestāžu pārskaitītie nodokļi un nodevas</t>
  </si>
  <si>
    <t>Zeme un būves</t>
  </si>
  <si>
    <t>Transportlīdzekļi</t>
  </si>
  <si>
    <t>Pārējie iepriekš neklasificētie pamatlīdzekļi un ieguldījuma īpašumi</t>
  </si>
  <si>
    <t>Mācību, darba un dienesta komandējumi, darba braucieni</t>
  </si>
  <si>
    <t>Gada faktiskās izmaksas 289,40 euro attiecas uz Hematoloģiskās izmeklēšanas nodaļas (turpmāk- ID)  veiktajiem izmeklējumiem. 2021.gadā ID veikto maksas pakalpojumu skaits- 9509 izmeklējumi. Izmaksas uz 1 izmeklējumu  289,40 euro : 9509 izmeklējumi= 0,030 euro. Gadā plānotie izmeklējumi: 224 * 0,030=6,72 euro.</t>
  </si>
  <si>
    <t>Gada faktiskās izmaksas 23,35 euro attiecas uz Hematoloģiskās izmeklēšanas nodaļas (turpmāk- ID)  veiktajiem izmeklējumiem. 2021.gadā ID veikto maksas pakalpojumu skaits- 9509 izmeklējumi. Izmaksas uz 1 izmeklējumu 23,35 euro : 9509 izmeklējumi= 0,002 euro. Gadā plānotie izmeklējumi: 224* 0,002=0,45 euro.</t>
  </si>
  <si>
    <t>Gada faktiskās izmaksas 87,42 euro attiecas uz Hematoloģiskās izmeklēšanas nodaļas (turpmāk- ID)  veiktajiem izmeklējumiem. 2021.gadā ID veikto maksas pakalpojumu skaits- 9509 izmeklējumi. Izmaksas uz 1 izmeklējumu 87,42 euro : 9509 izmeklējumi= 0,009 euro. Gadā plānotie izmeklējumi: 7 * 0,009=0,06 euro.</t>
  </si>
  <si>
    <t>Gada faktiskās izmaksas 28,69 euro attiecas uz Hematoloģiskās izmeklēšanas nodaļas (turpmāk- ID)  veiktajiem izmeklējumiem. 2021.gadā ID veikto maksas pakalpojumu skaits- 9509 izmeklējumi. Izmaksas uz 1 izmeklējumu 28,69 euro : 9509 izmeklējumi= 0,003 euro. Gadā plānotie izmeklējumi: 7 * 0,003=0,02 euro.</t>
  </si>
  <si>
    <t>Gada faktiskās izmaksas 9,91 euro attiecas uz Hematoloģiskās izmeklēšanas nodaļas (turpmāk- ID)  veiktajiem izmeklējumiem. 2021.gadā ID veikto maksas pakalpojumu skaits- 9509 izmeklējumi. Izmaksas uz 1 izmeklējumu 9,91 euro : 9509 izmeklējumi= 0,001 euro. Gadā plānotie izmeklējumi: 16 * 0,001=0,02 euro.</t>
  </si>
  <si>
    <t>Gada faktiskās izmaksas 103,21 euro attiecas uz Hematoloģiskās izmeklēšanas nodaļas (turpmāk- ID)  veiktajiem izmeklējumiem. 2021.gadā ID veikto maksas pakalpojumu skaits- 9509 izmeklējumi. Izmaksas uz 1 izmeklējumu  103,21 euro : 9509 izmeklējumi= 0,011 euro. Gadā plānotie izmeklējumi: 1970* 0,011=21,67 euro.</t>
  </si>
  <si>
    <t>Gada faktiskās izmaksas 8,56 euro attiecas uz Hematoloģiskās izmeklēšanas nodaļas (turpmāk- ID)  veiktajiem izmeklējumiem. 2021.gadā ID veikto maksas pakalpojumu skaits- 9509 izmeklējumi. Izmaksas uz 1 izmeklējumu 8,56 euro : 9509 izmeklējumi= 0,001 euro. Gadā plānotie izmeklējumi: 34 * 0,001=0,03 euro.</t>
  </si>
  <si>
    <t>Gada faktiskās izmaksas 31,85 euro attiecas uz Hematoloģiskās izmeklēšanas nodaļas (turpmāk- ID)  veiktajiem izmeklējumiem. 2021.gadā ID veikto maksas pakalpojumu skaits- 9509 izmeklējumi. Izmaksas uz 1 izmeklējumu-  31,85 euro : 9509 izmeklējumi= 0,003 euro. Gadā plānotie izmeklējumi: 50 * 0,003=0,15 euro.</t>
  </si>
  <si>
    <t>Gada faktiskās izmaksas 228,88 euro attiecas uz Hematoloģiskās izmeklēšanas nodaļas (turpmāk- ID)  veiktajiem izmeklējumiem. 2021.gadā ID veikto maksas pakalpojumu skaits- 9509 izmeklējumi. Izmaksas uz 1 izmeklējumu-  228,88 euro : 9509 izmeklējumi= 0,024 euro. Gadā plānotie izmeklējumi: 50 * 0,024=1,20 euro.</t>
  </si>
  <si>
    <t>Gada faktiskās izmaksas 382,73 euro attiecas uz Hematoloģiskās izmeklēšanas nodaļas (turpmāk- ID)  veiktajiem izmeklējumiem. 2021.gadā ID veikto maksas pakalpojumu skaits- 9509 izmeklējumi. Izmaksas uz 1 izmeklējumu-  382,73 euro : 9509 izmeklējumi= 0,040 euro. Gadā plānotie izmeklējumi: 50 * 0,040=2,00 euro.</t>
  </si>
  <si>
    <t>Gada faktiskās izmaksas 38,69 euro attiecas uz Hematoloģiskās izmeklēšanas nodaļas (turpmāk- ID)  veiktajiem izmeklējumiem. 2021.gadā ID veikto maksas pakalpojumu skaits- 9509 izmeklējumi. Izmaksas uz 1 izmeklējumu-  38,69 euro : 9509 izmeklējumi= 0,004 euro. Gadā plānotie izmeklējumi: 50 * 0,04=0,20 euro.</t>
  </si>
  <si>
    <t>Gada faktiskās izmaksas 1004,28 euro attiecas uz Hematoloģiskās izmeklēšanas nodaļas (turpmāk- ID)  veiktajiem izmeklējumiem. 2021.gadā ID veikto maksas pakalpojumu skaits- 9509 izmeklējumi. Izmaksas uz 1 izmeklējumu  1004,28 euro : 9509 izmeklējumi= 0,07 euro. Gadā plānotie izmeklējumi: 50 * 0,106=5,30 euro.</t>
  </si>
  <si>
    <t>Gada faktiskās izmaksas 82,80 euro attiecas uz Hematoloģiskās izmeklēšanas nodaļas (turpmāk- ID)  veiktajiem izmeklējumiem. 2021.gadā ID veikto maksas pakalpojumu skaits- 9509 izmeklējumi. Izmaksas uz 1 izmeklējumu  82,80 euro : 9509 izmeklējumi= 0,009 euro. Gadā plānotie izmeklējumi: 50 * 0,009=0,45 euro.</t>
  </si>
  <si>
    <t>Gada faktiskās izmaksas 289,40 euro attiecas uz Hematoloģiskās izmeklēšanas nodaļas (turpmāk- ID)  veiktajiem izmeklējumiem. 2021.gadā ID veikto maksas pakalpojumu skaits- 9509 izmeklējumi. Izmaksas uz 1 izmeklējumu  289,40 euro : 9509 izmeklējumi= 0,030 euro. Gadā plānotie izmeklējumi: 50 * 0,030=1,50 euro.</t>
  </si>
  <si>
    <t>Gada faktiskās izmaksas 20,68 euro attiecas uz Hematoloģiskās izmeklēšanas nodaļas (turpmāk- ID)  veiktajiem izmeklējumiem. 2021.gadā ID veikto maksas pakalpojumu skaits- 9509 izmeklējumi. Izmaksas uz 1 izmeklējumu  20,68 euro : 9509 izmeklējumi= 0,002 euro. Gadā plānotie izmeklējumi: 50 * 0,002=0,10 euro.</t>
  </si>
  <si>
    <t>Gada faktiskās izmaksas 58,15 euro attiecas uz Hematoloģiskās izmeklēšanas nodaļas (turpmāk- ID)  veiktajiem izmeklējumiem. 2021.gadā ID veikto maksas pakalpojumu skaits- 9509 izmeklējumi. Izmaksas uz 1 izmeklējumu  58,15 euro : 9509 izmeklējumi= 0,006 euro. Gadā plānotie izmeklējumi: 50 * 0,006=0,30 euro.</t>
  </si>
  <si>
    <t>Gada faktiskās izmaksas 524,45 euro attiecas uz Hematoloģiskās izmeklēšanas nodaļas (turpmāk- ID)  veiktajiem izmeklējumiem. 2021.gadā ID veikto maksas pakalpojumu skaits- 9509 izmeklējumi. Izmaksas uz 1 izmeklējumu  524,45 euro : 9509 izmeklējumi= 0,055 euro. Gadā plānotie izmeklējumi: 50* 0,055=2,75 euro.</t>
  </si>
  <si>
    <t>Gada faktiskās izmaksas 131,93 euro attiecas uz Hematoloģiskās izmeklēšanas nodaļas (turpmāk- ID)  veiktajiem izmeklējumiem. 2021.gadā ID veikto maksas pakalpojumu skaits- 9509 izmeklējumi. Izmaksas uz 1 izmeklējumu  131,93 euro : 9509 izmeklējumi= 0,014 euro. Gadā plānotie izmeklējumi: 50 * 0,014=0,70 euro.</t>
  </si>
  <si>
    <t>Gada faktiskās izmaksas 360,94 euro attiecas uz Hematoloģiskās izmeklēšanas nodaļas (turpmāk- ID)  veiktajiem izmeklējumiem. 2021.gadā ID veikto maksas pakalpojumu skaits- 9509 izmeklējumi. Izmaksas uz 1 izmeklējumu  360,94 euro : 9509 izmeklējumi= 0,038 euro. Gadā plānotie izmeklējumi: 50 * 0,038=1,90 euro.</t>
  </si>
  <si>
    <t>Gada faktiskās izmaksas 272,76 euro attiecas uz Hematoloģiskās izmeklēšanas nodaļas (turpmāk- ID)  veiktajiem izmeklējumiem. 2021.gadā ID veikto maksas pakalpojumu skaits- 9509 izmeklējumi. Izmaksas uz 1 izmeklējumu  272,76 euro : 9509 izmeklējumi= 0,029 euro. Gadā plānotie izmeklējumi: 50 * 0,029=1,45 euro.</t>
  </si>
  <si>
    <t>Gada faktiskās izmaksas 12,06 euro attiecas uz Hematoloģiskās izmeklēšanas nodaļas (turpmāk- ID)  veiktajiem izmeklējumiem. 2021.gadā ID veikto maksas pakalpojumu skaits- 9509 izmeklējumi. Izmaksas uz 1 izmeklējumu  12,06 euro : 9509 izmeklējumi= 0,001 euro. Gadā plānotie izmeklējumi: 50 * 0,001=0,05 euro.</t>
  </si>
  <si>
    <t>Gada faktiskās izmaksas 750,97 euro attiecas uz Hematoloģiskās izmeklēšanas nodaļas (turpmāk- ID)  veiktajiem izmeklējumiem. 2021.gadā ID veikto maksas pakalpojumu skaits- 9509 izmeklējumi. Izmaksas uz 1 izmeklējumu 750,97 euro :9509 izmeklējumi= 0,079 euro. Gadā plānotie izmeklējumi: 50 * 0,079=3,95 euro.</t>
  </si>
  <si>
    <t>Gada faktiskās izmaksas 2620,34 euro attiecas uz Hematoloģiskās izmeklēšanas nodaļas (turpmāk- ID)  veiktajiem izmeklējumiem. 2021.gadā ID veikto maksas pakalpojumu skaits- 9509 izmeklējumi. Izmaksas uz 1 izmeklējumu 2620,34 euro : 9509 izmeklējumi= 0,276 euro. Gadā plānotie izmeklējumi: 50 * 0,276=13,80 euro.</t>
  </si>
  <si>
    <t>Gada faktiskās izmaksas 9,91 euro attiecas uz Hematoloģiskās izmeklēšanas nodaļas (turpmāk- ID)  veiktajiem izmeklējumiem. 2021.gadā ID veikto maksas pakalpojumu skaits- 9509 izmeklējumi. Izmaksas uz 1 izmeklējumu 9,91 euro : 9509 izmeklējumi= 0,001 euro. Gadā plānotie izmeklējumi: 50 * 0,001=0,05 euro.</t>
  </si>
  <si>
    <t>Gada faktiskās izmaksas 132,32 euro attiecas uz Hematoloģiskās izmeklēšanas nodaļas (turpmāk- ID)  veiktajiem izmeklējumiem. 2021.gadā ID veikto maksas pakalpojumu skaits- 9509 izmeklējumi. Izmaksas uz 1 izmeklējumu 132,32 euro : 9509 izmeklējumi= 0,014 euro. Gadā plānotie izmeklējumi: 50 * 0,014=0,70 euro.</t>
  </si>
  <si>
    <t>Gada faktiskās izmaksas 72,76 euro attiecas uz Hematoloģiskās izmeklēšanas nodaļas (turpmāk- ID)  veiktajiem izmeklējumiem. 2021.gadā ID veikto maksas pakalpojumu skaits-9509 izmeklējumi. Izmaksas uz 1 izmeklējumu  72,76 euro : 9509 izmeklējumi= 0,008 euro. Gadā plānotie izmeklējumi: 50 * 0,008=0,40 euro.</t>
  </si>
  <si>
    <t>Gada faktiskās izmaksas 484,21 euro attiecas uz Hematoloģiskās izmeklēšanas nodaļas (turpmāk- ID)  veiktajiem izmeklējumiem. 2021.gadā ID veikto maksas pakalpojumu skaits- 9509 izmeklējumi. Izmaksas uz 1 izmeklējumu  484,21 euro : 9509 izmeklējumi= 0,051 euro. Gadā plānotie izmeklējumi: 50 * 0,051=2,55 euro.</t>
  </si>
  <si>
    <t>Gada faktiskās izmaksas 224,14 euro attiecas uz Hematoloģiskās izmeklēšanas nodaļas (turpmāk- ID)  veiktajiem izmeklējumiem. 2021.gadā ID veikto maksas pakalpojumu skaits- 9509 izmeklējumi. Izmaksas uz 1 izmeklējumu  224,14 euro : 9509 izmeklējumi= 0,024 euro. Gadā plānotie izmeklējumi: 50 * 0,024=1,20 euro.</t>
  </si>
  <si>
    <t>Gada faktiskās izmaksas 103,21 euro attiecas uz Hematoloģiskās izmeklēšanas nodaļas (turpmāk- ID)  veiktajiem izmeklējumiem. 2021.gadā ID veikto maksas pakalpojumu skaits- 9509 izmeklējumi. Izmaksas uz 1 izmeklējumu  103,21 euro : 9509 izmeklējumi= 0,011 euro. Gadā plānotie izmeklējumi: 50 * 0,011=0,55 euro.</t>
  </si>
  <si>
    <t>Gada faktiskās izmaksas 241,97 euro attiecas uz Hematoloģiskās izmeklēšanas nodaļas (turpmāk- ID)  veiktajiem izmeklējumiem. 2021.gadā ID veikto maksas pakalpojumu skaits- 9509 izmeklējumi. Izmaksas uz 1 izmeklējumu  241,97 euro : 9509 izmeklējumi= 0,025 euro. Gadā plānotie izmeklējumi: 50 * 0,025=1,25 euro.</t>
  </si>
  <si>
    <t>Gada faktiskās izmaksas 28,69 euro attiecas uz Hematoloģiskās izmeklēšanas nodaļas (turpmāk- ID)  veiktajiem izmeklējumiem. 2021.gadā ID veikto maksas pakalpojumu skaits- 9509 izmeklējumi. Izmaksas uz 1 izmeklējumu 28,69 euro : 9509 izmeklējumi= 0,003 euro. Gadā plānotie izmeklējumi: 50 * 0,003=0,15 euro.</t>
  </si>
  <si>
    <t>Gada faktiskās izmaksas 8,56 euro attiecas uz Hematoloģiskās izmeklēšanas nodaļas (turpmāk- ID)  veiktajiem izmeklējumiem. 2021.gadā ID veikto maksas pakalpojumu skaits- 9509 izmeklējumi. Izmaksas uz 1 izmeklējumu 8,56 euro : 9509 izmeklējumi= 0,001 euro. Gadā plānotie izmeklējumi: 50 * 0,001=0,05 euro.</t>
  </si>
  <si>
    <t>Gada faktiskās izmaksas 151,09 euro attiecas uz Hematoloģiskās izmeklēšanas nodaļas (turpmāk- ID)  veiktajiem izmeklējumiem. 2021.gadā ID veikto maksas pakalpojumu summa- 9509 izmeklējumi. Izmaksas uz 1 izmeklējumu  151,09 euro : 9509 izmeklējumi= 0,016 euro. Gadā plānotie izmeklējumi: 50 * 0,016=0,80 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</si>
  <si>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17,13</t>
    </r>
    <r>
      <rPr>
        <sz val="9"/>
        <rFont val="Times New Roman"/>
        <family val="1"/>
        <charset val="186"/>
      </rPr>
      <t xml:space="preserve"> euro, tai skaitā  1) Karte Liss Coombs 2 gb.- 11,04 euro ; 2) Eritrocīti no panel Diamed ( Panelis) ID-DiaPanel 0,6 ml - 2,59 euro; 3) Na Cl fizioloģiskais šķīdums 6 ml. - 0,01 euro; 4) dezinfekcijas līdzeklis 1 proced. -  0,0086 euro; 5) vienreizējās lietošanas cimdi, pāris - 0,047 euro; 6) mēģene ar apaļu pamatni 12 gb. - 0,10 euro; 7) FT 250 Universal 0,5-250 uL 13 gb. - 0,36 euro. Izdevumi kopā: 11,04+2,59+0,01+0,0086+0,047+0,10+0,36=14,1556 euro. Izdevumi ar PVN 21%- 17,13 euro.Gadā plānots 200 * 17,13 euro= 3426,00 euro.</t>
    </r>
  </si>
  <si>
    <t>Gada faktiskās izmaksas 103,21 euro attiecas uz Hematoloģiskās izmeklēšanas nodaļas (turpmāk- ID)  veiktajiem izmeklējumiem. 2021.gadā ID veikto maksas pakalpojumu skaits- 9509 izmeklējumi. Izmaksas uz 1 izmeklējumu  103,21 euro : 9509 izmeklējumi= 0,011 euro. Gadā plānotie izmeklējumi: 4 * 0,011=0,04 euro.</t>
  </si>
  <si>
    <t>Gada faktiskās izmaksas 72,76 euro attiecas uz Hematoloģiskās izmeklēšanas nodaļas (turpmāk- ID)  veiktajiem izmeklējumiem. 2021.gadā ID veikto maksas pakalpojumu skaits-9509 izmeklējumi. Izmaksas uz 1 izmeklējumu  72,76 euro : 9509 izmeklējumi= 0,008 euro. Gadā plānotie izmeklējumi: 5 * 0,008=0,04 euro.</t>
  </si>
  <si>
    <t xml:space="preserve">Izmeklējuma veikšanai izmanto ID Centrifūgu L- piegādātājs bez atlīdzības piegādājis pamatlīdzekli,  nolietojums netiek rēķināts. Izdevumi uz 1 izmeklējumu- 0,00 euro.  </t>
  </si>
  <si>
    <t xml:space="preserve">Izmeklējuma veikšanai izmanto ID Centrifūgu L- piegādātājs bez atlīdzības piegādājis pamatlīdzekli, nolietojums netiek rēķināts. Izdevumi uz 1 izmeklējumu- 0,00 euro.  </t>
  </si>
  <si>
    <t xml:space="preserve">Izmeklējuma veikšanai izmanto ID Centrifūgu L- piegādātājs bez atlīdzības piegādājis pamatlīdzekli un Termostatu BE-200 (ekspluatācijā no 01.01.2000.)- abiem pamatlīdzekļiem nolietojums netiek rēķināts. Izdevumi uz 1 izmeklējumu- 0,00 euro.  </t>
  </si>
  <si>
    <t xml:space="preserve">Izmeklējuma veikšanai izmanto ID Centrifūgu L- piegādātājs bez atlīdzības piegādājis pamatlīdzekli, Termostatu BE-200 (ekspluatācijā no 01.01.2000.) un Centrifūgu EBA 20 HETTICH (ekspluatācijā no 01.08.2008.)- pamatlīdzekļiem nolietojums netiek rēķināts. Izdevumi uz 1 izmeklējumu- 0,00 euro.  </t>
  </si>
  <si>
    <t xml:space="preserve">Izmeklējuma veikšanai izmanto Centrifūgu EBA 20 HETTICH (ekspluatācijā no 01.08.2008.)- pamatlīdzeklim nolietojums netiek rēķināts. Izdevumi uz 1 izmeklējumu- 0,00 euro.  </t>
  </si>
  <si>
    <t xml:space="preserve">Izmeklējuma veikšanai izmanto ID Centrifūgu L- piegādātājs bez atlīdzības piegādājis pamatlīdzekli un Termostatu BE-200 (ekspluatācijā no 01.01.2000)- abiem pamatlīdzekļiem nolietojums netiek rēķināts. Izdevumi uz 1 izmeklējumu- 0,00 euro.  </t>
  </si>
  <si>
    <t xml:space="preserve">Izmeklējuma veikšanai izmanto ID Centrifūgu L- piegādātājs bez atlīdzības piegādājis pamatlīdzekli un Termostatu BE-200 (ekspluatācijā no 01.01.2000.)un Centrifūgu EBA 20 HETTICH (ekspluatācijā no 01.08.2008.)- pamatlīdzekļiem nolietojums netiek rēķināts. Izdevumi uz 1 izmeklējumu- 0,00 euro.  </t>
  </si>
  <si>
    <t>Plānotais pakalpojuma sniegšanas vienību skaits: 80</t>
  </si>
  <si>
    <t xml:space="preserve"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Gadā plānots 80 * 14,30 euro =1144,00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</si>
  <si>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80*4,83 euro= 386,40 euro.</t>
    </r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</si>
  <si>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 Gadā plānots 60 * 14,30 euro =858,00 euro</t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</si>
  <si>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Gadā plānots 80 *14,30 euro=1144,00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</si>
  <si>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80 *17,21 euro =1376,80 euro.</t>
    </r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</si>
  <si>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 Gadā plānots 80*14,30 euro=1144,00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</si>
  <si>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80*14,67 euro =1173,60 euro.</t>
    </r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</si>
  <si>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 Gadā plānots 5 * 14,30 euro=71,50 euro.</t>
  </si>
  <si>
    <t>Viena izmeklējuma veikšanu nodrošina 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izmeklējumu- 14,30 euro (3,40+3,40+7,50). Gadā plānots 200 * 14,30 euro=2860,00euro.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</si>
  <si>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200 * 2,01 euro =402,00 euro.</t>
    </r>
  </si>
  <si>
    <t>Viena izmeklējuma veikšanu nodrošina 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Piemaksa  par virsstundu darbu saskaņā ar Darba likuma 68.panta 1.punktu 100% apmērā- 1668 euro : 168,17 stundas : 60 minūtes= 0,17*10 minūtes=1,70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izmeklējumu- 10,90 euro (1,70+1,70+7,50).  Gadā plānots 10 * 10,90 euro=109,00 euro.</t>
  </si>
  <si>
    <t>Viena izmeklējuma veikšanu nodrošina  ārsts (mēnešalga- 1668 euro, piemaksa par darba stāžu- 50,04 euro, kopā- 1718,04 euro). Darba laika patēriņš 1 izmeklējuma veikšanai 15 minūtes. 1 minūtes darba izmaksas- 1718,04 euro: 168,17 stundas (vidējais darba stundu skaits mēnesī 2022.gadā) : 60 minūtes  ir  1718,04: 168,17 : 60=  0,17 euro. 1 izmeklējuma veikšanas darba izmaksas 0,17 euro*15 minūtes=2,55 euro. Piemaksa  par virsstundu darbu saskaņā ar Darba likuma 68.panta 1.punktu 100% apmērā- 1668 euro : 168,17 stundas : 60 minūtes= 0,17*15 minūtes=2,55 euro. Samaksa par  "izsaukuma gatavību" saskaņā ar Centra 03.03.2022. rīkojuma Nr.1-4.2/10 1.punktu noteikta stundas piemaksa 5% no stundas mēnešalgas 9,92 euro,  atlīdzība par “izsaukuma gatavību”- 0,50 euro, par 15 stundu dežūru darba dienās- 7,50 euro (0,50 euro*15 stundas). Samaksa par izmeklējumu- 12,60 euro (2,55+2,55+ 7,50). Gadā plānots 10*12,60 euro=126,00 euro.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</si>
  <si>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20 * 16,00 euro = 320,00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</si>
  <si>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20 * 4,83 euro= 96,60 euro.</t>
    </r>
  </si>
  <si>
    <t>Plānotais pakalpojuma sniegšanas vienību skaits: 15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</si>
  <si>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15 *16,00 euro =240,00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</si>
  <si>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15 * 5,28 euro =79,20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</si>
  <si>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20 *17,21 euro =344,20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</si>
  <si>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20 * 16,00 euro =320,00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</si>
  <si>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20*14,67 euro =293,40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</si>
  <si>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20*16,00 euro =320,00 euro. 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</si>
  <si>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20 *16,00 euro =320,00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</si>
  <si>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20 * 23,72 euro =474,40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</si>
  <si>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 Samaksa par virsstundu darbu, piemaksa 100% apmērā- 1668 euro : 168,17 stundas : 60 minūtes= 0,17 euro * 20 minūtes= 3,40 euro. Piemaksa par nakts darbu saskaņā ar Darba likuma 67.panta 1.punktu  50% apmērā- 1,70 euro (3,40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izmeklējumu- 16,00 euro (3,40+3,40+1,70+7,50). Gadā plānots 60*16,00 euro =960,00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</si>
  <si>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60 * 2,01 euro =120,60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</si>
  <si>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1,43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 -  0,0086 euro; 3) mēģene ar apaļu pamatni  1 gb.- 0,01 euro; 4) Pastēra pipete 3,5 ml sterila 1 gb. - 0,019 euro; 5) FT 9400230 uzgaļi 0,5-250 uL 1 gb. - 0,03 euro; 6) Karte Liss/Coombs 0,17 gb.- 0,92 euro; 7) Diluents - 2  0,5 ml.- 0,15 euro. Izdevumi kopā: 0,047+0,0086+0,01+ 0,019+0,03+0,92+0,15=1,1846 euro. Izdevumi ar PVN 21%- 1,43 euro. Gadā plānots 5 * 1,43 euro =7,15 euro.</t>
    </r>
  </si>
  <si>
    <t>Plānotais pakalpojuma sniegšanas vienību skaits:  5</t>
  </si>
  <si>
    <t xml:space="preserve">Viena izmeklējuma veikšanu nodrošina ārsts (mēnešalga- 1668 euro, piemaksa par darba stāžu- 50,04 euro, kopā- 1718,04 euro). Darba laika patēriņš 1 izmeklējuma veikšanai 15 minūtes. 1 minūtes darba izmaksas- 1718,04 euro: 168,17 stundas (vidējais darba stundu skaits mēnesī 2022.gadā) : 60 minūtes  ir  1718,04: 168,17 : 60=  0,17 euro. 1 izmeklējuma veikšanas darba izmaksas 0,17 euro*15 minūtes=2,55 euro.  Samaksa par virsstundu darbu, piemaksa 100% apmērā- 1668 euro : 168,17 stundas : 60 minūtes= 0,17 euro * 15 minūtes= 2,55 euro. Piemaksa par nakts darbu saskaņā ar Darba likuma 67.panta 1.punktu  50% apmērā- 1,28 euro (2,55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izmeklējumu- 13,88 euro (2,55+2,55+1,28+7,50). Gadā plānots 5 * 13,88 euro = 69,38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</si>
  <si>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5,24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proced.- 0,0086 euro; 3) mēģene ar apaļu pamatni 1 gb. - 0,01 euro; 4) Pastēra pipete 3,5 ml sterila 1 gb.- 0,019 euro; 5) FT 9400230 uzgaļi 0,5-250 uL 1 gb.- 0,03 euro; 6) Karte DAT Screening 2- 0,5 gb.- 4,07 euro; 7) Diluents- 2 0,5 ml - 0,15 euro. Izdevumi kopā: 0,047+0,0086+0,01+0,019+ 0,03+3,10+0,15=4,3346 euro. Izdevumi ar PVN 21%- 5,24 euro. Gadā plānots 5 * 5,24 euro =26,20 euro.</t>
    </r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</si>
  <si>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  Gadā plānots 50*18,80 euro =940,00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</si>
  <si>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50 * 4,83 euro= 241,50 euro.</t>
    </r>
  </si>
  <si>
    <t>Plānotais pakalpojuma sniegšanas vienību skaits: 38</t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</si>
  <si>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38 * 18,80 euro =714,40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</si>
  <si>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3 8* 5,28 euro =200,64 euro.</t>
    </r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</si>
  <si>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5*18,80 euro =94,00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</si>
  <si>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3,85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ml- 0,25 euro; 3) dezinfekcijas līdzeklis 1 proced. -  0,0086 euro; 4) vienreizējās lietošanas cimdi, pāris - 0,047 euro; 5) mēģene ar apaļu pamatni 1 gb - 0,01 euro; 6)  Pastēra pipete 3,5 ml sterila 1 gb.-  0,019 euro; 7) FT 9400230  uzgaļi 0,5-250 uL 3 gb.- 0,09 euro. Izdevumi kopā: 2,76+0,25+0,0086+0,047+0,01+0,019+0,09 = 3,1846 euro. Izdevumi ar PVN 21%- 3,85 euro. Gadā plānots 5*3,85 euro =19,25 euro.</t>
    </r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</si>
  <si>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50*18,80 euro =940,00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</si>
  <si>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50 *17,21 euro =860,50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</si>
  <si>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50*14,67 euro =733,50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</si>
  <si>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23,72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proced.- 0,0086 euro; 4) vienreizējās lietošanas cimdi, pāris - 0,047 euro; 5) Identifikācijas eritrocīti "Column "panel 16 (16x3) (0,8% Standarteritrocītu panelis antieritrocitāro antivielu identifikācijai ar IAT) 0,8 ml - 2,30 euro;  6) mēģene ar apaļu pamatni 1 gb.- 0,01 euro; 7) Pastēra pipete 3,5 ml  sterila gb.- 0,019 euro; 8) FT 9400230 uzgaļi 0,5-250 uL 17 gb.- 0,509 euro. Izdevumi kopā: 16,56+0,15+0,0086+,047+2,30+0,01+0,019+0,509= 19,6036 euro. Izdevumi ar PVN 21%- 23,72 euro. Gadā plānots 3 * 23,72 euro =23,72 euro.</t>
    </r>
  </si>
  <si>
    <t>Plānotais pakalpojuma sniegšanas vienību skaits: 150</t>
  </si>
  <si>
    <t>Viena izmeklējuma veikšanu nodrošina  ārsts (mēnešalga- 1668 euro, piemaksa par darba stāžu- 50,04 euro, kopā- 1718,04 euro). Darba laika patēriņš 1 izmeklējuma veikšanai 6 minūtes. 1 minūtes darba izmaksas- 1718,04 euro: 168,17 stundas (vidējais darba stundu skaits mēnesī 2022.gadā) : 60 minūtes  ir  1718,04: 168,17 : 60=  0,17 euro. 1 izmeklējuma veikšanas darba izmaksas 0,17 euro*20 minūtes=3,40 euro. Piemaksa  par virsstundu darbu saskaņā ar Darba likuma 68.panta 1.punktu 100% apmērā- 1668 euro : 168,17 stundas : 60 minūtes= 0,17*20 minūtes=3,40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izmeklējumu- 18,80 euro (3,40+3,40+ 12,00). Gadā plānots 150*18,80 euro =2820,00 euro.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</si>
  <si>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150 * 2,01 euro =301,50 euro.</t>
    </r>
  </si>
  <si>
    <t>Gada faktiskās izmaksas 224,14 euro attiecas uz Hematoloģiskās izmeklēšanas nodaļas (turpmāk- ID)  veiktajiem izmeklējumiem. 2021.gadā ID veikto maksas pakalpojumu skaits- 9509 izmeklējumi. Izmaksas uz 1 izmeklējumu  224,14 euro : 9509 izmeklējumi= 0,024 euro. Gadā plānotie izmeklējumi: 150 * 0,024=3,54 euro.</t>
  </si>
  <si>
    <t>Viena izmeklējuma veikšanu nodrošina 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Piemaksa  par virsstundu darbu saskaņā ar Darba likuma 68.panta 1.punktu 100% apmērā- 1668 euro : 168,17 stundas : 60 minūtes= 0,17*10 minūtes=1,70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izmeklējumu- 15,40 euro (1,70+1,70+ 12,00).  Gadā plānots 10 * 15,40euro=154,00 euro.</t>
  </si>
  <si>
    <t>Viena izmeklējuma veikšanu nodrošina  ārsts (mēnešalga- 1668 euro, piemaksa par darba stāžu- 50,04 euro, kopā- 1718,04 euro). Darba laika patēriņš 1 izmeklējuma veikšanai 15 minūtes. 1 minūtes darba izmaksas- 1718,04 euro: 168,17 stundas (vidējais darba stundu skaits mēnesī 2022.gadā) : 60 minūtes  ir  1718,04: 168,17 : 60=  0,17 euro. 1 izmeklējuma veikšanas darba izmaksas 0,17 euro*15 minūtes=2,55 euro. Piemaksa  par virsstundu darbu saskaņā ar Darba likuma 68.panta 1.punktu 100% apmērā- 1668 euro : 168,17 stundas : 60 minūtes= 0,17*15 minūtes=2,55 euro. Samaksa par  "izsaukuma gatavību" saskaņā ar Centra 03.03.2022. rīkojuma Nr.1-4.2/10 1.punktu noteikta stundas piemaksa 5% no stundas mēnešalgas 9,92 euro, atlīdzība par “izsaukuma gatavību”- 0,50 euro, par 24 stundu dežūru darba dienās- 12,00 euro (0,50 euro*24 stundas). Samaksa par izmeklējumu- 17,10 euro (2,55+2,55+ 12,00). . Gadā plānots 5 * 17,10 euro=85,50 euro.</t>
  </si>
  <si>
    <t>Plānotais pakalpojuma sniegšanas vienību skaits : 10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</si>
  <si>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minūtes=3,40euro.  Samaksa par virsstundu darbu, piemaksa 100% apmērā- 1668 euro : 168,17 stundas : 60 minūtes= 0,17 euro * 20 minūtes=3,40 euro. Piemaksa par nakts darbu saskaņā ar Darba likuma 67.panta 1.punktu  50% apmērā- 1,70 euro (3,40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izmeklējumu- 20,50 euro (3,40+3,40+1,70+12,00). Gadā plānots 10 *20,50 euro =205,00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</si>
  <si>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10 *4,83 euro=48,30 euro.</t>
    </r>
  </si>
  <si>
    <t>Plānotais pakalpojuma sniegšanas vienību skaits: 8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</si>
  <si>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minūtes=3,40euro.  Samaksa par virsstundu darbu, piemaksa 100% apmērā- 1668 euro : 168,17 stundas : 60 minūtes= 0,17 euro * 20 minūtes=3,40 euro. Piemaksa par nakts darbu saskaņā ar Darba likuma 67.panta 1.punktu  50% apmērā- 1,70 euro (3,40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izmeklējumu- 20,50 euro (3,40+3,40+1,70+12,00). Gadā plānots 8 *20,50 euro = 164,00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</si>
  <si>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8*5,28 euro =42,24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</si>
  <si>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minūtes=3,40euro.  Samaksa par virsstundu darbu, piemaksa 100% apmērā- 1668 euro : 168,17 stundas : 60 minūtes= 0,17 euro * 20 minūtes=3,40 euro. Piemaksa par nakts darbu saskaņā ar Darba likuma 67.panta 1.punktu  50% apmērā- 1,70 euro (3,40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izmeklējumu- 20,50 euro (3,40+3,40+1,70+12,00). Gadā plānots 10 *20,50 euro = 205,00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</si>
  <si>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10 *14,67 euro =146,70 euro.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</si>
  <si>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7.10. Recipienta un donora asins saderības tests ar gelkaršu metodi (netiešais antiglobulīna tests) vienas eritrocīta masas saderināšanai;  izmeklējums veikts brīvdienās- naktī no plkst. 22:00 līdz 06:00- 8 stundas (virsstundas, piemaksa par nakts darbu), "izsaukuma gatavība" brīvdienās- no plkst. 08:00 līdz plkst. 08:00- 24 stundas     </t>
    </r>
  </si>
  <si>
    <t xml:space="preserve">Plānotais pakalpojuma sniegšanas vienību skaits: 30   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</si>
  <si>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minūtes=3,40euro.  Samaksa par virsstundu darbu, piemaksa 100% apmērā- 1668 euro : 168,17 stundas : 60 minūtes= 0,17 euro * 20 minūtes=3,40 euro. Piemaksa par nakts darbu saskaņā ar Darba likuma 67.panta 1.punktu  50% apmērā- 1,70 euro (3,40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izmeklējumu- 20,50 euro (3,40+3,40+1,70+12,00). Gadā plānots 30 *20,50 euro = 615,00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</si>
  <si>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30 * 2,01 euro =60,30 euro.</t>
    </r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</si>
  <si>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euro*10 minūtes=1,70 euro.  Samaksa par virsstundu darbu, piemaksa 100% apmērā- 1668 euro : 168,17 stundas : 60 minūtes= 0,17 euro * 10 minūtes= 1,70 euro. Piemaksa par nakts darbu saskaņā ar Darba likuma 67.panta 1.punktu  50% apmērā- 0,85 euro (1,70 euro* 50%).  Samaksa par  "izsaukuma gatavību" brīvdienās  saskaņā ar Centra 03.03.2022. rīkojuma Nr.1-4.2/10 1.punktu  noteikta stundas piemaksa 5% no stundas mēnešalgas 9,92 euro atlīdzība par “izsaukuma gatavību”- 0,50 euro, 24 stundu dežūru darba dienās- 12,00 euro (0,50 euro* 24 stundas). Samaksa par izmeklējumu- 16,25 euro (1,70+1,70+0,85+12,00). Gadā plānots 2 * 16,25 euro = 32,50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</si>
  <si>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1,43 euro</t>
    </r>
    <r>
      <rPr>
        <sz val="9"/>
        <rFont val="Times New Roman"/>
        <family val="1"/>
        <charset val="186"/>
      </rPr>
      <t>, tai skaitā  1) vienreizējās lietošanas cimdi, pāris - 0,047 euro; 2) dezinfekcijas līdzeklis 1 proced. -  0,0086 euro; 3) mēģene ar apaļu pamatni  1 gb.- 0,01 euro; 4) Pastēra pipete 3,5 ml sterila 1 gb. - 0,019 euro; 5) FT 9400230 uzgaļi 0,5-250 uL 1 gb. - 0,03 euro; 6) Karte Liss/Coombs 0,17 gb.- 0,92 euro; 7) Diluents - 2  0,5 ml.- 0,15 euro. Izdevumi kopā: 0,047+0,0086+0,01+ 0,019+0,03+0,92+0,15=1,1846 euro. Izdevumi ar PVN 21%- 1,43 euro. Gadā plānots 2 * 1,43 euro =2,86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</si>
  <si>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 10*34,20 euro =342,00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</si>
  <si>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10 * 4,83 euro=48,30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</si>
  <si>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 8 * 34,20 euro =273,60 euro. 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</si>
  <si>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 10 *34,20 euro =342,00 euro. </t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</si>
  <si>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 10 * 34,20 euro =342,00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</si>
  <si>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10 * 14,67 euro =146,70 euro.</t>
    </r>
  </si>
  <si>
    <t xml:space="preserve">Viena izmeklējuma veikšanu nodrošina ārsts (mēnešalga- 1668 euro, piemaksa par darba stāžu- 50,04 euro, kopā- 1718,04 euro). Darba laika patēriņš 1 izmeklējuma veikšanai 20 minūtes. 1 minūtes darba izmaksas- 1718,04 euro: 168,17 stundas (vidējais darba stundu skaits mēnesī 2022.gadā) : 60 minūtes  ir  1718,04: 168,17 : 60=  0,17 euro. 1 izmeklējuma veikšanas darba izmaksas 0,17 euro*20 minūtes=3,40 euro. Piemaksa par virsstundu darbu askaņā ar Darba likuma 68.panta 1.punktu 100% apmērā- 3,40 euro. Piemaksa par  darbu svētku dienās saskaņā ar Darba likuma 68.panta 1.punktu 100% apmērā- 3,40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izmeklējumu- 34,20 euro (3,40+3,40+3,40+24,00).  Gadā plānots 30 *34,20 euro =1026,00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</si>
  <si>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30 * 2,01 euro =60,30  euro.</t>
    </r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</si>
  <si>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 10 minūtes=1,70 euro. Piemaksa par virsstundu darbu askaņā ar Darba likuma 68.panta 1.punktu 100% apmērā- 1,70 euro. Piemaksa par  darbu svētku dienās saskaņā ar Darba likuma 68.panta 1.punktu 100% apmērā- 1,70 euro.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 29,10 euro (1,70+ 1,70+1,70+24,00). Gadā plānots 2 *29,10 euro =58,20 euro. </t>
  </si>
  <si>
    <t>Plānotais pakalpojuma sniegšanas vienību skaits : 5</t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</si>
  <si>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euro: 168,17 stundas (vidējais darba stundu skaits mēnesī 2022.gadā) : 60 minūtes  ir  1718,04: 168,17 : 60=  0,17 euro. 1 izmeklējuma veikšanas darba izmaksas 0,17 euro* 20 minūtes=3,40 euro. Piemaksa par virsstundu darbu askaņā ar Darba likuma 68.panta 1.punktu 100% apmērā- 3,40 euro. Piemaksa par  darbu svētku dienās saskaņā ar Darba likuma 68.panta 1.punktu 100% apmērā- 3,40 euro.  Piemaksa par nakts darbu saskaņā ar Darba likuma 67.panta 1.punktu 50% apmērā- 1,70 euro (3,40*50%).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izmeklējumu- 35,90 euro (3,40+3,40+3,40+1,70+24,00).  Gadā plānots 5  * 35,90 euro = 179,50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</si>
  <si>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4,83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proced.- 0,0086 euro; 4) vienreizējās lietošanas cimdi, pāris - 0,047 euro; 5) 5% Standarteritrocītu komplekts ABO asins grupas noteikšanai ar apgriezto reakciju A1;B (Hematest) (3x5) - 0,1 ml.- 0,22 euro; 6) Pastēra pipete 3,5 ml sterila  1 gb.- 0,019 euro.; 7) mēģenes ar apaļu pamatni 1 gb.- 0,01 euro; 8) FT 250 Universal 0,5-250 uL uzgaļi 2 gb.- 0,06 euro. Izdevumi kopā: 0,15+3,48+0,0086+0,047 +0,22+0,019+0,01+0,06=3,9946 euro. Izdevumi ar PVN 21%- 4,83 euro. Gadā plānots 5 *4,83 euro=24,15 euro.</t>
    </r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</si>
  <si>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euro: 168,17 stundas (vidējais darba stundu skaits mēnesī 2022.gadā) : 60 minūtes  ir  1718,04: 168,17 : 60=  0,17 euro. 1 izmeklējuma veikšanas darba izmaksas 0,17 euro* 20 minūtes=3,40 euro. Piemaksa par virsstundu darbu askaņā ar Darba likuma 68.panta 1.punktu 100% apmērā- 3,40 euro. Piemaksa par  darbu svētku dienās saskaņā ar Darba likuma 68.panta 1.punktu 100% apmērā- 3,40 euro.  Piemaksa par nakts darbu saskaņā ar Darba likuma 67.panta 1.punktu 50% apmērā- 1,70 euro (3,40*50%).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izmeklējumu- 35,90 euro (3,40+3,40+3,40+1,70+24,00).  Gadā plānots 4*35,90 euro =143,60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</si>
  <si>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5,28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0,0086 euro; 4) vienreizējās lietošanas cimdi, pāris - 0,047 euro;  5) mēģene ar apaļu pamatni  1 gb.- 0,01 euro; 6) FT 9400230 0,5-250 uL uzgaļi 1 gb.- 0,03 euro. Izdevumi kopā: 4,12+0,15+0,0086+0,047+0,01+0,03= 4,3656 euro. Izdevumi ar PVN 21%- 5,28 euro. Gadā plānots 4 *5,28 euro =21,12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</si>
  <si>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17,21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0,0086 euro; 4) vienreizējās lietošanas cimdi, pāris - 0,047 euro; 5) Diluents -2 (autokontrolei) 0,5 ml - 0,15 euro;  6) mēģene ar apaļu pamatni 1 gb - 0,01 euro; 6) Pastēra pipete 3,5 ml sterila 1 gb -  0,019 euro; 8) FT 9400230 uzgaļi  0,5-250 uL 12 gb - 0,36 euro. Izdevumi kopā: 11,04+2,59+0,0086+0,047 +0,15 + 0,01+0,019+0,36=14,2246 euro. Izdevumi ar PVN 21%- 17,21 euro. Gadā plānots 5 *17,21 euro =86,05 euro.</t>
    </r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</si>
  <si>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euro: 168,17 stundas (vidējais darba stundu skaits mēnesī 2022.gadā) : 60 minūtes  ir  1718,04: 168,17 : 60=  0,17 euro. 1 izmeklējuma veikšanas darba izmaksas 0,17 euro* 20 minūtes=3,40 euro. Piemaksa par virsstundu darbu askaņā ar Darba likuma 68.panta 1.punktu 100% apmērā- 3,40 euro. Piemaksa par  darbu svētku dienās saskaņā ar Darba likuma 68.panta 1.punktu 100% apmērā- 3,40 euro.  Piemaksa par nakts darbu saskaņā ar Darba likuma 67.panta 1.punktu 50% apmērā- 1,70 euro (3,40*50%).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izmeklējumu- 35,90 euro (3,40+3,40+3,40+1,70+24,00).  Gadā plānots 5 * 35,90 euro =179,50 euro.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</si>
  <si>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14,67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0,0086 euro; 4) vienreizējās lietošanas cimdi, pāris - 0,047 euro; 5) Diluents -2 (autokontrolei) 0,5 ml -0,15 euro;  6) mēģene ar apaļu pamatni 1 gb -  0,01 euro; 7) Pastērā pipete 3,5 ml  sterila 1 gb.- 0,019 euro; 8) FT 9400230 uzgaļi 0,5-250 uL 12 gb. - 0,36 euro. Izdevumi kopā: 8,52+3,01+0,0086+0,047+0,15+0,01+0,019+0,36= 12,1246 euro. Izdevumi ar PVN 21%- 14,67 euro.  Gadā plānots 5 * 14,67 euro =14,67 euro.</t>
    </r>
  </si>
  <si>
    <t xml:space="preserve">Viena izmeklējuma veikšanu nodrošina ārsts (mēnešalga- 1668 euro, piemaksa par darba stāžu- 50,04 euro, kopā- 1718,04 euro). Darba laika patēriņš 1 izmeklējuma veikšanai  20 minūtes. 1 minūtes darba izmaksas- 1718,04 euro: 168,17 stundas (vidējais darba stundu skaits mēnesī 2022.gadā) : 60 minūtes  ir  1718,04: 168,17 : 60=  0,17 euro. 1 izmeklējuma veikšanas darba izmaksas 0,17 euro* 20 minūtes=3,40 euro. Piemaksa par virsstundu darbu askaņā ar Darba likuma 68.panta 1.punktu 100% apmērā- 3,40 euro. Piemaksa par  darbu svētku dienās saskaņā ar Darba likuma 68.panta 1.punktu 100% apmērā- 3,40 euro.  Piemaksa par nakts darbu saskaņā ar Darba likuma 67.panta 1.punktu 50% apmērā- 1,70 euro (3,40*50%). Samaksa par  "izsaukuma gatavību" svētku dienā saskaņā ar Centra 03.03.2022. rīkojuma Nr.1-4.2/10 2.punktu noteikta atlīdzība- stundas piemaksa 10% no stundas mēnešalgas par “izsaukuma gatavību”- 1,00 euro, par 24 stundu dežūru svētku dienā- 24,00 euro (1,00 euro*24 stundas). Samaksa par izmeklējumu- 35,90 euro (3,40+3,40+3,40+1,70+24,00).  Gadā plānots 15 * 35,90 euro = 538,50 euro. </t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</si>
  <si>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2,01 euro</t>
    </r>
    <r>
      <rPr>
        <sz val="9"/>
        <rFont val="Times New Roman"/>
        <family val="1"/>
        <charset val="186"/>
      </rPr>
      <t>, tai skaitā  1) Karte Liss Coombs 0.17 gb.- 0,92 euro; 2) Diluents -2  -0.5 ml - 0,15 euro; 3) dezinfekcijas līdzeklis 1 proced. -  0,0086 euro; 4) vienreizējās lietošanas cimdi, pāris - 0,047 euro; 5) mēģene ar apaļu pamatni 1 gb.- 0,01 euro; 6) Pastēra  pipete 3,5 ml sterila 1 gb.- 0,019 euro; 7) FT 9400230 uzgaļi 0,5-250 uL 17 gb.- 0,509 euro. Izdevumi kopā: 0,92+0,15+0,0086+0,047+0,01+ 0,019+0,509=1,6636 euro. Izdevumi ar PVN 21%- 2,01 euro. Gadā plānots 15 * 2,01 euro =30,15 euro.</t>
    </r>
  </si>
  <si>
    <t>Gada faktiskās izmaksas 272,76 euro attiecas uz Hematoloģiskās izmeklēšanas nodaļas (turpmāk- ID)  veiktajiem izmeklējumiem. 2021.gadā ID veikto maksas pakalpojumu skaits- 9509 izmeklējumi. Izmaksas uz 1 izmeklējumu  272,76 euro : 9509 izmeklējumi= 0,029 euro. Gadā plānotie izmeklējumi: 269* 0,029=7,72 euro.</t>
  </si>
  <si>
    <t>Gada faktiskās izmaksas 20,68 euro attiecas uz Hematoloģiskās izmeklēšanas nodaļas (turpmāk- ID)  veiktajiem izmeklējumiem. 2021.gadā ID veikto maksas pakalpojumu skaits- 9509 izmeklējumi. Izmaksas uz 1 izmeklējumu  20,68 euro : 9509 izmeklējumi= 0,002 euro. Gadā plānotie izmeklējumi: 895 * 0,002=1,94 euro.</t>
  </si>
  <si>
    <t>Gada faktiskās izmaksas 484,21 euro attiecas uz Hematoloģiskās izmeklēšanas nodaļas (turpmāk- ID)  veiktajiem izmeklējumiem. 2021.gadā ID veikto maksas pakalpojumu skaits- 9509 izmeklējumi. Izmaksas uz 1 izmeklējumu  484,21 euro : 9509 izmeklējumi= 0,051 euro. Gadā plānotie izmeklējumi: 895* 0,051=45,57 euro.</t>
  </si>
  <si>
    <t>Gada faktiskās izmaksas 28,69 euro attiecas uz Hematoloģiskās izmeklēšanas nodaļas (turpmāk- ID)  veiktajiem izmeklējumiem. 2021.gadā ID veikto maksas pakalpojumu skaits- 9509 izmeklējumi. Izmaksas uz 1 izmeklējumu 28,69 euro : 9509 izmeklējumi= 0,003 euro. Gadā plānotie izmeklējumi:  224 * 0,003=0,68 euro.</t>
  </si>
  <si>
    <t>Gada faktiskās izmaksas 8,56 euro attiecas uz Hematoloģiskās izmeklēšanas nodaļas (turpmāk- ID)  veiktajiem izmeklējumiem. 2021.gadā ID veikto maksas pakalpojumu skaits- 9509 izmeklējumi. Izmaksas uz 1 izmeklējumu 8,56 euro : 9509 izmeklējumi= 0,001 euro. Gadā plānotie izmeklējumi:  224 * 0,0009=0,20 euro.</t>
  </si>
  <si>
    <t>Gada faktiskās izmaksas 61,55 euro attiecas uz Hematoloģiskās izmeklēšanas nodaļas (turpmāk- ID)  veiktajiem izmeklējumiem. 2021.gadā ID veikto maksas pakalpojumu skaits- 9509 izmeklējumi. Izmaksas uz 1 izmeklējumu 61,55 euro : 9509 izmeklējumi= 0,006 euro. Gadā plānotie izmeklējumi: 1970 * 0,00647=12,75euro.</t>
  </si>
  <si>
    <t>Gada faktiskās izmaksas 23,35 euro attiecas uz Hematoloģiskās izmeklēšanas nodaļas (turpmāk- ID)  veiktajiem izmeklējumiem. 2021.gadā ID veikto maksas pakalpojumu skaits- 9509 izmeklējumi. Izmaksas uz 1 izmeklējumu 23,35 euro : 9509 izmeklējumi= 0,002 euro. Gadā plānotie izmeklējumi: 50 * 0,00246=0,12 euro.</t>
  </si>
  <si>
    <t>Gada faktiskās izmaksas 87,42 euro attiecas uz Hematoloģiskās izmeklēšanas nodaļas (turpmāk- ID)  veiktajiem izmeklējumiem. 2021.gadā ID veikto maksas pakalpojumu skaits- 9509 izmeklējumi. Izmaksas uz 1 izmeklējumu 87,42 euro : 9509 izmeklējumi= 0,009 euro. Gadā plānotie izmeklējumi: 50* 0,00919=0,46 euro.</t>
  </si>
  <si>
    <t>Gada faktiskās izmaksas 58,04 euro attiecas uz Hematoloģiskās izmeklēšanas nodaļas (turpmāk- ID)  veiktajiem izmeklējumiem. 2021.gadā ID veikto maksas pakalpojumu skaits- 9509 izmeklējumi. Izmaksas uz 1 izmeklējumu  58,04 euro : 9509 izmeklējumi= 0,006 euro. Gadā plānotie izmeklējumi:  50 * 0,0061=0,31 euro.</t>
  </si>
  <si>
    <t>Gada faktiskās izmaksas 249,88 euro attiecas uz Hematoloģiskās izmeklēšanas nodaļas (turpmāk- ID)  veiktajiem izmeklējumiem. 2021.gadā ID veikto maksas pakalpojumu skaits- 9509 izmeklējumi. Izmaksas uz 1 izmeklējumu 249,88 euro : 9509 izmeklējumi= 0,026 euro. Gadā plānotie izmeklējumi: 50 * 0,02628=1,31 euro.</t>
  </si>
  <si>
    <t>Gada faktiskās izmaksas 61,55 euro attiecas uz Hematoloģiskās izmeklēšanas nodaļas (turpmāk- ID)  veiktajiem izmeklējumiem. 2021.gadā ID veikto maksas pakalpojumu skaits- 9509 izmeklējumi. Izmaksas uz 1 izmeklējumu 61,55 euro : 9509 izmeklējumi= 0,006 euro. Gadā plānotie izmeklējumi: 50 * 0,00647=0,32 euro.</t>
  </si>
  <si>
    <t>Gada faktiskās izmaksas 88,34 euro attiecas uz Hematoloģiskās izmeklēšanas nodaļas (turpmāk- ID)  veiktajiem izmeklējumiem. 2021.gadā ID veikto maksas pakalpojumu summa- 9509 izmeklējumi. Izmaksas uz 1 izmeklējumu  88,34 euro : 9509 izmeklējumi= 0,009 euro. Gadā plānotie izmeklējumi: 50 * 0,00929=0,46 euro.</t>
  </si>
  <si>
    <t>Gada faktiskās izmaksas 241,97 euro attiecas uz Hematoloģiskās izmeklēšanas nodaļas (turpmāk- ID)  veiktajiem izmeklējumiem. 2021.gadā ID veikto maksas pakalpojumu skaits- 9509 izmeklējumi. Izmaksas uz 1 izmeklējumu  241,97 euro : 9509 izmeklējumi= 0,025 euro. Gadā plānotie izmeklējumi: 30 * 0,0255=0,76 euro.</t>
  </si>
  <si>
    <t>Viena izmeklējuma veikšanu nodrošina ārsts (mēnešalga- 1668 euro, piemaksa par darba stāžu- 50,04 euro, kopā- 1718,04 euro). Darba laika patēriņš 1 izmeklējuma veikšanai 195 minūtes. 1 minūtes darba izmaksas- 1718,04 euro : 168,17 stundas (vidējais darba stundu skaits mēnesī 2022.gadā) : 60 minūtes  ir  1718,04 :168,17 : 60= 0,17 euro. Samaksa par izmeklējumu- 33,15 euro (0,17 euro*195 minūtes).  Gadā plānots 4 * 33,15 euro=132,60 euro.</t>
  </si>
  <si>
    <r>
      <t xml:space="preserve">Maksas pakalpojuma veids: </t>
    </r>
    <r>
      <rPr>
        <sz val="10"/>
        <rFont val="Times New Roman"/>
        <family val="1"/>
        <charset val="186"/>
      </rPr>
      <t xml:space="preserve">3.13. Eluāta iegūšana no DAT pozitīviem eritrocītiem ar Dia Cidel, neatliekami. Materiāls saņemts pēc plkst.12:00, izmeklējums veikts tajā pašā dienā līdz plkst.17:00 (piemaksa par steidzamību) 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</si>
  <si>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10,96 euro</t>
    </r>
    <r>
      <rPr>
        <sz val="9"/>
        <rFont val="Times New Roman"/>
        <family val="1"/>
        <charset val="186"/>
      </rPr>
      <t>, tai skaitā 1) Karte Liss Coombs 1 gb.- 6,68 euro; 2) Eritrocīti no ID-Dia panel Pluss 6 (papildpanelis) (6x4) 0,3 ml - 2,08 euro; 3) dezinfekcijas līdzeklis 1 proced.- 0,0086 euro; 4) vienreizējās lietošanas cimdi, pāris - 0,047 euro; 5) mēģene ar apaļu pamatni  1 gb- 0,01 euro; 6) Pastēra pipete 3,5 ml sterila 1 gb- 0,019 euro; 7) FT 250 9400230 uzgaļi 0,5-250 uL 7 gb - 0,21 euro. Izdevumi kopā: 6,68+2,08+0,0086+0,047+0,01+0,019+0,21=9,0546 euro .Izdevumi ar PVN 21%- 10,96 euro. Gadā plānots 5 *10,96 euro =54,80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</si>
  <si>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10,96 euro</t>
    </r>
    <r>
      <rPr>
        <sz val="9"/>
        <rFont val="Times New Roman"/>
        <family val="1"/>
        <charset val="186"/>
      </rPr>
      <t>, tai skaitā 1) Karte Liss Coombs 1 gb.- 6,68 euro; 2) Eritrocīti no ID-Dia panel Pluss 6 (papildpanelis) (6x4) 0,3 ml - 2,08 euro; 3) dezinfekcijas līdzeklis 1 proced.- 0,0086 euro; 4) vienreizējās lietošanas cimdi, pāris - 0,047 euro; 5) mēģene ar apaļu pamatni  1 gb- 0,01 euro; 6) Pastēra pipete 3,5 ml sterila 1 gb- 0,019 euro; 7) FT 250 9400230 uzgaļi 0,5-250 uL 7 gb - 0,21 euro. Izdevumi kopā: 6,68+2,08+0,0086+0,047+0,01+0,019+0,21=9,0546 euro .Izdevumi ar PVN 21%- 10,96 euro. Gadā plānots 20 *10,96 euro =219,20 euro.</t>
    </r>
  </si>
  <si>
    <t xml:space="preserve">Viena izmeklējuma veikšanu nodrošina ārsts (mēnešalga- 1668 euro, piemaksa par darba stāžu- 50,04 euro, kopā- 1718,04 euro). Darba laika patēriņš 1 izmeklējuma veikšanai 10 minūtes. 1 minūtes darba izmaksas- 1718,04 euro: 168,17 stundas (vidējais darba stundu skaits mēnesī 2022.gadā) : 60 minūtes  ir  1718,04: 168,17 : 60=  0,17 euro. 1 izmeklējuma veikšanas darba izmaksas 0,17 euro* 10 minūtes=1,70 euro.  Samaksa par virsstundu darbu, piemaksa 100% apmērā- 1668 euro : 168,17 stundas : 60 minūtes= 0,17 euro * 10 minūtes= 1,70 euro. Piemaksa par nakts darbu saskaņā ar Darba likuma 67.panta 1.punktu  50% apmērā- 0,85 euro (1,70 euro* 50%).  Samaksa par  "izsaukuma gatavību"  darba dienās  saskaņā ar Centra 03.03.2022. rīkojuma Nr.1-4.2/10 1.punktu  noteikta stundas piemaksa 5% no stundas mēnešalgas 9,92 euro atlīdzība par “izsaukuma gatavību”- 0,50 euro, 15 stundu dežūru darba dienās- 7,50 euro (0,50 euro*15 stundas). Samaksa par izmeklējumu- 11,75 euro (1,70+1,70+0,85+7,50). Gadā plānots 5*11,75 euro = 58,75 euro. </t>
  </si>
  <si>
    <t>Tiešā antiglobulīna testa diferencēšana (IgG, C3d, ctl) ar gelkaršu metodi</t>
  </si>
  <si>
    <t>Tiešā antiglobulīna testa diferencēšana (IgG, IgA, IgM, C3c, C3d, ctl) ar gelkaršu metodi</t>
  </si>
  <si>
    <t>Laboratorijas pakalpojumi- sniegti darba laikā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</si>
  <si>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</si>
  <si>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</si>
  <si>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</si>
  <si>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</si>
  <si>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</si>
  <si>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</si>
  <si>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</si>
  <si>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</si>
  <si>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</si>
  <si>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</si>
  <si>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Tiešā antiglobulīna testa diferencēšana (IgG, C3d, ctl) ar gelkaršu metodi- neatliekami</t>
  </si>
  <si>
    <t>Eluāta iegūšana no DAT pozitīviem eritrocītiem ar Dia Cidel-neatliekami</t>
  </si>
  <si>
    <r>
      <t>Antieritrocitāro antivielu identifikācija (37</t>
    </r>
    <r>
      <rPr>
        <vertAlign val="superscript"/>
        <sz val="10"/>
        <color theme="1"/>
        <rFont val="Times New Roman"/>
        <family val="1"/>
        <charset val="186"/>
      </rPr>
      <t xml:space="preserve">o </t>
    </r>
    <r>
      <rPr>
        <sz val="10"/>
        <color theme="1"/>
        <rFont val="Times New Roman"/>
        <family val="1"/>
        <charset val="186"/>
      </rPr>
      <t>vai 4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>, vai 20</t>
    </r>
    <r>
      <rPr>
        <vertAlign val="superscript"/>
        <sz val="10"/>
        <color theme="1"/>
        <rFont val="Times New Roman"/>
        <family val="1"/>
        <charset val="186"/>
      </rPr>
      <t>o)</t>
    </r>
    <r>
      <rPr>
        <sz val="10"/>
        <color theme="1"/>
        <rFont val="Times New Roman"/>
        <family val="1"/>
        <charset val="186"/>
      </rPr>
      <t>ar gelkaršu metodi, enzīmu testu (2 kartes Na Cl enzyme)-neatliekami</t>
    </r>
  </si>
  <si>
    <t xml:space="preserve">Laboratorijas pakalpojumi-   izmeklējums veikts tajā pašā darba dienā no plkst. 17:00 līdz 22:00 (dežūra darba dienā, virsstundas), "izsaukuma gatavība" darba dienās no plkst.17:00 līdz plkst. 08:00- 15 stundas                    </t>
  </si>
  <si>
    <t>Asins grupas noteikšana ABO sistēmā izmantojot plaknes metodi (dubultreakcija)-virsstundas</t>
  </si>
  <si>
    <t>ABO asins grupas (dubultreakcija) un Rh (D) noteikšana ar gelkaršu metodi (karte ABO/D+reverse grouping)-virsstundas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</si>
  <si>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</si>
  <si>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</si>
  <si>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</si>
  <si>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</si>
  <si>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</si>
  <si>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</si>
  <si>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</si>
  <si>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</si>
  <si>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Tiešā antiglobulīna testa diferencēšana (IgG, C3d, ctl) ar gelkaršu metodi-virsstundas</t>
  </si>
  <si>
    <t>Eluāta iegūšana no DAT pozitīviem eritrocītiem ar Dia Cidel-virsstundas</t>
  </si>
  <si>
    <r>
      <t>Antieritrocitāro antivielu identifikācija (37</t>
    </r>
    <r>
      <rPr>
        <vertAlign val="superscript"/>
        <sz val="10"/>
        <color theme="1"/>
        <rFont val="Times New Roman"/>
        <family val="1"/>
        <charset val="186"/>
      </rPr>
      <t xml:space="preserve">o </t>
    </r>
    <r>
      <rPr>
        <sz val="10"/>
        <color theme="1"/>
        <rFont val="Times New Roman"/>
        <family val="1"/>
        <charset val="186"/>
      </rPr>
      <t>vai 4</t>
    </r>
    <r>
      <rPr>
        <vertAlign val="superscript"/>
        <sz val="10"/>
        <color theme="1"/>
        <rFont val="Times New Roman"/>
        <family val="1"/>
        <charset val="186"/>
      </rPr>
      <t>o</t>
    </r>
    <r>
      <rPr>
        <sz val="10"/>
        <color theme="1"/>
        <rFont val="Times New Roman"/>
        <family val="1"/>
        <charset val="186"/>
      </rPr>
      <t>, vai 20</t>
    </r>
    <r>
      <rPr>
        <vertAlign val="superscript"/>
        <sz val="10"/>
        <color theme="1"/>
        <rFont val="Times New Roman"/>
        <family val="1"/>
        <charset val="186"/>
      </rPr>
      <t>o)</t>
    </r>
    <r>
      <rPr>
        <sz val="10"/>
        <color theme="1"/>
        <rFont val="Times New Roman"/>
        <family val="1"/>
        <charset val="186"/>
      </rPr>
      <t>ar gelkaršu metodi, enzīmu testu (2 kartes Na Cl enzyme)-virsstundas</t>
    </r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</si>
  <si>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</si>
  <si>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</si>
  <si>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</si>
  <si>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</si>
  <si>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</si>
  <si>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</si>
  <si>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</si>
  <si>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</si>
  <si>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</si>
  <si>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</si>
  <si>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</si>
  <si>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</si>
  <si>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</si>
  <si>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</si>
  <si>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</si>
  <si>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</si>
  <si>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</si>
  <si>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</si>
  <si>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</si>
  <si>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>9.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</si>
  <si>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</si>
  <si>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</si>
  <si>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</si>
  <si>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</si>
  <si>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</si>
  <si>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</si>
  <si>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</si>
  <si>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</si>
  <si>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</si>
  <si>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</si>
  <si>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</si>
  <si>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</si>
  <si>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</si>
  <si>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</si>
  <si>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Lekcijas teorija 27 akadēmiskās stundas *45min/60min=20,25 stundas * 1,07 euro/ stundā = 21,67 euro. Praktiskais, pastāvīgais darbs 3,0 akadēmiskās stundas*45min/60min= 2,25 stundas * 1,07 /euro stundā = 2,41 euro. Kopā:  21,67 + 2,41= 24,08 euro. </t>
  </si>
  <si>
    <r>
      <t>Reaģentu, materiālu izmaksas praktiskajām nodarbībām.  1.</t>
    </r>
    <r>
      <rPr>
        <b/>
        <sz val="9"/>
        <rFont val="Times New Roman"/>
        <family val="1"/>
        <charset val="186"/>
      </rPr>
      <t xml:space="preserve">Asins grupas noteikšana ar dubultreakciju, plaknes metode, </t>
    </r>
    <r>
      <rPr>
        <sz val="9"/>
        <rFont val="Times New Roman"/>
        <family val="1"/>
        <charset val="186"/>
      </rPr>
      <t>tai skaitā</t>
    </r>
    <r>
      <rPr>
        <b/>
        <sz val="9"/>
        <rFont val="Times New Roman"/>
        <family val="1"/>
        <charset val="186"/>
      </rPr>
      <t>: 1)</t>
    </r>
    <r>
      <rPr>
        <sz val="9"/>
        <rFont val="Times New Roman"/>
        <family val="1"/>
        <charset val="186"/>
      </rPr>
      <t xml:space="preserve">Anti A monoklonālais reaģents 0,1ml-0,054 euro izmaksas 1 izmeklējumam*kursants veic 2 reizes  izmeklējumu=0,108 euro. 2)Anti B monoklonālais reaģents, cena 0,1ml-0,054 euro izmaksas 1 izmeklējumam*kursants veic 2 reizes  izmeklējumu= 0,108 euro.  3)Pastēra pipete 3,5ml 1gb. -0,019 euro*2gb.=0,038 euro. 4)5% Standarteritrocītu komplekts ABO asins grupas noteikšanai ar apgriezto reakciju O, A1,B - 0,3ml=0,578 euro. </t>
    </r>
    <r>
      <rPr>
        <b/>
        <sz val="9"/>
        <rFont val="Times New Roman"/>
        <family val="1"/>
        <charset val="186"/>
      </rPr>
      <t>1.Kopā  0,832 euro</t>
    </r>
    <r>
      <rPr>
        <sz val="9"/>
        <rFont val="Times New Roman"/>
        <family val="1"/>
        <charset val="186"/>
      </rPr>
      <t xml:space="preserve"> (0,108 euro+0,108 euro+0,038+0,578). </t>
    </r>
  </si>
  <si>
    <r>
      <rPr>
        <b/>
        <sz val="9"/>
        <rFont val="Times New Roman"/>
        <family val="1"/>
        <charset val="186"/>
      </rPr>
      <t xml:space="preserve">2.Rh (D) pazīmes noteikšana ar plaknes metodi, </t>
    </r>
    <r>
      <rPr>
        <sz val="9"/>
        <rFont val="Times New Roman"/>
        <family val="1"/>
        <charset val="186"/>
      </rPr>
      <t>tai skaitā</t>
    </r>
    <r>
      <rPr>
        <b/>
        <sz val="9"/>
        <rFont val="Times New Roman"/>
        <family val="1"/>
        <charset val="186"/>
      </rPr>
      <t xml:space="preserve">: </t>
    </r>
    <r>
      <rPr>
        <sz val="9"/>
        <rFont val="Times New Roman"/>
        <family val="1"/>
        <charset val="186"/>
      </rPr>
      <t xml:space="preserve"> 1)Anti- D¹ IgM monoklonālais reaģents 0,1ml -0,099 euro izmaksas 1 izmeklējumam*kursants veic 2 reizes izmeklējumu=0,199 euro. 2)Anti- D² IgM monoklonālais reaģents 0,1ml -0,099 euro izmaksas 1 izmeklējumam*kursants veic 2 reizes izmeklējumu=0,199 euro. 3)Kontrolreaģents - negatīva kontrole monoklonālam reaģentam 0,1ml -0,072 euro izmaksas 1 izmeklējumam *kursants veic 2 reizes izmeklējumu= 0,143 euro. 4) Pastēra pipete 3,5ml 1gb. -0,019 euro*2gb.=0,038 euro. </t>
    </r>
    <r>
      <rPr>
        <b/>
        <sz val="9"/>
        <rFont val="Times New Roman"/>
        <family val="1"/>
        <charset val="186"/>
      </rPr>
      <t>2.Kopā  0,579 euro</t>
    </r>
    <r>
      <rPr>
        <sz val="9"/>
        <rFont val="Times New Roman"/>
        <family val="1"/>
        <charset val="186"/>
      </rPr>
      <t xml:space="preserve"> (0,199 euro+0,199 euro+0,143 euro+0,038).</t>
    </r>
  </si>
  <si>
    <r>
      <rPr>
        <b/>
        <sz val="9"/>
        <rFont val="Times New Roman"/>
        <family val="1"/>
        <charset val="186"/>
      </rPr>
      <t>3</t>
    </r>
    <r>
      <rPr>
        <sz val="9"/>
        <rFont val="Times New Roman"/>
        <family val="1"/>
        <charset val="186"/>
      </rPr>
      <t>. 10 kursantiem lektors veic izmeklējuma demonstrāciju</t>
    </r>
    <r>
      <rPr>
        <b/>
        <sz val="9"/>
        <rFont val="Times New Roman"/>
        <family val="1"/>
        <charset val="186"/>
      </rPr>
      <t>. Rh-Kell  fenotipa noteikšana ar gelkaršu metodi, tai skaitā:</t>
    </r>
    <r>
      <rPr>
        <sz val="9"/>
        <rFont val="Times New Roman"/>
        <family val="1"/>
        <charset val="186"/>
      </rPr>
      <t xml:space="preserve"> 1) Gelkarte Diaclon Sugroup+K 1 gb. -4,12 euro*0,1 izmeklējumu skaits 1 kursantam=0,412 euro. 2) Diluents-2  0,5ml -0,14 euro*0,1 izmeklējumu skaits 1 kursantam=0,014 euro. 3)Mēģene ar apaļu pamatni 1 gb. - 0,01 euro*0,1=0,001 euro. 4) FT 9400230 0,5-250 uL uzgaļi 1 gb.- 0,03 euro*2 gb.*0,1= 0,006 euro. </t>
    </r>
    <r>
      <rPr>
        <b/>
        <sz val="9"/>
        <rFont val="Times New Roman"/>
        <family val="1"/>
        <charset val="186"/>
      </rPr>
      <t>3.Kopā 0,433 euro</t>
    </r>
    <r>
      <rPr>
        <sz val="9"/>
        <rFont val="Times New Roman"/>
        <family val="1"/>
        <charset val="186"/>
      </rPr>
      <t xml:space="preserve"> (0,412 euro+0,014 euro+0,001 euro+0,006 euro).</t>
    </r>
  </si>
  <si>
    <r>
      <rPr>
        <b/>
        <sz val="9"/>
        <rFont val="Times New Roman"/>
        <family val="1"/>
        <charset val="186"/>
      </rPr>
      <t xml:space="preserve"> 4. </t>
    </r>
    <r>
      <rPr>
        <sz val="9"/>
        <rFont val="Times New Roman"/>
        <family val="1"/>
        <charset val="186"/>
      </rPr>
      <t>10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kursantiem lektors veic izmeklējuma demonstrāciju. </t>
    </r>
    <r>
      <rPr>
        <b/>
        <sz val="9"/>
        <rFont val="Times New Roman"/>
        <family val="1"/>
        <charset val="186"/>
      </rPr>
      <t>Antieritrocitāro antivielu skrīnings ar gelkaršu metodi, tai skaitā:</t>
    </r>
    <r>
      <rPr>
        <sz val="9"/>
        <rFont val="Times New Roman"/>
        <family val="1"/>
        <charset val="186"/>
      </rPr>
      <t xml:space="preserve"> 1)Gelkarte Liss Coombs -0,5 kartes -2,76 euro*0,1=0,276 euro. 2)Mēģene ar apaļu pamatni 1 gb. - 0,01 euro*0,1=0,001 euro. 3) FT 9400230 0,5-250 uL uzgaļi 1 gb.- 0,03 euro*3 gb.*0,1= 0,009 euro. 4) Pastēra pipete 3,5ml 1gb. -0,019 euro. 5) 0,8% Standarteritrocīti ID-Dia Cell I-II-III 0,15ml- 0,25 euro.  </t>
    </r>
    <r>
      <rPr>
        <b/>
        <sz val="9"/>
        <rFont val="Times New Roman"/>
        <family val="1"/>
        <charset val="186"/>
      </rPr>
      <t>4.Kopā 0,555 euro</t>
    </r>
    <r>
      <rPr>
        <sz val="9"/>
        <rFont val="Times New Roman"/>
        <family val="1"/>
        <charset val="186"/>
      </rPr>
      <t xml:space="preserve"> (0,276 euro+0,001 euro+0,009 euro+0,019 euro+0,25euro).</t>
    </r>
  </si>
  <si>
    <r>
      <rPr>
        <b/>
        <sz val="9"/>
        <rFont val="Times New Roman"/>
        <family val="1"/>
        <charset val="186"/>
      </rPr>
      <t xml:space="preserve">5. </t>
    </r>
    <r>
      <rPr>
        <sz val="9"/>
        <rFont val="Times New Roman"/>
        <family val="1"/>
        <charset val="186"/>
      </rPr>
      <t>10 kursantiem lektors veic izmeklējuma demonstrāciju.</t>
    </r>
    <r>
      <rPr>
        <b/>
        <sz val="9"/>
        <rFont val="Times New Roman"/>
        <family val="1"/>
        <charset val="186"/>
      </rPr>
      <t xml:space="preserve"> Asins saderības izmeklēšana, </t>
    </r>
    <r>
      <rPr>
        <sz val="9"/>
        <rFont val="Times New Roman"/>
        <family val="1"/>
        <charset val="186"/>
      </rPr>
      <t xml:space="preserve">tai skaitā: 1)Anti A monoklonālais reaģents 0,1ml-0,054 euro izmaksas 1 izmeklējumam. 0,2ml=2*0,054 euro=0,1 euro. 0,108 euro* 0,1=0,01 euro. 2) Anti B monoklonālais reaģents 0,1ml-0,054 euro izmaksas 1 izmeklējumam. 0,2ml=2*0,054 euro=0,108 euro. 0,108 euro* 0,1=0,01 euro. 3) Gelkarte Liss Coombs1/6 daļa-5,52 euro*1/6 daļa= 0,92 euro. 0,92 euro*0,1=0,092 euro. 4)Diluents2  0,5ml - 0,14 euro izmaksas 1 izmeklējumam*0,1=0,014 euro. 5)Mēģene ar apaļu pamatni 1 gb. - 0,01 euro*0,1=0,001 euro. 6) FT 9400230 0,5-250 uL uzgaļi 1 gb.- 0,03 euro*2 gb.*0,1= 0,006 euro. 7) Hematest Er komplekts (O;A1;A2;B) -38,54 euro*0,1=3,854 euro. 8) Vienreizlietojama plakne Nacryl 21 izmeklējumam- 3,26 euro*1 gb.*0,1=0,326 euro. </t>
    </r>
    <r>
      <rPr>
        <b/>
        <sz val="9"/>
        <rFont val="Times New Roman"/>
        <family val="1"/>
        <charset val="186"/>
      </rPr>
      <t xml:space="preserve">5.Kopā   4,31 euro </t>
    </r>
    <r>
      <rPr>
        <sz val="9"/>
        <rFont val="Times New Roman"/>
        <family val="1"/>
        <charset val="186"/>
      </rPr>
      <t>(0,01 euro+0,01 euro+0,092 euro+0,014 euro+0,001 euro+0,006 euro+3,854 euro+0,326 euro)</t>
    </r>
  </si>
  <si>
    <r>
      <rPr>
        <b/>
        <sz val="9"/>
        <rFont val="Times New Roman"/>
        <family val="1"/>
        <charset val="186"/>
      </rPr>
      <t>6.Nepieciešamie materiāli, tai skaitā: 1)</t>
    </r>
    <r>
      <rPr>
        <sz val="9"/>
        <rFont val="Times New Roman"/>
        <family val="1"/>
        <charset val="186"/>
      </rPr>
      <t xml:space="preserve"> Vienreizlietojams halāts 1gb.- 2,50 euro.2)Vienreizējās lietošanas cimdi, pāris - 0,0470 euro.  3)Dezinfekcijas līdzeklis -0,0086 euro. </t>
    </r>
    <r>
      <rPr>
        <b/>
        <sz val="9"/>
        <rFont val="Times New Roman"/>
        <family val="1"/>
        <charset val="186"/>
      </rPr>
      <t xml:space="preserve"> 6.Kopā  2,555 euro</t>
    </r>
    <r>
      <rPr>
        <sz val="9"/>
        <rFont val="Times New Roman"/>
        <family val="1"/>
        <charset val="186"/>
      </rPr>
      <t xml:space="preserve"> (2,50 euro+0,047 euro+0,0086 euro). Kopā vienam dalībniekam 9,267 euro (0,832 euro+0,579 euro+0,433 euro+0,555 euro+4,313 euro+2,555 euro). </t>
    </r>
    <r>
      <rPr>
        <b/>
        <sz val="9"/>
        <rFont val="Times New Roman"/>
        <family val="1"/>
        <charset val="186"/>
      </rPr>
      <t>Kopā vienam dalībniekam ar PVN 21% -11,21 euro.</t>
    </r>
  </si>
  <si>
    <t>Gada faktiskās izmaksas 34722,82 euro. VADC vidējās izmaksas uz 1m² gadā 5,40 euro (34722,82 euro : 6424,71 m²). Konferenču zāle 101,6 m². Konferenču zāles gada izmaksas 548,64 euro ( 5,40 euro*101,6m²). Konferenču zāles izmaksa vienai stundai 0,2731 euro (548,64 euro : 2009 stundas 2021.g.). 30 akadēmiskās stundas*45min/60min= 22,5 stundas. 22,5 stundas *0,2731 euro/stundā= 6,14 euro. Plānotais dalībnieku skaits vienā kursā 10. Vienam dalībniekam 6,14 euro:10=0,61 euro.</t>
  </si>
  <si>
    <t>Gada faktiskās izmaksas 58063,11 euro. VADC vidējās izmaksas uz 1m² gadā 9,04 euro (58063,11 euro : 6424,71 m²). Konferenču zāle 101,6 m². Konferenču zāles gada izmaksas 918,46 euro (9,04 euro*101,6m²). Konferenču zāles izmaksa vienai stundai 0,4572 euro (918,46 euro : 2009 stundas 2021.g.). 30 akadēmiskās stundas*45min/60min= 22,5 stundas. 22,5 stundas *0,4572 euro/stundā= 10,29 euro. Plānotais dalībnieku skaits vienā kursā 10. Vienam dalībniekam 10,29 euro:10=1,03 euro.</t>
  </si>
  <si>
    <t>Gada faktiskās izmaksas 5870,30 euro. VADC vidējās izmaksas uz 1m² gadā 0,91 euro (5870,30 euro : 6424,71 m²). Konferenču zāle 101,6 m². Konferenču zāles gada izmaksas 92,46 euro (0,91 euro*101,6m²).Konferenču zāles izmaksa vienai stundai 0,0460 euro (92,46 euro : 2009 stundas 2021.g.). 30 akadēmiskās stundas*45min/60min= 22,5 stundas. 22,5 stundas *0,0460 euro/stundā= 1,04 euro. Plānotais dalībnieku skaits vienā kursā 10. Vienam dalībniekam 1,04 euro:10=0,10 euro.</t>
  </si>
  <si>
    <t>Gada faktiskās izmaksas 152358,29 euro. VADC vidējās izmaksas uz 1m² gadā 23,71 euro (152358,29 euro : 6424,71 m²). Konferenču zāle 101,6 m². Konferenču zāles gada izmaksas 2408,94 euro (23,71 euro*101,6m²). Konferenču zāles izmaksa vienai stundai 1,1991 euro (2408,94 euro : 2009 stundas 2021.g.). 30 akadēmiskās stundas*45min/60min= 22,5 stundas. 22,5 stundas *1,1991 euro/stundā= 26,98 euro. Plānotais dalībnieku skaits vienā kursā 10. Vienam dalībniekam 26,98 euro:10=2,70 euro.</t>
  </si>
  <si>
    <t>Gada faktiskās izmaksas 12561,83 euro. VADC vidējās izmaksas uz 1m² gadā 1,96 euro (12561,83 euro : 6424,71 m²).  Konferenču zāle 101,6 m². Konferenču zāles gada izmaksas 199,14 euro (1,96 euro*101,6m²). Konferenču zāles izmaksa vienai stundai 0,0991 euro (199,14 euro : 2009 stundas 2021.g.). 30 akadēmiskās stundas*45min/60min= 22,5 stundas. 22,5 stundas *0,0991 euro/stundā= 2,23 euro. Plānotais dalībnieku skaits vienā kursā 10. Vienam dalībniekam 2,23 euro:10=0,22 euro.</t>
  </si>
  <si>
    <t>Gada faktiskās izmaksas 43905,19 euro. VADC vidējās izmaksas uz 1m² gadā 6,83 euro (43905,19 euro : 6424,71 m²).  Konferenču zāle 101,6 m². Konferenču zāles gada izmaksas 693,93 euro (6,83 euro*101,6m²). Konferenču zāles izmaksa vienai stundai 0,3454 euro (693,93 euro : 2009 stundas 2021.g.). 30 akadēmiskās stundas*45min/60min= 22,5 stundas. 22,5 stundas *0,3454 euro/stundā= 7,77 euro. Plānotais dalībnieku skaits vienā kursā 10. Vienam dalībniekam 7,77 euro:10=0,78 euro.</t>
  </si>
  <si>
    <t>Gada faktiskās izmaksas 54758,36 euro. VADC vidējās izmaksas uz 1m² gadā 8,52 euro (54758,36 euro : 6424,71 m²). Konferenču zāle 101,6 m². Konferenču zāles gada izmaksas 865,63 euro (8,52 euro*101,6 m²).Konferenču zāles izmaksa vienai stundai 0,4309 euro (865,63 euro : 2009 stundas 2021.g.). 30 akadēmiskās stundas*45min/60min= 22,5 stundas. 22,5 stundas *0,4309 euro/stundā= 9,70 euro. Plānotais dalībnieku skaits vienā kursā 10. Vienam dalībniekam 9,70 euro:10=0,97 euro.</t>
  </si>
  <si>
    <t>Gada faktiskās izmaksas 41380,85 euro. VADC vidējās izmaksas uz 1m² gadā 6,44 euro (41380,85 euro : 6424,71 m²).  Konferenču zāle 101,6 m². Konferenču zāles gada izmaksas 654,30 euro (6,44 euro*101,6 m²). Konferenču zāles izmaksa vienai stundai 0,3257 euro (654,30 euro : 2009 stundas 2021.g.). 30 akadēmiskās stundas*45min/60min= 22,5 stundas. 22,5 stundas *0,3257 euro/stundā= 7,33 euro. Plānotais dalībnieku skaits vienā kursā 10. Vienam dalībniekam 7,33 euro:10=0,73 euro.</t>
  </si>
  <si>
    <t>Gada faktiskās izmaksas 113929,36 euro. VADC vidējās izmaksas uz 1m² gadā 17,73 euro (113929,36 euro : 6424,71 m²). Konferenču zāle 101,6 m². Konferenču zāles gada izmaksas 1801,37 euro (17,73 euro*101,6m²). Konferenču zāles izmaksa vienai stundai 0,8967 euro (1801,37 euro : 2009 stundas 2021.g.). 30 akadēmiskās stundas*45min/60min= 22,5 stundas. 22,5 stundas *0,8967 euro/stundā= 20,18 euro. Plānotais dalībnieku skaits vienā kursā 10. Vienam dalībniekam 20,18 euro:10=2,02 euro.</t>
  </si>
  <si>
    <t>Gada faktiskās izmaksas 397531,75 euro. VADC vidējās izmaksas uz 1m² gadā 61,88 euro (397531,75 euro : 6424,71 m²). Konferenču zāle 101,6 m². Konferenču zāles gada izmaksas 6287,0 euro (61,88 euro*101,6m²). Konferenču zāles izmaksa vienai stundai 3,1294 euro (6287 euro : 2009 stundas 2021.g.). 30 akadēmiskās stundas*45min/60min= 22,5 stundas. 22,5 stundas *3,1294 euro/stundā= 70,41 euro. Plānotais dalībnieku skaits vienā kursā 10. Vienam dalībniekam 70,41 euro:10= 7,04 euro.</t>
  </si>
  <si>
    <t>Gada faktiskās izmaksas 11038,27 euro. VADC vidējās izmaksas uz 1m² gadā 1,72 euro (11038,27 euro : 6424,71 m²).  Konferenču zāle 101,6 m². Konferenču zāles gada izmaksas 174,75 euro (1,72 euro*101,6 m²). Konferenču zāles izmaksa vienai stundai 0,0870 euro (174,75 euro : 2009 stundas 2021.g.). 30 akadēmiskās stundas*45min/60min= 22,5 stundas. 22,5 stundas *0,0870 euro/stundā= 1,96 euro. Plānotais dalībnieku skaits vienā kursā 10. Vienam dalībniekam 1,96 euro:10= 0,20 euro.</t>
  </si>
  <si>
    <t>Gada faktiskās izmaksas 36709,88 euro. VADC vidējās izmaksas uz 1m² gadā 5,71 euro (36709,88 euro : 6424,71 m²). Konferenču zāle 101,6 m². Konferenču zāles gada izmaksas 580,14 euro (5,71 euro*101,6m²). Konferenču zāles izmaksa vienai stundai 0,2888 euro (580,14 euro : 2009 stundas 2021.g.). 30 akadēmiskās stundas*45min/60min= 22,5 stundas. 22,5 stundas *0,2888 euro/stundā= 6,50 euro. Plānotais dalībnieku skaits vienā kursā 10. Vienam dalībniekam 6,50 euro:10=0,65 euro.</t>
  </si>
  <si>
    <t>Gada faktiskās izmaksas 8804,84 euro. VADC vidējās izmaksas uz 1m² gadā 1,37 euro (8804,84 euro : 6424,71 m²). Konferenču zāle 101,6 m². Konferenču zāles gada izmaksas 139,19 euro (1,37 euro*101,6m²). Konferenču zāles izmaksa vienai stundai 0,0693 euro (139,19 euro : 2009 stundas 2021.g.). 30 akadēmiskās stundas*45min/60min= 22,5 stundas. 22,5 stundas *0,0693 euro/stundā= 1,56 euro. Plānotais dalībnieku skaits vienā kursā 10. Vienam dalībniekam 1,56 euro:10=0,16 euro.</t>
  </si>
  <si>
    <t>Gada faktiskās izmaksas 13401,47 euro. VADC vidējās izmaksas uz 1m² gadā 2,09 euro (13401,47 euro : 6424,71 m²). Konferenču zāle 101,6 m². Konferenču zāles gada izmaksas 212,34 euro (2,09 euro*101,6 m²).Konferenču zāles izmaksa vienai stundai 0,1057 euro (212,34 euro : 2009 stundas 2021.g.). 30 akadēmiskās stundas*45min/60min= 22,5 stundas. 22,5 stundas *0,1057 euro/stundā= 2,38 euro. Plānotais dalībnieku skaits vienā kursā 10. Vienam dalībniekam 2,38 euro:10=0,24 euro.</t>
  </si>
  <si>
    <t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Lekcijas teorija 15 akadēmiskās stundas *45min/60min=11,25 stundas * 1,07 euro/ stundā = 12,04 euro.   Praktiskais, pastāvīgais darbs 1 akadēmiskās stundas *45min/60min=0,75 stundas *1,07 euro/stundā = 0,80 euro.  Kopā= 12,04 euro +0,80 euro= 12,84 euro.</t>
  </si>
  <si>
    <r>
      <t xml:space="preserve">Reaģentu, materiālu izmaksas praktiskajām nodarbībām. </t>
    </r>
    <r>
      <rPr>
        <b/>
        <sz val="9"/>
        <rFont val="Times New Roman"/>
        <family val="1"/>
        <charset val="186"/>
      </rPr>
      <t>Asins grupas noteikšana tiešā reakcija un Rh(D) noteikšana ar plaknes metodi</t>
    </r>
    <r>
      <rPr>
        <sz val="9"/>
        <rFont val="Times New Roman"/>
        <family val="1"/>
        <charset val="186"/>
      </rPr>
      <t>, tai skaitā: 1)Anti A monoklonālais reaģents 0,1ml-</t>
    </r>
    <r>
      <rPr>
        <b/>
        <sz val="9"/>
        <rFont val="Times New Roman"/>
        <family val="1"/>
        <charset val="186"/>
      </rPr>
      <t>0,054 euro</t>
    </r>
    <r>
      <rPr>
        <sz val="9"/>
        <rFont val="Times New Roman"/>
        <family val="1"/>
        <charset val="186"/>
      </rPr>
      <t xml:space="preserve"> izmaksas 1 izmeklējumam.  2)Anti B monoklonālais reaģents, cena 0,1ml-</t>
    </r>
    <r>
      <rPr>
        <b/>
        <sz val="9"/>
        <rFont val="Times New Roman"/>
        <family val="1"/>
        <charset val="186"/>
      </rPr>
      <t>0,054 euro</t>
    </r>
    <r>
      <rPr>
        <sz val="9"/>
        <rFont val="Times New Roman"/>
        <family val="1"/>
        <charset val="186"/>
      </rPr>
      <t xml:space="preserve"> izmaksas 1 izmeklējumam. 3)Anti- D  monoklonālais reaģents 0,1ml -</t>
    </r>
    <r>
      <rPr>
        <b/>
        <sz val="9"/>
        <rFont val="Times New Roman"/>
        <family val="1"/>
        <charset val="186"/>
      </rPr>
      <t>0,099 euro</t>
    </r>
    <r>
      <rPr>
        <sz val="9"/>
        <rFont val="Times New Roman"/>
        <family val="1"/>
        <charset val="186"/>
      </rPr>
      <t xml:space="preserve"> izmaksas 1 izmeklējumam. 4)Vienreizlietojama plakne Nacryl 21 izmeklējumiem- 3,26 euro*1 izmeklējums/21 izmeklējums= </t>
    </r>
    <r>
      <rPr>
        <b/>
        <sz val="9"/>
        <rFont val="Times New Roman"/>
        <family val="1"/>
        <charset val="186"/>
      </rPr>
      <t>0,155 euro</t>
    </r>
    <r>
      <rPr>
        <sz val="9"/>
        <rFont val="Times New Roman"/>
        <family val="1"/>
        <charset val="186"/>
      </rPr>
      <t>. 5)Pastēra pipete 3,5ml sterila 1gb. -0,019 euro*2gb.</t>
    </r>
    <r>
      <rPr>
        <b/>
        <sz val="9"/>
        <rFont val="Times New Roman"/>
        <family val="1"/>
        <charset val="186"/>
      </rPr>
      <t>=0,038 euro</t>
    </r>
    <r>
      <rPr>
        <sz val="9"/>
        <rFont val="Times New Roman"/>
        <family val="1"/>
        <charset val="186"/>
      </rPr>
      <t xml:space="preserve">.  6)Lāpstiņa samaisīšanai- 0,0121 euro *2 gb.= </t>
    </r>
    <r>
      <rPr>
        <b/>
        <sz val="9"/>
        <rFont val="Times New Roman"/>
        <family val="1"/>
        <charset val="186"/>
      </rPr>
      <t>0,0242 euro</t>
    </r>
    <r>
      <rPr>
        <sz val="9"/>
        <rFont val="Times New Roman"/>
        <family val="1"/>
        <charset val="186"/>
      </rPr>
      <t xml:space="preserve">. 7)Vienreizējās lietošanas cimdi, pāris - </t>
    </r>
    <r>
      <rPr>
        <b/>
        <sz val="9"/>
        <rFont val="Times New Roman"/>
        <family val="1"/>
        <charset val="186"/>
      </rPr>
      <t>0,047 euro</t>
    </r>
    <r>
      <rPr>
        <sz val="9"/>
        <rFont val="Times New Roman"/>
        <family val="1"/>
        <charset val="186"/>
      </rPr>
      <t>. 8)Vienreizējās lietošanas halāts -</t>
    </r>
    <r>
      <rPr>
        <b/>
        <sz val="9"/>
        <rFont val="Times New Roman"/>
        <family val="1"/>
        <charset val="186"/>
      </rPr>
      <t xml:space="preserve"> 2,50 euro.</t>
    </r>
    <r>
      <rPr>
        <sz val="9"/>
        <rFont val="Times New Roman"/>
        <family val="1"/>
        <charset val="186"/>
      </rPr>
      <t xml:space="preserve">  </t>
    </r>
    <r>
      <rPr>
        <b/>
        <sz val="9"/>
        <rFont val="Times New Roman"/>
        <family val="1"/>
        <charset val="186"/>
      </rPr>
      <t>Kopā 2,9712 euro</t>
    </r>
    <r>
      <rPr>
        <sz val="9"/>
        <rFont val="Times New Roman"/>
        <family val="1"/>
        <charset val="186"/>
      </rPr>
      <t xml:space="preserve"> (0,054+0,054+0,099+0,155+0,038+0,0242+0,047+2,50). </t>
    </r>
    <r>
      <rPr>
        <b/>
        <sz val="9"/>
        <rFont val="Times New Roman"/>
        <family val="1"/>
        <charset val="186"/>
      </rPr>
      <t>Kopā vienam dalībniekam ar PVN 21% - 3,60 euro.</t>
    </r>
  </si>
  <si>
    <t xml:space="preserve">Izmeklējuma veikšanai lieto 2 pipetes un 2 lāpstiņas.  </t>
  </si>
  <si>
    <t>Gada faktiskās izmaksas 34722,82 euro. VADC vidējās izmaksas uz 1m² gadā 5,40 euro (34722,82 euro : 6424,71 m²). Konferenču zāle 101,6 m². Konferenču zāles gada izmaksas 548,64 euro ( 5,40 euro*101,6m²). Konferenču zāles izmaksa vienai stundai 0,2731 euro (548,64 euro : 2009 stundas 2021.g.).  16 akadēmiskās stundas*45min/60min= 12,0 stundas. 12,0 stundas *0,2731 euro/stundā= 3,28 euro. Plānotais dalībnieku skaits vienā kursā 10. Vienam dalībniekam 3,28 euro:10=0,33 euro.</t>
  </si>
  <si>
    <t>Gada faktiskās izmaksas 58063,11 euro. VADC vidējās izmaksas uz 1m² gadā 9,04 euro (58063,11 euro : 6424,71 m²). Konferenču zāle 101,6 m². Konferenču zāles gada izmaksas 918,46 euro (9,04 euro*101,6m²). Konferenču zāles izmaksa vienai stundai 0,4572 euro (918,46 euro : 2009 stundas 2021.g.).   16 akadēmiskās stundas*45min/60min= 12,0 stundas. 12,0 stundas *0,4572 euro/stundā= 5,49 euro. Plānotais dalībnieku skaits vienā kursā 10. Vienam dalībniekam 5,49 euro:10=0,55 euro.</t>
  </si>
  <si>
    <t>Gada faktiskās izmaksas 5870,30 euro. VADC vidējās izmaksas uz 1m² gadā 0,91 euro (5870,30 euro : 6424,71 m²). Konferenču zāle 101,6 m². Konferenču zāles gada izmaksas 92,46 euro (0,91 euro*101,6m²).Konferenču zāles izmaksa vienai stundai 0,0460 euro (92,46 euro : 2009 stundas 2021.g.). 16 akadēmiskās stundas*45min/60min= 12,0 stundas. 12,0 stundas *0,0460 euro/stundā= 0,55 euro. Plānotais dalībnieku skaits vienā kursā 10. Vienam dalībniekam 0,55 euro:10=0,06 euro.</t>
  </si>
  <si>
    <t>Gada faktiskās izmaksas 152358,29 euro. VADC vidējās izmaksas uz 1m² gadā 23,71 euro (152358,29 euro : 6424,71 m²). Konferenču zāle 101,6 m². Konferenču zāles gada izmaksas 2408,94 euro (23,71 euro*101,6m²). Konferenču zāles izmaksa vienai stundai 1,1991 euro (2408,94 euro : 2009 stundas 2021.g.).  16 akadēmiskās stundas*45min/60min= 12,0 stundas. 12,0 stundas *1,1991 euro/stundā= 14,39 euro. Plānotais dalībnieku skaits vienā kursā 10. Vienam dalībniekam 14,39 euro:10=1,44 euro.</t>
  </si>
  <si>
    <t>Gada faktiskās izmaksas 12561,83 euro. VADC vidējās izmaksas uz 1m² gadā 1,96 euro (12561,83 euro : 6424,71 m²).  Konferenču zāle 101,6 m². Konferenču zāles gada izmaksas 199,14 euro (1,96 euro*101,6m²). Konferenču zāles izmaksa vienai stundai 0,0991 euro (199,14 euro : 2009 stundas 2021.g.)  16 akadēmiskās stundas*45min/60min= 12,0 stundas. 12,0 stundas *0,0991 euro/stundā= 1,19 euro. Plānotais dalībnieku skaits vienā kursā 10. Vienam dalībniekam 1,19euro:10=0,12 euro.</t>
  </si>
  <si>
    <t>Gada faktiskās izmaksas 43905,19 euro. VADC vidējās izmaksas uz 1m² gadā 6,83 euro (43905,19 euro : 6424,71 m²).  Konferenču zāle 101,6 m². Konferenču zāles gada izmaksas 693,93 euro (6,83 euro*101,6m²). Konferenču zāles izmaksa vienai stundai 0,3454 euro (693,93 euro : 2009 stundas 2021.g.).  16 akadēmiskās stundas*45min/60min= 12,0 stundas. 12,0 stundas *0,3454 euro/stundā= 4,14 euro. Plānotais dalībnieku skaits vienā kursā 10. Vienam dalībniekam 4,14 euro:10=0,41 euro.</t>
  </si>
  <si>
    <t>Gada faktiskās izmaksas 54758,36 euro. VADC vidējās izmaksas uz 1m² gadā 8,52 euro (54758,36 euro : 6424,71 m²). Konferenču zāle 101,6 m². Konferenču zāles gada izmaksas 865,63 euro (8,52 euro*101,6 m²).Konferenču zāles izmaksa vienai stundai 0,4309 euro (865,63 euro : 2009 stundas 2021.g.).  16 akadēmiskās stundas*45min/60min= 12,0 stundas. 12,0 stundas *0,4309 euro/stundā= 5,17 euro. Plānotais dalībnieku skaits vienā kursā 10. Vienam dalībniekam 5,17 euro:10=0,52 euro.</t>
  </si>
  <si>
    <t>Gada faktiskās izmaksas 41380,85 euro. VADC vidējās izmaksas uz 1m² gadā 6,44 euro (41380,85 euro : 6424,71 m²).  Konferenču zāle 101,6 m². Konferenču zāles gada izmaksas 654,30 euro (6,44 euro*101,6 m²). Konferenču zāles izmaksa vienai stundai 0,3257 euro (654,30 euro : 2009 stundas 2021.g.). 16 akadēmiskās stundas*45min/60min= 12,0 stundas. 12,0 stundas *0,3257 euro/stundā= 3,91 euro. Plānotais dalībnieku skaits vienā kursā 10. Vienam dalībniekam 3,91 euro:10=0,39 euro.</t>
  </si>
  <si>
    <t>Gada faktiskās izmaksas 113929,36 euro. VADC vidējās izmaksas uz 1m² gadā 17,73 euro (113929,36 euro : 6424,71 m²). Konferenču zāle 101,6 m². Konferenču zāles gada izmaksas 1801,37 euro (17,73 euro*101,6m²). Konferenču zāles izmaksa vienai stundai 0,8967 euro (1801,37 euro : 2009 stundas 2021.g.).  16 akadēmiskās stundas*45min/60min= 12,0 stundas. 12,0 stundas *0,8967 euro/stundā= 10,76 euro. Plānotais dalībnieku skaits vienā kursā 10. Vienam dalībniekam 10,76euro:10=1,08 euro.</t>
  </si>
  <si>
    <t>Gada faktiskās izmaksas 397531,75 euro. VADC vidējās izmaksas uz 1m² gadā 61,88 euro (397531,75 euro : 6424,71 m²). Konferenču zāle 101,6 m². Konferenču zāles gada izmaksas 6287,0 euro (61,88 euro*101,6m²). Konferenču zāles izmaksa vienai stundai 3,1294 euro (6287 euro : 2009 stundas 2021.g.).   16 akadēmiskās stundas*45min/60min= 12,0 stundas. 12,0 stundas *3,1294 euro/stundā= 37,55 euro. Plānotais dalībnieku skaits vienā kursā 10. Vienam dalībniekam 37,55 euro:10= 3,76 euro.</t>
  </si>
  <si>
    <t>Gada faktiskās izmaksas 11038,27 euro. VADC vidējās izmaksas uz 1m² gadā 1,72 euro (11038,27 euro : 6424,71 m²).  Konferenču zāle 101,6 m². Konferenču zāles gada izmaksas 174,75 euro (1,72 euro*101,6 m²). Konferenču zāles izmaksa vienai stundai 0,0870 euro (174,75 euro : 2009 stundas 2021.g.).  16 akadēmiskās stundas*45min/60min= 12,0 stundas. 12,0 stundas *0,0870 euro/stundā= 1,04 euro. Plānotais dalībnieku skaits vienā kursā 10. Vienam dalībniekam 1,04 euro:10=0,10 euro.</t>
  </si>
  <si>
    <t>Gada faktiskās izmaksas 36709,88 euro. VADC vidējās izmaksas uz 1m² gadā 5,71 euro (36709,88 euro : 6424,71 m²). Konferenču zāle 101,6 m². Konferenču zāles gada izmaksas 580,14 euro (5,71 euro*101,6m²). Konferenču zāles izmaksa vienai stundai 0,2888 euro (580,14 euro : 2009 stundas 2021.g.)  16 akadēmiskās stundas*45min/60min= 12,0 stundas. 12,0 stundas *0,2888 euro/stundā= 3,47 euro. Plānotais dalībnieku skaits vienā kursā 10. Vienam dalībniekam 3,47 euro:10=0,35 euro.</t>
  </si>
  <si>
    <t>Gada faktiskās izmaksas 8804,84 euro. VADC vidējās izmaksas uz 1m² gadā 1,37 euro (8804,84 euro : 6424,71 m²). Konferenču zāle 101,6 m². Konferenču zāles gada izmaksas 139,19 euro (1,37 euro*101,6m²). Konferenču zāles izmaksa vienai stundai 0,0693 euro (139,19 euro : 2009 stundas 2021.g.).  16 akadēmiskās stundas*45min/60min= 12,0 stundas. 12,0 stundas *0,0693 euro/stundā= 0,83 euro. Plānotais dalībnieku skaits vienā kursā 10. Vienam dalībniekam 0,83 euro:10=0,08 euro.</t>
  </si>
  <si>
    <t>Gada faktiskās izmaksas 13401,47 euro. VADC vidējās izmaksas uz 1m² gadā 2,09 euro (13401,47 euro : 6424,71 m²). Konferenču zāle 101,6 m². Konferenču zāles gada izmaksas 212,34 euro (2,09 euro*101,6 m²).Konferenču zāles izmaksa vienai stundai 0,1057 euro (212,34 euro : 2009 stundas 2021.g.).  16 akadēmiskās stundas*45min/60min= 12,0 stundas. 12,0 stundas *0,1057 euro/stundā= 1,27 euro. Plānotais dalībnieku skaits vienā kursā 10. Vienam dalībniekam 1,27 euro:10=0,13 euro.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</si>
  <si>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 Lekcijas teorija 28 akadēmiskās stundas *45min/60min=21 stunda * 1,07 euro/ stundā = 22,47 euro. Praktiskais, pastāvīgais darbs 2,0 akadēmiskās stundas*45min/60min= 1,5 stundas * 1,07 /euro stundā = 1,61 euro. Kopā:  22,47+1,61 =  24,08 euro. </t>
  </si>
  <si>
    <r>
      <t xml:space="preserve">Reaģentu, materiālu izmaksas praktiskajām nodarbībām. </t>
    </r>
    <r>
      <rPr>
        <b/>
        <sz val="9"/>
        <rFont val="Times New Roman"/>
        <family val="1"/>
        <charset val="186"/>
      </rPr>
      <t>Asins grupas noteikšana tiešā reakcija un Rh(D) noteikšana ar plaknes metodi,</t>
    </r>
    <r>
      <rPr>
        <sz val="9"/>
        <rFont val="Times New Roman"/>
        <family val="1"/>
        <charset val="186"/>
      </rPr>
      <t xml:space="preserve"> tai skaitā: 1) Anti A monoklonālais reaģents 0,1ml- </t>
    </r>
    <r>
      <rPr>
        <b/>
        <sz val="9"/>
        <rFont val="Times New Roman"/>
        <family val="1"/>
        <charset val="186"/>
      </rPr>
      <t>0,054 euro</t>
    </r>
    <r>
      <rPr>
        <sz val="9"/>
        <rFont val="Times New Roman"/>
        <family val="1"/>
        <charset val="186"/>
      </rPr>
      <t xml:space="preserve"> izmaksas 1 izmeklējumam.  2) Anti B monoklonālais reaģents, cena 0,1ml-</t>
    </r>
    <r>
      <rPr>
        <b/>
        <sz val="9"/>
        <rFont val="Times New Roman"/>
        <family val="1"/>
        <charset val="186"/>
      </rPr>
      <t xml:space="preserve"> 0,054 euro</t>
    </r>
    <r>
      <rPr>
        <sz val="9"/>
        <rFont val="Times New Roman"/>
        <family val="1"/>
        <charset val="186"/>
      </rPr>
      <t xml:space="preserve"> izmaksas 1 izmeklējumam. 3)Anti- D  monoklonālais reaģents 0,1ml -</t>
    </r>
    <r>
      <rPr>
        <b/>
        <sz val="9"/>
        <rFont val="Times New Roman"/>
        <family val="1"/>
        <charset val="186"/>
      </rPr>
      <t>0,099 euro</t>
    </r>
    <r>
      <rPr>
        <sz val="9"/>
        <rFont val="Times New Roman"/>
        <family val="1"/>
        <charset val="186"/>
      </rPr>
      <t xml:space="preserve"> izmaksas 1 izmeklējumam.  4)Vienreizlietojama plakne Nacryl 21 izmeklējumiem- 3,26 euro*1 izmeklējums/21 izmeklējums= </t>
    </r>
    <r>
      <rPr>
        <b/>
        <sz val="9"/>
        <rFont val="Times New Roman"/>
        <family val="1"/>
        <charset val="186"/>
      </rPr>
      <t>0,155 euro</t>
    </r>
    <r>
      <rPr>
        <sz val="9"/>
        <rFont val="Times New Roman"/>
        <family val="1"/>
        <charset val="186"/>
      </rPr>
      <t>.  5)Pastēra pipete 3,5ml sterila 1gb. -0,019 euro*2gb.=</t>
    </r>
    <r>
      <rPr>
        <b/>
        <sz val="9"/>
        <rFont val="Times New Roman"/>
        <family val="1"/>
        <charset val="186"/>
      </rPr>
      <t>0,038 euro</t>
    </r>
    <r>
      <rPr>
        <sz val="9"/>
        <rFont val="Times New Roman"/>
        <family val="1"/>
        <charset val="186"/>
      </rPr>
      <t xml:space="preserve">. 6)Lāpstiņa samaisīšanai- 0,0121 euro *2 gb.= 0,0242 euro. 7)Vienreizējās lietošanas cimdi, pāris - 0,047 euro. 8)Vienreizējās lietošanas halāts - 2,50 euro.  </t>
    </r>
    <r>
      <rPr>
        <b/>
        <sz val="9"/>
        <rFont val="Times New Roman"/>
        <family val="1"/>
        <charset val="186"/>
      </rPr>
      <t>Kopā 2,9712 euro</t>
    </r>
    <r>
      <rPr>
        <sz val="9"/>
        <rFont val="Times New Roman"/>
        <family val="1"/>
        <charset val="186"/>
      </rPr>
      <t xml:space="preserve">  (0,054+0,054+0,099+0,155+0,038+0,0242+0,047+2,50). </t>
    </r>
    <r>
      <rPr>
        <b/>
        <sz val="9"/>
        <rFont val="Times New Roman"/>
        <family val="1"/>
        <charset val="186"/>
      </rPr>
      <t>Kopā vienam dalībniekam ar PVN 21% - 3,60 euro.</t>
    </r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</si>
  <si>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  Lekcijas teorija 30 akadēmiskās stundas *45min/60min=22,5 stundas * 1,07 euro/ stundā = 24,08 euro. Praktiskais, pastāvīgais darbs 40,0 akadēmiskās stundas*45min/60min= 30,0 stundas * 1,07 /euro stundā = 32,1 euro. Kopā:  24,08 + 32,1 =  56,18 euro. </t>
  </si>
  <si>
    <r>
      <t>Reaģentu, materiālu izmaksas praktiskajām nodarbībām.Cenas ar PVN. 1.</t>
    </r>
    <r>
      <rPr>
        <b/>
        <sz val="9"/>
        <rFont val="Times New Roman"/>
        <family val="1"/>
        <charset val="186"/>
      </rPr>
      <t xml:space="preserve">Asins grupas noteikšana ar dubultreakciju, plaknes metode, </t>
    </r>
    <r>
      <rPr>
        <sz val="9"/>
        <rFont val="Times New Roman"/>
        <family val="1"/>
        <charset val="186"/>
      </rPr>
      <t>tai skaitā: 1) Anti A monoklonālais reaģents 0,1ml-0,054 euro izmaksas 1 izmeklējumam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*20 izmeklējumi=1,08 euro. 2)Anti B monoklonālais reaģents, cena 0,1ml-0,054 euro izmaksas 1 izmeklējumam*20 izmeklējumi=1,08 euro. 3)5% Standarteritrocītu komplekts ABO asins grupas noteikšanai ar apgriezto reakciju O, A1,B (Hematest) - 0,3ml=0,578 euro*20 izmeklējumi=</t>
    </r>
    <r>
      <rPr>
        <b/>
        <sz val="9"/>
        <rFont val="Times New Roman"/>
        <family val="1"/>
        <charset val="186"/>
      </rPr>
      <t xml:space="preserve"> 11,56 euro</t>
    </r>
    <r>
      <rPr>
        <sz val="9"/>
        <rFont val="Times New Roman"/>
        <family val="1"/>
        <charset val="186"/>
      </rPr>
      <t xml:space="preserve">. 4)Pastēra pipete 3,5ml 1gb. -0,019 euro*20=0,38 euro. </t>
    </r>
    <r>
      <rPr>
        <b/>
        <sz val="9"/>
        <rFont val="Times New Roman"/>
        <family val="1"/>
        <charset val="186"/>
      </rPr>
      <t>1.Kopā 14,10 euro</t>
    </r>
    <r>
      <rPr>
        <sz val="9"/>
        <rFont val="Times New Roman"/>
        <family val="1"/>
        <charset val="186"/>
      </rPr>
      <t xml:space="preserve"> (1,08+1,08+11,56+0,38).</t>
    </r>
  </si>
  <si>
    <r>
      <rPr>
        <b/>
        <sz val="9"/>
        <rFont val="Times New Roman"/>
        <family val="1"/>
        <charset val="186"/>
      </rPr>
      <t xml:space="preserve">2.Rh (D) pazīmes noteikšana ar plaknes metodi, </t>
    </r>
    <r>
      <rPr>
        <sz val="9"/>
        <rFont val="Times New Roman"/>
        <family val="1"/>
        <charset val="186"/>
      </rPr>
      <t xml:space="preserve">tai skaitā: 1) Anti D¹  IgM monoklonālais reaģents 0,1ml- 0,099 euro izmaksas 1 izmeklējumam*20 izmeklējumi=1,98 euro. 2)Anti D²  IgM monoklonālais reaģents 0,1ml -0,099 euro izmaksas 1 izmeklējumam*20 izmeklējumi=1,98 euro. 3)Kontrolreaģents - negatīva kontrole monoklonālam reaģentam 0,1ml -0,072 euro izmaksas 1 izmeklējumam *20 izmeklējumi=1,44 euro. 4) Pastēra pipete 3,5ml 1gb. -0,019 euro*20=0,38 euro. </t>
    </r>
    <r>
      <rPr>
        <b/>
        <sz val="9"/>
        <rFont val="Times New Roman"/>
        <family val="1"/>
        <charset val="186"/>
      </rPr>
      <t>2.Kopā  5,78 euro</t>
    </r>
    <r>
      <rPr>
        <sz val="9"/>
        <rFont val="Times New Roman"/>
        <family val="1"/>
        <charset val="186"/>
      </rPr>
      <t xml:space="preserve"> (1,98+1,98+1,44+0,38).</t>
    </r>
  </si>
  <si>
    <r>
      <rPr>
        <b/>
        <sz val="9"/>
        <rFont val="Times New Roman"/>
        <family val="1"/>
        <charset val="186"/>
      </rPr>
      <t xml:space="preserve"> 3. A antigēna apakšgrupas noteikšana ar lektīniem, stobriņu metode,</t>
    </r>
    <r>
      <rPr>
        <sz val="9"/>
        <rFont val="Times New Roman"/>
        <family val="1"/>
        <charset val="186"/>
      </rPr>
      <t xml:space="preserve"> tai skaitā:</t>
    </r>
    <r>
      <rPr>
        <b/>
        <sz val="9"/>
        <rFont val="Times New Roman"/>
        <family val="1"/>
        <charset val="186"/>
      </rPr>
      <t xml:space="preserve"> 1)</t>
    </r>
    <r>
      <rPr>
        <sz val="9"/>
        <rFont val="Times New Roman"/>
        <family val="1"/>
        <charset val="186"/>
      </rPr>
      <t xml:space="preserve"> Anti A1 lektīns 0,1ml - 0,3856 euro*5 izmeklējumi=1,928 euro. 2)Anti H lektīns 0,1ml -0,668 euro*5 izmeklējumi=3,34 euro. 3)Mēģenes ar apaļu pamatni  1 gb. - 0,01 euro *2gb.=0,02 euro*5 izmeklējumi=0,10 euro. 4)Pastēra pipetes 3,5 ml sterilas 2 gb. - 0,038 euro* 5 izmeklējumi=0,19 euro</t>
    </r>
    <r>
      <rPr>
        <b/>
        <sz val="9"/>
        <rFont val="Times New Roman"/>
        <family val="1"/>
        <charset val="186"/>
      </rPr>
      <t>. 3.Kopā 5,56 euro</t>
    </r>
    <r>
      <rPr>
        <sz val="9"/>
        <rFont val="Times New Roman"/>
        <family val="1"/>
        <charset val="186"/>
      </rPr>
      <t xml:space="preserve"> (1,93+3,34+0,10+0,19)</t>
    </r>
  </si>
  <si>
    <r>
      <rPr>
        <b/>
        <sz val="9"/>
        <rFont val="Times New Roman"/>
        <family val="1"/>
        <charset val="186"/>
      </rPr>
      <t xml:space="preserve">4.Antieritrocitāro antivielu skrīnings ar gelkaršu metodi, </t>
    </r>
    <r>
      <rPr>
        <sz val="9"/>
        <rFont val="Times New Roman"/>
        <family val="1"/>
        <charset val="186"/>
      </rPr>
      <t xml:space="preserve">tai skaitā:1) Gelkarte Liss/Coombs 0,5 gb.-2,76 euro*6 izmeklējumi=16,56 euro. 2)0,8% Standarteritrocīti ID-Dia Cell I-II-III 0,15ml- 0,2499 euro*6 izmeklējumi = 1,50 euro. 3) Mēģene ar apaļu pamatni 1 gb. - 0,01 euro*6 izmeklējumi= 0,06 euro. 4)Pastēra pipete 3,5ml 1gb. -0,019 euro*6 izmeklējumi=0,114 euro 5) FT 9400230 0,5ml-250 uL uzgaļi 1 gb.- 0,03 euro*3 gab.*6 izmeklējumi=0,54 euro. </t>
    </r>
    <r>
      <rPr>
        <b/>
        <sz val="9"/>
        <rFont val="Times New Roman"/>
        <family val="1"/>
        <charset val="186"/>
      </rPr>
      <t xml:space="preserve">4.Kopā 18,77 euro </t>
    </r>
    <r>
      <rPr>
        <sz val="9"/>
        <rFont val="Times New Roman"/>
        <family val="1"/>
        <charset val="186"/>
      </rPr>
      <t>(16,56+1,50+0,06+0,114+0,54)</t>
    </r>
  </si>
  <si>
    <r>
      <rPr>
        <b/>
        <sz val="9"/>
        <rFont val="Times New Roman"/>
        <family val="1"/>
        <charset val="186"/>
      </rPr>
      <t>5.Direktais antiglobulīna tests,</t>
    </r>
    <r>
      <rPr>
        <sz val="9"/>
        <rFont val="Times New Roman"/>
        <family val="1"/>
        <charset val="186"/>
      </rPr>
      <t xml:space="preserve"> tai skaitā: 1) Gelkarte Liss/Coombs-1/6 daļa. 5,52 euro*1/6 =0,92 euro*6 izmeklējumi=5,52euro. 2)Diluents-2 0,5ml-0,14 euro izmaksas 1 izmeklējumam*6 izmeklējumi=0,84 euro. 3)Mēģene ar apaļu pamatni 1 gb. - 0,01 euro*6 izmeklējumi= 0,06 euro. 4)FT 9400230 0,5-250 uL uzgaļi 1 gb.- 0,03 euro*2 gb. *6 izmeklējumi = 0,36 euro. 5) Pastēra pipete 3,5ml 1gb. -0,019 euro*6 izmeklējumi =0,114 euro.    </t>
    </r>
    <r>
      <rPr>
        <b/>
        <sz val="9"/>
        <rFont val="Times New Roman"/>
        <family val="1"/>
        <charset val="186"/>
      </rPr>
      <t xml:space="preserve">5.Kopā 6,89  euro </t>
    </r>
    <r>
      <rPr>
        <sz val="9"/>
        <rFont val="Times New Roman"/>
        <family val="1"/>
        <charset val="186"/>
      </rPr>
      <t>(5,52+0,84+0,06+0,36+0,114).</t>
    </r>
  </si>
  <si>
    <r>
      <rPr>
        <b/>
        <sz val="9"/>
        <rFont val="Times New Roman"/>
        <family val="1"/>
        <charset val="186"/>
      </rPr>
      <t>6.Direktā antiglobulīna testa diferencēšana,</t>
    </r>
    <r>
      <rPr>
        <sz val="9"/>
        <rFont val="Times New Roman"/>
        <family val="1"/>
        <charset val="186"/>
      </rPr>
      <t xml:space="preserve"> tai skaitā:  1)Karte DAT Screening 2-0,5 gb.- 3,36 euro*1 izmeklējums= 3,36 euro. 2)Diluents 2 0,5ml-0,1 euro *1 izmeklējums =0,14 euro. 3) Mēģene ar apaļu pamatni 1 gb. - 0,01 euro*1 izmeklējums= 0,01 euro. 4) Pastēra pipete 3,5ml 1gb. -0,019 euro. 5) FT 9400230 0,5-250 uL uzgaļi 1 gb.- 0,03 euro*2 gb.*1 izmeklējums = 0,06 euro.</t>
    </r>
    <r>
      <rPr>
        <b/>
        <sz val="9"/>
        <rFont val="Times New Roman"/>
        <family val="1"/>
        <charset val="186"/>
      </rPr>
      <t xml:space="preserve"> 6.Kopā 3,59 euro</t>
    </r>
    <r>
      <rPr>
        <sz val="9"/>
        <rFont val="Times New Roman"/>
        <family val="1"/>
        <charset val="186"/>
      </rPr>
      <t xml:space="preserve"> (3,36+0,14+0,01+0,019+0,06).</t>
    </r>
  </si>
  <si>
    <r>
      <rPr>
        <b/>
        <sz val="9"/>
        <rFont val="Times New Roman"/>
        <family val="1"/>
        <charset val="186"/>
      </rPr>
      <t xml:space="preserve">7.Autokontrole 37°C IAT, </t>
    </r>
    <r>
      <rPr>
        <sz val="9"/>
        <rFont val="Times New Roman"/>
        <family val="1"/>
        <charset val="186"/>
      </rPr>
      <t xml:space="preserve">tai skaitā: 1)Gelkarte Liss/Coombs-1/6 daļa.  0,92 euro *2 izmeklējumi = 1,84 euro. 2)  Diluents 2 0,5ml-0,14 euro*2 izmeklējumi=0,28 euro. 3) Mēģene ar apaļu pamatni 1 gb. - 0,01 euro *2 izmeklējumi=0,02 euro. 4) Pastēra pipete 3,5ml 1gb. -0,019 euro*2 izmeklējumi=0,038 euro. 5)  FT 9400230 0,5-250 uL uzgaļi 1 gb.- 0,03 euro*2 gb.*2 izmeklējumi=0,12 euro. </t>
    </r>
    <r>
      <rPr>
        <b/>
        <sz val="9"/>
        <rFont val="Times New Roman"/>
        <family val="1"/>
        <charset val="186"/>
      </rPr>
      <t>7.Kopā 2,298 euro</t>
    </r>
    <r>
      <rPr>
        <sz val="9"/>
        <rFont val="Times New Roman"/>
        <family val="1"/>
        <charset val="186"/>
      </rPr>
      <t xml:space="preserve"> (1,84+0,28+0,02+0,038+0,12).</t>
    </r>
  </si>
  <si>
    <r>
      <rPr>
        <b/>
        <sz val="9"/>
        <rFont val="Times New Roman"/>
        <family val="1"/>
        <charset val="186"/>
      </rPr>
      <t>8.Asins saderības izmeklēšana,</t>
    </r>
    <r>
      <rPr>
        <sz val="9"/>
        <rFont val="Times New Roman"/>
        <family val="1"/>
        <charset val="186"/>
      </rPr>
      <t xml:space="preserve"> tai skaitā: 1)Anti A monoklonālais reaģents 0,1ml-0,054 euro izmaksas 1 izmeklējumam. 0,2ml=2*0,054 euro=0,108 euro *4 izmeklējumi =0,432 euro. 2) Anti B monoklonālais reaģents 0,1ml-0,054 euro izmaksas 1 izmeklējumam. 0,2ml=2*0,054 euro=0,108 euro*4 izmeklējumi=0,432 euro.3) Gelkarte Liss/Coombs-1/6 daļa -0,92 euro*4 izmeklējumi=3,68 euro. 4) Diluents-2 0,5ml - 0,14 euro izmaksas 1 izmeklējumam*4 izmeklējumi=0,56 euro. 5) Mēģene ar apaļu pamatni 1 gb. - 0,01 euro*4 izmeklējumi =0,04 euro. 6) FT 9400230 0,5-250 uL uzgaļi 1 gb.- 0,03 euro*2 gb.*4 izmeklējumi=0,24 euro. </t>
    </r>
    <r>
      <rPr>
        <b/>
        <sz val="9"/>
        <rFont val="Times New Roman"/>
        <family val="1"/>
        <charset val="186"/>
      </rPr>
      <t>8.Kopā 5,38 euro</t>
    </r>
    <r>
      <rPr>
        <sz val="9"/>
        <rFont val="Times New Roman"/>
        <family val="1"/>
        <charset val="186"/>
      </rPr>
      <t xml:space="preserve"> (0,432+0,432+3,68+0,56+0,04+0,24).</t>
    </r>
  </si>
  <si>
    <r>
      <rPr>
        <b/>
        <sz val="9"/>
        <rFont val="Times New Roman"/>
        <family val="1"/>
        <charset val="186"/>
      </rPr>
      <t xml:space="preserve"> 9.Asins grupas un Rh(D) pazīmes noteikšana ar gelkaršu metodi, </t>
    </r>
    <r>
      <rPr>
        <sz val="9"/>
        <rFont val="Times New Roman"/>
        <family val="1"/>
        <charset val="186"/>
      </rPr>
      <t xml:space="preserve">tai skaitā: 1) karte Dia Clon ABO/D (VI)+apgrieztā reakcija 1 gb.- 3,68 euro*2 izmeklējumi= 7,36 euro. 2)  Diluents-2 0,5ml - 0,14 euro izmaksas 1 izmeklējumam *2 izmeklējumi=0,28 euro. 3) Mēģene ar apaļu pamatni 1 gb. - 0,01 euro *2 gb. *2 izmeklējumi=0,04 euro.4) FT 250 Universal 0,5-250 uL uzgaļi 1 gb.- 0,03 euro*4 gb.*2 izmeklējumi=0,24 euro. 5) 5% Standarteritrocītu komplekts ABO asins rupas noteikšanai ar apgriezto reakciju A1;B (Hematest) (3x5) -0,1ml -0,193 euro *2 izmeklējumi= 0,386 euro. 6) Pastēra pipete 3,5ml 1gb. -0,019 euro *2 izmeklējumi=0,038 euro.  </t>
    </r>
    <r>
      <rPr>
        <b/>
        <sz val="9"/>
        <rFont val="Times New Roman"/>
        <family val="1"/>
        <charset val="186"/>
      </rPr>
      <t>9.Kopā 8,34 euro</t>
    </r>
    <r>
      <rPr>
        <sz val="9"/>
        <rFont val="Times New Roman"/>
        <family val="1"/>
        <charset val="186"/>
      </rPr>
      <t xml:space="preserve"> (7,36+0,28+0,04+0,24+0,386+0,038).</t>
    </r>
  </si>
  <si>
    <r>
      <rPr>
        <b/>
        <sz val="9"/>
        <rFont val="Times New Roman"/>
        <family val="1"/>
        <charset val="186"/>
      </rPr>
      <t xml:space="preserve">10.Asins grupas un Rh (D) pazīmes noteikšana ar gelkaršu metodi, </t>
    </r>
    <r>
      <rPr>
        <sz val="9"/>
        <rFont val="Times New Roman"/>
        <family val="1"/>
        <charset val="186"/>
      </rPr>
      <t xml:space="preserve">tai skaitā:  1)karte Dia Clon ABO/D+Dat 1 gb., 3,34 euro*2 izmeklējumi=6,68 euro.  2)Diluents-2 0,5ml - 0,14 euro izmaksas 1 izmeklējumam *2 izmeklējumi=0,28 euro.3) Mēģene ar apaļu pamatni 1 gb. - 0,01 euro*2 izmeklējumi=0,02 euro. 4) FT 9400230 0,5-250 uL uzgaļi 1 gb.- 0,03 euro*3 gab.*2 izmeklējumi=0,18 euro. 5)Pastēra pipete 3,5ml 1gb. -0,019 euro*2 izmeklējumi=0,038 euro. </t>
    </r>
    <r>
      <rPr>
        <b/>
        <sz val="9"/>
        <rFont val="Times New Roman"/>
        <family val="1"/>
        <charset val="186"/>
      </rPr>
      <t>10.Kopā 7,20 euro</t>
    </r>
    <r>
      <rPr>
        <sz val="9"/>
        <rFont val="Times New Roman"/>
        <family val="1"/>
        <charset val="186"/>
      </rPr>
      <t xml:space="preserve"> (6,68+0,28+0,02+0,18+0,038).</t>
    </r>
  </si>
  <si>
    <r>
      <rPr>
        <b/>
        <sz val="9"/>
        <rFont val="Times New Roman"/>
        <family val="1"/>
        <charset val="186"/>
      </rPr>
      <t>11.Rh-Kell  fenotipa noteikšana ar gelkaršu metodi, tai skaitā: 1)</t>
    </r>
    <r>
      <rPr>
        <sz val="9"/>
        <rFont val="Times New Roman"/>
        <family val="1"/>
        <charset val="186"/>
      </rPr>
      <t xml:space="preserve"> Gelkarte Diaclon Subgroup+K 1gb.-4,12 euro*4 izmeklējumi=16,48 euro. 2)Diluents-2 0,5ml - 0,14 euro izmaksas 1 izmeklējumam * 4 izmeklējumi= 0,56 euro. 3) Mēģene ar apaļu pamatni 1 gb. - 0,01 euro*4=0,04 euro. 4) FT 9400230 0,5-250 uL uzgaļi 1 gb.- 0,03 euro*3 gb.*4 izmeklējumi=0,36 euro. </t>
    </r>
    <r>
      <rPr>
        <b/>
        <sz val="9"/>
        <rFont val="Times New Roman"/>
        <family val="1"/>
        <charset val="186"/>
      </rPr>
      <t>11.Kopā 17,44 euro</t>
    </r>
    <r>
      <rPr>
        <sz val="9"/>
        <rFont val="Times New Roman"/>
        <family val="1"/>
        <charset val="186"/>
      </rPr>
      <t xml:space="preserve"> (16,48+0,56+0,04+0,36).</t>
    </r>
  </si>
  <si>
    <r>
      <rPr>
        <b/>
        <sz val="9"/>
        <rFont val="Times New Roman"/>
        <family val="1"/>
        <charset val="186"/>
      </rPr>
      <t xml:space="preserve">12.Dw antigēna noteikšana ar IAT, </t>
    </r>
    <r>
      <rPr>
        <sz val="9"/>
        <rFont val="Times New Roman"/>
        <family val="1"/>
        <charset val="186"/>
      </rPr>
      <t>tai skaitā: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 1)Gelkarte Liss/Coombs-1/6 daļa -0,92 euro*2 izmeklējumi=1,84 euro. 2)Anti DIgG reaģenti  1 izmeklējumam 0,05ml - 0,18 euro * 2 izmeklējumi = 0,36 euro. 3) Diluents-2 0,5ml - 0,14 euro izmaksas 1 izmeklējumam*2 izmeklējumi=0,28 euro. 4)Mēģene ar apaļu pamatni 1 gb. - 0,01 euro *2 izmeklējumi = 0,02 euro. 5) FT 9400230 0,5-250 uL uzgaļi 1 gb.- 0,03 euro *2 gb. *2 izmeklējumi= 0,12 euro. </t>
    </r>
    <r>
      <rPr>
        <b/>
        <sz val="9"/>
        <rFont val="Times New Roman"/>
        <family val="1"/>
        <charset val="186"/>
      </rPr>
      <t>12.Kopā 2,62 euro</t>
    </r>
    <r>
      <rPr>
        <sz val="9"/>
        <rFont val="Times New Roman"/>
        <family val="1"/>
        <charset val="186"/>
      </rPr>
      <t xml:space="preserve"> (1,84+0,36+0,28+0,02+0,12).</t>
    </r>
  </si>
  <si>
    <r>
      <t xml:space="preserve"> </t>
    </r>
    <r>
      <rPr>
        <b/>
        <sz val="9"/>
        <rFont val="Times New Roman"/>
        <family val="1"/>
        <charset val="186"/>
      </rPr>
      <t xml:space="preserve">14.Antieritrocitāro antivielu titrēšana, </t>
    </r>
    <r>
      <rPr>
        <sz val="9"/>
        <rFont val="Times New Roman"/>
        <family val="1"/>
        <charset val="186"/>
      </rPr>
      <t xml:space="preserve">tai skaitā:  1) Gelkarte Liss Coombs 2 gb. - 5,52*2 gb.=11,04 euro. 2)  Mēģene ar apaļu pamatni 1 gb. - 0,01 euro*12 gb. *1 izmeklējums=0,12 euro. 3) FT 250 Universal 0,5-250 uL uzgaļi 1 gb.- 0,03 euro*13 gb.*1 izmeklējums= 0,39 euro. 4) NaCL fizioloģiskais šķīdums 6 ml -0,01 euro. 5)Eritrocīti no panel Diamed (Panelis) ID - DiaPanel 0,6ml -2,33 euro    </t>
    </r>
    <r>
      <rPr>
        <b/>
        <sz val="9"/>
        <rFont val="Times New Roman"/>
        <family val="1"/>
        <charset val="186"/>
      </rPr>
      <t>14.Kopā  13,89 euro</t>
    </r>
    <r>
      <rPr>
        <sz val="9"/>
        <rFont val="Times New Roman"/>
        <family val="1"/>
        <charset val="186"/>
      </rPr>
      <t xml:space="preserve"> (11,04+0,12+0,39+0,01+2,33).    </t>
    </r>
  </si>
  <si>
    <r>
      <rPr>
        <b/>
        <sz val="9"/>
        <rFont val="Times New Roman"/>
        <family val="1"/>
        <charset val="186"/>
      </rPr>
      <t>15.Nepieciešamie materiāli</t>
    </r>
    <r>
      <rPr>
        <sz val="9"/>
        <rFont val="Times New Roman"/>
        <family val="1"/>
        <charset val="186"/>
      </rPr>
      <t xml:space="preserve">, tai skaitā:  1)Vienreizējās lietojams halāts, 1gab., cena 2,50 euro*1gab.*6 dienas= 15,00 euro. 2)Vienreizējās lietošanas cimdi, pāris - 0,047 euro*1 pāris*6 dienas= 0,28 euro. 3)  Vienreizlietojama plakne Nacryl- 3,26 euro*2 gb.*1 izmeklējums=6,52 euro.   4)Dezinfekcijas līdzeklis -0,0086 euro*6 dienas=0,052 euro.   </t>
    </r>
    <r>
      <rPr>
        <b/>
        <sz val="9"/>
        <rFont val="Times New Roman"/>
        <family val="1"/>
        <charset val="186"/>
      </rPr>
      <t>15.Kopā  21,85 euro</t>
    </r>
    <r>
      <rPr>
        <sz val="9"/>
        <rFont val="Times New Roman"/>
        <family val="1"/>
        <charset val="186"/>
      </rPr>
      <t xml:space="preserve"> (15,00+0,28+6,52+0,052)                                                                                                  </t>
    </r>
    <r>
      <rPr>
        <b/>
        <sz val="9"/>
        <rFont val="Times New Roman"/>
        <family val="1"/>
        <charset val="186"/>
      </rPr>
      <t>Kopā vienam dalībniekam  133,77 euro</t>
    </r>
    <r>
      <rPr>
        <sz val="9"/>
        <rFont val="Times New Roman"/>
        <family val="1"/>
        <charset val="186"/>
      </rPr>
      <t xml:space="preserve"> (14,10+5,78+5,56+18,77+6,89+3,59+2,30+5,38+8,34+7,20+17,44+2,62+0,06+13,89+21,85). </t>
    </r>
    <r>
      <rPr>
        <b/>
        <sz val="9"/>
        <rFont val="Times New Roman"/>
        <family val="1"/>
        <charset val="186"/>
      </rPr>
      <t>Kopā vienam dalībniekam ar PVN 21%- 161,86 euro.</t>
    </r>
  </si>
  <si>
    <t>Gada faktiskās izmaksas 34722,82 euro. VADC vidējās izmaksas uz 1m² gadā 5,40 euro (34722,82 euro : 6424,71 m²). Konferenču zāle 101,6 m². Konferenču zāles gada izmaksas 548,64 euro ( 5,40 euro*101,6m²). Konferenču zāles izmaksa vienai stundai 0,2731 euro (548,64 euro : 2009 stundas 2021.g.). 70 akadēmiskās stundas*45min/60min= 52,5 stundas. 52,5 stundas *0,2731 euro/stundā= 14,34 euro. Plānotais dalībnieku skaits vienā kursā 10. Vienam dalībniekam 14,34euro:10=1,43 euro.</t>
  </si>
  <si>
    <t>Gada faktiskās izmaksas 58063,11 euro. VADC vidējās izmaksas uz 1m² gadā 9,04 euro (58063,11 euro : 6424,71 m²). Konferenču zāle 101,6 m². Konferenču zāles gada izmaksas 918,46 euro (9,04 euro*101,6m²). Konferenču zāles izmaksa vienai stundai 0,4572 euro (918,46 euro : 2009 stundas 2021.g.). 70 akadēmiskās stundas*45min/60min= 52,5 stundas. 52,5 stundas *0,4572 euro/stundā=24,00 euro. Plānotais dalībnieku skaits vienā kursā 10. Vienam dalībniekam 24,00 euro:10= 2,40 euro.</t>
  </si>
  <si>
    <t>Gada faktiskās izmaksas 5870,30 euro. VADC vidējās izmaksas uz 1m² gadā 0,91 euro (5870,30 euro : 6424,71 m²). Konferenču zāle 101,6 m². Konferenču zāles gada izmaksas 92,46 euro (0,91 euro*101,6m²).Konferenču zāles izmaksa vienai stundai 0,0460 euro (92,46 euro : 2009 stundas 2021.g.).  70 akadēmiskās stundas*45min/60min= 52,5 stundas. 52,5 stundas *0,0460 euro/stundā= 2,42 euro. Plānotais dalībnieku skaits vienā kursā 10. Vienam dalībniekam  2,42 euro:10=0,24 euro.</t>
  </si>
  <si>
    <t>Gada faktiskās izmaksas 152358,29 euro. VADC vidējās izmaksas uz 1m² gadā 23,71 euro (152358,29 euro : 6424,71 m²). Konferenču zāle 101,6 m². Konferenču zāles gada izmaksas 2408,94 euro (23,71 euro*101,6m²). Konferenču zāles izmaksa vienai stundai 1,1991 euro (2408,94 euro : 2009 stundas 2021.g.).  70 akadēmiskās stundas*45min/60min= 52,5 stundas. 52,5 stundas *1,1991 euro/stundā= 62,95 euro. Plānotais dalībnieku skaits vienā kursā 10. Vienam dalībniekam  62,95 euro:10= 6,30 euro.</t>
  </si>
  <si>
    <t>Gada faktiskās izmaksas 12561,83 euro. VADC vidējās izmaksas uz 1m² gadā 1,96 euro (12561,83 euro : 6424,71 m²).  Konferenču zāle 101,6 m². Konferenču zāles gada izmaksas 199,14 euro (1,96 euro*101,6m²). Konferenču zāles izmaksa vienai stundai 0,0991 euro (199,14 euro : 2009 stundas 2021.g.). 70 akadēmiskās stundas*45min/60min= 52,5 stundas. 52,5 stundas *0,0991 euro/stundā= 5,20 euro. Plānotais dalībnieku skaits vienā kursā 10. Vienam dalībniekam 5,20euro:10=0,52 euro.</t>
  </si>
  <si>
    <t>Gada faktiskās izmaksas 43905,19 euro. VADC vidējās izmaksas uz 1m² gadā 6,83 euro (43905,19 euro : 6424,71 m²).  Konferenču zāle 101,6 m². Konferenču zāles gada izmaksas 693,93 euro (6,83 euro*101,6m²). Konferenču zāles izmaksa vienai stundai 0,3454 euro (693,93 euro : 2009 stundas 2021.g.).  70 akadēmiskās stundas*45min/60min= 52,5 stundas. 52,5 stundas *0,3454 euro/stundā= 18,13 euro. Plānotais dalībnieku skaits vienā kursā 10. Vienam dalībniekam 18,13euro:10=1,81 euro.</t>
  </si>
  <si>
    <t>Gada faktiskās izmaksas 54758,36 euro. VADC vidējās izmaksas uz 1m² gadā 8,52 euro (54758,36 euro : 6424,71 m²). Konferenču zāle 101,6 m². Konferenču zāles gada izmaksas 865,63 euro (8,52 euro*101,6 m²).Konferenču zāles izmaksa vienai stundai 0,4309 euro (865,63 euro : 2009 stundas 2021.g.).  70 akadēmiskās stundas*45min/60min= 52,5 stundas. 52,5 stundas *0,4309 euro/stundā= 22,62 euro. Plānotais dalībnieku skaits vienā kursā 10. Vienam dalībniekam 22,62 euro:10= 2,26 euro.</t>
  </si>
  <si>
    <t>Gada faktiskās izmaksas 41380,85 euro. VADC vidējās izmaksas uz 1m² gadā 6,44 euro (41380,85 euro : 6424,71 m²).  Konferenču zāle 101,6 m². Konferenču zāles gada izmaksas 654,30 euro (6,44 euro*101,6 m²). Konferenču zāles izmaksa vienai stundai 0,3257 euro (654,30 euro : 2009 stundas 2021.g.).  70 akadēmiskās stundas*45min/60min= 52,5 stundas. 52,5 stundas *0,3257 euro/stundā= 17,10 euro. Plānotais dalībnieku skaits vienā kursā 10. Vienam dalībniekam 17,10 euro: 10= 1,71 euro.</t>
  </si>
  <si>
    <t>Gada faktiskās izmaksas 113929,36 euro. VADC vidējās izmaksas uz 1m² gadā 17,73 euro (113929,36 euro : 6424,71 m²). Konferenču zāle 101,6 m². Konferenču zāles gada izmaksas 1801,37 euro (17,73 euro*101,6m²). Konferenču zāles izmaksa vienai stundai 0,8967 euro (1801,37 euro : 2009 stundas 2021.g.).  70 akadēmiskās stundas*45min/60min= 52,5 stundas. 52,5 stundas *0,8967 euro/stundā= 47,08 euro. Plānotais dalībnieku skaits vienā kursā 10. Vienam dalībniekam  47,08 euro:10= 4,71 euro.</t>
  </si>
  <si>
    <t>Gada faktiskās izmaksas 397531,75 euro. VADC vidējās izmaksas uz 1m² gadā 61,88 euro (397531,75 euro : 6424,71 m²). Konferenču zāle 101,6 m². Konferenču zāles gada izmaksas 6287,0 euro (61,88 euro*101,6m²). Konferenču zāles izmaksa vienai stundai 3,1294 euro (6287 euro : 2009 stundas 2021.g.)  70 akadēmiskās stundas*45min/60min= 52,5 stundas. 52,5 stundas *3,1294 euro/stundā= 164,29 euro. Plānotais dalībnieku skaits vienā kursā 10. Vienam dalībniekam 164,29 euro:10= 16,43 euro.</t>
  </si>
  <si>
    <t>Gada faktiskās izmaksas 11038,27 euro. VADC vidējās izmaksas uz 1m² gadā 1,72 euro (11038,27 euro : 6424,71 m²).  Konferenču zāle 101,6 m². Konferenču zāles gada izmaksas 174,75 euro (1,72 euro*101,6 m²). Konferenču zāles izmaksa vienai stundai 0,0870 euro (174,75 euro : 2009 stundas 2021.g.).  70 akadēmiskās stundas*45min/60min= 52,5 stundas. 52,5 stundas *0,0870 euro/stundā= 4,57 euro. Plānotais dalībnieku skaits vienā kursā 10. Vienam dalībniekam 4,57 euro:10= 0,46 euro.</t>
  </si>
  <si>
    <t>Gada faktiskās izmaksas 36709,88 euro. VADC vidējās izmaksas uz 1m² gadā 5,71 euro (36709,88 euro : 6424,71 m²). Konferenču zāle 101,6 m². Konferenču zāles gada izmaksas 580,14 euro (5,71 euro*101,6m²). Konferenču zāles izmaksa vienai stundai 0,2888 euro (580,14 euro : 2009 stundas 2021.g.).  70 akadēmiskās stundas*45min/60min= 52,5 stundas. 52,5 stundas *0,2888 euro/stundā= 15,16 euro. Plānotais dalībnieku skaits vienā kursā 10. Vienam dalībniekam 15,16 euro:10= 1,52 euro.</t>
  </si>
  <si>
    <t>Gada faktiskās izmaksas 8804,84 euro. VADC vidējās izmaksas uz 1m² gadā 1,37 euro (8804,84 euro : 6424,71 m²). Konferenču zāle 101,6 m². Konferenču zāles gada izmaksas 139,19 euro (1,37 euro*101,6m²). Konferenču zāles izmaksa vienai stundai 0,0693 euro (139,19 euro : 2009 stundas 2021.g.).  70 akadēmiskās stundas*45min/60min= 52,5 stundas. 52,5 stundas *0,0693 euro/stundā= 3,64 euro. Plānotais dalībnieku skaits vienā kursā 10. Vienam dalībniekam 3,64 euro: 10= 0,36 euro.</t>
  </si>
  <si>
    <t>Gada faktiskās izmaksas 13401,47 euro. VADC vidējās izmaksas uz 1m² gadā 2,09 euro (13401,47 euro : 6424,71 m²). Konferenču zāle 101,6 m². Konferenču zāles gada izmaksas 212,34 euro (2,09 euro*101,6 m²).Konferenču zāles izmaksa vienai stundai 0,1057 euro (212,34 euro : 2009 stundas 2021.g.).  70 akadēmiskās stundas*45min/60min= 52,5 stundas. 52,5 stundas *0,1057 euro/stundā= 5,55 euro. Plānotais dalībnieku skaits vienā kursā 10. Vienam dalībniekam 5,55 euro: 10= 0,56 euro.</t>
  </si>
  <si>
    <t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Lekcijas teorija 15 akadēmiskās stundas *45min/60min=11,25 stundas * 1,07 euro/ stundā = 12,04 euro.   Praktiskais, pastāvīgais darbs 1 akadēmiskās stundas *45min/60min=0,75 stundas *1,07euro/stundā = 0,80 euro. Kopā= 12,04 euro +0,80 euro= 12,84 euro.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</si>
  <si>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10,70 euro/stundā: 10 dalībnieki = 1,07 euro/stundā.  Lekcijas teorija 1 akadēmiskās stundas *45min/60min=0,75 stundas * 1,07 euro/ stundā = 0,80 euro.  </t>
  </si>
  <si>
    <t>Gada faktiskās izmaksas 34722,82 euro. VADC vidējās izmaksas uz 1m² gadā 5,40 euro (34722,82 euro : 6424,71 m²). Konferenču zāle 101,6 m². Konferenču zāles gada izmaksas 548,64 euro ( 5,40 euro*101,6m²). Konferenču zāles izmaksa vienai stundai 0,2731 euro (548,64 euro : 2009 stundas 2021.g.).  1 akadēmiskā stunda*45min/60min= 0,75 stundas. 0,75 stundas *0,2731 euro/stundā= 0,21 euro. Plānotais dalībnieku skaits vienā kursā 10. Vienam dalībniekam 0,21euro:10=0,02 euro.</t>
  </si>
  <si>
    <t>Gada faktiskās izmaksas 58063,11 euro. VADC vidējās izmaksas uz 1m² gadā 9,04 euro (58063,11 euro : 6424,71 m²). Konferenču zāle 101,6 m². Konferenču zāles gada izmaksas 918,46 euro (9,04 euro*101,6m²). Konferenču zāles izmaksa vienai stundai 0,4572 euro (918,46 euro : 2009 stundas 2021.g.). 1 akadēmiskā stunda*45min/60min= 0,75 stundas. 0,75 stundas *0,4572 euro/stundā= 0,34 euro. Plānotais dalībnieku skaits vienā kursā 10. Vienam dalībniekam 0,34euro:10=0,03 euro.</t>
  </si>
  <si>
    <t>Gada faktiskās izmaksas 5870,30 euro. VADC vidējās izmaksas uz 1m² gadā 0,91 euro (5870,30 euro : 6424,71 m²). Konferenču zāle 101,6 m². Konferenču zāles gada izmaksas 92,46 euro (0,91 euro*101,6m²).Konferenču zāles izmaksa vienai stundai 0,0460 euro (92,46 euro : 2009 stundas 2021.g.). 1 akadēmiskā stunda*45min/60min= 0,75 stundas. 0,75 stundas *0,0460 euro/stundā= 0,0345 euro. Plānotais dalībnieku skaits vienā kursā 10. Vienam dalībniekam 0,04euro:10=0,004 euro.</t>
  </si>
  <si>
    <t>Gada faktiskās izmaksas 152358,29 euro. VADC vidējās izmaksas uz 1m² gadā 23,71 euro (152358,29 euro : 6424,71 m²). Konferenču zāle 101,6 m². Konferenču zāles gada izmaksas 2408,94 euro (23,71 euro*101,6m²). Konferenču zāles izmaksa vienai stundai 1,1991 euro (2408,94 euro : 2009 stundas 2021.g.).  1 akadēmiskā stunda*45min/60min= 0,75 stundas. 0,75 stundas *1,1991 euro/stundā= 0,90 euro. Plānotais dalībnieku skaits vienā kursā 10. Vienam dalībniekam 0,90euro:10=0,09 euro.</t>
  </si>
  <si>
    <t>Gada faktiskās izmaksas 12561,83 euro. VADC vidējās izmaksas uz 1m² gadā 1,96 euro (12561,83 euro : 6424,71 m²).  Konferenču zāle 101,6 m². Konferenču zāles gada izmaksas 199,14 euro (1,96 euro*101,6m²). Konferenču zāles izmaksa vienai stundai 0,0991 euro (199,14 euro : 2009 stundas 2021.g.).  1 akadēmiskā stunda*45min/60min= 0,75 stundas. 0,75 stundas *0,0991 euro/stundā= 0,07 euro. Plānotais dalībnieku skaits vienā kursā 10. Vienam dalībniekam 0,07euro:10=0,01 euro.</t>
  </si>
  <si>
    <t>Gada faktiskās izmaksas 43905,19 euro. VADC vidējās izmaksas uz 1m² gadā 6,83 euro (43905,19 euro : 6424,71 m²).  Konferenču zāle 101,6 m². Konferenču zāles gada izmaksas 693,93 euro (6,83 euro*101,6m²). Konferenču zāles izmaksa vienai stundai 0,3454 euro (693,93 euro : 2009 stundas 2021.g.).  1 akadēmiskā stunda*45min/60min= 0,75 stundas. 0,75 stundas *0,3454 euro/stundā= 0,26 euro. Plānotais dalībnieku skaits vienā kursā 10. Vienam dalībniekam 0,26euro:10=0,03 euro.</t>
  </si>
  <si>
    <t>Gada faktiskās izmaksas 54758,36 euro. VADC vidējās izmaksas uz 1m² gadā 8,52 euro (54758,36 euro : 6424,71 m²). Konferenču zāle 101,6 m². Konferenču zāles gada izmaksas 865,63 euro (8,52 euro*101,6 m²).Konferenču zāles izmaksa vienai stundai 0,4309 euro (865,63 euro : 2009 stundas 2021.g.).  1 akadēmiskā stunda*45min/60min= 0,75 stundas. 0,75 stundas *0,4309 euro/stundā= 0,32 euro. Plānotais dalībnieku skaits vienā kursā 10. Vienam dalībniekam 0,32euro:10=0,03 euro.</t>
  </si>
  <si>
    <t>Gada faktiskās izmaksas 41380,85 euro. VADC vidējās izmaksas uz 1m² gadā 6,44 euro (41380,85 euro : 6424,71 m²).  Konferenču zāle 101,6 m². Konferenču zāles gada izmaksas 654,30 euro (6,44 euro*101,6 m²). Konferenču zāles izmaksa vienai stundai 0,3257 euro (654,30 euro : 2009 stundas 2021.g.).  1 akadēmiskā stunda*45min/60min= 0,75 stundas. 0,75 stundas *0,3257 euro/stundā= 0,24 euro. Plānotais dalībnieku skaits vienā kursā 10. Vienam dalībniekam 0,24euro:10=0,02 euro.</t>
  </si>
  <si>
    <t>Gada faktiskās izmaksas 113929,36 euro. VADC vidējās izmaksas uz 1m² gadā 17,73 euro (113929,36 euro : 6424,71 m²). Konferenču zāle 101,6 m². Konferenču zāles gada izmaksas 1801,37 euro (17,73 euro*101,6m²). Konferenču zāles izmaksa vienai stundai 0,8967 euro (1801,37 euro : 2009 stundas 2021.g.).  1 akadēmiskā stunda*45min/60min= 0,75 stundas. 0,75 stundas *0,8967 euro/stundā= 0,67 euro. Plānotais dalībnieku skaits vienā kursā 10. Vienam dalībniekam 0,67euro:10=0,07 euro.</t>
  </si>
  <si>
    <t>Gada faktiskās izmaksas 397531,75 euro. VADC vidējās izmaksas uz 1m² gadā 61,88 euro (397531,75 euro : 6424,71 m²). Konferenču zāle 101,6 m². Konferenču zāles gada izmaksas 6287,0 euro (61,88 euro*101,6m²). Konferenču zāles izmaksa vienai stundai 3,1294 euro (6287 euro : 2009 stundas 2021.g.).  1 akadēmiskā stunda*45min/60min= 0,75 stundas. 0,75 stundas *3,1294 euro/stundā= 2,35 euro. Plānotais dalībnieku skaits vienā kursā 10. Vienam dalībniekam 2,35 euro:10= 0,24 euro.</t>
  </si>
  <si>
    <t>Gada faktiskās izmaksas 11038,27 euro. VADC vidējās izmaksas uz 1m² gadā 1,72 euro (11038,27 euro : 6424,71 m²).  Konferenču zāle 101,6 m². Konferenču zāles gada izmaksas 174,75 euro (1,72 euro*101,6 m²). Konferenču zāles izmaksa vienai stundai 0,0870 euro (174,75 euro : 2009 stundas 2021.g.).  1 akadēmiskā stunda*45min/60min= 0,75 stundas. 0,75 stundas *0,0870 euro/stundā= 0,065 euro. Plānotais dalībnieku skaits vienā kursā 10. Vienam dalībniekam 0,065euro:10=0,01 euro.</t>
  </si>
  <si>
    <t>Gada faktiskās izmaksas 36709,88 euro. VADC vidējās izmaksas uz 1m² gadā 5,71 euro (36709,88 euro : 6424,71 m²). Konferenču zāle 101,6 m². Konferenču zāles gada izmaksas 580,14 euro (5,71 euro*101,6m²). Konferenču zāles izmaksa vienai stundai 0,2888 euro (580,14 euro : 2009 stundas 2021.g.).  1 akadēmiskā stunda*45min/60min= 0,75 stundas. 0,75 stundas *0,2888 euro/stundā= 0,22 euro. Plānotais dalībnieku skaits vienā kursā 10. Vienam dalībniekam 0,22euro:10=0,02 euro.</t>
  </si>
  <si>
    <t>Gada faktiskās izmaksas 8804,84 euro. VADC vidējās izmaksas uz 1m² gadā 1,37 euro (8804,84 euro : 6424,71 m²). Konferenču zāle 101,6 m². Konferenču zāles gada izmaksas 139,19 euro (1,37 euro*101,6m²). Konferenču zāles izmaksa vienai stundai 0,0693 euro (139,19 euro : 2009 stundas 2021.g.).  1 akadēmiskā stunda*45min/60min= 0,75 stundas. 0,75 stundas *0,0693 euro/stundā= 0,05 euro. Plānotais dalībnieku skaits vienā kursā 10. Vienam dalībniekam 0,05euro:10=0,01 euro.</t>
  </si>
  <si>
    <t>Gada faktiskās izmaksas 13401,47 euro. VADC vidējās izmaksas uz 1m² gadā 2,09 euro (13401,47 euro : 6424,71 m²). Konferenču zāle 101,6 m². Konferenču zāles gada izmaksas 212,34 euro (2,09 euro*101,6 m²).Konferenču zāles izmaksa vienai stundai 0,1057 euro (212,34 euro : 2009 stundas 2021.g.).  1 akadēmiskā stunda*45min/60min= 0,75 stundas. 0,75 stundas *0,1057 euro/stundā= 0,08 euro. Plānotais dalībnieku skaits vienā kursā 10. Vienam dalībniekam 0,08euro:10=0,01euro.</t>
  </si>
  <si>
    <t xml:space="preserve">Vieslektoram brutto alga 100 euro. Aprēķina IIN (iedzīvotāju ienākuma nodoklis) = 100*23%(IIN)= 23 euro - 2,10 euro= 20,90 euro. 100 euro -10,50 euro (darba ņēmēja soc.nodoklis 10,5%.   10,5 euro *20% atvieglojums=2,10 euro ). 100 euro -10,50 euro -20,90 euro (IIN) = 68,60 euro. 68,60 euro * 1ak.stundas vieslektora lekcija= 68,60 euro/ 30 kursu dalībnieki = 2,02 euro </t>
  </si>
  <si>
    <t>Darba devēja valsts sociālās apdrošināšanas obligātās iemaksas, sociāla rakstura pabalsti un kompensācijas 100 euro*23,59% darba devēja sociālais nodoklis= 23,59 euro/30 dalībnieki=  0,79 euro.</t>
  </si>
  <si>
    <t>Gada faktiskās izmaksas 34722,82 euro. VADC vidējās izmaksas uz 1m² gadā 5,40 euro (34722,82 euro : 6424,71 m²). Konferenču zāle 101,6 m². Konferenču zāles gada izmaksas 548,64 euro ( 5,40 euro*101,6m²). Konferenču zāles izmaksa vienai stundai 0,2731 euro (548,64 euro : 2009 stundas 2021.g.).  1 akadēmiskā stunda*45min/60min= 0,75 stundas. 0,75 stundas *0,2731 euro/stundā= 0,21 euro. Plānotais dalībnieku skaits vienā kursā 30. Vienam dalībniekam 0,21euro:30=0,01 euro.</t>
  </si>
  <si>
    <t>Gada faktiskās izmaksas 58063,11 euro. VADC vidējās izmaksas uz 1m² gadā 9,04 euro (58063,11 euro : 6424,71 m²). Konferenču zāle 101,6 m². Konferenču zāles gada izmaksas 918,46 euro (9,04 euro*101,6m²). Konferenču zāles izmaksa vienai stundai 0,4572 euro (918,46 euro : 2009 stundas 2021.g.). 1 akadēmiskā stunda*45min/60min= 0,75 stundas. 0,75 stundas *0,4572 euro/stundā= 0,34 euro. Plānotais dalībnieku skaits vienā kursā 30. Vienam dalībniekam 0,34euro:30=0,01 euro.</t>
  </si>
  <si>
    <t>Gada faktiskās izmaksas 5870,30 euro. VADC vidējās izmaksas uz 1m² gadā 0,91 euro (5870,30 euro : 6424,71 m²). Konferenču zāle 101,6 m². Konferenču zāles gada izmaksas 92,46 euro (0,91 euro*101,6m²).Konferenču zāles izmaksa vienai stundai 0,0460 euro (92,46 euro : 2009 stundas 2021.g.). 1 akadēmiskā stunda*45min/60min= 0,75 stundas. 0,75 stundas *0,0460 euro/stundā= 0,0345 euro. Plānotais dalībnieku skaits vienā kursā 30. Vienam dalībniekam 0,04euro:30=0,001 euro.</t>
  </si>
  <si>
    <t>Gada faktiskās izmaksas 152358,29 euro. VADC vidējās izmaksas uz 1m² gadā 23,71 euro (152358,29 euro : 6424,71 m²). Konferenču zāle 101,6 m². Konferenču zāles gada izmaksas 2408,94 euro (23,71 euro*101,6m²). Konferenču zāles izmaksa vienai stundai 1,1991 euro (2408,94 euro : 2009 stundas 2021.g.).  1 akadēmiskā stunda*45min/60min= 0,75 stundas. 0,75 stundas *1,1991 euro/stundā= 0,90 euro. Plānotais dalībnieku skaits vienā kursā 30. Vienam dalībniekam 0,90euro:30=0,03 euro.</t>
  </si>
  <si>
    <t>Gada faktiskās izmaksas 12561,83 euro. VADC vidējās izmaksas uz 1m² gadā 1,96 euro (12561,83 euro : 6424,71 m²).  Konferenču zāle 101,6 m². Konferenču zāles gada izmaksas 199,14 euro (1,96 euro*101,6m²). Konferenču zāles izmaksa vienai stundai 0,0991 euro (199,14 euro : 2009 stundas 2021.g.).  1 akadēmiskā stunda*45min/60min= 0,75 stundas. 0,75 stundas *0,0991 euro/stundā= 0,07 euro. Plānotais dalībnieku skaits vienā kursā 30. Vienam dalībniekam 0,07euro:30=0,002 euro.</t>
  </si>
  <si>
    <t>Gada faktiskās izmaksas 43905,19 euro. VADC vidējās izmaksas uz 1m² gadā 6,83 euro (43905,19 euro : 6424,71 m²).  Konferenču zāle 101,6 m². Konferenču zāles gada izmaksas 693,93 euro (6,83 euro*101,6m²). Konferenču zāles izmaksa vienai stundai 0,3454 euro (693,93 euro : 2009 stundas 2021.g.).  1 akadēmiskā stunda*45min/60min= 0,75 stundas. 0,75 stundas *0,3454 euro/stundā= 0,26 euro. Plānotais dalībnieku skaits vienā kursā 30. Vienam dalībniekam 0,26euro:30=0,01 euro.</t>
  </si>
  <si>
    <t>Gada faktiskās izmaksas 54758,36 euro. VADC vidējās izmaksas uz 1m² gadā 8,52 euro (54758,36 euro : 6424,71 m²). Konferenču zāle 101,6 m². Konferenču zāles gada izmaksas 865,63 euro (8,52 euro*101,6 m²).Konferenču zāles izmaksa vienai stundai 0,4309 euro (865,63 euro : 2009 stundas 2021.g.).  1 akadēmiskā stunda*45min/60min= 0,75 stundas. 0,75 stundas *0,4309 euro/stundā= 0,32 euro. Plānotais dalībnieku skaits vienā kursā 30. Vienam dalībniekam 0,32euro:30=0,01 euro.</t>
  </si>
  <si>
    <t>Gada faktiskās izmaksas 41380,85 euro. VADC vidējās izmaksas uz 1m² gadā 6,44 euro (41380,85 euro : 6424,71 m²).  Konferenču zāle 101,6 m². Konferenču zāles gada izmaksas 654,30 euro (6,44 euro*101,6 m²). Konferenču zāles izmaksa vienai stundai 0,3257 euro (654,30 euro : 2009 stundas 2021.g.).  1 akadēmiskā stunda*45min/60min= 0,75 stundas. 0,75 stundas *0,3257 euro/stundā= 0,24 euro. Plānotais dalībnieku skaits vienā kursā 30. Vienam dalībniekam 0,24euro:30=0,01 euro.</t>
  </si>
  <si>
    <t>Gada faktiskās izmaksas 113929,36 euro. VADC vidējās izmaksas uz 1m² gadā 17,73 euro (113929,36 euro : 6424,71 m²). Konferenču zāle 101,6 m². Konferenču zāles gada izmaksas 1801,37 euro (17,73 euro*101,6m²). Konferenču zāles izmaksa vienai stundai 0,8967 euro (1801,37 euro : 2009 stundas 2021.g.).  1 akadēmiskā stunda*45min/60min= 0,75 stundas. 0,75 stundas *0,8967 euro/stundā= 0,67 euro. Plānotais dalībnieku skaits vienā kursā 30. Vienam dalībniekam 0,67euro:30=0,02 euro.</t>
  </si>
  <si>
    <t>Gada faktiskās izmaksas 397531,75 euro. VADC vidējās izmaksas uz 1m² gadā 61,88 euro (397531,75 euro : 6424,71 m²). Konferenču zāle 101,6 m². Konferenču zāles gada izmaksas 6287,0 euro (61,88 euro*101,6m²). Konferenču zāles izmaksa vienai stundai 3,1294 euro (6287 euro : 2009 stundas 2021.g.).  1 akadēmiskā stunda*45min/60min= 0,75 stundas. 0,75 stundas *3,1294 euro/stundā= 2,35 euro. Plānotais dalībnieku skaits vienā kursā 30. Vienam dalībniekam 2,35 euro:30= 0,08 euro.</t>
  </si>
  <si>
    <t>Gada faktiskās izmaksas 11038,27 euro. VADC vidējās izmaksas uz 1m² gadā 1,72 euro (11038,27 euro : 6424,71 m²).  Konferenču zāle 101,6 m². Konferenču zāles gada izmaksas 174,75 euro (1,72 euro*101,6 m²). Konferenču zāles izmaksa vienai stundai 0,0870 euro (174,75 euro : 2009 stundas 2021.g.).  1 akadēmiskā stunda*45min/60min= 0,75 stundas. 0,75 stundas *0,0870 euro/stundā= 0,065 euro. Plānotais dalībnieku skaits vienā kursā 30. Vienam dalībniekam 0,065euro:30=0,002 euro.</t>
  </si>
  <si>
    <t>Gada faktiskās izmaksas 36709,88 euro. VADC vidējās izmaksas uz 1m² gadā 5,71 euro (36709,88 euro : 6424,71 m²). Konferenču zāle 101,6 m². Konferenču zāles gada izmaksas 580,14 euro (5,71 euro*101,6m²). Konferenču zāles izmaksa vienai stundai 0,2888 euro (580,14 euro : 2009 stundas 2021.g.).  1 akadēmiskā stunda*45min/60min= 0,75 stundas. 0,75 stundas *0,2888 euro/stundā= 0,22 euro. Plānotais dalībnieku skaits vienā kursā 30. Vienam dalībniekam 0,22euro:30=0,01 euro.</t>
  </si>
  <si>
    <t>Gada faktiskās izmaksas 8804,84 euro. VADC vidējās izmaksas uz 1m² gadā 1,37 euro (8804,84 euro : 6424,71 m²). Konferenču zāle 101,6 m². Konferenču zāles gada izmaksas 139,19 euro (1,37 euro*101,6m²). Konferenču zāles izmaksa vienai stundai 0,0693 euro (139,19 euro : 2009 stundas 2021.g.).  1 akadēmiskā stunda*45min/60min= 0,75 stundas. 0,75 stundas *0,0693 euro/stundā= 0,05 euro. Plānotais dalībnieku skaits vienā kursā 30. Vienam dalībniekam 0,05euro:30=0,002 euro.</t>
  </si>
  <si>
    <t>Gada faktiskās izmaksas 13401,47 euro. VADC vidējās izmaksas uz 1m² gadā 2,09 euro (13401,47 euro : 6424,71 m²). Konferenču zāle 101,6 m². Konferenču zāles gada izmaksas 212,34 euro (2,09 euro*101,6 m²).Konferenču zāles izmaksa vienai stundai 0,1057 euro (212,34 euro : 2009 stundas 2021.g.).  1 akadēmiskā stunda*45min/60min= 0,75 stundas. 0,75 stundas *0,1057 euro/stundā= 0,08 euro. Plānotais dalībnieku skaits vienā kursā 30. Vienam dalībniekam 0,08euro:30=0,003euro.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</si>
  <si>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Lekcijas teorija 12 akadēmiskās stundas *45min/60min=9,0 stundas * 10,70 euro/ stundā = 96,30 euro.   </t>
  </si>
  <si>
    <t xml:space="preserve">Lektoru darba alga par ceļā pavadīto laiku - 1 stunda katram lektoram vienā virzienā. Aprēķins: 10,70 euro/stundā *2 lektori * 2 virzieni= 42,80 euro. </t>
  </si>
  <si>
    <t>Darba devēja valsts sociālās apdrošināšanas obligātās iemaksas, sociāla rakstura pabalsti un kompensācijas 42,80 * 23,59%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</si>
  <si>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Lekcijas teorija 12 akadēmiskās stundas *45min/60min=9,0 stundas *10,70 euro/ stundā = 96,30 euro.   </t>
  </si>
  <si>
    <t>Auto vadītāja mēnešalga 1059 euro. Darba dienu skaits vidēji mēnesī ir 21, stundu skaits darba dienā -8. Aprēķins: 1059 euro: 21 darba dienu skaits: 8 stundas = 6,30 euro/ stundā.    2 braucieni* 8 stundas *6,30 euro/stundā= 100,80  euro.  Lektors 1 braucienā ceļā  vienā virzienā pavada 1,5 stundu. 2 lektori *katrs 1 brauciens * 3,0 stundas (turp un atpakaļ)= 6 stundas. 6 stundas x10,70 euro/stundā=64,20 euro. Kopā  165,00 euro (100,80 euro +64,20 euro).</t>
  </si>
  <si>
    <t>Darba devēja valsts sociālās apdrošināšanas obligātās iemaksas, sociāla rakstura pabalsti un kompensācijas 165,00 * 23,59%</t>
  </si>
  <si>
    <t>Vidējais attālums līdz kursu vietai 135 km. Automašīnas Volkswagen VW PASSAT JZ6399 vidējais degvielas izlietojums uz 100 km (norma) ir 7,7 litri. Vidējā 1 litra degvielas cena  ar PVN - 1,3686 euro. Aprēķins: 1,3686*7,7 litri/100km*135 km = 14,23 euro vienam braucienam, vienā virzienā.  Kopā: 14,23 euro *4 braucieni (2 reizes brauciens turp un atpakaļ) = 56,92 euro.</t>
  </si>
  <si>
    <t>Izmaksu apjoms 1 vebināram, 1 kurss (euro)</t>
  </si>
  <si>
    <t xml:space="preserve"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Lekcijas teorija 1 akadēmisko stundu: 1*45min/60min=0,75 stundas * 10,70 euro/ stundā = 8,03 euro. </t>
  </si>
  <si>
    <t xml:space="preserve">Datorsistēmu un datortīklu adminstratora mēnešalga 1287 euro. Darba dienu skaits vidēji mēnesī ir 21, stundu skaits darba dienā -8. Aprīkojuma sagatavošana vebinārijam - 0,1 stundas. Aprēķins: 1287 euro: 21 darba dienu skaits: 8 stundas = 7,66 euro/stundā*0,1 stundas=0,77 euro.  </t>
  </si>
  <si>
    <t>Darba devēja valsts sociālās apdrošināšanas obligātās iemaksas, sociāla rakstura pabalsti un kompensācijas 0,77 * 23,59%</t>
  </si>
  <si>
    <t xml:space="preserve">Gada faktiskās izmaksas 34722,82 euro. VADC vidējās izmaksas uz 1m² gadā 5,40 euro (34722,82 euro : 6424,71 m²). Apspriežu zāle 32,6 m². Apspriežu zāles gada izmaksas 176,04 euro ( 5,40 euro*32,6m²). Apspriežu zāles izmaksa vienai stundai 0,0876 euro (176,04 euro : 2009 stundas 2021.g.).  1 akadēmiskā stunda*45min/60min= 0,75 stundas. 0,75 stundas *0,0876 euro/stundā=0,07 euro. </t>
  </si>
  <si>
    <t xml:space="preserve">Gada faktiskās izmaksas 58063,11 euro. VADC vidējās izmaksas uz 1m² gadā 9,04 euro (58063,11 euro : 6424,71 m²). Apspriežu zāle 32,6 m². Apspriežu zāles gada izmaksas 294,70 euro (9,04 euro*32,6m²). Apspriežu zāles izmaksa vienai stundai 0,1467 euro (294,70 euro : 2009 stundas 2021.g.).   1 akadēmiskā stunda*45min/60min= 0,75 stundas. 0,75 stundas *0,1467 euro/stundā= 0,11 euro. </t>
  </si>
  <si>
    <t>Neizmanto pakalpojuma sniegšanai</t>
  </si>
  <si>
    <t xml:space="preserve">Gada faktiskās izmaksas 152358,29 euro. VADC vidējās izmaksas uz 1m² gadā 23,71 euro (152358,29 euro : 6424,71 m²). Apspriežu zāle 32,6 m². Apspriežu zāles gada izmaksas 772,95 euro (23,71 euro*32,6m²). Konferenču zāles izmaksa vienai stundai 0,3847 euro (772,95 euro : 2009 stundas 2021.g.).  1 akadēmiskā stunda*45min/60min= 0,75 stundas. 0,75 stundas *0,3847 euro/stundā= 0,29 euro. </t>
  </si>
  <si>
    <t xml:space="preserve">Gada faktiskās izmaksas 43905,19 euro. VADC vidējās izmaksas uz 1m² gadā 6,83 euro (43905,19 euro : 6424,71 m²).  Apspriežu zāle 32,6 m². Apspriežu zāles gada izmaksas 222,66 euro (6,83 euro*32,6m²). Apspriežu zāles izmaksa vienai stundai 0,1108 euro (222,66 euro : 2009 stundas 2021.g.).  1 akadēmiskā stunda*45min/60min= 0,75 stundas. 0,75 stundas *0,1108 euro/stundā= 0,08 euro. </t>
  </si>
  <si>
    <t xml:space="preserve">Gada faktiskās izmaksas 54758,36 euro. VADC vidējās izmaksas uz 1m² gadā 8,52 euro (54758,36 euro : 6424,71 m²). Apspriežu zāle 32,6 m².  Apspriežu zāles gada izmaksas 277,75 euro (8,52 euro*32,6 m²).Konferenču zāles izmaksa vienai stundai 0,1383 euro (277,75 euro : 2009 stundas 2021.g.).  1 akadēmiskā stunda*45min/60min= 0,75 stundas. 0,75 stundas *0,1383 euro/stundā= 0,10 euro. </t>
  </si>
  <si>
    <t xml:space="preserve">Gada faktiskās izmaksas 41380,85 euro. VADC vidējās izmaksas uz 1m² gadā 6,44 euro (41380,85 euro : 6424,71 m²).  Apspriežu zāle 32,6 m² .Apspriežu zāles gada izmaksas 209,94 euro (6,44 euro*32,6 m²). Konferenču zāles izmaksa vienai stundai 0,1045 euro (209,94 euro : 2009 stundas 2021.g.). 1 akadēmiskā stunda*45min/60min= 0,75 stundas. 0,75 stundas *0,1045 euro/stundā= 0,08 euro. </t>
  </si>
  <si>
    <t xml:space="preserve">Gada faktiskās izmaksas 113929,36 euro. VADC vidējās izmaksas uz 1m² gadā 17,73 euro (113929,36 euro : 6424,71 m²). Apspriežu zāle 32,6 m². Apspriežu zāles gada izmaksas 577,998 euro (17,73 euro*32,6m²). Konferenču zāles izmaksa vienai stundai 0,2877 euro (577,998 euro : 2009 stundas 2021.g.).  1 akadēmiskā stunda*45min/60min= 0,75 stundas. 0,75 stundas *0,2877 euro/stundā= 0,22 euro. </t>
  </si>
  <si>
    <t xml:space="preserve">Gada faktiskās izmaksas 397531,75 euro. VADC vidējās izmaksas uz 1m² gadā 61,88 euro (397531,75 euro : 6424,71 m²). Apspriežu zāle 32,6 m². Apspriežu zāles gada izmaksas 2017,29 euro (61,88 euro*32,6m²). Konferenču zāles izmaksa vienai stundai 1,0041 euro (2017,29 euro : 2009 stundas 2021.g.).   1 akadēmiskā stunda*45min/60min= 0,75 stundas. 0,75 stundas *1,0041 euro/stundā= 0,75 euro. </t>
  </si>
  <si>
    <t>Inventārs (t.sk.vebkamera)</t>
  </si>
  <si>
    <t xml:space="preserve">Gada faktiskās izmaksas 73459,08 euro. VADC vidējās izmaksas uz 1m² gadā 11,43 euro (73459,08 euro : 6424,71 m²). Apspriežu zāle 32,6 m². Apspriežu zāles gada izmaksas 372,62 euro (11,43 euro*32,6m²). Konferenču zāles izmaksa vienai stundai 0,1855 euro (372,62 euro : 2009 stundas 2021.g.).   1 akadēmiskā stunda*45min/60min= 0,75 stundas. 0,75 stundas *0,1855 euro/stundā= 0,14 euro. </t>
  </si>
  <si>
    <t xml:space="preserve">Gada faktiskās izmaksas 36709,88 euro. VADC vidējās izmaksas uz 1m² gadā 5,71 euro (36709,88 euro : 6424,71 m²). Apspriežu zāle 32,6 m². Apspriežu zāles gada izmaksas 186,15 euro (5,71 euro*32,6m²). Konferenču zāles izmaksa vienai stundai 0,0927 euro (186,15 euro : 2009 stundas 2021.g.)  1 akadēmiskā stunda*45min/60min= 0,75 stundas. 0,75 stundas *0,0927 euro/stundā= 0,07 euro. </t>
  </si>
  <si>
    <t>Gada faktiskās izmaksas 8804,84 euro. VADC vidējās izmaksas uz 1m² gadā 1,37 euro (8804,84 euro : 6424,71 m²). Apspriežu zāle 32,6 m². Apspriežu zāles gada izmaksas 44,66 euro (1,37 euro*32,6m²). Konferenču zāles izmaksa vienai stundai 0,0222 euro (44,66 euro : 2009 stundas 2021.g.).  1 akadēmiskā stunda*45min/60min= 0,75 stundas. 0,75 stundas *0,0222 euro/stundā= 0,02 euro.</t>
  </si>
  <si>
    <t>Gada faktiskās izmaksas 13401,47 euro. VADC vidējās izmaksas uz 1m² gadā 2,09 euro (13401,47 euro : 6424,71 m²). Apspriežu zāle 32,6 m². Apspriežu zāles gada izmaksas 68,13 euro (2,09 euro*32,6 m²).Konferenču zāles izmaksa vienai stundai 0,0339 euro (68,13 euro : 2009 stundas 2021.g.).  1 akadēmiskā stunda*45min/60min= 0,75 stundas. 0,75 stundas *0,0339 euro/stundā= 0,03 euro.</t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</si>
  <si>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1.10. Vebinārs (1 akadēmiskā stunda)</t>
    </r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</si>
  <si>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1.11. Vebinārs (12 akadēmiskās stundas)</t>
    </r>
  </si>
  <si>
    <t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Lekcijas teorija 1 akadēmisko stundu: 1*45min/60min=0,75 stundas * 10,70 euro/ stundā = 8,03 euro/stundā.  12 akadēmiskās stundas *8,03 euro/stundā= 96,36 euro.</t>
  </si>
  <si>
    <t>Datorsistēmu un datortīklu adminstratora mēnešalga 1287 euro. Darba dienu skaits vidēji mēnesī ir 21, stundu skaits darba dienā -8. Aprīkojuma sagatavošana vebinārijam - 0,5 stundas. Aprēķins: 1287 euro: 21 darba dienu skaits: 8 stundas = 7,66 euro/stundā*0,5 stundas=3,83 euro.  Vebinārs notiek 2 dienas, aprīkojumu sagatavo divas reizes. 3,83 euro*2 reizes =7,66 euro/stundā.</t>
  </si>
  <si>
    <t xml:space="preserve">Gada faktiskās izmaksas 34722,82 euro. VADC vidējās izmaksas uz 1m² gadā 5,40 euro (34722,82 euro : 6424,71 m²). Apspriežu zāle 32,6 m². Apspriežu zāles gada izmaksas 176,04 euro ( 5,40 euro*32,6m²). Apspriežu zāles izmaksa vienai stundai 0,0876 euro (176,04 euro : 2009 stundas 2021.g.).  16 akadēmiskās stundas*45min/60min= 12,0 stundas. 12,0 stundas *0,0876 euro/stundā=1,05 euro. </t>
  </si>
  <si>
    <t xml:space="preserve">Gada faktiskās izmaksas 58063,11 euro. VADC vidējās izmaksas uz 1m² gadā 9,04 euro (58063,11 euro : 6424,71 m²). Apspriežu zāle 32,6 m². Apspriežu zāles gada izmaksas 294,70 euro (9,04 euro*32,6m²). Apspriežu zāles izmaksa vienai stundai 0,1467 euro (294,70 euro : 2009 stundas 2021.g.).   16 akadēmiskās stundas*45min/60min= 12,0 stundas. 12,0 stundas *0,1467 euro/stundā= 1,76 euro. </t>
  </si>
  <si>
    <t xml:space="preserve">Gada faktiskās izmaksas 152358,29 euro. VADC vidējās izmaksas uz 1m² gadā 23,71 euro (152358,29 euro : 6424,71 m²). Apspriežu zāle 32,6 m². Apspriežu zāles gada izmaksas 772,95 euro (23,71 euro*32,6m²). Konferenču zāles izmaksa vienai stundai 0,3847 euro (772,95 euro : 2009 stundas 2021.g.).  16 akadēmiskās stundas*45min/60min= 12,0 stundas. 12,0 stundas *0,3847 euro/stundā= 4,62 euro. </t>
  </si>
  <si>
    <t xml:space="preserve">Gada faktiskās izmaksas 43905,19 euro. VADC vidējās izmaksas uz 1m² gadā 6,83 euro (43905,19 euro : 6424,71 m²).  Apspriežu zāle 32,6 m². Apspriežu zāles gada izmaksas 222,66 euro (6,83 euro*32,6m²). Apspriežu zāles izmaksa vienai stundai 0,1108 euro (222,66 euro : 2009 stundas 2021.g.).  16 akadēmiskās stundas*45min/60min= 12,0 stundas. 12,0 stundas *0,1108 euro/stundā= 1,33 euro. </t>
  </si>
  <si>
    <t xml:space="preserve">Gada faktiskās izmaksas 54758,36 euro. VADC vidējās izmaksas uz 1m² gadā 8,52 euro (54758,36 euro : 6424,71 m²). Apspriežu zāle 32,6 m².  Apspriežu zāles gada izmaksas 277,75 euro (8,52 euro*32,6 m²).Konferenču zāles izmaksa vienai stundai 0,1383 euro (277,75 euro : 2009 stundas 2021.g.).  16 akadēmiskās stundas*45min/60min= 12,0 stundas. 12,0 stundas *0,1383 euro/stundā= 1,66 euro. </t>
  </si>
  <si>
    <t xml:space="preserve">Gada faktiskās izmaksas 41380,85 euro. VADC vidējās izmaksas uz 1m² gadā 6,44 euro (41380,85 euro : 6424,71 m²).  Apspriežu zāle 32,6 m² .Apspriežu zāles gada izmaksas 209,94 euro (6,44 euro*32,6 m²). Konferenču zāles izmaksa vienai stundai 0,1045 euro (209,94 euro : 2009 stundas 2021.g.). 16 akadēmiskās stundas*45min/60min= 12,0 stundas. 12,0 stundas *0,1045 euro/stundā= 1,25 euro. </t>
  </si>
  <si>
    <t xml:space="preserve">Gada faktiskās izmaksas 113929,36 euro. VADC vidējās izmaksas uz 1m² gadā 17,73 euro (113929,36 euro : 6424,71 m²). Apspriežu zāle 32,6 m². Apspriežu zāles gada izmaksas 577,998 euro (17,73 euro*32,6m²). Konferenču zāles izmaksa vienai stundai 0,2877 euro (577,998 euro : 2009 stundas 2021.g.).  16 akadēmiskās stundas*45min/60min= 12,0 stundas. 12,0 stundas *0,2877 euro/stundā= 3,45 euro. </t>
  </si>
  <si>
    <t xml:space="preserve">Gada faktiskās izmaksas 397531,75 euro. VADC vidējās izmaksas uz 1m² gadā 61,88 euro (397531,75 euro : 6424,71 m²). Apspriežu zāle 32,6 m². Apspriežu zāles gada izmaksas 2017,29 euro (61,88 euro*32,6m²). Konferenču zāles izmaksa vienai stundai 1,0041 euro (2017,29 euro : 2009 stundas 2021.g.).   16 akadēmiskās stundas*45min/60min= 12,0 stundas. 12,0 stundas *1,0041 euro/stundā= 12,05 euro. </t>
  </si>
  <si>
    <t xml:space="preserve">Gada faktiskās izmaksas 73459,08 euro. VADC vidējās izmaksas uz 1m² gadā 11,43 euro (73459,08 euro : 6424,71 m²). Apspriežu zāle 32,6 m². Apspriežu zāles gada izmaksas 372,62 euro (11,43 euro*32,6m²). Konferenču zāles izmaksa vienai stundai 0,1855 euro (372,62 euro : 2009 stundas 2021.g.).   16 akadēmiskās stundas*45min/60min= 12,0 stundas. 12,0 stundas *0,1855 euro/stundā= 2,23 euro. </t>
  </si>
  <si>
    <t xml:space="preserve">Gada faktiskās izmaksas 36709,88 euro. VADC vidējās izmaksas uz 1m² gadā 5,71 euro (36709,88 euro : 6424,71 m²). Apspriežu zāle 32,6 m². Apspriežu zāles gada izmaksas 186,15 euro (5,71 euro*32,6m²). Konferenču zāles izmaksa vienai stundai 0,0927 euro (186,15 euro : 2009 stundas 2021.g.)  16 akadēmiskās stundas*45min/60min= 12,0 stundas. 12,0 stundas *0,0927 euro/stundā= 1,11 euro. </t>
  </si>
  <si>
    <t>Gada faktiskās izmaksas 8804,84 euro. VADC vidējās izmaksas uz 1m² gadā 1,37 euro (8804,84 euro : 6424,71 m²). Apspriežu zāle 32,6 m². Apspriežu zāles gada izmaksas 44,66 euro (1,37 euro*32,6m²). Konferenču zāles izmaksa vienai stundai 0,0222 euro (44,66 euro : 2009 stundas 2021.g.).  16 akadēmiskās stundas*45min/60min= 12,0 stundas. 12,0 stundas *0,0222 euro/stundā= 0,27 euro.</t>
  </si>
  <si>
    <t>Gada faktiskās izmaksas 13401,47 euro. VADC vidējās izmaksas uz 1m² gadā 2,09 euro (13401,47 euro : 6424,71 m²). Apspriežu zāle 32,6 m². Apspriežu zāles gada izmaksas 68,13 euro (2,09 euro*32,6 m²).Konferenču zāles izmaksa vienai stundai 0,0339 euro (68,13 euro : 2009 stundas 2021.g.).  16 akadēmiskās stundas*45min/60min= 12,0 stundas. 12,0 stundas *0,0339 euro/stundā= 0,41 euro.</t>
  </si>
  <si>
    <r>
      <t xml:space="preserve">Maksas pakalpojuma veids: </t>
    </r>
    <r>
      <rPr>
        <sz val="9"/>
        <color theme="1"/>
        <rFont val="Times New Roman"/>
        <family val="1"/>
        <charset val="186"/>
      </rPr>
      <t>1.12. Vebinārs (12 akadēmiskās stundas)</t>
    </r>
  </si>
  <si>
    <t>Visu 14 lektoru, kas piedalās mācību organizēšanā, mēnešalga un piemaksa par darba stāžu kopā 25158,19 euro (mēnešalga 1917 + mēnešalga 1382 + mēnešalga 1287 + mēnešalga 1698 + piemaksa par darba stāžu 50,94 + mēnešalga 2251 + piemaksa par darba stāžu 67,53 + mēnešalga 2105 + piemaksa par darba stāžu 63,15 + mēnešalga 1892*2 + piemaksa par darba stāžu 56,76*2 + mēnešalga 1668 + piemaksa par darba stāžu 50,04 + mēnešalga 1455 + piemaksa par darba stāžu 43,65 + mēnešalga 2008 + piemaksa par darba stāžu 60,24 + mēnešalga 1668*3 + piemaksa par darba stāžu 50,04*3). Darba dienu skaits vidēji mēnesī ir 21, stundu skaits darba dienā -8. Aprēķins: 25158,19 euro: 14 lektori: 21 darba dienu skaits: 8 stundas = 10,70 euro/ stundā. 10 dalībnieki. Lekcijas teorija 1 akadēmisko stundu: 1*45min/60min=0,75 stundas * 10,70 euro/ stundā = 8,03 euro/stundā.  8,03 euro / 10 dalībnieki= 0,80 euro/stundā. 12 akadēmiskās stundas *0,80 euro/stundā= 9,64 euro.</t>
  </si>
  <si>
    <t>Darba devēja valsts sociālās apdrošināšanas obligātās iemaksas, sociāla rakstura pabalsti un kompensācijas 9,64 * 23,59%</t>
  </si>
  <si>
    <t>Datorsistēmu un datortīklu adminstratora mēnešalga 1287 euro. Darba dienu skaits vidēji mēnesī ir 21, stundu skaits darba dienā -8. Aprīkojuma sagatavošana vebinārijam - 0,5 stundas. Aprēķins: 1287 euro: 21 darba dienu skaits: 8 stundas = 7,66 euro/stundā*0,5 stundas=3,83 euro.  Vebinārs notiek 2 dienas, aprīkojumu sagatavo divas reizes. 3,83 euro*2 reizes/ 10 dalībnieki =0,77 euro/stundā.</t>
  </si>
  <si>
    <t>Gada faktiskās izmaksas 34722,82 euro. VADC vidējās izmaksas uz 1m² gadā 5,40 euro (34722,82 euro : 6424,71 m²). Apspriežu zāle 32,6 m². Apspriežu zāles gada izmaksas 176,04 euro ( 5,40 euro*32,6m²). Apspriežu zāles izmaksa vienai stundai 0,0876 euro (176,04 euro : 2009 stundas 2021.g.).  16 akadēmiskās stundas*45min/60min= 12,0 stundas. 12,0 stundas *0,0876 euro/stundā=1,05 euro. Plānotais dalībnieku skaits vienā kursā 10. Vienam dalībniekam 1,05 euro:10=0,11 euro.</t>
  </si>
  <si>
    <t>Gada faktiskās izmaksas 58063,11 euro. VADC vidējās izmaksas uz 1m² gadā 9,04 euro (58063,11 euro : 6424,71 m²). Apspriežu zāle 32,6 m². Apspriežu zāles gada izmaksas 294,70 euro (9,04 euro*32,6m²). Apspriežu zāles izmaksa vienai stundai 0,1467 euro (294,70 euro : 2009 stundas 2021.g.).   16 akadēmiskās stundas*45min/60min= 12,0 stundas. 12,0 stundas *0,1467 euro/stundā= 1,76 euro. Plānotais dalībnieku skaits vienā kursā 10. Vienam dalībniekam 1,76 euro:10=0,18 euro.</t>
  </si>
  <si>
    <t>Gada faktiskās izmaksas 152358,29 euro. VADC vidējās izmaksas uz 1m² gadā 23,71 euro (152358,29 euro : 6424,71 m²). Apspriežu zāle 32,6 m². Apspriežu zāles gada izmaksas 772,95 euro (23,71 euro*32,6m²). Konferenču zāles izmaksa vienai stundai 0,3847 euro (772,95 euro : 2009 stundas 2021.g.).  16 akadēmiskās stundas*45min/60min= 12,0 stundas. 12,0 stundas *0,3847 euro/stundā= 4,62 euro. Plānotais dalībnieku skaits vienā kursā 10. Vienam dalībniekam 4,62 euro:10=0,46 euro.</t>
  </si>
  <si>
    <t>Gada faktiskās izmaksas 43905,19 euro. VADC vidējās izmaksas uz 1m² gadā 6,83 euro (43905,19 euro : 6424,71 m²).  Apspriežu zāle 32,6 m². Apspriežu zāles gada izmaksas 222,66 euro (6,83 euro*32,6m²). Apspriežu zāles izmaksa vienai stundai 0,1108 euro (222,66 euro : 2009 stundas 2021.g.).  16 akadēmiskās stundas*45min/60min= 12,0 stundas. 12,0 stundas *0,1108 euro/stundā= 1,33 euro. Plānotais dalībnieku skaits vienā kursā 10. Vienam dalībniekam 1,33 euro:10=0,13 euro.</t>
  </si>
  <si>
    <t>Gada faktiskās izmaksas 54758,36 euro. VADC vidējās izmaksas uz 1m² gadā 8,52 euro (54758,36 euro : 6424,71 m²). Apspriežu zāle 32,6 m².  Apspriežu zāles gada izmaksas 277,75 euro (8,52 euro*32,6 m²).Konferenču zāles izmaksa vienai stundai 0,1383 euro (277,75 euro : 2009 stundas 2021.g.).  16 akadēmiskās stundas*45min/60min= 12,0 stundas. 12,0 stundas *0,1383 euro/stundā= 1,66 euro. Plānotais dalībnieku skaits vienā kursā 10. Vienam dalībniekam 1,66 euro:10=0,17 euro.</t>
  </si>
  <si>
    <t>Gada faktiskās izmaksas 41380,85 euro. VADC vidējās izmaksas uz 1m² gadā 6,44 euro (41380,85 euro : 6424,71 m²).  Apspriežu zāle 32,6 m². Apspriežu zāles gada izmaksas 209,94 euro (6,44 euro*32,6 m²). Konferenču zāles izmaksa vienai stundai 0,1045 euro (209,94 euro : 2009 stundas 2021.g.). 16 akadēmiskās stundas*45min/60min= 12,0 stundas. 12,0 stundas *0,1045 euro/stundā= 1,25 euro. Plānotais dalībnieku skaits vienā kursā 10. Vienam dalībniekam 1,25 euro:10=0,13 euro.</t>
  </si>
  <si>
    <t>Gada faktiskās izmaksas 113929,36 euro. VADC vidējās izmaksas uz 1m² gadā 17,73 euro (113929,36 euro : 6424,71 m²). Apspriežu zāle 32,6 m². Apspriežu zāles gada izmaksas 577,998 euro (17,73 euro*32,6m²). Konferenču zāles izmaksa vienai stundai 0,2877 euro (577,998 euro : 2009 stundas 2021.g.).  16 akadēmiskās stundas*45min/60min= 12,0 stundas. 12,0 stundas *0,2877 euro/stundā= 3,45 euro. Plānotais dalībnieku skaits vienā kursā 10. Vienam dalībniekam 3,45 euro:10=0,35 euro.</t>
  </si>
  <si>
    <t>Gada faktiskās izmaksas 397531,75 euro. VADC vidējās izmaksas uz 1m² gadā 61,88 euro (397531,75 euro : 6424,71 m²). Apspriežu zāle 32,6 m². Apspriežu zāles gada izmaksas 2017,29 euro (61,88 euro*32,6m²). Konferenču zāles izmaksa vienai stundai 1,0041 euro (2017,29 euro : 2009 stundas 2021.g.).   16 akadēmiskās stundas*45min/60min= 12,0 stundas. 12,0 stundas *1,0041 euro/stundā= 12,05 euro. Plānotais dalībnieku skaits vienā kursā 10. Vienam dalībniekam 12,05 euro:10= 1,21 euro.</t>
  </si>
  <si>
    <t>Gada faktiskās izmaksas 73459,08 euro. VADC vidējās izmaksas uz 1m² gadā 11,43 euro (73459,08 euro : 6424,71 m²). Apspriežu zāle 32,6 m². Apspriežu zāles gada izmaksas 372,62 euro (11,43 euro*32,6m²). Konferenču zāles izmaksa vienai stundai 0,1855 euro (372,62 euro : 2009 stundas 2021.g.).   16 akadēmiskās stundas*45min/60min= 12,0 stundas. 12,0 stundas *0,1855 euro/stundā= 2,23 euro. Plānotais dalībnieku skaits vienā kursā 10. Vienam dalībniekam 2,23 euro:10= 0,22 euro.</t>
  </si>
  <si>
    <t>Gada faktiskās izmaksas 36709,88 euro. VADC vidējās izmaksas uz 1m² gadā 5,71 euro (36709,88 euro : 6424,71 m²). Apspriežu zāle 32,6 m². Apspriežu zāles gada izmaksas 186,15 euro (5,71 euro*32,6m²). Konferenču zāles izmaksa vienai stundai 0,0927 euro (186,15 euro : 2009 stundas 2021.g.)  16 akadēmiskās stundas*45min/60min= 12,0 stundas. 12,0 stundas *0,0927 euro/stundā= 1,11 euro. Plānotais dalībnieku skaits vienā kursā 10. Vienam dalībniekam 1,11 euro:10=0,11 euro.</t>
  </si>
  <si>
    <t>Gada faktiskās izmaksas 8804,84 euro. VADC vidējās izmaksas uz 1m² gadā 1,37 euro (8804,84 euro : 6424,71 m²). Apspriežu zāle 32,6 m². Apspriežu zāles gada izmaksas 44,66 euro (1,37 euro*32,6m²). Konferenču zāles izmaksa vienai stundai 0,0222 euro (44,66 euro : 2009 stundas 2021.g.).  16 akadēmiskās stundas*45min/60min= 12,0 stundas. 12,0 stundas *0,0222 euro/stundā= 0,27 euro. Plānotais dalībnieku skaits vienā kursā 10. Vienam dalībniekam 0,27 euro:10=0,03 euro.</t>
  </si>
  <si>
    <t>Gada faktiskās izmaksas 13401,47 euro. VADC vidējās izmaksas uz 1m² gadā 2,09 euro (13401,47 euro : 6424,71 m²). Apspriežu zāle 32,6 m². Apspriežu zāles gada izmaksas 68,13 euro (2,09 euro*32,6 m²).Konferenču zāles izmaksa vienai stundai 0,0339 euro (68,13 euro : 2009 stundas 2021.g.).  16 akadēmiskās stundas*45min/60min= 12,0 stundas. 12,0 stundas *0,0339 euro/stundā= 0,41 euro. Plānotais dalībnieku skaits vienā kursā 10. Vienam dalībniekam 0,41 euro:10=0,04 euro.</t>
  </si>
  <si>
    <t xml:space="preserve">Pakalpojumu izmaksas kopā (ar PVN) vienam kursam </t>
  </si>
  <si>
    <t>Pakalpojumu izmaksas kopā (ar PVN) viena akadēmiskā stunda kursam</t>
  </si>
  <si>
    <t>Pakalpojumu izmaksas kopā (ar PVN) kursam</t>
  </si>
  <si>
    <t>2.pielikums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</si>
  <si>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269 * 0,003=0,90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</si>
  <si>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269 * 0,024=6,47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</si>
  <si>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269 * 0,040=10,83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</si>
  <si>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269 * 0,004=1,10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</si>
  <si>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269 * 0,106=28,41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</si>
  <si>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269 * 0,009=2,34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</si>
  <si>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269 * 0,030=8,18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</si>
  <si>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269 * 0,002=0,59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</si>
  <si>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269 * 0,002=1,64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</si>
  <si>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269 * 0,055=14,85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</si>
  <si>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269 * 0,014=3,74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</si>
  <si>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 269 * 0,038=10,22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</si>
  <si>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269* 0,001=0,35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</si>
  <si>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269* 0,002=0,67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</si>
  <si>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269 * 0,079=21,25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</si>
  <si>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269 * 0,276=74,14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</si>
  <si>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 269 * 0,001=0,27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</si>
  <si>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 269 * 0,014=3,77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</si>
  <si>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269 * 0,008=2,07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</si>
  <si>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269* 0,051=13,70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</si>
  <si>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269* 0,024=6,35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</si>
  <si>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269* 0,011=2,96 euro.</t>
  </si>
  <si>
    <t>Gada faktiskās izmaksas 241,97 euro attiecas uz Hematoloģiskās izmeklēšanas nodaļas (turpmāk- ID)  veiktajiem izmeklējumiem.  ID veikto maksas pakalpojumu skaits- 9509 izmeklējumi. Izmaksas uz 1 izmeklējumu  241,97 euro : 9509 izmeklējumi= 0,025 euro. Gadā plānotie izmeklējumi:  269 * 0,0254=6,83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</si>
  <si>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 269 * 0,009=2,47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</si>
  <si>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 269 * 0,003=0,81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</si>
  <si>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269 * 0,001=0,27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</si>
  <si>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269 * 0,006=1,64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</si>
  <si>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269 * 0,026=7,07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</si>
  <si>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269 * 0,006=1,75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</si>
  <si>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 269 * 0,0093=2,50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</si>
  <si>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 269 * 0,016=4,30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</si>
  <si>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895 * 0,00335=3,00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</si>
  <si>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895 * 0,024=21,54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</si>
  <si>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895 * 0,040=36,02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</si>
  <si>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895 * 0,004=3,58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</si>
  <si>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895 * 0,106=94,87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</si>
  <si>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895 * 0,00871=7,80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</si>
  <si>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895 * 0,030=26,85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</si>
  <si>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895 * 0,006=5,48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</si>
  <si>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895 * 0,055=49,23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</si>
  <si>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895 * 0,014=12,41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</si>
  <si>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895 * 0,038=33,97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</si>
  <si>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895* 0,029=25,67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</si>
  <si>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895* 0,0013=1,16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</si>
  <si>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895* 0,0025=2,24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</si>
  <si>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895 * 0,079=70,68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</si>
  <si>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895 * 0,2756=246,63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</si>
  <si>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 895 * 0,001=0,90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</si>
  <si>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895 * 0,014=12,44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</si>
  <si>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895 * 0,00765=6,85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</si>
  <si>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895* 0,0236=21,12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</si>
  <si>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895* 0,011=9,71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</si>
  <si>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895 * 0,0255=22,78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</si>
  <si>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895 * 0,0092=8,23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</si>
  <si>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895 * 0,003=2,70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</si>
  <si>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895 * 0,001=0,90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</si>
  <si>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895 * 0,0061=5,47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</si>
  <si>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895 * 0,0263=23,54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</si>
  <si>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895 * 0,0065=5,82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</si>
  <si>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895* 0,009=8,95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</si>
  <si>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 895 * 0,016=14,32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</si>
  <si>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269 * 0,003=0,81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</si>
  <si>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269 * 0,024=6,46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</si>
  <si>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269 * 0,040=10,76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</si>
  <si>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269 * 0,004=1,08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</si>
  <si>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269 * 0,106=28,51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</si>
  <si>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269 * 0,009=2,42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</si>
  <si>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269 * 0,030=8,07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</si>
  <si>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269 * 0,002=0,54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</si>
  <si>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269 * 0,002=1,61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</si>
  <si>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269 * 0,014=3,77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</si>
  <si>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269* 0,029=7,80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</si>
  <si>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269* 0,001=0,27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</si>
  <si>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269* 0,00246=0,66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</si>
  <si>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269 * 0,079=21,24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</si>
  <si>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269 * 0,008=2,15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</si>
  <si>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269* 0,051=13,72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</si>
  <si>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269* 0,024=6,46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</si>
  <si>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269 * 0,0255=6,85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</si>
  <si>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269 * 0,0009=0,24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</si>
  <si>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269 * 0,0263=7,07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</si>
  <si>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269 * 0,0065=1,75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</si>
  <si>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626 * 0,00335=2,10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</si>
  <si>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626 * 0,0241=15,09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</si>
  <si>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626 * 0,0402=25,17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</si>
  <si>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626 * 0,004=2,50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</si>
  <si>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626 * 0,106=66,36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</si>
  <si>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626 * 0,009=5,63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</si>
  <si>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626 * 0,030=18,78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</si>
  <si>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626 * 0,002=1,25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</si>
  <si>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626 * 0,002=3,76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</si>
  <si>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626 * 0,055=34,43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</si>
  <si>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626 * 0,014=8,76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</si>
  <si>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 626 * 0,038=23,79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</si>
  <si>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626* 0,001=0,63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</si>
  <si>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626 * 0,002=1,25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</si>
  <si>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626 * 0,079=49,45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</si>
  <si>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626 * 0,2756=172,53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</si>
  <si>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 626* 0,001=0,63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</si>
  <si>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626 * 0,014=8,76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</si>
  <si>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626 * 0,008=5,01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</si>
  <si>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626* 0,051=31,93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</si>
  <si>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626* 0,024=15,02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</si>
  <si>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626* 0,011=6,89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</si>
  <si>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626* 0,0025=15,65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</si>
  <si>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 626 * 0,00919=5,75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</si>
  <si>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 626 * 0,003=1,89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</si>
  <si>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626 * 0,0009=0,56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</si>
  <si>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626 * 0,0061=3,82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</si>
  <si>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626 * 0,0263=16,46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</si>
  <si>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626 * 0,0065=4,07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</si>
  <si>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626 * 0,00929=5,82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</si>
  <si>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 626 * 0,016=10,02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</si>
  <si>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626* 0,029=18,15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</si>
  <si>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224 * 0,003=0,75 euro.</t>
  </si>
  <si>
    <t>Gada faktiskās izmaksas 228,88 euro attiecas uz Hematoloģiskās izmeklēšanas nodaļas (turpmāk- ID)  veiktajiem izmeklējumiem.  ID veikto maksas pakalpojumu skaits- 9509 izmeklējumi. Izmaksas uz 1 izmeklējumu-  228,88 euro : 9509 izmeklējumi= 0,024 euro. Gadā plānotie izmeklējumi: 224 * 0,024=5,39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</si>
  <si>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224 * 0,0403=9,02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</si>
  <si>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224 * 0,004=0,91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</si>
  <si>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224 * 0,106=23,74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</si>
  <si>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224 * 0,009=2,02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</si>
  <si>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224 * 0,002=0,45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</si>
  <si>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224 * 0,002=1,34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</si>
  <si>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224 * 0,05515=12,35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</si>
  <si>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224 * 0,014=3,14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</si>
  <si>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224* 0,029=6,50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</si>
  <si>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 224 * 0,038=8,51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</si>
  <si>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224* 0,001=0,22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</si>
  <si>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224 * 0,079=17,70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</si>
  <si>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224 * 0,276=61,82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</si>
  <si>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 224 * 0,001=0,22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</si>
  <si>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 224 * 0,01392=3,12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</si>
  <si>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224 * 0,0077 =1,72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</si>
  <si>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224* 0,05092=11,41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</si>
  <si>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224* 0,024=5,38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</si>
  <si>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224* 0,01085=2,43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</si>
  <si>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224 * 0,002545=5,70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</si>
  <si>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 224 * 0,0092=2,06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</si>
  <si>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224 * 0,006=1,37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</si>
  <si>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224 * 0,0263=5,89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</si>
  <si>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224 * 0,0065=1,46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</si>
  <si>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 224 * 0,00929=2,08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</si>
  <si>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 224 * 0,0159=3,56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</si>
  <si>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895 * 0,0033=2,95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</si>
  <si>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895 * 0,0241=21,57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</si>
  <si>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895 * 0,04025=36,02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</si>
  <si>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895 * 0,00407=3,64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</si>
  <si>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895 * 0,009=8,06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</si>
  <si>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895 * 0,03043=27,23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</si>
  <si>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895 * 0,00217=1,94 euro.</t>
  </si>
  <si>
    <t>Gada faktiskās izmaksas 58,15 euro attiecas uz Hematoloģiskās izmeklēšanas nodaļas (turpmāk- ID)  veiktajiem izmeklējumiem.ID veikto maksas pakalpojumu skaits- 9509 izmeklējumi. Izmaksas uz 1 izmeklējumu  58,15 euro : 9509 izmeklējumi= 0,006 euro. Gadā plānotie izmeklējumi: 895 * 0,00612=5,48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</si>
  <si>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895 * 0,014=12,53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</si>
  <si>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895 * 0,038=34,01 euro.</t>
  </si>
  <si>
    <t>Gada faktiskās izmaksas 272,76 euro attiecas uz Hematoloģiskās izmeklēšanas nodaļas (turpmāk- ID)  veiktajiem izmeklējumiem.  ID veikto maksas pakalpojumu skaits- 9509 izmeklējumi. Izmaksas uz 1 izmeklējumu  272,76 euro : 9509 izmeklējumi= 0,029 euro. Gadā plānotie izmeklējumi: 895* 0,0287=25,69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</si>
  <si>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895* 0,001=0,90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</si>
  <si>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895* 0,00246=2,20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</si>
  <si>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895 * 0,07897=70,68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</si>
  <si>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895 * 0,276=247,02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</si>
  <si>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895 * 0,014=12,53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</si>
  <si>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895 * 0,008=6,85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</si>
  <si>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895* 0,05092=45,57euro.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</si>
  <si>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895* 0,02357=21,10 euro.</t>
  </si>
  <si>
    <t>Gada faktiskās izmaksas 103,21 euro attiecas uz Hematoloģiskās izmeklēšanas nodaļas (turpmāk- ID)  veiktajiem izmeklējumiem.  ID veikto maksas pakalpojumu skaits- 9509 izmeklējumi. Izmaksas uz 1 izmeklējumu  103,21 euro : 9509 izmeklējumi= 0,011 euro. Gadā plānotie izmeklējumi: 895* 0,011=9,85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</si>
  <si>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895 * 0,02545=22,78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</si>
  <si>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895 * 0,009=8,06 euro.</t>
  </si>
  <si>
    <t>Gada faktiskās izmaksas 28,69 euro attiecas uz Hematoloģiskās izmeklēšanas nodaļas (turpmāk- ID)  veiktajiem izmeklējumiem.  ID veikto maksas pakalpojumu skaits- 9509 izmeklējumi. Izmaksas uz 1 izmeklējumu 28,69 euro : 9509 izmeklējumi= 0,003 euro. Gadā plānotie izmeklējumi: 895 * 0,003=2,69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</si>
  <si>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895 * 0,0009=0,81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</si>
  <si>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895 * 0,006=5,37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</si>
  <si>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895 * 0,02628=23,52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</si>
  <si>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895 * 0,00647=5,79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</si>
  <si>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895* 0,00929=8,31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</si>
  <si>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 895 * 0,0159=14,23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</si>
  <si>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895 * 0,02407=21,54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</si>
  <si>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895 * 0,040=35,80 euro.</t>
  </si>
  <si>
    <t>Gada faktiskās izmaksas 38,69 euro attiecas uz Hematoloģiskās izmeklēšanas nodaļas (turpmāk- ID)  veiktajiem izmeklējumiem.  ID veikto maksas pakalpojumu skaits- 9509 izmeklējumi. Izmaksas uz 1 izmeklējumu-  38,69 euro : 9509 izmeklējumi= 0,004 euro. Gadā plānotie izmeklējumi: 895 * 0,004=3,58 euro.</t>
  </si>
  <si>
    <t>Gada faktiskās izmaksas 82,80 euro attiecas uz Hematoloģiskās izmeklēšanas nodaļas (turpmāk- ID)  veiktajiem izmeklējumiem.  ID veikto maksas pakalpojumu skaits- 9509 izmeklējumi. Izmaksas uz 1 izmeklējumu  82,80 euro : 9509 izmeklējumi= 0,009 euro. Gadā plānotie izmeklējumi: 895 * 0,009=8,06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</si>
  <si>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895 * 0,002=1,79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</si>
  <si>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895 * 0,006=5,37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</si>
  <si>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895* 0,029=25,96 euro.</t>
  </si>
  <si>
    <t>Gada faktiskās izmaksas 23,35 euro attiecas uz Hematoloģiskās izmeklēšanas nodaļas (turpmāk- ID)  veiktajiem izmeklējumiem.  ID veikto maksas pakalpojumu skaits- 9509 izmeklējumi. Izmaksas uz 1 izmeklējumu 23,35 euro : 9509 izmeklējumi= 0,002 euro. Gadā plānotie izmeklējumi: 895* 0,002=1,79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</si>
  <si>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895 * 0,079=70,71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</si>
  <si>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895 * 0,01392=12,46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</si>
  <si>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895 * 0,008=7,16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</si>
  <si>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895* 0,051=45,65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</si>
  <si>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895* 0,024=21,48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</si>
  <si>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895* 0,011=9,85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</si>
  <si>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895 * 0,0254=22,73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</si>
  <si>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895 * 0,00919=8,23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</si>
  <si>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895 * 0,00302=2,70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</si>
  <si>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895 * 0,0061=5,46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</si>
  <si>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895* 0,0093=8,32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</si>
  <si>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7 * 0,003=0,02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</si>
  <si>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7 * 0,024=0,17 euro.</t>
  </si>
  <si>
    <t>Gada faktiskās izmaksas 382,73 euro attiecas uz Hematoloģiskās izmeklēšanas nodaļas (turpmāk- ID)  veiktajiem izmeklējumiem.ID veikto maksas pakalpojumu skaits- 9509 izmeklējumi. Izmaksas uz 1 izmeklējumu-  382,73 euro : 9509 izmeklējumi= 0,040 euro. Gadā plānotie izmeklējumi: 7 * 0,040=0,28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</si>
  <si>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7 * 0,004=0,03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</si>
  <si>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7 * 0,106=0,74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</si>
  <si>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7 * 0,009=0,06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</si>
  <si>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7 * 0,030=0,21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</si>
  <si>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7 * 0,002=0,02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</si>
  <si>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7* 0,006=0,04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</si>
  <si>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7 * 0,055=0,39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</si>
  <si>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7 * 0,014=0,10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</si>
  <si>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7 * 0,038=0,27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</si>
  <si>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7 * 0,029=0,20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</si>
  <si>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7* 0,001=0,01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</si>
  <si>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7* 0,002=0,01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</si>
  <si>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7 * 0,079=0,55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</si>
  <si>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7 * 0,276=1,93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</si>
  <si>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7 * 0,001=0,01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</si>
  <si>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7 * 0,014=0,10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</si>
  <si>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7 * 0,008=0,06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</si>
  <si>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7* 0,051=0,36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</si>
  <si>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7* 0,024=0,17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</si>
  <si>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7* 0,011=0,08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</si>
  <si>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7 * 0,025=0,18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</si>
  <si>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7 * 0,001=0,01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</si>
  <si>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7 * 0,006=0,04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</si>
  <si>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7 * 0,026=0,18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</si>
  <si>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7* 0,009=0,06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</si>
  <si>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7 * 0,016=0,11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</si>
  <si>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7 * 0,006=0,06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</si>
  <si>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16 * 0,003=0,05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</si>
  <si>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16 * 0,024=0,38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</si>
  <si>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16 * 0,040=0,64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</si>
  <si>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16 * 0,004=0,06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</si>
  <si>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16 * 0,106=1,70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</si>
  <si>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16 * 0,009=0,14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</si>
  <si>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16 * 0,030=0,48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</si>
  <si>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16 * 0,002=0,03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</si>
  <si>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16 * 0,006=0,10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</si>
  <si>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16 * 0,014=0,22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</si>
  <si>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16 * 0,038=0,61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</si>
  <si>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16 * 0,029=0,46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</si>
  <si>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16* 0,002=0,03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</si>
  <si>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16 * 0,001=0,02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</si>
  <si>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16 * 0,079=1,26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</si>
  <si>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16 * 0,276=4,42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</si>
  <si>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16 * 0,008=0,12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</si>
  <si>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16* 0,051=0,81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</si>
  <si>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16* 0,024=0,38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</si>
  <si>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16 * 0,011=0,18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</si>
  <si>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16 * 0,025=0,41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</si>
  <si>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16 * 0,009=0,15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</si>
  <si>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16 * 0,003=0,05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</si>
  <si>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16 * 0,006=0,10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</si>
  <si>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16 * 0,026=0,42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</si>
  <si>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16 * 0,006=0,11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</si>
  <si>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16* 0,009=0,15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</si>
  <si>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16 * 0,016=0,25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</si>
  <si>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16 * 0,001=0,02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</si>
  <si>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16 * 0,014=0,22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</si>
  <si>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16 * 0,055=0,88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</si>
  <si>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1970 * 0,003=5,91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</si>
  <si>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1970 * 0,024=47,28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</si>
  <si>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1970 * 0,040=78,80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</si>
  <si>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1970 * 0,004=7,88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</si>
  <si>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1970 * 0,106=208,82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</si>
  <si>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1970 * 0,009=17,73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</si>
  <si>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1970 * 0,030=59,10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</si>
  <si>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1970 * 0,002=3,94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</si>
  <si>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1970 * 0,006=11,82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</si>
  <si>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1970 * 0,055=108,35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</si>
  <si>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895 * 0,014=27,58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</si>
  <si>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1970 * 0,038=74,86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</si>
  <si>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1970* 0,029=57,13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</si>
  <si>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1970* 0,00127=2,50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</si>
  <si>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1970 * 0,00246=4,85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</si>
  <si>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 1970 * 0,07897= 155,57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</si>
  <si>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 1970 * 0,27556=542,85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</si>
  <si>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 1970 * 0,00104=2,05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</si>
  <si>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1970 * 0,014=27,58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</si>
  <si>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1970 * 0,008=15,76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</si>
  <si>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1970 * 0,051=100,47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</si>
  <si>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1970* 0,024=47,28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</si>
  <si>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1970 * 0,02545=50,14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</si>
  <si>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1970 * 0,00919=18,10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</si>
  <si>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1970 * 0,00302=5,95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</si>
  <si>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 1970 * 0,001=1,97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</si>
  <si>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1970 * 0,0061=12,02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</si>
  <si>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1970 * 0,02628=51,77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</si>
  <si>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1970 * 0,00929=18,30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</si>
  <si>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1970 * 0,0159=31,32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</si>
  <si>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34 * 0,003=0,11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</si>
  <si>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34 * 0,024=0,82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</si>
  <si>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34 * 0,040=1,36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</si>
  <si>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34 * 0,004=0,14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</si>
  <si>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34 * 0,106=3,60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</si>
  <si>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34 * 0,009=0,31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</si>
  <si>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34 * 0,030=1,02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</si>
  <si>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34 * 0,002=0,07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</si>
  <si>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34 * 0,006=0,20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</si>
  <si>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34 * 0,055=1,87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</si>
  <si>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34 * 0,014=0,48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</si>
  <si>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34 * 0,038=1,29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</si>
  <si>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34 * 0,029=0,99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</si>
  <si>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34 * 0,00127=0,04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</si>
  <si>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34* 0,002=0,07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</si>
  <si>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34 * 0,079=2,69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</si>
  <si>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34 * 0,00104=0,04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</si>
  <si>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34 * 0,01392=0,47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</si>
  <si>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34 * 0,008=0,27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</si>
  <si>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34* 0,051=1,73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</si>
  <si>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34 * 0,011=0,37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</si>
  <si>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34* 0,024=0,82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</si>
  <si>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34 * 0,0254=0,86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</si>
  <si>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34 * 0,009=0,31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</si>
  <si>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34 * 0,003=0,10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</si>
  <si>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34 * 0,0061=0,21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</si>
  <si>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34 * 0,02628=0,89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</si>
  <si>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34 * 0,0065=0,22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</si>
  <si>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34* 0,00929=0,32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</si>
  <si>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34 * 0,016=0,54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</si>
  <si>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34 * 0,276=9,38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</si>
  <si>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71 * 0,00335=0,24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</si>
  <si>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71 * 0,0241=1,71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</si>
  <si>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71 * 0,04025=2,86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</si>
  <si>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71 * 0,00407=0,29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</si>
  <si>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71 * 0,106=7,53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</si>
  <si>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71 * 0,009=0,64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</si>
  <si>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71 * 0,030=2,13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</si>
  <si>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71 * 0,002=0,14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</si>
  <si>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71 * 0,006=0,43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</si>
  <si>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71 * 0,055=3,91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</si>
  <si>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71 * 0,014=0,99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</si>
  <si>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71 * 0,038=2,70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</si>
  <si>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71 * 0,029=2,06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</si>
  <si>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71 * 0,0013=0,09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</si>
  <si>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71* 0,002=0,14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</si>
  <si>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71 * 0,079=5,61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</si>
  <si>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71 * 0,276=19,60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</si>
  <si>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71 * 0,001=0,07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</si>
  <si>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71 * 0,014=0,99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</si>
  <si>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71 * 0,008=0,57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</si>
  <si>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71 * 0,051=3,62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</si>
  <si>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71* 0,02357=1,67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</si>
  <si>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71 * 0,01085=0,77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</si>
  <si>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71 * 0,02545=1,81 euro.</t>
  </si>
  <si>
    <t>Gada faktiskās izmaksas 87,42 euro attiecas uz Hematoloģiskās izmeklēšanas nodaļas (turpmāk- ID)  veiktajiem izmeklējumiem.  ID veikto maksas pakalpojumu skaits- 9509 izmeklējumi. Izmaksas uz 1 izmeklējumu 87,42 euro : 9509 izmeklējumi= 0,009 euro. Gadā plānotie izmeklējumi: 71 * 0,009=0,64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</si>
  <si>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71 * 0,00302=0,21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</si>
  <si>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71 * 0,0009=0,06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</si>
  <si>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71 * 0,006=0,43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</si>
  <si>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71 * 0,02628=1,87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</si>
  <si>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71 * 0,0065=0,46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</si>
  <si>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71* 0,00929=0,66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</si>
  <si>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71 * 0,016=1,14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</si>
  <si>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43 * 0,00335=0,14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</si>
  <si>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43 * 0,02407=1,04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</si>
  <si>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43 * 0,0425=1,73 euro.</t>
  </si>
  <si>
    <t>Gada faktiskās izmaksas 38,69 euro attiecas uz Hematoloģiskās izmeklēšanas nodaļas (turpmāk- ID)  veiktajiem izmeklējumiem.  ID veikto maksas pakalpojumu skaits- 9509 izmeklējumi. Izmaksas uz 1 izmeklējumu-  38,69 euro : 9509 izmeklējumi= 0,004 euro. Gadā plānotie izmeklējumi: 43 * 0,00407=0,18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</si>
  <si>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43 * 0,106=4,56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</si>
  <si>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43 * 0,009=0,39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</si>
  <si>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43 * 0,030=1,29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</si>
  <si>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43 * 0,002=0,09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</si>
  <si>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43 * 0,006=0,26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</si>
  <si>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43 * 0,014=0,60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</si>
  <si>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43 * 0,038=1,63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</si>
  <si>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43 * 0,029=1,25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</si>
  <si>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43 * 0,001=0,04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</si>
  <si>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43* 0,002=0,09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</si>
  <si>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43 * 0,079=3,40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</si>
  <si>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43 * 0,001=0,04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</si>
  <si>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43 * 0,014=0,60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</si>
  <si>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43 * 0,008=0,34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</si>
  <si>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43* 0,051=2,19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</si>
  <si>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43* 0,024=1,03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</si>
  <si>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43 * 0,011=0,47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</si>
  <si>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43 * 0,025=1,08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</si>
  <si>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43 * 0,00919=0,40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</si>
  <si>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43 * 0,003=0,13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</si>
  <si>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43 * 0,001=0,04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</si>
  <si>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43 * 0,006=0,26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</si>
  <si>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43 * 0,02628=1,13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</si>
  <si>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43 * 0,006=0,28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</si>
  <si>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43* 0,00929=0,40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</si>
  <si>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43 * 0,01589=0,68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</si>
  <si>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43 * 0,055=2,37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</si>
  <si>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43 * 0,276=11,87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</si>
  <si>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100 * 0,00335=0,34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</si>
  <si>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100 * 0,024=2,40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</si>
  <si>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100 * 0,040=4,00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</si>
  <si>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100 * 0,04=0,40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</si>
  <si>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43 * 0,106=10,60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</si>
  <si>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100 * 0,009=0,90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</si>
  <si>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100 * 0,030=3,00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</si>
  <si>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100 * 0,00217=0,22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</si>
  <si>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100 * 0,00612=0,61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</si>
  <si>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100 * 0,055=5,50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</si>
  <si>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100 * 0,014=1,40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</si>
  <si>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100 * 0,038=3,80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</si>
  <si>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100 * 0,029=2,90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</si>
  <si>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100 * 0,001=0,10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</si>
  <si>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100* 0,00246=0,25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</si>
  <si>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100 * 0,079=7,90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</si>
  <si>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100 * 0,276=27,60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</si>
  <si>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100 * 0,001=0,10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</si>
  <si>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100 * 0,014=1,40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</si>
  <si>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100 * 0,008=0,80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</si>
  <si>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100* 0,051=5,10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</si>
  <si>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100* 0,024=2,40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</si>
  <si>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100 * 0,01085=1,09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</si>
  <si>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100 * 0,0255=2,55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</si>
  <si>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100 * 0,009=0,90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</si>
  <si>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100 * 0,003=0,30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</si>
  <si>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100 * 0,0009=0,09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</si>
  <si>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100 * 0,006=0,60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</si>
  <si>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100 * 0,0065=0,65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</si>
  <si>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100 * 0,026=2,60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</si>
  <si>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100* 0,0093=0,93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</si>
  <si>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100 * 0,0159=1,59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</si>
  <si>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200 * 0,00335=0,67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</si>
  <si>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200 * 0,024=4,80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</si>
  <si>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200 * 0,040=8,00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</si>
  <si>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200 * 0,00407=0,81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</si>
  <si>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200 * 0,106=21,20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</si>
  <si>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200 * 0,009=1,80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</si>
  <si>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200 * 0,030=6,00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</si>
  <si>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200 * 0,002=0,40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</si>
  <si>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200 * 0,006=1,20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</si>
  <si>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200 * 0,055=11,00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</si>
  <si>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200 * 0,014=2,80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</si>
  <si>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200 * 0,038=7,60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</si>
  <si>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200 * 0,029=5,80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</si>
  <si>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200 * 0,001=0,20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</si>
  <si>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200* 0,002=0,40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</si>
  <si>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200 * 0,079=15,80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</si>
  <si>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200 * 0,276=55,20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</si>
  <si>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200 * 0,001=0,20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</si>
  <si>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200 * 0,014=2,80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</si>
  <si>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200 * 0,008=1,60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</si>
  <si>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200* 0,051=10,20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</si>
  <si>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200* 0,024=4,80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</si>
  <si>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200 * 0,011=2,20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</si>
  <si>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200 * 0,025=5,09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</si>
  <si>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200 * 0,009=1,80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</si>
  <si>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200 * 0,003=0,60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</si>
  <si>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200 * 0,006=1,23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</si>
  <si>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200 * 0,0263=5,26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</si>
  <si>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200 * 0,00647=1,29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</si>
  <si>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200* 0,009=1,86 euro.</t>
  </si>
  <si>
    <t>Gada faktiskās izmaksas 151,09 euro attiecas uz Hematoloģiskās izmeklēšanas nodaļas (turpmāk- ID)  veiktajiem izmeklējumiem.  ID veikto maksas pakalpojumu summa- 9509 izmeklējumi. Izmaksas uz 1 izmeklējumu  151,09 euro : 9509 izmeklējumi= 0,016 euro. Gadā plānotie izmeklējumi: 200 * 0,016=3,20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</si>
  <si>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200 * 0,0009=0,18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</si>
  <si>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100 * 0,02407=2,41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</si>
  <si>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100 * 0,0402=4,02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</si>
  <si>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100 * 0,106=10,60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</si>
  <si>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100 * 0,002=0,20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</si>
  <si>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100 * 0,006=0,60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</si>
  <si>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100* 0,002=0,20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</si>
  <si>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100 * 0,011=1,10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</si>
  <si>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100 * 0,0254=2,54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</si>
  <si>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100 * 0,0092=0,92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</si>
  <si>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100 * 0,0061=0,61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</si>
  <si>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100 * 0,006=0,60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</si>
  <si>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100* 0,00929=0,93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</si>
  <si>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100 * 0,016=1,60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</si>
  <si>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20 * 0,00335=0,07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</si>
  <si>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20 * 0,024=0,48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</si>
  <si>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20 * 0,040=0,80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</si>
  <si>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20 * 0,004=0,08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</si>
  <si>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20 * 0,106=2,12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</si>
  <si>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20 * 0,009=0,18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</si>
  <si>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20 * 0,030=0,60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</si>
  <si>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20 * 0,002=0,04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</si>
  <si>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20 * 0,006=0,12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</si>
  <si>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20 * 0,055=1,10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</si>
  <si>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20 * 0,014=0,28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</si>
  <si>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20 * 0,038=0,76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</si>
  <si>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20 * 0,029=0,58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</si>
  <si>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20 * 0,00127=0,03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</si>
  <si>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20* 0,002=0,04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</si>
  <si>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20 * 0,079=1,58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</si>
  <si>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20 * 0,276=5,52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</si>
  <si>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20 * 0,001=0,02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</si>
  <si>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20 * 0,008=0,16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</si>
  <si>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20* 0,051=1,02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</si>
  <si>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20* 0,024=0,48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</si>
  <si>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 * 0,025=0,50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</si>
  <si>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20 * 0,009=0,18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</si>
  <si>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20 * 0,003=0,06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</si>
  <si>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20 * 0,001=0,02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</si>
  <si>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20 * 0,006=0,12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</si>
  <si>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20 * 0,02628=0,53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</si>
  <si>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20 * 0,00647=0,13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</si>
  <si>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20* 0,00929=0,19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</si>
  <si>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20 * 0,016=0,32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</si>
  <si>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20 * 0,014=0,28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</si>
  <si>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20 * 0,011=0,22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</si>
  <si>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50 * 0,003=0,15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</si>
  <si>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50 * 0,024=1,20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</si>
  <si>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50 * 0,040=2,00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</si>
  <si>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50 * 0,04=0,20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</si>
  <si>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50 * 0,106=5,30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</si>
  <si>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50 * 0,009=0,45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</si>
  <si>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50 * 0,030=1,50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</si>
  <si>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50 * 0,002=0,10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</si>
  <si>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50 * 0,00612=0,31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</si>
  <si>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50* 0,055=2,75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</si>
  <si>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50 * 0,014=0,70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</si>
  <si>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50 * 0,038=1,90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</si>
  <si>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50 * 0,029=1,45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</si>
  <si>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50 * 0,001=0,05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</si>
  <si>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50 * 0,00246=0,12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</si>
  <si>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50 * 0,079=3,95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</si>
  <si>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50 * 0,276=13,80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</si>
  <si>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50 * 0,014=0,70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</si>
  <si>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50 * 0,008=0,40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</si>
  <si>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50 * 0,051=2,55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</si>
  <si>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50 * 0,024=1,20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</si>
  <si>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50 * 0,011=0,55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</si>
  <si>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50 * 0,02545=1,27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</si>
  <si>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50* 0,009=0,45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</si>
  <si>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50 * 0,003=0,15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</si>
  <si>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50 * 0,001=0,05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</si>
  <si>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 50 * 0,0061=0,31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</si>
  <si>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50 * 0,026=1,30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</si>
  <si>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50 * 0,00647=0,32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</si>
  <si>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50 * 0,00929=0,46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</si>
  <si>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50 * 0,016=0,80 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</si>
  <si>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50 * 0,001=0,05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</si>
  <si>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700 * 0,003=2,10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</si>
  <si>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700 * 0,024=16,80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</si>
  <si>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700 * 0,040=28,00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</si>
  <si>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700 * 0,004=2,80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</si>
  <si>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700 * 0,106=74,20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</si>
  <si>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700 * 0,009=6,30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</si>
  <si>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700 * 0,030=21,00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</si>
  <si>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700 * 0,002=1,40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</si>
  <si>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700 * 0,006=4,20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</si>
  <si>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700 * 0,055=38,50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</si>
  <si>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700 * 0,014=9,80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</si>
  <si>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700 * 0,038=26,60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</si>
  <si>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700 * 0,029=20,30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</si>
  <si>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700 * 0,00127=0,89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</si>
  <si>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700* 0,002=1,40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</si>
  <si>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700 * 0,079=55,30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</si>
  <si>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700 * 0,276=193,20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</si>
  <si>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700 * 0,014=9,80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</si>
  <si>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700 * 0,00104=0,73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</si>
  <si>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700 * 0,008=5,60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</si>
  <si>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700* 0,051=35,70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</si>
  <si>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700* 0,024=16,80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</si>
  <si>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700 * 0,011=7,70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</si>
  <si>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700 * 0,02545=17,82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</si>
  <si>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700 * 0,00919=6,43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</si>
  <si>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700 * 0,003=2,10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</si>
  <si>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700 * 0,00091=0,63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</si>
  <si>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700 * 0,0061=4,27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</si>
  <si>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700 * 0,02628=18,40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</si>
  <si>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700 * 0,00647=4,53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</si>
  <si>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700* 0,0093=6,51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</si>
  <si>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700 * 0,016=11,20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</si>
  <si>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30 * 0,00335=0,10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</si>
  <si>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30 * 0,024=0,72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</si>
  <si>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30 * 0,040=1,20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</si>
  <si>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30 * 0,04=0,12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</si>
  <si>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30 * 0,106=3,18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</si>
  <si>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30 * 0,009=0,27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</si>
  <si>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30 * 0,030=0,90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</si>
  <si>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30 * 0,002=0,06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</si>
  <si>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30 * 0,006=0,18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</si>
  <si>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30* 0,055=1,65 euro.</t>
  </si>
  <si>
    <t>Gada faktiskās izmaksas 131,93 euro attiecas uz Hematoloģiskās izmeklēšanas nodaļas (turpmāk- ID)  veiktajiem izmeklējumiem.  ID veikto maksas pakalpojumu skaits- 9509 izmeklējumi. Izmaksas uz 1 izmeklējumu  131,93 euro : 9509 izmeklējumi= 0,014 euro. Gadā plānotie izmeklējumi: 30 * 0,014=0,42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</si>
  <si>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30 * 0,038=1,14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</si>
  <si>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30 * 0,029=0,87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</si>
  <si>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30 * 0,001=0,03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</si>
  <si>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30 * 0,002=0,06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</si>
  <si>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30 * 0,079=2,37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</si>
  <si>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30 * 0,276=8,28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</si>
  <si>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30 * 0,001=0,03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</si>
  <si>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30 * 0,014=0,42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</si>
  <si>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30 * 0,008=0,24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</si>
  <si>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30 * 0,051=1,53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</si>
  <si>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30 * 0,024=0,72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</si>
  <si>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30 * 0,011=0,33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</si>
  <si>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30* 0,0092=0,28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</si>
  <si>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30 * 0,003=0,09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</si>
  <si>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30 * 0,001=0,03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</si>
  <si>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 30 * 0,006=0,18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</si>
  <si>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30 * 0,02628=0,79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</si>
  <si>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30 * 0,0065=0,20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</si>
  <si>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30 * 0,00929=0,28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</si>
  <si>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30 * 0,016=0,48 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</si>
  <si>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30 * 0,00217=0,07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</si>
  <si>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30 * 0,014=0,42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</si>
  <si>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30 * 0,025=0,75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</si>
  <si>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30* 0,00919=0,28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</si>
  <si>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30 * 0,00647=0,19 euro.</t>
  </si>
  <si>
    <t>Gada faktiskās izmaksas 524,45 euro attiecas uz Hematoloģiskās izmeklēšanas nodaļas (turpmāk- ID)  veiktajiem izmeklējumiem.ID veikto maksas pakalpojumu skaits- 9509 izmeklējumi. Izmaksas uz 1 izmeklējumu  524,45 euro : 9509 izmeklējumi= 0,055 euro. Gadā plānotie izmeklējumi: 20 * 0,055=1,10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</si>
  <si>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20 * 0,001=0,02 euro.</t>
  </si>
  <si>
    <t>Gada faktiskās izmaksas 9,91 euro attiecas uz Hematoloģiskās izmeklēšanas nodaļas (turpmāk- ID)  veiktajiem izmeklējumiem.  ID veikto maksas pakalpojumu skaits- 9509 izmeklējumi. Izmaksas uz 1 izmeklējumu 9,91 euro : 9509 izmeklējumi= 0,001 euro. Gadā plānotie izmeklējumi: 20 * 0,001=0,02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</si>
  <si>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 * 0,02545=0,51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</si>
  <si>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100 * 0,04025=4,03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</si>
  <si>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100 * 0,025=2,50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</si>
  <si>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100 * 0,00919=0,92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</si>
  <si>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100 * 0,02628=2,63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</si>
  <si>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100 * 0,00647=0,65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</si>
  <si>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200 * 0,02407=4,81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</si>
  <si>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200 * 0,04025=8,05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</si>
  <si>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200 * 0,004=0,80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</si>
  <si>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200 * 0,00104=0,21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</si>
  <si>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200 * 0,025=5,00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</si>
  <si>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200 * 0,00919=1,84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</si>
  <si>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200 * 0,0061=1,22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</si>
  <si>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200* 0,00929=1,86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</si>
  <si>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200 * 0,016=3,20 euro.</t>
  </si>
  <si>
    <t>Gada faktiskās izmaksas 12,06 euro attiecas uz Hematoloģiskās izmeklēšanas nodaļas (turpmāk- ID)  veiktajiem izmeklējumiem.  ID veikto maksas pakalpojumu skaits- 9509 izmeklējumi. Izmaksas uz 1 izmeklējumu  12,06 euro : 9509 izmeklējumi= 0,001 euro. Gadā plānotie izmeklējumi: 100 * 0,001=0,10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</si>
  <si>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100 * 0,0263=2,63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</si>
  <si>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10 * 0,003=0,03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</si>
  <si>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10 * 0,024=0,24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</si>
  <si>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10 * 0,040=0,40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</si>
  <si>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10 * 0,004=0,04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</si>
  <si>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10 * 0,106=1,06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</si>
  <si>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10 * 0,009=0,09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</si>
  <si>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10 * 0,030=0,30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</si>
  <si>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10 * 0,006=0,06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</si>
  <si>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10 * 0,055=0,55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</si>
  <si>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10 * 0,014=0,14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</si>
  <si>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10 * 0,038=0,38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</si>
  <si>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10 * 0,029=0,29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</si>
  <si>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10 * 0,001=0,01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</si>
  <si>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10* 0,002=0,02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</si>
  <si>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10 * 0,079=0,79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</si>
  <si>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10 * 0,001=0,01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</si>
  <si>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10 * 0,276=2,76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</si>
  <si>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10 * 0,014=0,14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</si>
  <si>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10 * 0,008=0,08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</si>
  <si>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10* 0,051=0,51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</si>
  <si>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10 * 0,011=0,11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</si>
  <si>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10* 0,024=0,24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</si>
  <si>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10 * 0,025=0,25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</si>
  <si>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10 * 0,009=0,09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</si>
  <si>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10 * 0,003=0,03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</si>
  <si>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10 * 0,001=0,01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</si>
  <si>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10 * 0,006=0,06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</si>
  <si>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10 * 0,026=0,26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</si>
  <si>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10 * 0,006=0,06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</si>
  <si>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10* 0,009=0,09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</si>
  <si>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10 * 0,016=0,16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</si>
  <si>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10 * 0,002=0,02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</si>
  <si>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80 * 0,003=0,24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</si>
  <si>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80 * 0,02407=1,93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</si>
  <si>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80 * 0,04025=3,22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</si>
  <si>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80 * 0,004=0,32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</si>
  <si>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80 * 0,106=8,48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</si>
  <si>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80 * 0,009=0,72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</si>
  <si>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80 * 0,030=2,40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</si>
  <si>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80 * 0,002=0,16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</si>
  <si>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80 * 0,006=0,48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</si>
  <si>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80 * 0,055=4,40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</si>
  <si>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80 * 0,014=1,12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</si>
  <si>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80 * 0,038=3,04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</si>
  <si>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80 * 0,029=2,32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</si>
  <si>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80 * 0,001=0,08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</si>
  <si>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80* 0,00246=0,20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</si>
  <si>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80 * 0,079=6,32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</si>
  <si>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80 * 0,001=0,08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</si>
  <si>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80 * 0,014=1,12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</si>
  <si>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80 * 0,008=0,64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</si>
  <si>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80* 0,051=4,08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</si>
  <si>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80* 0,024=1,92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</si>
  <si>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80 * 0,011=0,88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</si>
  <si>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80 * 0,025=2,00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</si>
  <si>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80 * 0,009=0,72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</si>
  <si>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80 * 0,003=0,24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</si>
  <si>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80 * 0,001=0,08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</si>
  <si>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80 * 0,0061=0,49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</si>
  <si>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80 * 0,0263=2,10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</si>
  <si>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80* 0,0093=0,74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</si>
  <si>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80 * 0,01589=1,27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</si>
  <si>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80 * 0,276=22,08 euro.</t>
  </si>
  <si>
    <r>
      <t>Gada faktiskās izmaksas 61,55 euro attiecas uz Hematoloģiskās izmeklēšanas nodaļas (turpmāk- ID)  veiktajiem izmeklējumiem. ID veikto maksas pakalpojumu skaits- 9509 izmeklējumi. Izmaksas uz 1 izmeklējumu 61,55 euro : 9509 izmek</t>
    </r>
    <r>
      <rPr>
        <sz val="8"/>
        <rFont val="Times New Roman"/>
        <family val="1"/>
        <charset val="186"/>
      </rPr>
      <t>l</t>
    </r>
    <r>
      <rPr>
        <sz val="9"/>
        <rFont val="Times New Roman"/>
        <family val="1"/>
        <charset val="186"/>
      </rPr>
      <t>ējumi= 0,006 euro. Gadā plānotie izmeklējumi: 80 * 0,0065=0,53 euro.</t>
    </r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</si>
  <si>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4 * 0,003=0,01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</si>
  <si>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4 * 0,024=0,10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</si>
  <si>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4 * 0,040=0,16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</si>
  <si>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4 * 0,004=0,02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</si>
  <si>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4 * 0,009=0,04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</si>
  <si>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4 * 0,030=0,12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</si>
  <si>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4 * 0,002=0,01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</si>
  <si>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4 * 0,006=0,02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</si>
  <si>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4 * 0,055=0,22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</si>
  <si>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4 * 0,014=0,06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</si>
  <si>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4 * 0,038=0,15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</si>
  <si>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4 * 0,029=0,12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</si>
  <si>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4 0,002=0,01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</si>
  <si>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4 * 0,079=0,32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</si>
  <si>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4 * 0,276=1,10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</si>
  <si>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4 * 0,001=0,004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</si>
  <si>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4 * 0,014=0,06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</si>
  <si>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4 * 0,008=0,03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</si>
  <si>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4* 0,051=0,20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</si>
  <si>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4 * 0,024=0,10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</si>
  <si>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4 * 0,025=0,10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</si>
  <si>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4 * 0,009=0,04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</si>
  <si>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4 * 0,003=0,01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</si>
  <si>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4 * 0,001=0,004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</si>
  <si>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4 * 0,006=0,02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</si>
  <si>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4 * 0,026=0,10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</si>
  <si>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4 * 0,00647=0,03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</si>
  <si>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4* 0,009=0,04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</si>
  <si>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4 * 0,016=0,06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</si>
  <si>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4 * 0,106=0,42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</si>
  <si>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4 * 0,001=0,0040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</si>
  <si>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5 * 0,003=0,02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</si>
  <si>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5 * 0,024=0,12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</si>
  <si>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5 * 0,040=0,20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</si>
  <si>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5 * 0,004=0,02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</si>
  <si>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5 * 0,106=0,53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</si>
  <si>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5 * 0,009=0,05 euro.</t>
  </si>
  <si>
    <t>Gada faktiskās izmaksas 289,40 euro attiecas uz Hematoloģiskās izmeklēšanas nodaļas (turpmāk- ID)  veiktajiem izmeklējumiem.ID veikto maksas pakalpojumu skaits- 9509 izmeklējumi. Izmaksas uz 1 izmeklējumu  289,40 euro : 9509 izmeklējumi= 0,030 euro. Gadā plānotie izmeklējumi: 5 * 0,030=0,15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</si>
  <si>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5 * 0,002=0,01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</si>
  <si>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5 * 0,006=0,03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</si>
  <si>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5 * 0,055=0,28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</si>
  <si>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5 * 0,014=0,07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</si>
  <si>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5 * 0,038=0,19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</si>
  <si>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5 * 0,029=0,15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</si>
  <si>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5 * 0,001=0,01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</si>
  <si>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5* 0,002=0,01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</si>
  <si>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5 * 0,079=0,40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</si>
  <si>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5 * 0,276=1,38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</si>
  <si>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5 * 0,001=0,01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</si>
  <si>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5 * 0,014=0,07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</si>
  <si>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5 * 0,008=0,04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</si>
  <si>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5* 0,051=0,26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</si>
  <si>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5* 0,024=0,12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</si>
  <si>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5 * 0,011=0,06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</si>
  <si>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5 * 0,025=0,13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</si>
  <si>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5 * 0,009=0,05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</si>
  <si>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5 * 0,003=0,02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</si>
  <si>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5 * 0,001=0,01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</si>
  <si>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5 * 0,006=0,03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</si>
  <si>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5 * 0,026=0,13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</si>
  <si>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5 * 0,006=0,03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</si>
  <si>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5* 0,009=0,05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</si>
  <si>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5 * 0,016=0,08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</si>
  <si>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4 * 0,001=0,004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</si>
  <si>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4 * 0,011=0,04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</si>
  <si>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4 * 0,006=0,02euro.</t>
  </si>
  <si>
    <t>Gada faktiskās izmaksas 31,85 euro attiecas uz Hematoloģiskās izmeklēšanas nodaļas (turpmāk- ID)  veiktajiem izmeklējumiem.  ID veikto maksas pakalpojumu skaits- 9509 izmeklējumi. Izmaksas uz 1 izmeklējumu-  31,85 euro : 9509 izmeklējumi= 0,003 euro. Gadā plānotie izmeklējumi: 30 * 0,00335=0,10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</si>
  <si>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30 * 0,00246=0,07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</si>
  <si>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30* 0,009=0,27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</si>
  <si>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30 * 0,0263=0,79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</si>
  <si>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20 * 0,00765=0,15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</si>
  <si>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20 * 0,0263=0,53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</si>
  <si>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200 * 0,0241=4,81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</si>
  <si>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200 * 0,03043=6,09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</si>
  <si>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200 * 0,02868=5,74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</si>
  <si>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200 * 0,00127=0,25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</si>
  <si>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200 * 0,02545=5,09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</si>
  <si>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200* 0,00929=1,85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</si>
  <si>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200 * 0,01589=3,18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</si>
  <si>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200 * 0,01085=2,17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</si>
  <si>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200* 0,02357=4,71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</si>
  <si>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200* 0,05092=10,18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</si>
  <si>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60 * 0,003=0,20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</si>
  <si>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60 * 0,024=1,44 euro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</si>
  <si>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60 * 0,040=2,42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</si>
  <si>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60 * 0,004=0,24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</si>
  <si>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60 * 0,106=6,36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</si>
  <si>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60 * 0,009=0,54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</si>
  <si>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60 * 0,030=1,80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</si>
  <si>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60 * 0,002=0,12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</si>
  <si>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60 * 0,006=0,36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</si>
  <si>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60 * 0,055=3,30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</si>
  <si>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60 * 0,014=0,84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</si>
  <si>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60 * 0,038=2,28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</si>
  <si>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60 * 0,029=1,74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</si>
  <si>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60 * 0,001=0,06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</si>
  <si>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60* 0,002=0,12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</si>
  <si>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60 * 0,079=4,74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</si>
  <si>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60 * 0,276=16,56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</si>
  <si>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60 * 0,001=0,06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</si>
  <si>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60 * 0,014=0,84 euro.</t>
  </si>
  <si>
    <t>Gada faktiskās izmaksas 72,76 euro attiecas uz Hematoloģiskās izmeklēšanas nodaļas (turpmāk- ID)  veiktajiem izmeklējumiem.ID veikto maksas pakalpojumu skaits-9509 izmeklējumi. Izmaksas uz 1 izmeklējumu  72,76 euro : 9509 izmeklējumi= 0,008 euro. Gadā plānotie izmeklējumi: 60 * 0,008=0,48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</si>
  <si>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60* 0,051=3,06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</si>
  <si>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60* 0,024=1,44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</si>
  <si>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60 * 0,011=0,66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</si>
  <si>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60 * 0,025=1,50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</si>
  <si>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60 * 0,009=0,55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</si>
  <si>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60 * 0,003=0,18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</si>
  <si>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60 * 0,001=0,05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</si>
  <si>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60 * 0,006=0,37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</si>
  <si>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60 * 0,026=1,58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</si>
  <si>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60 * 0,006=0,39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</si>
  <si>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60* 0,009=0,56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</si>
  <si>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60 * 0,016=0,96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</si>
  <si>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60 * 0,008=0,48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</si>
  <si>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60 * 0,025=1,53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</si>
  <si>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60 * 0,009=0,54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</si>
  <si>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60 * 0,016=0,95 euro.</t>
  </si>
  <si>
    <t>Gada faktiskās izmaksas 82,80 euro attiecas uz Hematoloģiskās izmeklēšanas nodaļas (turpmāk- ID)  veiktajiem izmeklējumiem.ID veikto maksas pakalpojumu skaits- 9509 izmeklējumi. Izmaksas uz 1 izmeklējumu  82,80 euro : 9509 izmeklējumi= 0,009 euro. Gadā plānotie izmeklējumi: 10 * 0,009=0,09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</si>
  <si>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100 * 0,003335=0,34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</si>
  <si>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20 * 0,003=0,07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</si>
  <si>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20 * 0,040=0,81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</si>
  <si>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20 * 0,008=0,15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</si>
  <si>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20 * 0,025=0,51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</si>
  <si>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20 * 0,026=0,53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</si>
  <si>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20* 0,009=0,19 euro.</t>
  </si>
  <si>
    <t>Gada faktiskās izmaksas 82,80 euro attiecas uz Hematoloģiskās izmeklēšanas nodaļas (turpmāk- ID)  veiktajiem izmeklējumiem.  ID veikto maksas pakalpojumu skaits- 9509 izmeklējumi. Izmaksas uz 1 izmeklējumu  82,80 euro : 9509 izmeklējumi= 0,009 euro. Gadā plānotie izmeklējumi: 10 * 0,009=0,09 euro.</t>
  </si>
  <si>
    <t>Gada faktiskās izmaksas 103,21 euro attiecas uz Hematoloģiskās izmeklēšanas nodaļas (turpmāk- ID)  veiktajiem izmeklējumiem.  ID veikto maksas pakalpojumu skaits- 9509 izmeklējumi. Izmaksas uz 1 izmeklējumu  103,21 euro : 9509 izmeklējumi= 0,011 euro. Gadā plānotie izmeklējumi: 10 * 0,011=0,11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</si>
  <si>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400 * 0,003335=1,20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</si>
  <si>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400 * 0,02407=9,63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</si>
  <si>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400 * 0,04025=16,10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</si>
  <si>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400 * 0,0407=1,63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</si>
  <si>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400 * 0,10561=42,24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</si>
  <si>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400 * 0,009=3,60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</si>
  <si>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400 * 0,030=12,00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</si>
  <si>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400 * 0,002=0,80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</si>
  <si>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400 * 0,006=2,40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</si>
  <si>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400 * 0,055=22,00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</si>
  <si>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400 * 0,014=5,60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</si>
  <si>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400 * 0,038=15,20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</si>
  <si>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400 * 0,029=11,60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</si>
  <si>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400 * 0,001=0,40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</si>
  <si>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400* 0,002=0,80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</si>
  <si>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400 * 0,079=31,60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</si>
  <si>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400 * 0,276=110,40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</si>
  <si>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400 * 0,00104=0,42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</si>
  <si>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400 * 0,014=5,60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</si>
  <si>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400 * 0,008=3,20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</si>
  <si>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400* 0,051=20,40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</si>
  <si>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400* 0,024=9,60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</si>
  <si>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400 * 0,011=4,40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</si>
  <si>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400 * 0,02545=10,18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</si>
  <si>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400 * 0,00919=3,68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</si>
  <si>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400 * 0,00302=1,21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</si>
  <si>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400 * 0,0009=0,36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</si>
  <si>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400 * 0,0061=2,44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</si>
  <si>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400 * 0,02628=10,51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</si>
  <si>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400 * 0,00647=2,59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</si>
  <si>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400* 0,00929=3,72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</si>
  <si>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400 * 0,0159=6,36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</si>
  <si>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26 * 0,003335=0,09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</si>
  <si>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26 * 0,02407=0,63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</si>
  <si>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26 * 0,04025=1,05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</si>
  <si>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26 * 0,004=0,10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</si>
  <si>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26 * 0,106=2,76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</si>
  <si>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26 * 0,009=0,23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</si>
  <si>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26 * 0,030=0,78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</si>
  <si>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26 * 0,002=0,05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</si>
  <si>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26 * 0,006=0,16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</si>
  <si>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26 * 0,055=1,43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</si>
  <si>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26 * 0,014=0,36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</si>
  <si>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26 * 0,038=0,99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</si>
  <si>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26 * 0,029=0,75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</si>
  <si>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26 * 0,001=0,03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</si>
  <si>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26* 0,002=0,05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</si>
  <si>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26 * 0,079=2,05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</si>
  <si>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26 * 0,276=7,18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</si>
  <si>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26 * 0,001=0,03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</si>
  <si>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26 * 0,014=0,36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</si>
  <si>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26 * 0,008=0,21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</si>
  <si>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26* 0,051=1,33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</si>
  <si>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26* 0,024=0,62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</si>
  <si>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26 * 0,01085=0,28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</si>
  <si>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26 * 0,02545=0,66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</si>
  <si>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26 * 0,009=0,23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</si>
  <si>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26 * 0,003=0,08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</si>
  <si>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26 * 0,001=0,03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</si>
  <si>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26 * 0,006=0,16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</si>
  <si>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26 * 0,026=0,68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</si>
  <si>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26 * 0,00647=0,17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</si>
  <si>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26* 0,00929=0,24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</si>
  <si>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26 * 0,016=0,42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</si>
  <si>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80 * 0,003=0,27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</si>
  <si>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80 * 0,024=1,93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</si>
  <si>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80 * 0,040=3,22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</si>
  <si>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80 * 0,004=0,33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</si>
  <si>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80 * 0,106=8,45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</si>
  <si>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80 * 0,009=0,70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</si>
  <si>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80 * 0,030=2,43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</si>
  <si>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80 * 0,002=0,17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</si>
  <si>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80 * 0,006=0,49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</si>
  <si>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80* 0,002=0,16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</si>
  <si>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80 * 0,009=0,74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</si>
  <si>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80 * 0,001=0,07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</si>
  <si>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80 * 0,006=0,49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</si>
  <si>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80 * 0,026=2,10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</si>
  <si>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80 * 0,006=0,52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</si>
  <si>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80 * 0,009=0,74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</si>
  <si>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80 * 0,016=1,28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</si>
  <si>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27 * 0,00335=0,09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</si>
  <si>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27 * 0,024=0,65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</si>
  <si>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27 * 0,040=1,08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</si>
  <si>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27 * 0,004=0,11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</si>
  <si>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27 * 0,106=2,86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</si>
  <si>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27 * 0,009=0,24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</si>
  <si>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27 * 0,030=0,81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</si>
  <si>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27 * 0,002=0,05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</si>
  <si>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27 * 0,006=0,16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</si>
  <si>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27 * 0,055=1,49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</si>
  <si>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27 * 0,014=0,38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</si>
  <si>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27 * 0,038=1,03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</si>
  <si>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27 * 0,029=0,78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</si>
  <si>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27 * 0,001=0,03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</si>
  <si>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27* 0,002=0,05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</si>
  <si>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27 * 0,079=2,13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</si>
  <si>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27 * 0,276=7,45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</si>
  <si>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27 * 0,001=0,03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</si>
  <si>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27 * 0,008=0,22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</si>
  <si>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27 * 0,014=0,38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</si>
  <si>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27* 0,051=1,38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</si>
  <si>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27* 0,024=0,65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</si>
  <si>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27 * 0,0109=0,29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</si>
  <si>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27 * 0,02545=0,69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</si>
  <si>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27 * 0,00919=0,25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</si>
  <si>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27 * 0,003=0,08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</si>
  <si>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27 * 0,001=0,03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</si>
  <si>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27 * 0,006=0,16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</si>
  <si>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27 * 0,02628=0,71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</si>
  <si>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27 * 0,00647=0,17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</si>
  <si>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27* 0,00929=0,25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</si>
  <si>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27 * 0,016=0,43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</si>
  <si>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60 * 0,003335=0,20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</si>
  <si>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60 * 0,024=1,44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</si>
  <si>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60 * 0,001=0,06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</si>
  <si>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60* 0,006=0,39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</si>
  <si>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60 * 0,009=0,56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</si>
  <si>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60* 0,016=0,95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</si>
  <si>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23 * 0,00335=0,08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</si>
  <si>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23 * 0,024=0,55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</si>
  <si>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23 * 0,0403=0,93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</si>
  <si>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23 * 0,004=0,09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</si>
  <si>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23 * 0,106=2,44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</si>
  <si>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23 * 0,009=0,21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</si>
  <si>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23 * 0,030=0,69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</si>
  <si>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23 * 0,002=0,05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</si>
  <si>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23 * 0,006=0,14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</si>
  <si>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23 * 0,055=1,27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</si>
  <si>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23 * 0,014=0,32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</si>
  <si>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23 * 0,038=0,87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</si>
  <si>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23 * 0,029=0,67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</si>
  <si>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23 * 0,001=0,02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</si>
  <si>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23* 0,002=0,05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</si>
  <si>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23 * 0,079=1,82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</si>
  <si>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23 * 0,276=6,35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</si>
  <si>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23 * 0,001=0,02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</si>
  <si>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23 * 0,014=0,32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</si>
  <si>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23* 0,051=1,17 euro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</si>
  <si>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23 * 0,008=0,18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</si>
  <si>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23* 0,024=0,55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</si>
  <si>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23 * 0,011=0,25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</si>
  <si>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23 * 0,025=0,58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</si>
  <si>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23 * 0,009=0,21 euro.</t>
  </si>
  <si>
    <t>Gada faktiskās izmaksas 28,69 euro attiecas uz Hematoloģiskās izmeklēšanas nodaļas (turpmāk- ID)  veiktajiem izmeklējumiem.  ID veikto maksas pakalpojumu skaits- 9509 izmeklējumi. Izmaksas uz 1 izmeklējumu 28,69 euro : 9509 izmeklējumi= 0,003 euro. Gadā plānotie izmeklējumi: 23 * 0,003=0,07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</si>
  <si>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23 * 0,001=0,02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</si>
  <si>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23 * 0,006=0,14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</si>
  <si>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23 * 0,026=0,60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</si>
  <si>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23 * 0,00647=0,15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</si>
  <si>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23* 0,009=0,21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</si>
  <si>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23 * 0,016=0,37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</si>
  <si>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90 * 0,00647=0,52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</si>
  <si>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5 * 0,030=0,15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</si>
  <si>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2 * 0,003=0,006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</si>
  <si>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 * 0,024=0,048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</si>
  <si>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 * 0,040=0,08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</si>
  <si>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 * 0,004=0,008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</si>
  <si>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2 * 0,106=0,21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</si>
  <si>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2 * 0,009=0,02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</si>
  <si>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2 * 0,030=0,06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</si>
  <si>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2 * 0,002=0,004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</si>
  <si>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2 * 0,006=0,012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</si>
  <si>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2 * 0,055=0,11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</si>
  <si>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2 * 0,014=0,028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</si>
  <si>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2 * 0,038=0,076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</si>
  <si>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 * 0,029=0,058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</si>
  <si>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 * 0,001=0,002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</si>
  <si>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2 * 0,002=0,0004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</si>
  <si>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2 * 0,079=0,158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</si>
  <si>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2 * 0,276=0,552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</si>
  <si>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 * 0,001=0,002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</si>
  <si>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2 * 0,014=0,028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</si>
  <si>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2 * 0,008=0,016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</si>
  <si>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 * 0,051= 0,102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</si>
  <si>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2* 0,024=0,048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</si>
  <si>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2 * 0,011=0,022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</si>
  <si>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2 * 0,025=0,05 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</si>
  <si>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 * 0,009=0,018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</si>
  <si>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2 * 0,003=0,006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</si>
  <si>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 * 0,001=0,002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</si>
  <si>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 * 0,006=0,012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</si>
  <si>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 * 0,026=0,052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</si>
  <si>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 * 0,006=0,012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</si>
  <si>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 * 0,009=0,018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</si>
  <si>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 * 0,016=0,032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</si>
  <si>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200 * 0,024=4,81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</si>
  <si>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200 * 0,040=8,05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</si>
  <si>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200 * 0,004=0,81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</si>
  <si>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200 * 0,029=5,74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</si>
  <si>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200 * 0,001=0,25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</si>
  <si>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200* 0,051=10,18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</si>
  <si>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200* 0,024=4,71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</si>
  <si>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200 * 0,026=5,26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</si>
  <si>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200 * 0,006=1,29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</si>
  <si>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200* 0,009=1,85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</si>
  <si>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200 * 0,016=3,18 euro.</t>
  </si>
  <si>
    <t>Gada faktiskās izmaksas 1004,28 euro attiecas uz Hematoloģiskās izmeklēšanas nodaļas (turpmāk- ID)  veiktajiem izmeklējumiem.  ID veikto maksas pakalpojumu skaits- 9509 izmeklējumi. Izmaksas uz 1 izmeklējumu  1004,28 euro : 9509 izmeklējumi= 0,07 euro. Gadā plānotie izmeklējumi: 200 * 0,106=21,20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</si>
  <si>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200 * 0,009=1,84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</si>
  <si>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200 * 0,001=0,18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</si>
  <si>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200 * 0,006=1,22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</si>
  <si>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 * 0,003=0,003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</si>
  <si>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 * 0,024=0,024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</si>
  <si>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 * 0,040=0,04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</si>
  <si>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 * 0,004=0,004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</si>
  <si>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 * 0,106=0,106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</si>
  <si>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 * 0,009=0,01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</si>
  <si>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 * 0,030=0,03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</si>
  <si>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 * 0,002=0,002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</si>
  <si>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 * 0,006=0,006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</si>
  <si>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 * 0,055=0,055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</si>
  <si>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 * 0,038=0,04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</si>
  <si>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 * 0,029=0,03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</si>
  <si>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 * 0,001=0,001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</si>
  <si>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 * 0,002=0,02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</si>
  <si>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 * 0,079=0,08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</si>
  <si>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1 * 0,001=0,001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</si>
  <si>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 * 0,276=0,28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</si>
  <si>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 * 0,014=0,01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</si>
  <si>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 * 0,008=0,08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</si>
  <si>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 * 0,051= 0,051euro.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</si>
  <si>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1* 0,024=0,024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</si>
  <si>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 * 0,011=0,011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</si>
  <si>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 * 0,025=0,03 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</si>
  <si>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 * 0,009=0,009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</si>
  <si>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 * 0,003=0,003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</si>
  <si>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1 * 0,001=0,001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</si>
  <si>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 * 0,006=0,006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</si>
  <si>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 * 0,026=0,026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</si>
  <si>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 * 0,009=0,009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</si>
  <si>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 * 0,016=0,016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</si>
  <si>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 * 0,014=0,014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</si>
  <si>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 * 0,006=0,006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</si>
  <si>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20 * 0,006=0,13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</si>
  <si>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15 * 0,003=0,05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</si>
  <si>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15 * 0,024=0,36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</si>
  <si>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15 * 0,040=0,60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</si>
  <si>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15 * 0,004=0,06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</si>
  <si>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15 * 0,106=1,59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</si>
  <si>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15 * 0,009=0,13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</si>
  <si>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15 * 0,030=0,45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</si>
  <si>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15 * 0,002=0,03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</si>
  <si>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15 * 0,006=0,09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</si>
  <si>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15 * 0,055=0,83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</si>
  <si>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15 * 0,014=0,21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</si>
  <si>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15 * 0,038=0,57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</si>
  <si>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15 * 0,029=0,44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</si>
  <si>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15 * 0,001=0,02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</si>
  <si>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15 * 0,002=0,03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</si>
  <si>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15 * 0,079=1,19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</si>
  <si>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15 * 0,276=4,14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</si>
  <si>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15 * 0,001=0,02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</si>
  <si>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15 * 0,014=0,21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</si>
  <si>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15 * 0,008=0,12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</si>
  <si>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15 * 0,051=0,76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</si>
  <si>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15  * 0,024=0,36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</si>
  <si>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15 * 0,011=0,17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</si>
  <si>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15 * 0,025=0,38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</si>
  <si>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15 * 0,009=0,14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</si>
  <si>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15 * 0,003=0,05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</si>
  <si>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15 * 0,001=0,01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</si>
  <si>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15 * 0,006=0,09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</si>
  <si>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15 * 0,026=0,39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</si>
  <si>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15 * 0,006=0,10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</si>
  <si>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15* 0,009=0,14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</si>
  <si>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15 * 0,016=0,24 euro.</t>
  </si>
  <si>
    <t>Gada faktiskās izmaksas 103,21 euro attiecas uz Hematoloģiskās izmeklēšanas nodaļas (turpmāk- ID)  veiktajiem izmeklējumiem.  ID veikto maksas pakalpojumu skaits- 9509 izmeklējumi. Izmaksas uz 1 izmeklējumu  103,21 euro : 9509 izmeklējumi= 0,011 euro. Gadā plānotie izmeklējumi: 1 * 0,011=0,011 euro.</t>
  </si>
  <si>
    <t>Gada faktiskās izmaksas 28,69 euro attiecas uz Hematoloģiskās izmeklēšanas nodaļas (turpmāk- ID)  veiktajiem izmeklējumiem.  ID veikto maksas pakalpojumu skaits- 9509 izmeklējumi. Izmaksas uz 1 izmeklējumu 28,69 euro : 9509 izmeklējumi= 0,003 euro. Gadā plānotie izmeklējumi: 60 * 0,003=0,18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</si>
  <si>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60 * 0,00647=0,39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</si>
  <si>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60* 0,0093=0,56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</si>
  <si>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60 * 0,0159=0,95 euro.</t>
  </si>
  <si>
    <t>Gada faktiskās izmaksas 131,93 euro attiecas uz Hematoloģiskās izmeklēšanas nodaļas (turpmāk- ID)  veiktajiem izmeklējumiem.ID veikto maksas pakalpojumu skaits- 9509 izmeklējumi. Izmaksas uz 1 izmeklējumu  131,93 euro : 9509 izmeklējumi= 0,014 euro. Gadā plānotie izmeklējumi: 5 * 0,014=0,07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</si>
  <si>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50 * 0,006=0,31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</si>
  <si>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50 * 0,002=0,12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</si>
  <si>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50 * 0,025=1,27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</si>
  <si>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 50 * 0,006=0,31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</si>
  <si>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50 * 0,006=0,32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</si>
  <si>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50 * 0,009=0,46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</si>
  <si>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3 * 0,003=0,009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</si>
  <si>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3 * 0,024=0,072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</si>
  <si>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3 * 0,040=0,12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</si>
  <si>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3 * 0,004=0,012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</si>
  <si>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3 * 0,106=0,318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</si>
  <si>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3 * 0,009=0,03 euro.</t>
  </si>
  <si>
    <t>Gada faktiskās izmaksas 289,40 euro attiecas uz Hematoloģiskās izmeklēšanas nodaļas (turpmāk- ID)  veiktajiem izmeklējumiem.ID veikto maksas pakalpojumu skaits- 9509 izmeklējumi. Izmaksas uz 1 izmeklējumu  289,40 euro : 9509 izmeklējumi= 0,030 euro. Gadā plānotie izmeklējumi: 3 * 0,030=0,09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</si>
  <si>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3 * 0,002=0,006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</si>
  <si>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3 * 0,006=0,018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</si>
  <si>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3 * 0,055=0,165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</si>
  <si>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3 * 0,014=0,042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</si>
  <si>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3 * 0,038=0,114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</si>
  <si>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3 * 0,029=0,087euro.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</si>
  <si>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3 * 0,001=0,003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</si>
  <si>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3 * 0,002=0,006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</si>
  <si>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3 * 0,079=0,237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</si>
  <si>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3 * 0,276=0,828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</si>
  <si>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 * 0,001=0,003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</si>
  <si>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3 * 0,014=0,042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</si>
  <si>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3 * 0,008=0,024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</si>
  <si>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3 * 0,051= 0,153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</si>
  <si>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3 * 0,011=0,033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</si>
  <si>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3 * 0,024=0,072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</si>
  <si>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3 * 0,025=0,075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</si>
  <si>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 * 0,009=0,027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</si>
  <si>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3 * 0,003=0,009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</si>
  <si>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3 * 0,001=0,003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</si>
  <si>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3 * 0,006=0,018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</si>
  <si>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3 * 0,026=0,078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</si>
  <si>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 * 0,00647=0,019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</si>
  <si>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3 * 0,016=0,048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</si>
  <si>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3 * 0,00929=0,028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</si>
  <si>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38 * 0,003=0,11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</si>
  <si>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38 * 0,024=0,91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</si>
  <si>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38 * 0,0425=1,53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</si>
  <si>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38 * 0,004=0,15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</si>
  <si>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38 * 0,106=4,03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</si>
  <si>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38 * 0,009=0,34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</si>
  <si>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38 * 0,030=1,14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</si>
  <si>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38 * 0,002=0,08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</si>
  <si>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38* 0,006=0,23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</si>
  <si>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38 * 0,055=2,09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</si>
  <si>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38* 0,014=0,53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</si>
  <si>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38 * 0,038=1,44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</si>
  <si>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38 * 0,029=1,10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</si>
  <si>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38* 0,001=0,04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</si>
  <si>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38* 0,002=0,08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</si>
  <si>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38 * 0,079=3,00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</si>
  <si>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38 * 0,276=10,49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</si>
  <si>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38 * 0,001=0,04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</si>
  <si>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38 * 0,014=0,53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</si>
  <si>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38 * 0,008=0,30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</si>
  <si>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38* 0,051=1,94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</si>
  <si>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38* 0,024=0,91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</si>
  <si>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38* 0,011=0,42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</si>
  <si>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 38 * 0,025=0,97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</si>
  <si>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38 * 0,009=0,35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</si>
  <si>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38* 0,003=0,11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</si>
  <si>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38 * 0,001=0,03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</si>
  <si>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38 * 0,006=0,23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</si>
  <si>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38 * 0,026=1,00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</si>
  <si>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38 * 0,006=0,25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</si>
  <si>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38* 0,009=0,35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</si>
  <si>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38* 0,016=0,61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</si>
  <si>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3 * 0,030=0,09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</si>
  <si>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3 * 0,006=0,019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</si>
  <si>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3 * 0,009=0,028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</si>
  <si>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150 * 0,003=0,50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</si>
  <si>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150 * 0,02407=3,61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</si>
  <si>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150 * 0,04025=6,04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</si>
  <si>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150 * 0,00407=0,61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</si>
  <si>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150 * 0,106=15,90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</si>
  <si>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150 * 0,009=1,35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</si>
  <si>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150 * 0,030=4,50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</si>
  <si>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150 * 0,00217=0,33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</si>
  <si>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150  * 0,006=0,90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</si>
  <si>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150 * 0,055=8,25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</si>
  <si>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150 * 0,014=2,10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</si>
  <si>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150 * 0,03796=5,69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</si>
  <si>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150 * 0,029=4,35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</si>
  <si>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150 * 0,001=0,15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</si>
  <si>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150 * 0,00246=0,37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</si>
  <si>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150 * 0,079=11,85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</si>
  <si>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150 * 0,276=41,40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</si>
  <si>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150 * 0,001=0,16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</si>
  <si>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150 * 0,014=2,10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</si>
  <si>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150 * 0,008=1,20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</si>
  <si>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150 * 0,051=7,64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</si>
  <si>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150 * 0,011=1,63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</si>
  <si>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150 * 0,025=3,82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</si>
  <si>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150 * 0,009=1,38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</si>
  <si>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150 * 0,003=0,45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</si>
  <si>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150 * 0,001=0,14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</si>
  <si>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150 * 0,006=0,92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</si>
  <si>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150 * 0,026=3,90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</si>
  <si>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150 * 0,006=0,97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</si>
  <si>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150 * 0,0093=1,40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</si>
  <si>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150 * 0,016=2,39 euro.</t>
  </si>
  <si>
    <t>Gada faktiskās izmaksas 31,85 euro attiecas uz Hematoloģiskās izmeklēšanas nodaļas (turpmāk- ID)  veiktajiem izmeklējumiem. ID veikto maksas pakalpojumu skaits- 9509 izmeklējumi. Izmaksas uz 1 izmeklējumu-  31,85 euro : 9509 izmeklējumi= 0,003 euro. Gadā plānotie izmeklējumi: 8 * 0,00335=0,027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</si>
  <si>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8 * 0,02407=0,193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</si>
  <si>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8 * 0,040=0,32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</si>
  <si>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8 * 0,00407=0,033 euro.</t>
  </si>
  <si>
    <t>Gada faktiskās izmaksas 1004,28 euro attiecas uz Hematoloģiskās izmeklēšanas nodaļas (turpmāk- ID)  veiktajiem izmeklējumiem. ID veikto maksas pakalpojumu skaits- 9509 izmeklējumi. Izmaksas uz 1 izmeklējumu  1004,28 euro : 9509 izmeklējumi= 0,07 euro. Gadā plānotie izmeklējumi: 8 * 0,106=0,848 euro.</t>
  </si>
  <si>
    <t>Gada faktiskās izmaksas 82,80 euro attiecas uz Hematoloģiskās izmeklēšanas nodaļas (turpmāk- ID)  veiktajiem izmeklējumiem. ID veikto maksas pakalpojumu skaits- 9509 izmeklējumi. Izmaksas uz 1 izmeklējumu  82,80 euro : 9509 izmeklējumi= 0,009 euro. Gadā plānotie izmeklējumi: 8 * 0,009=0,072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</si>
  <si>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8 * 0,030=0,24 euro.</t>
  </si>
  <si>
    <t>Gada faktiskās izmaksas 20,68 euro attiecas uz Hematoloģiskās izmeklēšanas nodaļas (turpmāk- ID)  veiktajiem izmeklējumiem. ID veikto maksas pakalpojumu skaits- 9509 izmeklējumi. Izmaksas uz 1 izmeklējumu  20,68 euro : 9509 izmeklējumi= 0,002 euro. Gadā plānotie izmeklējumi: 8 * 0,00217=0,017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</si>
  <si>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8 * 0,055=0,44 euro.</t>
  </si>
  <si>
    <t>Gada faktiskās izmaksas 58,15 euro attiecas uz Hematoloģiskās izmeklēšanas nodaļas (turpmāk- ID)  veiktajiem izmeklējumiem. ID veikto maksas pakalpojumu skaits- 9509 izmeklējumi. Izmaksas uz 1 izmeklējumu  58,15 euro : 9509 izmeklējumi= 0,006 euro. Gadā plānotie izmeklējumi: 8 * 0,006=0,048 euro.</t>
  </si>
  <si>
    <t>Gada faktiskās izmaksas 131,93 euro attiecas uz Hematoloģiskās izmeklēšanas nodaļas (turpmāk- ID)  veiktajiem izmeklējumiem. ID veikto maksas pakalpojumu skaits- 9509 izmeklējumi. Izmaksas uz 1 izmeklējumu  131,93 euro : 9509 izmeklējumi= 0,014 euro. Gadā plānotie izmeklējumi: 8 * 0,014=0,112 euro.</t>
  </si>
  <si>
    <t>Gada faktiskās izmaksas 360,94 euro attiecas uz Hematoloģiskās izmeklēšanas nodaļas (turpmāk- ID)  veiktajiem izmeklējumiem. ID veikto maksas pakalpojumu skaits- 9509 izmeklējumi. Izmaksas uz 1 izmeklējumu  360,94 euro : 9509 izmeklējumi= 0,038 euro. Gadā plānotie izmeklējumi: 8 * 0,038=0,304 euro.</t>
  </si>
  <si>
    <t>Gada faktiskās izmaksas 272,76 euro attiecas uz Hematoloģiskās izmeklēšanas nodaļas (turpmāk- ID)  veiktajiem izmeklējumiem. ID veikto maksas pakalpojumu skaits- 9509 izmeklējumi. Izmaksas uz 1 izmeklējumu  272,76 euro : 9509 izmeklējumi= 0,029 euro. Gadā plānotie izmeklējumi: 8 * 0,029=0,232 euro.</t>
  </si>
  <si>
    <t>Gada faktiskās izmaksas 12,06 euro attiecas uz Hematoloģiskās izmeklēšanas nodaļas (turpmāk- ID)  veiktajiem izmeklējumiem. ID veikto maksas pakalpojumu skaits- 9509 izmeklējumi. Izmaksas uz 1 izmeklējumu  12,06 euro : 9509 izmeklējumi= 0,001 euro. Gadā plānotie izmeklējumi: 8 * 0,001=0,008 euro.</t>
  </si>
  <si>
    <t>Gada faktiskās izmaksas 23,35 euro attiecas uz Hematoloģiskās izmeklēšanas nodaļas (turpmāk- ID)  veiktajiem izmeklējumiem. ID veikto maksas pakalpojumu skaits- 9509 izmeklējumi. Izmaksas uz 1 izmeklējumu 23,35 euro : 9509 izmeklējumi= 0,002 euro. Gadā plānotie izmeklējumi: 8 * 0,002=0,016 euro.</t>
  </si>
  <si>
    <t>Gada faktiskās izmaksas 750,97 euro attiecas uz Hematoloģiskās izmeklēšanas nodaļas (turpmāk- ID)  veiktajiem izmeklējumiem. ID veikto maksas pakalpojumu skaits- 9509 izmeklējumi. Izmaksas uz 1 izmeklējumu 750,97 euro :9509 izmeklējumi= 0,079 euro. Gadā plānotie izmeklējumi: 8 * 0,079=0,632 euro.</t>
  </si>
  <si>
    <t>Gada faktiskās izmaksas 2620,34 euro attiecas uz Hematoloģiskās izmeklēšanas nodaļas (turpmāk- ID)  veiktajiem izmeklējumiem. ID veikto maksas pakalpojumu skaits- 9509 izmeklējumi. Izmaksas uz 1 izmeklējumu 2620,34 euro : 9509 izmeklējumi= 0,276 euro. Gadā plānotie izmeklējumi: 8 * 0,276=2,208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</si>
  <si>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8 * 0,001=0,008 euro.</t>
  </si>
  <si>
    <t>Gada faktiskās izmaksas 132,32 euro attiecas uz Hematoloģiskās izmeklēšanas nodaļas (turpmāk- ID)  veiktajiem izmeklējumiem. ID veikto maksas pakalpojumu skaits- 9509 izmeklējumi. Izmaksas uz 1 izmeklējumu 132,32 euro : 9509 izmeklējumi= 0,014 euro. Gadā plānotie izmeklējumi: 8 * 0,014=0,112 euro.</t>
  </si>
  <si>
    <t>Gada faktiskās izmaksas 72,76 euro attiecas uz Hematoloģiskās izmeklēšanas nodaļas (turpmāk- ID)  veiktajiem izmeklējumiem. ID veikto maksas pakalpojumu skaits-9509 izmeklējumi. Izmaksas uz 1 izmeklējumu  72,76 euro : 9509 izmeklējumi= 0,008 euro. Gadā plānotie izmeklējumi: 8 * 0,008=0,064 euro.</t>
  </si>
  <si>
    <t>Gada faktiskās izmaksas 484,21 euro attiecas uz Hematoloģiskās izmeklēšanas nodaļas (turpmāk- ID)  veiktajiem izmeklējumiem. ID veikto maksas pakalpojumu skaits- 9509 izmeklējumi. Izmaksas uz 1 izmeklējumu  484,21 euro : 9509 izmeklējumi= 0,051 euro. Gadā plānotie izmeklējumi: 8 * 0,0509= 0,407 euro.</t>
  </si>
  <si>
    <t>Gada faktiskās izmaksas 224,14 euro attiecas uz Hematoloģiskās izmeklēšanas nodaļas (turpmāk- ID)  veiktajiem izmeklējumiem. ID veikto maksas pakalpojumu skaits- 9509 izmeklējumi. Izmaksas uz 1 izmeklējumu  224,14 euro : 9509 izmeklējumi= 0,024 euro. Gadā plānotie izmeklējumi: 8* 0,024=0,192 euro.</t>
  </si>
  <si>
    <t>Gada faktiskās izmaksas 103,21 euro attiecas uz Hematoloģiskās izmeklēšanas nodaļas (turpmāk- ID)  veiktajiem izmeklējumiem. ID veikto maksas pakalpojumu skaits- 9509 izmeklējumi. Izmaksas uz 1 izmeklējumu  103,21 euro : 9509 izmeklējumi= 0,011 euro. Gadā plānotie izmeklējumi: 8 * 0,011=0,088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</si>
  <si>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8 * 0,025=0,20 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</si>
  <si>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8 * 0,009=0,072 euro.</t>
  </si>
  <si>
    <t>Gada faktiskās izmaksas 28,69 euro attiecas uz Hematoloģiskās izmeklēšanas nodaļas (turpmāk- ID)  veiktajiem izmeklējumiem. ID veikto maksas pakalpojumu skaits- 9509 izmeklējumi. Izmaksas uz 1 izmeklējumu 28,69 euro : 9509 izmeklējumi= 0,003 euro. Gadā plānotie izmeklējumi: 8 * 0,003=0,024 euro.</t>
  </si>
  <si>
    <t>Gada faktiskās izmaksas 8,56 euro attiecas uz Hematoloģiskās izmeklēšanas nodaļas (turpmāk- ID)  veiktajiem izmeklējumiem. ID veikto maksas pakalpojumu skaits- 9509 izmeklējumi. Izmaksas uz 1 izmeklējumu 8,56 euro : 9509 izmeklējumi= 0,001 euro. Gadā plānotie izmeklējumi: 8 * 0,0009=0,007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</si>
  <si>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8 * 0,0061=0,049 euro.</t>
  </si>
  <si>
    <t>Gada faktiskās izmaksas 249,88 euro attiecas uz Hematoloģiskās izmeklēšanas nodaļas (turpmāk- ID)  veiktajiem izmeklējumiem. ID veikto maksas pakalpojumu skaits- 9509 izmeklējumi. Izmaksas uz 1 izmeklējumu 249,88 euro : 9509 izmeklējumi= 0,026 euro. Gadā plānotie izmeklējumi: 8 * 0,02628=0,21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</si>
  <si>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8 * 0,00647=0,052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</si>
  <si>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8 * 0,00929=0,074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</si>
  <si>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8 * 0,01589=0,127 euro.</t>
  </si>
  <si>
    <t>Gada faktiskās izmaksas 228,88 euro attiecas uz Hematoloģiskās izmeklēšanas nodaļas (turpmāk- ID)  veiktajiem izmeklējumiem. ID veikto maksas pakalpojumu skaits- 9509 izmeklējumi. Izmaksas uz 1 izmeklējumu-  228,88 euro : 9509 izmeklējumi= 0,024 euro. Gadā plānotie izmeklējumi: 30 * 0,024=0,72  euro.</t>
  </si>
  <si>
    <t>Gada faktiskās izmaksas 382,73 euro attiecas uz Hematoloģiskās izmeklēšanas nodaļas (turpmāk- ID)  veiktajiem izmeklējumiem. ID veikto maksas pakalpojumu skaits- 9509 izmeklējumi. Izmaksas uz 1 izmeklējumu-  382,73 euro : 9509 izmeklējumi= 0,040 euro. Gadā plānotie izmeklējumi: 30 * 0,04025=1,21 euro.</t>
  </si>
  <si>
    <t>Gada faktiskās izmaksas 38,69 euro attiecas uz Hematoloģiskās izmeklēšanas nodaļas (turpmāk- ID)  veiktajiem izmeklējumiem. ID veikto maksas pakalpojumu skaits- 9509 izmeklējumi. Izmaksas uz 1 izmeklējumu-  38,69 euro : 9509 izmeklējumi= 0,004 euro. Gadā plānotie izmeklējumi: 30 * 0,004=0,12 euro.</t>
  </si>
  <si>
    <t>Gada faktiskās izmaksas 289,40 euro attiecas uz Hematoloģiskās izmeklēšanas nodaļas (turpmāk- ID)  veiktajiem izmeklējumiem. ID veikto maksas pakalpojumu skaits- 9509 izmeklējumi. Izmaksas uz 1 izmeklējumu  289,40 euro : 9509 izmeklējumi= 0,030 euro. Gadā plānotie izmeklējumi:  30 * 0,03=0,90 euro.</t>
  </si>
  <si>
    <t>Gada faktiskās izmaksas 524,45 euro attiecas uz Hematoloģiskās izmeklēšanas nodaļas (turpmāk- ID)  veiktajiem izmeklējumiem. ID veikto maksas pakalpojumu skaits- 9509 izmeklējumi. Izmaksas uz 1 izmeklējumu  524,45 euro : 9509 izmeklējumi= 0,055 euro. Gadā plānotie izmeklējumi: 30 * 0,055=1,65 euro.</t>
  </si>
  <si>
    <t>Gada faktiskās izmaksas 241,97 euro attiecas uz Hematoloģiskās izmeklēšanas nodaļas (turpmāk- ID)  veiktajiem izmeklējumiem. ID veikto maksas pakalpojumu skaits- 9509 izmeklējumi. Izmaksas uz 1 izmeklējumu  241,97 euro : 9509 izmeklējumi= 0,025 euro. Gadā plānotie izmeklējumi: 30 * 0,0245=0,76  euro.</t>
  </si>
  <si>
    <t>Gada faktiskās izmaksas 87,42 euro attiecas uz Hematoloģiskās izmeklēšanas nodaļas (turpmāk- ID)  veiktajiem izmeklējumiem. ID veikto maksas pakalpojumu skaits- 9509 izmeklējumi. Izmaksas uz 1 izmeklējumu 87,42 euro : 9509 izmeklējumi= 0,009 euro. Gadā plānotie izmeklējumi: 30 * 0,00919=0,28 euro.</t>
  </si>
  <si>
    <t>Gada faktiskās izmaksas 58,04 euro attiecas uz Hematoloģiskās izmeklēšanas nodaļas (turpmāk- ID)  veiktajiem izmeklējumiem. ID veikto maksas pakalpojumu skaits- 9509 izmeklējumi. Izmaksas uz 1 izmeklējumu  58,04 euro : 9509 izmeklējumi= 0,006 euro. Gadā plānotie izmeklējumi: 30 * 0,006=0,18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</si>
  <si>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30 * 0,016=0,48 euro.</t>
  </si>
  <si>
    <t>Gada faktiskās izmaksas 61,55 euro attiecas uz Hematoloģiskās izmeklēšanas nodaļas (turpmāk- ID)  veiktajiem izmeklējumiem. ID veikto maksas pakalpojumu skaits- 9509 izmeklējumi. Izmaksas uz 1 izmeklējumu 61,55 euro : 9509 izmeklējumi= 0,006 euro. Gadā plānotie izmeklējumi:  4 * 0,00647=0,026 euro.</t>
  </si>
  <si>
    <t>Gada faktiskās izmaksas 88,34 euro attiecas uz Hematoloģiskās izmeklēšanas nodaļas (turpmāk- ID)  veiktajiem izmeklējumiem. ID veikto maksas pakalpojumu summa- 9509 izmeklējumi. Izmaksas uz 1 izmeklējumu  88,34 euro : 9509 izmeklējumi= 0,009 euro. Gadā plānotie izmeklējumi: 4 * 0,00929=0,037 euro.</t>
  </si>
  <si>
    <t>Gada faktiskās izmaksas 151,09 euro attiecas uz Hematoloģiskās izmeklēšanas nodaļas (turpmāk- ID)  veiktajiem izmeklējumiem. ID veikto maksas pakalpojumu summa- 9509 izmeklējumi. Izmaksas uz 1 izmeklējumu  151,09 euro : 9509 izmeklējumi= 0,016 euro. Gadā plānotie izmeklējumi: 4 * 0,016=0,064 euro.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</si>
</sst>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"/>
    <numFmt numFmtId="166" formatCode="0.00000"/>
    <numFmt numFmtId="167" formatCode="0.000000"/>
    <numFmt numFmtId="168" formatCode="0.0"/>
  </numFmts>
  <fonts count="40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9"/>
      <name val="Times New Roman"/>
      <family val="1"/>
      <charset val="186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Arial"/>
      <family val="2"/>
      <charset val="186"/>
    </font>
    <font>
      <b/>
      <sz val="9"/>
      <color rgb="FF000000"/>
      <name val="Times New Roman"/>
      <family val="1"/>
      <charset val="186"/>
    </font>
    <font>
      <i/>
      <sz val="9"/>
      <name val="Times New Roman"/>
      <family val="1"/>
      <charset val="186"/>
    </font>
    <font>
      <u/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9"/>
      <color theme="4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B050"/>
      <name val="Calibri"/>
      <family val="2"/>
      <scheme val="minor"/>
    </font>
    <font>
      <sz val="11"/>
      <color rgb="FFFF0000"/>
      <name val="Calibri"/>
      <family val="2"/>
      <charset val="186"/>
      <scheme val="minor"/>
    </font>
    <font>
      <sz val="11"/>
      <color theme="4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charset val="186"/>
      <scheme val="minor"/>
    </font>
    <font>
      <sz val="11"/>
      <color theme="8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9"/>
      <name val="Calibri"/>
      <family val="2"/>
      <scheme val="minor"/>
    </font>
    <font>
      <sz val="9"/>
      <color theme="9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theme="8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1"/>
      <color rgb="FFFF0000"/>
      <name val="Calibri"/>
      <family val="2"/>
      <charset val="186"/>
      <scheme val="minor"/>
    </font>
    <font>
      <sz val="8"/>
      <color theme="9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C00000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4">
    <xf numFmtId="0" fontId="0" fillId="0" borderId="0" xfId="0"/>
    <xf numFmtId="0" fontId="4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top" wrapText="1"/>
    </xf>
    <xf numFmtId="2" fontId="8" fillId="3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8" fillId="0" borderId="1" xfId="1" applyFont="1" applyBorder="1"/>
    <xf numFmtId="2" fontId="11" fillId="3" borderId="1" xfId="1" applyNumberFormat="1" applyFont="1" applyFill="1" applyBorder="1" applyAlignment="1">
      <alignment horizontal="center" vertical="center"/>
    </xf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2" fontId="11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2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3" borderId="0" xfId="0" applyFill="1"/>
    <xf numFmtId="0" fontId="8" fillId="3" borderId="1" xfId="0" applyFont="1" applyFill="1" applyBorder="1" applyAlignment="1">
      <alignment vertical="top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3" borderId="0" xfId="0" applyFont="1" applyFill="1"/>
    <xf numFmtId="0" fontId="11" fillId="3" borderId="0" xfId="0" applyFont="1" applyFill="1" applyAlignment="1">
      <alignment horizontal="left"/>
    </xf>
    <xf numFmtId="0" fontId="11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2" fillId="3" borderId="0" xfId="0" applyFont="1" applyFill="1"/>
    <xf numFmtId="0" fontId="8" fillId="3" borderId="0" xfId="0" applyFont="1" applyFill="1" applyBorder="1" applyAlignment="1">
      <alignment horizontal="left" vertical="center"/>
    </xf>
    <xf numFmtId="0" fontId="11" fillId="3" borderId="0" xfId="0" applyFont="1" applyFill="1"/>
    <xf numFmtId="0" fontId="8" fillId="3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left"/>
    </xf>
    <xf numFmtId="2" fontId="11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/>
    </xf>
    <xf numFmtId="2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top" wrapText="1"/>
    </xf>
    <xf numFmtId="2" fontId="1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/>
    </xf>
    <xf numFmtId="164" fontId="1" fillId="3" borderId="1" xfId="0" applyNumberFormat="1" applyFont="1" applyFill="1" applyBorder="1" applyAlignment="1">
      <alignment horizontal="center" vertical="top"/>
    </xf>
    <xf numFmtId="2" fontId="8" fillId="3" borderId="2" xfId="0" applyNumberFormat="1" applyFont="1" applyFill="1" applyBorder="1" applyAlignment="1">
      <alignment vertical="center"/>
    </xf>
    <xf numFmtId="165" fontId="8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2" fontId="11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right" vertical="center"/>
    </xf>
    <xf numFmtId="0" fontId="11" fillId="3" borderId="1" xfId="0" applyFont="1" applyFill="1" applyBorder="1" applyAlignment="1">
      <alignment vertical="center"/>
    </xf>
    <xf numFmtId="0" fontId="8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/>
    </xf>
    <xf numFmtId="0" fontId="8" fillId="3" borderId="1" xfId="1" applyFont="1" applyFill="1" applyBorder="1"/>
    <xf numFmtId="0" fontId="8" fillId="3" borderId="1" xfId="0" applyFont="1" applyFill="1" applyBorder="1" applyAlignment="1">
      <alignment vertical="top" wrapText="1"/>
    </xf>
    <xf numFmtId="164" fontId="8" fillId="3" borderId="1" xfId="0" applyNumberFormat="1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/>
    </xf>
    <xf numFmtId="0" fontId="12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" fillId="3" borderId="0" xfId="0" applyFont="1" applyFill="1"/>
    <xf numFmtId="0" fontId="6" fillId="3" borderId="0" xfId="0" applyFont="1" applyFill="1" applyAlignment="1">
      <alignment horizontal="center"/>
    </xf>
    <xf numFmtId="0" fontId="5" fillId="3" borderId="0" xfId="0" applyFont="1" applyFill="1"/>
    <xf numFmtId="0" fontId="5" fillId="3" borderId="0" xfId="0" applyFont="1" applyFill="1" applyBorder="1" applyAlignment="1">
      <alignment horizontal="left"/>
    </xf>
    <xf numFmtId="0" fontId="3" fillId="3" borderId="0" xfId="0" applyFont="1" applyFill="1"/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0" fontId="6" fillId="3" borderId="0" xfId="0" applyFont="1" applyFill="1"/>
    <xf numFmtId="0" fontId="5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2" fontId="11" fillId="3" borderId="1" xfId="0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2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1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top"/>
    </xf>
    <xf numFmtId="0" fontId="8" fillId="0" borderId="0" xfId="0" applyFont="1" applyFill="1" applyAlignment="1">
      <alignment vertical="center"/>
    </xf>
    <xf numFmtId="0" fontId="11" fillId="0" borderId="0" xfId="0" applyFont="1" applyAlignment="1">
      <alignment horizontal="left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right" vertical="top"/>
    </xf>
    <xf numFmtId="2" fontId="8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top"/>
    </xf>
    <xf numFmtId="2" fontId="11" fillId="0" borderId="1" xfId="1" applyNumberFormat="1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164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right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/>
    </xf>
    <xf numFmtId="0" fontId="4" fillId="0" borderId="1" xfId="0" applyFont="1" applyBorder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16" fontId="4" fillId="0" borderId="1" xfId="0" applyNumberFormat="1" applyFont="1" applyBorder="1" applyAlignment="1">
      <alignment vertical="center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center" wrapText="1"/>
    </xf>
    <xf numFmtId="0" fontId="19" fillId="0" borderId="0" xfId="0" applyFont="1"/>
    <xf numFmtId="2" fontId="19" fillId="0" borderId="0" xfId="0" applyNumberFormat="1" applyFont="1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7" fillId="0" borderId="0" xfId="0" applyFont="1"/>
    <xf numFmtId="2" fontId="0" fillId="0" borderId="0" xfId="0" applyNumberFormat="1"/>
    <xf numFmtId="2" fontId="7" fillId="0" borderId="0" xfId="0" applyNumberFormat="1" applyFont="1"/>
    <xf numFmtId="0" fontId="22" fillId="0" borderId="0" xfId="0" applyFont="1"/>
    <xf numFmtId="0" fontId="24" fillId="0" borderId="0" xfId="0" applyFont="1"/>
    <xf numFmtId="0" fontId="21" fillId="0" borderId="0" xfId="0" applyFont="1"/>
    <xf numFmtId="0" fontId="29" fillId="0" borderId="0" xfId="0" applyFont="1"/>
    <xf numFmtId="0" fontId="31" fillId="0" borderId="0" xfId="0" applyFont="1" applyAlignment="1">
      <alignment wrapText="1"/>
    </xf>
    <xf numFmtId="0" fontId="22" fillId="0" borderId="0" xfId="0" applyFont="1" applyAlignment="1">
      <alignment vertical="center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6" fontId="0" fillId="0" borderId="0" xfId="0" applyNumberFormat="1"/>
    <xf numFmtId="167" fontId="0" fillId="0" borderId="0" xfId="0" applyNumberFormat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27" fillId="0" borderId="0" xfId="0" applyFont="1" applyAlignment="1">
      <alignment horizontal="left" wrapText="1"/>
    </xf>
    <xf numFmtId="0" fontId="27" fillId="0" borderId="0" xfId="0" applyFont="1" applyBorder="1" applyAlignment="1">
      <alignment horizontal="center" wrapText="1"/>
    </xf>
    <xf numFmtId="0" fontId="33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2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30" fillId="0" borderId="0" xfId="0" applyFont="1" applyAlignment="1">
      <alignment horizontal="left" wrapText="1"/>
    </xf>
    <xf numFmtId="2" fontId="7" fillId="0" borderId="0" xfId="0" applyNumberFormat="1" applyFont="1" applyAlignment="1">
      <alignment horizontal="left"/>
    </xf>
    <xf numFmtId="0" fontId="25" fillId="0" borderId="0" xfId="0" applyFont="1" applyAlignment="1">
      <alignment vertical="center" wrapText="1"/>
    </xf>
    <xf numFmtId="0" fontId="28" fillId="0" borderId="5" xfId="0" applyFont="1" applyBorder="1" applyAlignment="1">
      <alignment horizontal="left" wrapText="1"/>
    </xf>
    <xf numFmtId="0" fontId="28" fillId="0" borderId="5" xfId="0" applyFont="1" applyBorder="1" applyAlignment="1">
      <alignment horizontal="center" wrapText="1"/>
    </xf>
    <xf numFmtId="0" fontId="28" fillId="0" borderId="5" xfId="0" applyFont="1" applyBorder="1" applyAlignment="1">
      <alignment wrapText="1"/>
    </xf>
    <xf numFmtId="0" fontId="28" fillId="0" borderId="5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34" fillId="0" borderId="5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left" vertical="center"/>
    </xf>
    <xf numFmtId="2" fontId="7" fillId="0" borderId="0" xfId="0" applyNumberFormat="1" applyFont="1" applyAlignment="1">
      <alignment horizontal="left" vertical="center"/>
    </xf>
    <xf numFmtId="0" fontId="27" fillId="0" borderId="0" xfId="0" applyFont="1" applyAlignment="1">
      <alignment vertical="center" wrapText="1"/>
    </xf>
    <xf numFmtId="0" fontId="25" fillId="0" borderId="0" xfId="0" applyFont="1" applyAlignment="1">
      <alignment horizontal="left" wrapText="1"/>
    </xf>
    <xf numFmtId="0" fontId="25" fillId="0" borderId="5" xfId="0" applyFont="1" applyBorder="1" applyAlignment="1">
      <alignment horizontal="left" vertical="center" wrapText="1"/>
    </xf>
    <xf numFmtId="0" fontId="32" fillId="3" borderId="0" xfId="0" applyFont="1" applyFill="1" applyAlignment="1">
      <alignment vertical="center" wrapText="1"/>
    </xf>
    <xf numFmtId="0" fontId="24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1" xfId="0" applyFont="1" applyFill="1" applyBorder="1" applyAlignment="1">
      <alignment horizontal="left" wrapText="1"/>
    </xf>
    <xf numFmtId="0" fontId="16" fillId="3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justify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wrapText="1"/>
    </xf>
    <xf numFmtId="0" fontId="37" fillId="0" borderId="0" xfId="0" applyFont="1"/>
    <xf numFmtId="0" fontId="5" fillId="3" borderId="1" xfId="0" applyFont="1" applyFill="1" applyBorder="1" applyAlignment="1">
      <alignment vertical="center" wrapText="1"/>
    </xf>
    <xf numFmtId="0" fontId="0" fillId="0" borderId="0" xfId="0" applyAlignment="1"/>
    <xf numFmtId="0" fontId="5" fillId="3" borderId="1" xfId="0" applyFont="1" applyFill="1" applyBorder="1" applyAlignment="1">
      <alignment horizontal="left" vertical="center" wrapText="1"/>
    </xf>
    <xf numFmtId="164" fontId="11" fillId="3" borderId="1" xfId="0" applyNumberFormat="1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top"/>
    </xf>
    <xf numFmtId="166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20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2" fontId="8" fillId="0" borderId="2" xfId="0" applyNumberFormat="1" applyFont="1" applyBorder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8" fontId="19" fillId="0" borderId="0" xfId="0" applyNumberFormat="1" applyFont="1"/>
    <xf numFmtId="2" fontId="11" fillId="0" borderId="0" xfId="0" applyNumberFormat="1" applyFont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11" fillId="0" borderId="3" xfId="0" applyFont="1" applyBorder="1" applyAlignment="1">
      <alignment vertical="top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0" borderId="0" xfId="0" applyFont="1" applyAlignment="1">
      <alignment horizontal="right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/>
    <xf numFmtId="0" fontId="20" fillId="0" borderId="5" xfId="0" applyFont="1" applyBorder="1" applyAlignment="1">
      <alignment horizont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5" fillId="0" borderId="0" xfId="0" applyFont="1" applyAlignment="1">
      <alignment horizontal="left"/>
    </xf>
    <xf numFmtId="0" fontId="8" fillId="0" borderId="0" xfId="1" applyFont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8" fillId="0" borderId="0" xfId="1" applyFont="1" applyAlignment="1">
      <alignment wrapText="1"/>
    </xf>
    <xf numFmtId="0" fontId="8" fillId="0" borderId="3" xfId="1" applyFont="1" applyBorder="1" applyAlignment="1">
      <alignment wrapText="1"/>
    </xf>
    <xf numFmtId="0" fontId="11" fillId="0" borderId="0" xfId="0" applyFont="1" applyAlignment="1">
      <alignment horizontal="left" vertical="top" wrapText="1"/>
    </xf>
    <xf numFmtId="0" fontId="8" fillId="3" borderId="0" xfId="1" applyFont="1" applyFill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10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9" fillId="3" borderId="0" xfId="0" applyFont="1" applyFill="1" applyAlignment="1">
      <alignment wrapText="1"/>
    </xf>
    <xf numFmtId="0" fontId="11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13" fillId="3" borderId="0" xfId="0" applyFont="1" applyFill="1" applyBorder="1" applyAlignment="1">
      <alignment horizontal="left"/>
    </xf>
    <xf numFmtId="0" fontId="9" fillId="3" borderId="0" xfId="0" applyFont="1" applyFill="1" applyAlignment="1">
      <alignment horizontal="left" vertical="center" wrapText="1"/>
    </xf>
    <xf numFmtId="0" fontId="8" fillId="3" borderId="0" xfId="1" applyFont="1" applyFill="1" applyAlignment="1">
      <alignment wrapText="1"/>
    </xf>
    <xf numFmtId="0" fontId="8" fillId="3" borderId="3" xfId="1" applyFont="1" applyFill="1" applyBorder="1" applyAlignment="1">
      <alignment wrapText="1"/>
    </xf>
    <xf numFmtId="0" fontId="8" fillId="3" borderId="0" xfId="1" applyFont="1" applyFill="1" applyAlignment="1">
      <alignment vertical="top" wrapText="1"/>
    </xf>
    <xf numFmtId="0" fontId="8" fillId="3" borderId="3" xfId="1" applyFont="1" applyFill="1" applyBorder="1" applyAlignment="1">
      <alignment vertical="top" wrapText="1"/>
    </xf>
    <xf numFmtId="0" fontId="10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13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center" vertical="center" wrapText="1"/>
    </xf>
    <xf numFmtId="0" fontId="23" fillId="0" borderId="5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22" fillId="0" borderId="5" xfId="0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10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wrapText="1"/>
    </xf>
    <xf numFmtId="0" fontId="0" fillId="3" borderId="0" xfId="0" applyFill="1" applyAlignment="1">
      <alignment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7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7" fillId="3" borderId="5" xfId="0" applyFont="1" applyFill="1" applyBorder="1" applyAlignment="1">
      <alignment vertical="center" wrapText="1"/>
    </xf>
    <xf numFmtId="0" fontId="21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wrapText="1"/>
    </xf>
    <xf numFmtId="0" fontId="7" fillId="0" borderId="0" xfId="0" applyFont="1" applyAlignment="1">
      <alignment wrapText="1"/>
    </xf>
    <xf numFmtId="0" fontId="21" fillId="0" borderId="5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5" xfId="0" applyFont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5" fillId="0" borderId="0" xfId="0" applyFont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53"/>
  <sheetViews>
    <sheetView topLeftCell="A41" workbookViewId="0">
      <selection activeCell="A7" sqref="A7:B7"/>
    </sheetView>
  </sheetViews>
  <sheetFormatPr defaultColWidth="9.140625" defaultRowHeight="12.75" x14ac:dyDescent="0.2"/>
  <cols>
    <col min="1" max="1" width="6.85546875" style="1" customWidth="1"/>
    <col min="2" max="2" width="77.7109375" style="1" customWidth="1"/>
    <col min="3" max="3" width="6.28515625" style="1" customWidth="1"/>
    <col min="4" max="4" width="10.7109375" style="1" customWidth="1"/>
    <col min="5" max="5" width="7.85546875" style="1" customWidth="1"/>
    <col min="6" max="6" width="7.140625" style="1" customWidth="1"/>
    <col min="7" max="7" width="9.140625" style="1"/>
    <col min="8" max="8" width="7.85546875" style="1" customWidth="1"/>
    <col min="9" max="9" width="9.42578125" style="1" bestFit="1" customWidth="1"/>
    <col min="10" max="16384" width="9.140625" style="1"/>
  </cols>
  <sheetData>
    <row r="2" spans="1:3" x14ac:dyDescent="0.2">
      <c r="B2" s="159" t="s">
        <v>951</v>
      </c>
    </row>
    <row r="3" spans="1:3" x14ac:dyDescent="0.2">
      <c r="B3" s="160" t="s">
        <v>75</v>
      </c>
      <c r="C3" s="160"/>
    </row>
    <row r="4" spans="1:3" x14ac:dyDescent="0.2">
      <c r="B4" s="161" t="s">
        <v>76</v>
      </c>
      <c r="C4" s="161"/>
    </row>
    <row r="5" spans="1:3" x14ac:dyDescent="0.2">
      <c r="A5" s="162"/>
      <c r="B5" s="159" t="s">
        <v>77</v>
      </c>
    </row>
    <row r="6" spans="1:3" x14ac:dyDescent="0.2">
      <c r="A6" s="159"/>
      <c r="B6" s="159"/>
    </row>
    <row r="7" spans="1:3" x14ac:dyDescent="0.2">
      <c r="A7" s="287" t="s">
        <v>0</v>
      </c>
      <c r="B7" s="287"/>
    </row>
    <row r="8" spans="1:3" x14ac:dyDescent="0.2">
      <c r="A8" s="163"/>
      <c r="B8" s="163"/>
    </row>
    <row r="9" spans="1:3" x14ac:dyDescent="0.2">
      <c r="A9" s="164" t="s">
        <v>1</v>
      </c>
      <c r="B9" s="165" t="s">
        <v>2</v>
      </c>
    </row>
    <row r="10" spans="1:3" ht="15" customHeight="1" x14ac:dyDescent="0.2">
      <c r="A10" s="166" t="s">
        <v>3</v>
      </c>
      <c r="B10" s="167" t="s">
        <v>128</v>
      </c>
    </row>
    <row r="11" spans="1:3" ht="15.75" customHeight="1" x14ac:dyDescent="0.2">
      <c r="A11" s="168" t="s">
        <v>4</v>
      </c>
      <c r="B11" s="167" t="s">
        <v>129</v>
      </c>
    </row>
    <row r="12" spans="1:3" ht="15.75" customHeight="1" x14ac:dyDescent="0.2">
      <c r="A12" s="168" t="s">
        <v>5</v>
      </c>
      <c r="B12" s="167" t="s">
        <v>130</v>
      </c>
    </row>
    <row r="13" spans="1:3" ht="15.75" customHeight="1" x14ac:dyDescent="0.2">
      <c r="A13" s="168" t="s">
        <v>6</v>
      </c>
      <c r="B13" s="167" t="s">
        <v>131</v>
      </c>
    </row>
    <row r="14" spans="1:3" ht="15.75" customHeight="1" x14ac:dyDescent="0.2">
      <c r="A14" s="168" t="s">
        <v>7</v>
      </c>
      <c r="B14" s="167" t="s">
        <v>132</v>
      </c>
    </row>
    <row r="15" spans="1:3" ht="15.75" customHeight="1" x14ac:dyDescent="0.2">
      <c r="A15" s="168" t="s">
        <v>8</v>
      </c>
      <c r="B15" s="167" t="s">
        <v>133</v>
      </c>
    </row>
    <row r="16" spans="1:3" ht="15.75" customHeight="1" x14ac:dyDescent="0.2">
      <c r="A16" s="168" t="s">
        <v>9</v>
      </c>
      <c r="B16" s="167" t="s">
        <v>134</v>
      </c>
    </row>
    <row r="17" spans="1:2" ht="20.25" customHeight="1" x14ac:dyDescent="0.2">
      <c r="A17" s="167" t="s">
        <v>10</v>
      </c>
      <c r="B17" s="167" t="s">
        <v>135</v>
      </c>
    </row>
    <row r="18" spans="1:2" ht="20.25" customHeight="1" x14ac:dyDescent="0.2">
      <c r="A18" s="167" t="s">
        <v>11</v>
      </c>
      <c r="B18" s="169" t="s">
        <v>136</v>
      </c>
    </row>
    <row r="19" spans="1:2" ht="15.75" customHeight="1" x14ac:dyDescent="0.2">
      <c r="A19" s="166" t="s">
        <v>12</v>
      </c>
      <c r="B19" s="167" t="s">
        <v>137</v>
      </c>
    </row>
    <row r="20" spans="1:2" ht="15.75" customHeight="1" x14ac:dyDescent="0.2">
      <c r="A20" s="166" t="s">
        <v>13</v>
      </c>
      <c r="B20" s="167" t="s">
        <v>138</v>
      </c>
    </row>
    <row r="21" spans="1:2" ht="15.75" customHeight="1" x14ac:dyDescent="0.2">
      <c r="A21" s="166" t="s">
        <v>14</v>
      </c>
      <c r="B21" s="167" t="s">
        <v>139</v>
      </c>
    </row>
    <row r="22" spans="1:2" ht="9.75" customHeight="1" x14ac:dyDescent="0.2">
      <c r="A22" s="166"/>
      <c r="B22" s="167"/>
    </row>
    <row r="23" spans="1:2" ht="15" customHeight="1" x14ac:dyDescent="0.2">
      <c r="A23" s="164" t="s">
        <v>15</v>
      </c>
      <c r="B23" s="256" t="s">
        <v>728</v>
      </c>
    </row>
    <row r="24" spans="1:2" ht="15" customHeight="1" x14ac:dyDescent="0.2">
      <c r="A24" s="170" t="s">
        <v>16</v>
      </c>
      <c r="B24" s="171" t="s">
        <v>114</v>
      </c>
    </row>
    <row r="25" spans="1:2" ht="25.5" x14ac:dyDescent="0.2">
      <c r="A25" s="171" t="s">
        <v>18</v>
      </c>
      <c r="B25" s="171" t="s">
        <v>27</v>
      </c>
    </row>
    <row r="26" spans="1:2" x14ac:dyDescent="0.2">
      <c r="A26" s="168" t="s">
        <v>20</v>
      </c>
      <c r="B26" s="257" t="s">
        <v>34</v>
      </c>
    </row>
    <row r="27" spans="1:2" x14ac:dyDescent="0.2">
      <c r="A27" s="168" t="s">
        <v>22</v>
      </c>
      <c r="B27" s="172" t="s">
        <v>37</v>
      </c>
    </row>
    <row r="28" spans="1:2" ht="25.5" x14ac:dyDescent="0.2">
      <c r="A28" s="168" t="s">
        <v>23</v>
      </c>
      <c r="B28" s="172" t="s">
        <v>48</v>
      </c>
    </row>
    <row r="29" spans="1:2" ht="25.5" x14ac:dyDescent="0.2">
      <c r="A29" s="173" t="s">
        <v>24</v>
      </c>
      <c r="B29" s="172" t="s">
        <v>52</v>
      </c>
    </row>
    <row r="30" spans="1:2" ht="28.5" x14ac:dyDescent="0.2">
      <c r="A30" s="173" t="s">
        <v>26</v>
      </c>
      <c r="B30" s="172" t="s">
        <v>319</v>
      </c>
    </row>
    <row r="31" spans="1:2" ht="25.5" x14ac:dyDescent="0.2">
      <c r="A31" s="170" t="s">
        <v>28</v>
      </c>
      <c r="B31" s="172" t="s">
        <v>57</v>
      </c>
    </row>
    <row r="32" spans="1:2" ht="25.5" x14ac:dyDescent="0.2">
      <c r="A32" s="170" t="s">
        <v>29</v>
      </c>
      <c r="B32" s="172" t="s">
        <v>60</v>
      </c>
    </row>
    <row r="33" spans="1:2" ht="25.5" x14ac:dyDescent="0.2">
      <c r="A33" s="170" t="s">
        <v>31</v>
      </c>
      <c r="B33" s="172" t="s">
        <v>63</v>
      </c>
    </row>
    <row r="34" spans="1:2" x14ac:dyDescent="0.2">
      <c r="A34" s="170" t="s">
        <v>33</v>
      </c>
      <c r="B34" s="172" t="s">
        <v>69</v>
      </c>
    </row>
    <row r="35" spans="1:2" x14ac:dyDescent="0.2">
      <c r="A35" s="170" t="s">
        <v>35</v>
      </c>
      <c r="B35" s="172" t="s">
        <v>726</v>
      </c>
    </row>
    <row r="36" spans="1:2" x14ac:dyDescent="0.2">
      <c r="A36" s="170" t="s">
        <v>36</v>
      </c>
      <c r="B36" s="172" t="s">
        <v>70</v>
      </c>
    </row>
    <row r="37" spans="1:2" x14ac:dyDescent="0.2">
      <c r="A37" s="170" t="s">
        <v>38</v>
      </c>
      <c r="B37" s="172" t="s">
        <v>17</v>
      </c>
    </row>
    <row r="38" spans="1:2" x14ac:dyDescent="0.2">
      <c r="A38" s="170" t="s">
        <v>39</v>
      </c>
      <c r="B38" s="172" t="s">
        <v>19</v>
      </c>
    </row>
    <row r="39" spans="1:2" x14ac:dyDescent="0.2">
      <c r="A39" s="170" t="s">
        <v>41</v>
      </c>
      <c r="B39" s="171" t="s">
        <v>21</v>
      </c>
    </row>
    <row r="40" spans="1:2" x14ac:dyDescent="0.2">
      <c r="A40" s="170" t="s">
        <v>43</v>
      </c>
      <c r="B40" s="171" t="s">
        <v>25</v>
      </c>
    </row>
    <row r="41" spans="1:2" x14ac:dyDescent="0.2">
      <c r="A41" s="170" t="s">
        <v>45</v>
      </c>
      <c r="B41" s="171" t="s">
        <v>30</v>
      </c>
    </row>
    <row r="42" spans="1:2" ht="25.5" x14ac:dyDescent="0.2">
      <c r="A42" s="170" t="s">
        <v>47</v>
      </c>
      <c r="B42" s="171" t="s">
        <v>32</v>
      </c>
    </row>
    <row r="43" spans="1:2" x14ac:dyDescent="0.2">
      <c r="A43" s="170" t="s">
        <v>49</v>
      </c>
      <c r="B43" s="172" t="s">
        <v>40</v>
      </c>
    </row>
    <row r="44" spans="1:2" ht="25.5" x14ac:dyDescent="0.2">
      <c r="A44" s="170" t="s">
        <v>50</v>
      </c>
      <c r="B44" s="172" t="s">
        <v>42</v>
      </c>
    </row>
    <row r="45" spans="1:2" x14ac:dyDescent="0.2">
      <c r="A45" s="170" t="s">
        <v>51</v>
      </c>
      <c r="B45" s="172" t="s">
        <v>44</v>
      </c>
    </row>
    <row r="46" spans="1:2" ht="25.5" x14ac:dyDescent="0.2">
      <c r="A46" s="170" t="s">
        <v>53</v>
      </c>
      <c r="B46" s="172" t="s">
        <v>46</v>
      </c>
    </row>
    <row r="47" spans="1:2" ht="28.5" x14ac:dyDescent="0.2">
      <c r="A47" s="170" t="s">
        <v>54</v>
      </c>
      <c r="B47" s="172" t="s">
        <v>320</v>
      </c>
    </row>
    <row r="48" spans="1:2" x14ac:dyDescent="0.2">
      <c r="A48" s="170" t="s">
        <v>55</v>
      </c>
      <c r="B48" s="172" t="s">
        <v>66</v>
      </c>
    </row>
    <row r="49" spans="1:2" x14ac:dyDescent="0.2">
      <c r="A49" s="170" t="s">
        <v>56</v>
      </c>
      <c r="B49" s="172" t="s">
        <v>67</v>
      </c>
    </row>
    <row r="50" spans="1:2" x14ac:dyDescent="0.2">
      <c r="A50" s="170" t="s">
        <v>58</v>
      </c>
      <c r="B50" s="172" t="s">
        <v>68</v>
      </c>
    </row>
    <row r="51" spans="1:2" x14ac:dyDescent="0.2">
      <c r="A51" s="170" t="s">
        <v>59</v>
      </c>
      <c r="B51" s="172" t="s">
        <v>727</v>
      </c>
    </row>
    <row r="52" spans="1:2" x14ac:dyDescent="0.2">
      <c r="A52" s="174" t="s">
        <v>61</v>
      </c>
      <c r="B52" s="172" t="s">
        <v>71</v>
      </c>
    </row>
    <row r="53" spans="1:2" x14ac:dyDescent="0.2">
      <c r="A53" s="170" t="s">
        <v>62</v>
      </c>
      <c r="B53" s="172" t="s">
        <v>72</v>
      </c>
    </row>
    <row r="54" spans="1:2" x14ac:dyDescent="0.2">
      <c r="A54" s="170" t="s">
        <v>64</v>
      </c>
      <c r="B54" s="172" t="s">
        <v>73</v>
      </c>
    </row>
    <row r="55" spans="1:2" x14ac:dyDescent="0.2">
      <c r="A55" s="170" t="s">
        <v>65</v>
      </c>
      <c r="B55" s="172" t="s">
        <v>74</v>
      </c>
    </row>
    <row r="56" spans="1:2" ht="25.5" customHeight="1" x14ac:dyDescent="0.2">
      <c r="A56" s="260" t="s">
        <v>203</v>
      </c>
      <c r="B56" s="176" t="s">
        <v>204</v>
      </c>
    </row>
    <row r="57" spans="1:2" x14ac:dyDescent="0.2">
      <c r="A57" s="168" t="s">
        <v>205</v>
      </c>
      <c r="B57" s="171" t="s">
        <v>729</v>
      </c>
    </row>
    <row r="58" spans="1:2" ht="25.5" x14ac:dyDescent="0.2">
      <c r="A58" s="173" t="s">
        <v>206</v>
      </c>
      <c r="B58" s="171" t="s">
        <v>730</v>
      </c>
    </row>
    <row r="59" spans="1:2" x14ac:dyDescent="0.2">
      <c r="A59" s="170" t="s">
        <v>207</v>
      </c>
      <c r="B59" s="171" t="s">
        <v>731</v>
      </c>
    </row>
    <row r="60" spans="1:2" x14ac:dyDescent="0.2">
      <c r="A60" s="170" t="s">
        <v>208</v>
      </c>
      <c r="B60" s="172" t="s">
        <v>732</v>
      </c>
    </row>
    <row r="61" spans="1:2" ht="25.5" x14ac:dyDescent="0.2">
      <c r="A61" s="170" t="s">
        <v>209</v>
      </c>
      <c r="B61" s="172" t="s">
        <v>733</v>
      </c>
    </row>
    <row r="62" spans="1:2" ht="25.5" x14ac:dyDescent="0.2">
      <c r="A62" s="170" t="s">
        <v>210</v>
      </c>
      <c r="B62" s="172" t="s">
        <v>734</v>
      </c>
    </row>
    <row r="63" spans="1:2" ht="28.5" x14ac:dyDescent="0.2">
      <c r="A63" s="170" t="s">
        <v>211</v>
      </c>
      <c r="B63" s="172" t="s">
        <v>741</v>
      </c>
    </row>
    <row r="64" spans="1:2" ht="25.5" x14ac:dyDescent="0.2">
      <c r="A64" s="170" t="s">
        <v>212</v>
      </c>
      <c r="B64" s="172" t="s">
        <v>735</v>
      </c>
    </row>
    <row r="65" spans="1:2" ht="25.5" x14ac:dyDescent="0.2">
      <c r="A65" s="170" t="s">
        <v>213</v>
      </c>
      <c r="B65" s="172" t="s">
        <v>736</v>
      </c>
    </row>
    <row r="66" spans="1:2" ht="25.5" x14ac:dyDescent="0.2">
      <c r="A66" s="170" t="s">
        <v>214</v>
      </c>
      <c r="B66" s="172" t="s">
        <v>737</v>
      </c>
    </row>
    <row r="67" spans="1:2" x14ac:dyDescent="0.2">
      <c r="A67" s="170" t="s">
        <v>215</v>
      </c>
      <c r="B67" s="172" t="s">
        <v>738</v>
      </c>
    </row>
    <row r="68" spans="1:2" x14ac:dyDescent="0.2">
      <c r="A68" s="170" t="s">
        <v>216</v>
      </c>
      <c r="B68" s="172" t="s">
        <v>739</v>
      </c>
    </row>
    <row r="69" spans="1:2" x14ac:dyDescent="0.2">
      <c r="A69" s="170" t="s">
        <v>217</v>
      </c>
      <c r="B69" s="172" t="s">
        <v>740</v>
      </c>
    </row>
    <row r="70" spans="1:2" ht="38.25" x14ac:dyDescent="0.2">
      <c r="A70" s="259" t="s">
        <v>218</v>
      </c>
      <c r="B70" s="176" t="s">
        <v>742</v>
      </c>
    </row>
    <row r="71" spans="1:2" x14ac:dyDescent="0.2">
      <c r="A71" s="168" t="s">
        <v>219</v>
      </c>
      <c r="B71" s="171" t="s">
        <v>743</v>
      </c>
    </row>
    <row r="72" spans="1:2" ht="25.5" x14ac:dyDescent="0.2">
      <c r="A72" s="173" t="s">
        <v>220</v>
      </c>
      <c r="B72" s="171" t="s">
        <v>744</v>
      </c>
    </row>
    <row r="73" spans="1:2" x14ac:dyDescent="0.2">
      <c r="A73" s="170" t="s">
        <v>221</v>
      </c>
      <c r="B73" s="171" t="s">
        <v>745</v>
      </c>
    </row>
    <row r="74" spans="1:2" x14ac:dyDescent="0.2">
      <c r="A74" s="170" t="s">
        <v>222</v>
      </c>
      <c r="B74" s="172" t="s">
        <v>746</v>
      </c>
    </row>
    <row r="75" spans="1:2" ht="25.5" x14ac:dyDescent="0.2">
      <c r="A75" s="170" t="s">
        <v>223</v>
      </c>
      <c r="B75" s="172" t="s">
        <v>747</v>
      </c>
    </row>
    <row r="76" spans="1:2" ht="25.5" x14ac:dyDescent="0.2">
      <c r="A76" s="170" t="s">
        <v>224</v>
      </c>
      <c r="B76" s="172" t="s">
        <v>748</v>
      </c>
    </row>
    <row r="77" spans="1:2" ht="28.5" x14ac:dyDescent="0.2">
      <c r="A77" s="170" t="s">
        <v>225</v>
      </c>
      <c r="B77" s="172" t="s">
        <v>755</v>
      </c>
    </row>
    <row r="78" spans="1:2" ht="25.5" x14ac:dyDescent="0.2">
      <c r="A78" s="170" t="s">
        <v>226</v>
      </c>
      <c r="B78" s="172" t="s">
        <v>749</v>
      </c>
    </row>
    <row r="79" spans="1:2" ht="25.5" x14ac:dyDescent="0.2">
      <c r="A79" s="174" t="s">
        <v>227</v>
      </c>
      <c r="B79" s="172" t="s">
        <v>750</v>
      </c>
    </row>
    <row r="80" spans="1:2" ht="25.5" x14ac:dyDescent="0.2">
      <c r="A80" s="170" t="s">
        <v>228</v>
      </c>
      <c r="B80" s="172" t="s">
        <v>751</v>
      </c>
    </row>
    <row r="81" spans="1:2" x14ac:dyDescent="0.2">
      <c r="A81" s="170" t="s">
        <v>229</v>
      </c>
      <c r="B81" s="172" t="s">
        <v>752</v>
      </c>
    </row>
    <row r="82" spans="1:2" x14ac:dyDescent="0.2">
      <c r="A82" s="170" t="s">
        <v>230</v>
      </c>
      <c r="B82" s="172" t="s">
        <v>753</v>
      </c>
    </row>
    <row r="83" spans="1:2" x14ac:dyDescent="0.2">
      <c r="A83" s="170" t="s">
        <v>231</v>
      </c>
      <c r="B83" s="172" t="s">
        <v>754</v>
      </c>
    </row>
    <row r="84" spans="1:2" ht="38.25" x14ac:dyDescent="0.2">
      <c r="A84" s="259" t="s">
        <v>232</v>
      </c>
      <c r="B84" s="176" t="s">
        <v>756</v>
      </c>
    </row>
    <row r="85" spans="1:2" x14ac:dyDescent="0.2">
      <c r="A85" s="168" t="s">
        <v>233</v>
      </c>
      <c r="B85" s="171" t="s">
        <v>114</v>
      </c>
    </row>
    <row r="86" spans="1:2" ht="25.5" x14ac:dyDescent="0.2">
      <c r="A86" s="173" t="s">
        <v>234</v>
      </c>
      <c r="B86" s="171" t="s">
        <v>27</v>
      </c>
    </row>
    <row r="87" spans="1:2" x14ac:dyDescent="0.2">
      <c r="A87" s="170" t="s">
        <v>235</v>
      </c>
      <c r="B87" s="171" t="s">
        <v>34</v>
      </c>
    </row>
    <row r="88" spans="1:2" x14ac:dyDescent="0.2">
      <c r="A88" s="170" t="s">
        <v>236</v>
      </c>
      <c r="B88" s="172" t="s">
        <v>37</v>
      </c>
    </row>
    <row r="89" spans="1:2" ht="25.5" x14ac:dyDescent="0.2">
      <c r="A89" s="170" t="s">
        <v>237</v>
      </c>
      <c r="B89" s="172" t="s">
        <v>48</v>
      </c>
    </row>
    <row r="90" spans="1:2" ht="25.5" x14ac:dyDescent="0.2">
      <c r="A90" s="170" t="s">
        <v>238</v>
      </c>
      <c r="B90" s="172" t="s">
        <v>52</v>
      </c>
    </row>
    <row r="91" spans="1:2" ht="28.5" x14ac:dyDescent="0.2">
      <c r="A91" s="170" t="s">
        <v>239</v>
      </c>
      <c r="B91" s="172" t="s">
        <v>319</v>
      </c>
    </row>
    <row r="92" spans="1:2" ht="25.5" x14ac:dyDescent="0.2">
      <c r="A92" s="170" t="s">
        <v>240</v>
      </c>
      <c r="B92" s="172" t="s">
        <v>57</v>
      </c>
    </row>
    <row r="93" spans="1:2" ht="25.5" x14ac:dyDescent="0.2">
      <c r="A93" s="174" t="s">
        <v>241</v>
      </c>
      <c r="B93" s="172" t="s">
        <v>60</v>
      </c>
    </row>
    <row r="94" spans="1:2" ht="25.5" x14ac:dyDescent="0.2">
      <c r="A94" s="170" t="s">
        <v>242</v>
      </c>
      <c r="B94" s="172" t="s">
        <v>757</v>
      </c>
    </row>
    <row r="95" spans="1:2" x14ac:dyDescent="0.2">
      <c r="A95" s="170" t="s">
        <v>243</v>
      </c>
      <c r="B95" s="172" t="s">
        <v>69</v>
      </c>
    </row>
    <row r="96" spans="1:2" x14ac:dyDescent="0.2">
      <c r="A96" s="170" t="s">
        <v>244</v>
      </c>
      <c r="B96" s="172" t="s">
        <v>726</v>
      </c>
    </row>
    <row r="97" spans="1:2" x14ac:dyDescent="0.2">
      <c r="A97" s="170" t="s">
        <v>245</v>
      </c>
      <c r="B97" s="172" t="s">
        <v>70</v>
      </c>
    </row>
    <row r="98" spans="1:2" ht="38.25" x14ac:dyDescent="0.2">
      <c r="A98" s="259" t="s">
        <v>246</v>
      </c>
      <c r="B98" s="176" t="s">
        <v>758</v>
      </c>
    </row>
    <row r="99" spans="1:2" x14ac:dyDescent="0.2">
      <c r="A99" s="168" t="s">
        <v>247</v>
      </c>
      <c r="B99" s="171" t="s">
        <v>114</v>
      </c>
    </row>
    <row r="100" spans="1:2" ht="25.5" x14ac:dyDescent="0.2">
      <c r="A100" s="173" t="s">
        <v>248</v>
      </c>
      <c r="B100" s="171" t="s">
        <v>27</v>
      </c>
    </row>
    <row r="101" spans="1:2" x14ac:dyDescent="0.2">
      <c r="A101" s="170" t="s">
        <v>249</v>
      </c>
      <c r="B101" s="171" t="s">
        <v>34</v>
      </c>
    </row>
    <row r="102" spans="1:2" x14ac:dyDescent="0.2">
      <c r="A102" s="170" t="s">
        <v>250</v>
      </c>
      <c r="B102" s="172" t="s">
        <v>37</v>
      </c>
    </row>
    <row r="103" spans="1:2" ht="25.5" x14ac:dyDescent="0.2">
      <c r="A103" s="170" t="s">
        <v>251</v>
      </c>
      <c r="B103" s="172" t="s">
        <v>48</v>
      </c>
    </row>
    <row r="104" spans="1:2" ht="25.5" x14ac:dyDescent="0.2">
      <c r="A104" s="170" t="s">
        <v>252</v>
      </c>
      <c r="B104" s="172" t="s">
        <v>52</v>
      </c>
    </row>
    <row r="105" spans="1:2" ht="28.5" x14ac:dyDescent="0.2">
      <c r="A105" s="170" t="s">
        <v>253</v>
      </c>
      <c r="B105" s="172" t="s">
        <v>319</v>
      </c>
    </row>
    <row r="106" spans="1:2" ht="25.5" x14ac:dyDescent="0.2">
      <c r="A106" s="170" t="s">
        <v>254</v>
      </c>
      <c r="B106" s="172" t="s">
        <v>57</v>
      </c>
    </row>
    <row r="107" spans="1:2" ht="25.5" x14ac:dyDescent="0.2">
      <c r="A107" s="174" t="s">
        <v>255</v>
      </c>
      <c r="B107" s="172" t="s">
        <v>60</v>
      </c>
    </row>
    <row r="108" spans="1:2" ht="25.5" x14ac:dyDescent="0.2">
      <c r="A108" s="170" t="s">
        <v>256</v>
      </c>
      <c r="B108" s="172" t="s">
        <v>757</v>
      </c>
    </row>
    <row r="109" spans="1:2" x14ac:dyDescent="0.2">
      <c r="A109" s="170" t="s">
        <v>257</v>
      </c>
      <c r="B109" s="172" t="s">
        <v>69</v>
      </c>
    </row>
    <row r="110" spans="1:2" x14ac:dyDescent="0.2">
      <c r="A110" s="170" t="s">
        <v>258</v>
      </c>
      <c r="B110" s="172" t="s">
        <v>726</v>
      </c>
    </row>
    <row r="111" spans="1:2" x14ac:dyDescent="0.2">
      <c r="A111" s="170" t="s">
        <v>259</v>
      </c>
      <c r="B111" s="172" t="s">
        <v>70</v>
      </c>
    </row>
    <row r="112" spans="1:2" ht="38.25" x14ac:dyDescent="0.2">
      <c r="A112" s="259" t="s">
        <v>260</v>
      </c>
      <c r="B112" s="176" t="s">
        <v>759</v>
      </c>
    </row>
    <row r="113" spans="1:2" x14ac:dyDescent="0.2">
      <c r="A113" s="170" t="s">
        <v>261</v>
      </c>
      <c r="B113" s="171" t="s">
        <v>114</v>
      </c>
    </row>
    <row r="114" spans="1:2" ht="25.5" x14ac:dyDescent="0.2">
      <c r="A114" s="170" t="s">
        <v>262</v>
      </c>
      <c r="B114" s="171" t="s">
        <v>27</v>
      </c>
    </row>
    <row r="115" spans="1:2" x14ac:dyDescent="0.2">
      <c r="A115" s="170" t="s">
        <v>263</v>
      </c>
      <c r="B115" s="171" t="s">
        <v>34</v>
      </c>
    </row>
    <row r="116" spans="1:2" x14ac:dyDescent="0.2">
      <c r="A116" s="170" t="s">
        <v>264</v>
      </c>
      <c r="B116" s="172" t="s">
        <v>37</v>
      </c>
    </row>
    <row r="117" spans="1:2" ht="25.5" x14ac:dyDescent="0.2">
      <c r="A117" s="170" t="s">
        <v>265</v>
      </c>
      <c r="B117" s="172" t="s">
        <v>48</v>
      </c>
    </row>
    <row r="118" spans="1:2" ht="25.5" x14ac:dyDescent="0.2">
      <c r="A118" s="170" t="s">
        <v>266</v>
      </c>
      <c r="B118" s="172" t="s">
        <v>52</v>
      </c>
    </row>
    <row r="119" spans="1:2" ht="28.5" x14ac:dyDescent="0.2">
      <c r="A119" s="170" t="s">
        <v>267</v>
      </c>
      <c r="B119" s="172" t="s">
        <v>319</v>
      </c>
    </row>
    <row r="120" spans="1:2" ht="25.5" x14ac:dyDescent="0.2">
      <c r="A120" s="170" t="s">
        <v>268</v>
      </c>
      <c r="B120" s="172" t="s">
        <v>57</v>
      </c>
    </row>
    <row r="121" spans="1:2" ht="25.5" x14ac:dyDescent="0.2">
      <c r="A121" s="170" t="s">
        <v>269</v>
      </c>
      <c r="B121" s="172" t="s">
        <v>60</v>
      </c>
    </row>
    <row r="122" spans="1:2" ht="25.5" x14ac:dyDescent="0.2">
      <c r="A122" s="170" t="s">
        <v>270</v>
      </c>
      <c r="B122" s="172" t="s">
        <v>757</v>
      </c>
    </row>
    <row r="123" spans="1:2" x14ac:dyDescent="0.2">
      <c r="A123" s="170" t="s">
        <v>271</v>
      </c>
      <c r="B123" s="172" t="s">
        <v>69</v>
      </c>
    </row>
    <row r="124" spans="1:2" x14ac:dyDescent="0.2">
      <c r="A124" s="170" t="s">
        <v>272</v>
      </c>
      <c r="B124" s="172" t="s">
        <v>726</v>
      </c>
    </row>
    <row r="125" spans="1:2" x14ac:dyDescent="0.2">
      <c r="A125" s="170" t="s">
        <v>273</v>
      </c>
      <c r="B125" s="172" t="s">
        <v>70</v>
      </c>
    </row>
    <row r="126" spans="1:2" ht="38.25" x14ac:dyDescent="0.2">
      <c r="A126" s="176" t="s">
        <v>760</v>
      </c>
      <c r="B126" s="176" t="s">
        <v>761</v>
      </c>
    </row>
    <row r="127" spans="1:2" x14ac:dyDescent="0.2">
      <c r="A127" s="170" t="s">
        <v>762</v>
      </c>
      <c r="B127" s="171" t="s">
        <v>114</v>
      </c>
    </row>
    <row r="128" spans="1:2" ht="25.5" x14ac:dyDescent="0.2">
      <c r="A128" s="170" t="s">
        <v>763</v>
      </c>
      <c r="B128" s="171" t="s">
        <v>27</v>
      </c>
    </row>
    <row r="129" spans="1:2" x14ac:dyDescent="0.2">
      <c r="A129" s="170" t="s">
        <v>764</v>
      </c>
      <c r="B129" s="171" t="s">
        <v>34</v>
      </c>
    </row>
    <row r="130" spans="1:2" x14ac:dyDescent="0.2">
      <c r="A130" s="170" t="s">
        <v>765</v>
      </c>
      <c r="B130" s="172" t="s">
        <v>37</v>
      </c>
    </row>
    <row r="131" spans="1:2" ht="25.5" x14ac:dyDescent="0.2">
      <c r="A131" s="170" t="s">
        <v>766</v>
      </c>
      <c r="B131" s="172" t="s">
        <v>48</v>
      </c>
    </row>
    <row r="132" spans="1:2" ht="25.5" x14ac:dyDescent="0.2">
      <c r="A132" s="170" t="s">
        <v>767</v>
      </c>
      <c r="B132" s="172" t="s">
        <v>52</v>
      </c>
    </row>
    <row r="133" spans="1:2" ht="28.5" x14ac:dyDescent="0.2">
      <c r="A133" s="170" t="s">
        <v>768</v>
      </c>
      <c r="B133" s="172" t="s">
        <v>319</v>
      </c>
    </row>
    <row r="134" spans="1:2" ht="25.5" x14ac:dyDescent="0.2">
      <c r="A134" s="170" t="s">
        <v>769</v>
      </c>
      <c r="B134" s="172" t="s">
        <v>57</v>
      </c>
    </row>
    <row r="135" spans="1:2" ht="25.5" x14ac:dyDescent="0.2">
      <c r="A135" s="170" t="s">
        <v>770</v>
      </c>
      <c r="B135" s="172" t="s">
        <v>60</v>
      </c>
    </row>
    <row r="136" spans="1:2" ht="25.5" x14ac:dyDescent="0.2">
      <c r="A136" s="170" t="s">
        <v>771</v>
      </c>
      <c r="B136" s="172" t="s">
        <v>757</v>
      </c>
    </row>
    <row r="137" spans="1:2" x14ac:dyDescent="0.2">
      <c r="A137" s="170" t="s">
        <v>772</v>
      </c>
      <c r="B137" s="172" t="s">
        <v>69</v>
      </c>
    </row>
    <row r="138" spans="1:2" x14ac:dyDescent="0.2">
      <c r="A138" s="170" t="s">
        <v>773</v>
      </c>
      <c r="B138" s="172" t="s">
        <v>726</v>
      </c>
    </row>
    <row r="139" spans="1:2" x14ac:dyDescent="0.2">
      <c r="A139" s="258" t="s">
        <v>774</v>
      </c>
      <c r="B139" s="172" t="s">
        <v>70</v>
      </c>
    </row>
    <row r="140" spans="1:2" ht="38.25" x14ac:dyDescent="0.2">
      <c r="A140" s="176" t="s">
        <v>775</v>
      </c>
      <c r="B140" s="176" t="s">
        <v>776</v>
      </c>
    </row>
    <row r="141" spans="1:2" x14ac:dyDescent="0.2">
      <c r="A141" s="170" t="s">
        <v>777</v>
      </c>
      <c r="B141" s="171" t="s">
        <v>114</v>
      </c>
    </row>
    <row r="142" spans="1:2" ht="25.5" x14ac:dyDescent="0.2">
      <c r="A142" s="170" t="s">
        <v>778</v>
      </c>
      <c r="B142" s="171" t="s">
        <v>27</v>
      </c>
    </row>
    <row r="143" spans="1:2" x14ac:dyDescent="0.2">
      <c r="A143" s="170" t="s">
        <v>779</v>
      </c>
      <c r="B143" s="171" t="s">
        <v>34</v>
      </c>
    </row>
    <row r="144" spans="1:2" x14ac:dyDescent="0.2">
      <c r="A144" s="170" t="s">
        <v>780</v>
      </c>
      <c r="B144" s="172" t="s">
        <v>37</v>
      </c>
    </row>
    <row r="145" spans="1:2" ht="25.5" x14ac:dyDescent="0.2">
      <c r="A145" s="170" t="s">
        <v>781</v>
      </c>
      <c r="B145" s="172" t="s">
        <v>48</v>
      </c>
    </row>
    <row r="146" spans="1:2" ht="25.5" x14ac:dyDescent="0.2">
      <c r="A146" s="170" t="s">
        <v>782</v>
      </c>
      <c r="B146" s="172" t="s">
        <v>52</v>
      </c>
    </row>
    <row r="147" spans="1:2" ht="28.5" x14ac:dyDescent="0.2">
      <c r="A147" s="170" t="s">
        <v>783</v>
      </c>
      <c r="B147" s="172" t="s">
        <v>319</v>
      </c>
    </row>
    <row r="148" spans="1:2" ht="25.5" x14ac:dyDescent="0.2">
      <c r="A148" s="170" t="s">
        <v>784</v>
      </c>
      <c r="B148" s="172" t="s">
        <v>57</v>
      </c>
    </row>
    <row r="149" spans="1:2" ht="25.5" x14ac:dyDescent="0.2">
      <c r="A149" s="170" t="s">
        <v>785</v>
      </c>
      <c r="B149" s="172" t="s">
        <v>60</v>
      </c>
    </row>
    <row r="150" spans="1:2" ht="25.5" x14ac:dyDescent="0.2">
      <c r="A150" s="170" t="s">
        <v>786</v>
      </c>
      <c r="B150" s="172" t="s">
        <v>757</v>
      </c>
    </row>
    <row r="151" spans="1:2" x14ac:dyDescent="0.2">
      <c r="A151" s="170" t="s">
        <v>787</v>
      </c>
      <c r="B151" s="172" t="s">
        <v>69</v>
      </c>
    </row>
    <row r="152" spans="1:2" x14ac:dyDescent="0.2">
      <c r="A152" s="170" t="s">
        <v>788</v>
      </c>
      <c r="B152" s="172" t="s">
        <v>726</v>
      </c>
    </row>
    <row r="153" spans="1:2" x14ac:dyDescent="0.2">
      <c r="A153" s="170" t="s">
        <v>789</v>
      </c>
      <c r="B153" s="172" t="s">
        <v>70</v>
      </c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topLeftCell="A26" zoomScale="99" zoomScaleNormal="99" workbookViewId="0">
      <selection activeCell="C19" sqref="C19:C21"/>
    </sheetView>
  </sheetViews>
  <sheetFormatPr defaultColWidth="9.140625" defaultRowHeight="12" x14ac:dyDescent="0.2"/>
  <cols>
    <col min="1" max="1" width="9.5703125" style="150" customWidth="1"/>
    <col min="2" max="2" width="54.7109375" style="150" customWidth="1"/>
    <col min="3" max="3" width="9.140625" style="150"/>
    <col min="4" max="4" width="11.42578125" style="150" customWidth="1"/>
    <col min="5" max="16384" width="9.140625" style="150"/>
  </cols>
  <sheetData>
    <row r="1" spans="1:17" x14ac:dyDescent="0.2">
      <c r="A1" s="290" t="s">
        <v>78</v>
      </c>
      <c r="B1" s="290"/>
      <c r="C1" s="290"/>
      <c r="D1" s="290"/>
    </row>
    <row r="2" spans="1:17" x14ac:dyDescent="0.2">
      <c r="A2" s="3"/>
      <c r="B2" s="3"/>
      <c r="C2" s="291"/>
      <c r="D2" s="292"/>
    </row>
    <row r="3" spans="1:17" x14ac:dyDescent="0.2">
      <c r="A3" s="143" t="s">
        <v>111</v>
      </c>
      <c r="B3" s="4"/>
      <c r="C3" s="4"/>
      <c r="D3" s="4"/>
    </row>
    <row r="4" spans="1:17" x14ac:dyDescent="0.2">
      <c r="A4" s="3"/>
      <c r="B4" s="263"/>
      <c r="C4" s="263"/>
      <c r="D4" s="5"/>
    </row>
    <row r="5" spans="1:17" ht="12" customHeight="1" x14ac:dyDescent="0.2">
      <c r="A5" s="293" t="s">
        <v>318</v>
      </c>
      <c r="B5" s="293"/>
      <c r="C5" s="293"/>
      <c r="D5" s="293"/>
    </row>
    <row r="6" spans="1:17" x14ac:dyDescent="0.2">
      <c r="A6" s="264"/>
      <c r="B6" s="151"/>
      <c r="C6" s="151"/>
      <c r="D6" s="5"/>
    </row>
    <row r="7" spans="1:17" ht="12" customHeight="1" x14ac:dyDescent="0.2">
      <c r="A7" s="294" t="s">
        <v>112</v>
      </c>
      <c r="B7" s="295"/>
      <c r="C7" s="151"/>
      <c r="D7" s="5"/>
    </row>
    <row r="8" spans="1:17" x14ac:dyDescent="0.2">
      <c r="A8" s="3"/>
      <c r="B8" s="8"/>
      <c r="C8" s="9"/>
      <c r="D8" s="5"/>
    </row>
    <row r="9" spans="1:17" x14ac:dyDescent="0.2">
      <c r="A9" s="296" t="s">
        <v>105</v>
      </c>
      <c r="B9" s="296"/>
      <c r="C9" s="25"/>
      <c r="D9" s="26"/>
    </row>
    <row r="10" spans="1:17" ht="108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17" x14ac:dyDescent="0.2">
      <c r="A11" s="11">
        <v>1</v>
      </c>
      <c r="B11" s="12">
        <v>2</v>
      </c>
      <c r="C11" s="11">
        <v>3</v>
      </c>
      <c r="D11" s="11">
        <v>4</v>
      </c>
    </row>
    <row r="12" spans="1:17" x14ac:dyDescent="0.2">
      <c r="A12" s="11"/>
      <c r="B12" s="27" t="s">
        <v>84</v>
      </c>
      <c r="C12" s="13"/>
      <c r="D12" s="13"/>
    </row>
    <row r="13" spans="1:17" x14ac:dyDescent="0.2">
      <c r="A13" s="28">
        <v>1100</v>
      </c>
      <c r="B13" s="29" t="s">
        <v>85</v>
      </c>
      <c r="C13" s="14"/>
      <c r="D13" s="14"/>
    </row>
    <row r="14" spans="1:17" ht="181.5" customHeight="1" x14ac:dyDescent="0.25">
      <c r="A14" s="30"/>
      <c r="B14" s="15" t="s">
        <v>790</v>
      </c>
      <c r="C14" s="16">
        <v>24.08</v>
      </c>
      <c r="D14" s="16">
        <f>C14*C62</f>
        <v>722.4</v>
      </c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</row>
    <row r="15" spans="1:17" ht="24" x14ac:dyDescent="0.2">
      <c r="A15" s="30">
        <v>1200</v>
      </c>
      <c r="B15" s="265" t="s">
        <v>277</v>
      </c>
      <c r="C15" s="16">
        <f>ROUND(C14*0.2359,2)</f>
        <v>5.68</v>
      </c>
      <c r="D15" s="16">
        <f>C15*C62</f>
        <v>170.39999999999998</v>
      </c>
    </row>
    <row r="16" spans="1:17" x14ac:dyDescent="0.2">
      <c r="A16" s="30">
        <v>2341</v>
      </c>
      <c r="B16" s="30" t="s">
        <v>86</v>
      </c>
      <c r="C16" s="19"/>
      <c r="D16" s="19"/>
    </row>
    <row r="17" spans="1:5" ht="98.25" customHeight="1" x14ac:dyDescent="0.2">
      <c r="A17" s="30"/>
      <c r="B17" s="265" t="s">
        <v>791</v>
      </c>
      <c r="C17" s="16">
        <f>ROUND((0.832+0.579+0.433+0.555+4.313+2.555)*1.21,2)</f>
        <v>11.21</v>
      </c>
      <c r="D17" s="16">
        <f>C17*C62</f>
        <v>336.3</v>
      </c>
      <c r="E17" s="177"/>
    </row>
    <row r="18" spans="1:5" ht="108" x14ac:dyDescent="0.2">
      <c r="A18" s="30"/>
      <c r="B18" s="265" t="s">
        <v>792</v>
      </c>
      <c r="C18" s="19"/>
      <c r="D18" s="19"/>
    </row>
    <row r="19" spans="1:5" ht="96" x14ac:dyDescent="0.2">
      <c r="A19" s="30"/>
      <c r="B19" s="265" t="s">
        <v>793</v>
      </c>
      <c r="C19" s="284"/>
      <c r="D19" s="19"/>
    </row>
    <row r="20" spans="1:5" ht="75.75" customHeight="1" x14ac:dyDescent="0.2">
      <c r="A20" s="30"/>
      <c r="B20" s="265" t="s">
        <v>794</v>
      </c>
      <c r="C20" s="284"/>
      <c r="D20" s="19"/>
    </row>
    <row r="21" spans="1:5" ht="213.75" customHeight="1" x14ac:dyDescent="0.2">
      <c r="A21" s="30"/>
      <c r="B21" s="265" t="s">
        <v>795</v>
      </c>
      <c r="C21" s="284"/>
      <c r="D21" s="19"/>
    </row>
    <row r="22" spans="1:5" ht="72" x14ac:dyDescent="0.2">
      <c r="A22" s="30"/>
      <c r="B22" s="265" t="s">
        <v>796</v>
      </c>
      <c r="C22" s="19"/>
      <c r="D22" s="19"/>
    </row>
    <row r="23" spans="1:5" x14ac:dyDescent="0.2">
      <c r="A23" s="30"/>
      <c r="B23" s="267" t="s">
        <v>87</v>
      </c>
      <c r="C23" s="37">
        <f>C14+C15+C17</f>
        <v>40.97</v>
      </c>
      <c r="D23" s="37">
        <f>D14+D15+D17</f>
        <v>1229.0999999999999</v>
      </c>
    </row>
    <row r="24" spans="1:5" x14ac:dyDescent="0.2">
      <c r="A24" s="30"/>
      <c r="B24" s="267" t="s">
        <v>279</v>
      </c>
      <c r="C24" s="19"/>
      <c r="D24" s="19"/>
    </row>
    <row r="25" spans="1:5" x14ac:dyDescent="0.2">
      <c r="A25" s="30">
        <v>2210</v>
      </c>
      <c r="B25" s="48" t="s">
        <v>141</v>
      </c>
      <c r="C25" s="19"/>
      <c r="D25" s="19"/>
    </row>
    <row r="26" spans="1:5" ht="84" x14ac:dyDescent="0.2">
      <c r="A26" s="30"/>
      <c r="B26" s="48" t="s">
        <v>797</v>
      </c>
      <c r="C26" s="16">
        <f>ROUND(6.14/10,2)</f>
        <v>0.61</v>
      </c>
      <c r="D26" s="16">
        <f>C26*C62</f>
        <v>18.3</v>
      </c>
    </row>
    <row r="27" spans="1:5" x14ac:dyDescent="0.2">
      <c r="A27" s="30">
        <v>2221</v>
      </c>
      <c r="B27" s="48" t="s">
        <v>89</v>
      </c>
      <c r="C27" s="19"/>
      <c r="D27" s="19"/>
    </row>
    <row r="28" spans="1:5" ht="84" x14ac:dyDescent="0.2">
      <c r="A28" s="30"/>
      <c r="B28" s="48" t="s">
        <v>798</v>
      </c>
      <c r="C28" s="16">
        <f>ROUND(10.29/10,2)</f>
        <v>1.03</v>
      </c>
      <c r="D28" s="18">
        <f>C28*C62</f>
        <v>30.900000000000002</v>
      </c>
    </row>
    <row r="29" spans="1:5" x14ac:dyDescent="0.2">
      <c r="A29" s="30">
        <v>2222</v>
      </c>
      <c r="B29" s="48" t="s">
        <v>90</v>
      </c>
      <c r="C29" s="19"/>
      <c r="D29" s="19"/>
    </row>
    <row r="30" spans="1:5" ht="84" x14ac:dyDescent="0.2">
      <c r="A30" s="30"/>
      <c r="B30" s="48" t="s">
        <v>799</v>
      </c>
      <c r="C30" s="16">
        <f>ROUND(1.04/10,2)</f>
        <v>0.1</v>
      </c>
      <c r="D30" s="16">
        <f>C30*C62</f>
        <v>3</v>
      </c>
    </row>
    <row r="31" spans="1:5" x14ac:dyDescent="0.2">
      <c r="A31" s="30">
        <v>2223</v>
      </c>
      <c r="B31" s="30" t="s">
        <v>91</v>
      </c>
      <c r="C31" s="19"/>
      <c r="D31" s="19"/>
    </row>
    <row r="32" spans="1:5" ht="84" x14ac:dyDescent="0.2">
      <c r="A32" s="30"/>
      <c r="B32" s="48" t="s">
        <v>800</v>
      </c>
      <c r="C32" s="16">
        <f>ROUND(26.98/10,2)</f>
        <v>2.7</v>
      </c>
      <c r="D32" s="16">
        <f>C32*C62</f>
        <v>81</v>
      </c>
    </row>
    <row r="33" spans="1:4" x14ac:dyDescent="0.2">
      <c r="A33" s="30">
        <v>2224</v>
      </c>
      <c r="B33" s="48" t="s">
        <v>142</v>
      </c>
      <c r="C33" s="19"/>
      <c r="D33" s="19"/>
    </row>
    <row r="34" spans="1:4" ht="84" x14ac:dyDescent="0.2">
      <c r="A34" s="30"/>
      <c r="B34" s="48" t="s">
        <v>801</v>
      </c>
      <c r="C34" s="16">
        <f>ROUND(2.23/10,2)</f>
        <v>0.22</v>
      </c>
      <c r="D34" s="16">
        <f>ROUND(C34*C62,2)</f>
        <v>6.6</v>
      </c>
    </row>
    <row r="35" spans="1:4" x14ac:dyDescent="0.2">
      <c r="A35" s="30">
        <v>2231</v>
      </c>
      <c r="B35" s="48" t="s">
        <v>121</v>
      </c>
      <c r="C35" s="19"/>
      <c r="D35" s="19"/>
    </row>
    <row r="36" spans="1:4" ht="84" x14ac:dyDescent="0.2">
      <c r="A36" s="30"/>
      <c r="B36" s="48" t="s">
        <v>802</v>
      </c>
      <c r="C36" s="16">
        <f>ROUND(7.77/10,2)</f>
        <v>0.78</v>
      </c>
      <c r="D36" s="16">
        <f>C36*C62</f>
        <v>23.400000000000002</v>
      </c>
    </row>
    <row r="37" spans="1:4" x14ac:dyDescent="0.2">
      <c r="A37" s="30">
        <v>2233</v>
      </c>
      <c r="B37" s="48" t="s">
        <v>143</v>
      </c>
      <c r="C37" s="16"/>
      <c r="D37" s="16"/>
    </row>
    <row r="38" spans="1:4" x14ac:dyDescent="0.2">
      <c r="A38" s="30"/>
      <c r="B38" s="48" t="s">
        <v>144</v>
      </c>
      <c r="C38" s="16">
        <v>0</v>
      </c>
      <c r="D38" s="16">
        <f>C38*C62</f>
        <v>0</v>
      </c>
    </row>
    <row r="39" spans="1:4" x14ac:dyDescent="0.2">
      <c r="A39" s="30">
        <v>2243</v>
      </c>
      <c r="B39" s="48" t="s">
        <v>100</v>
      </c>
      <c r="C39" s="16"/>
      <c r="D39" s="16"/>
    </row>
    <row r="40" spans="1:4" ht="84" x14ac:dyDescent="0.2">
      <c r="A40" s="30"/>
      <c r="B40" s="48" t="s">
        <v>803</v>
      </c>
      <c r="C40" s="16">
        <f>ROUND(9.7/10,2)</f>
        <v>0.97</v>
      </c>
      <c r="D40" s="18">
        <f>C40*C62</f>
        <v>29.099999999999998</v>
      </c>
    </row>
    <row r="41" spans="1:4" x14ac:dyDescent="0.2">
      <c r="A41" s="30">
        <v>2244</v>
      </c>
      <c r="B41" s="48" t="s">
        <v>92</v>
      </c>
      <c r="C41" s="19"/>
      <c r="D41" s="74"/>
    </row>
    <row r="42" spans="1:4" ht="84" x14ac:dyDescent="0.2">
      <c r="A42" s="268"/>
      <c r="B42" s="269" t="s">
        <v>804</v>
      </c>
      <c r="C42" s="16">
        <f>ROUND(7.33/10,2)</f>
        <v>0.73</v>
      </c>
      <c r="D42" s="18">
        <f>C42*C62</f>
        <v>21.9</v>
      </c>
    </row>
    <row r="43" spans="1:4" x14ac:dyDescent="0.2">
      <c r="A43" s="30">
        <v>2250</v>
      </c>
      <c r="B43" s="48" t="s">
        <v>145</v>
      </c>
      <c r="C43" s="19"/>
      <c r="D43" s="16"/>
    </row>
    <row r="44" spans="1:4" ht="84" x14ac:dyDescent="0.2">
      <c r="A44" s="30"/>
      <c r="B44" s="269" t="s">
        <v>805</v>
      </c>
      <c r="C44" s="16">
        <f>ROUND(20.18/10,2)</f>
        <v>2.02</v>
      </c>
      <c r="D44" s="16">
        <f>C44*C62</f>
        <v>60.6</v>
      </c>
    </row>
    <row r="45" spans="1:4" x14ac:dyDescent="0.2">
      <c r="A45" s="30">
        <v>2261</v>
      </c>
      <c r="B45" s="269" t="s">
        <v>146</v>
      </c>
      <c r="C45" s="16"/>
      <c r="D45" s="16"/>
    </row>
    <row r="46" spans="1:4" ht="84" x14ac:dyDescent="0.2">
      <c r="A46" s="30"/>
      <c r="B46" s="269" t="s">
        <v>806</v>
      </c>
      <c r="C46" s="16">
        <f>ROUND(70.41/10,2)</f>
        <v>7.04</v>
      </c>
      <c r="D46" s="16">
        <f>C46*C62</f>
        <v>211.2</v>
      </c>
    </row>
    <row r="47" spans="1:4" x14ac:dyDescent="0.2">
      <c r="A47" s="30">
        <v>2311</v>
      </c>
      <c r="B47" s="48" t="s">
        <v>93</v>
      </c>
      <c r="C47" s="19"/>
      <c r="D47" s="19"/>
    </row>
    <row r="48" spans="1:4" ht="84" x14ac:dyDescent="0.2">
      <c r="A48" s="30"/>
      <c r="B48" s="269" t="s">
        <v>807</v>
      </c>
      <c r="C48" s="16">
        <f>ROUND(1.96/10,2)</f>
        <v>0.2</v>
      </c>
      <c r="D48" s="16">
        <f>C48*C62</f>
        <v>6</v>
      </c>
    </row>
    <row r="49" spans="1:4" x14ac:dyDescent="0.2">
      <c r="A49" s="30">
        <v>2350</v>
      </c>
      <c r="B49" s="48" t="s">
        <v>123</v>
      </c>
      <c r="C49" s="19"/>
      <c r="D49" s="19"/>
    </row>
    <row r="50" spans="1:4" ht="84" x14ac:dyDescent="0.2">
      <c r="A50" s="30"/>
      <c r="B50" s="269" t="s">
        <v>808</v>
      </c>
      <c r="C50" s="16">
        <f>ROUND(6.5/10,2)</f>
        <v>0.65</v>
      </c>
      <c r="D50" s="16">
        <f>C50*C62</f>
        <v>19.5</v>
      </c>
    </row>
    <row r="51" spans="1:4" x14ac:dyDescent="0.2">
      <c r="A51" s="30">
        <v>5120</v>
      </c>
      <c r="B51" s="48" t="s">
        <v>101</v>
      </c>
      <c r="C51" s="19"/>
      <c r="D51" s="16"/>
    </row>
    <row r="52" spans="1:4" ht="84" x14ac:dyDescent="0.2">
      <c r="A52" s="30"/>
      <c r="B52" s="269" t="s">
        <v>809</v>
      </c>
      <c r="C52" s="16">
        <f>ROUND(1.56/10,2)</f>
        <v>0.16</v>
      </c>
      <c r="D52" s="16">
        <f>C52*C62</f>
        <v>4.8</v>
      </c>
    </row>
    <row r="53" spans="1:4" x14ac:dyDescent="0.2">
      <c r="A53" s="30">
        <v>5220</v>
      </c>
      <c r="B53" s="48" t="s">
        <v>147</v>
      </c>
      <c r="C53" s="16">
        <v>0</v>
      </c>
      <c r="D53" s="16">
        <v>0</v>
      </c>
    </row>
    <row r="54" spans="1:4" x14ac:dyDescent="0.2">
      <c r="A54" s="30">
        <v>5238</v>
      </c>
      <c r="B54" s="48" t="s">
        <v>148</v>
      </c>
      <c r="C54" s="270"/>
      <c r="D54" s="16"/>
    </row>
    <row r="55" spans="1:4" ht="84" x14ac:dyDescent="0.2">
      <c r="A55" s="30"/>
      <c r="B55" s="269" t="s">
        <v>810</v>
      </c>
      <c r="C55" s="16">
        <f>ROUND(2.38/10,2)</f>
        <v>0.24</v>
      </c>
      <c r="D55" s="16">
        <f>C55*C62</f>
        <v>7.1999999999999993</v>
      </c>
    </row>
    <row r="56" spans="1:4" x14ac:dyDescent="0.2">
      <c r="A56" s="30"/>
      <c r="B56" s="27" t="s">
        <v>94</v>
      </c>
      <c r="C56" s="37">
        <f>SUM(C25:C55)</f>
        <v>17.449999999999996</v>
      </c>
      <c r="D56" s="37">
        <f>SUM(D25:D55)</f>
        <v>523.5</v>
      </c>
    </row>
    <row r="57" spans="1:4" x14ac:dyDescent="0.2">
      <c r="A57" s="36"/>
      <c r="B57" s="138" t="s">
        <v>149</v>
      </c>
      <c r="C57" s="37">
        <f>ROUND(C56+C23,4)</f>
        <v>58.42</v>
      </c>
      <c r="D57" s="37">
        <f>ROUND(D56+D23,4)</f>
        <v>1752.6</v>
      </c>
    </row>
    <row r="58" spans="1:4" x14ac:dyDescent="0.2">
      <c r="A58" s="271"/>
      <c r="B58" s="138" t="s">
        <v>150</v>
      </c>
      <c r="C58" s="148">
        <f>ROUND(C57*0.21,2)</f>
        <v>12.27</v>
      </c>
      <c r="D58" s="148">
        <f>C58*C62</f>
        <v>368.09999999999997</v>
      </c>
    </row>
    <row r="59" spans="1:4" x14ac:dyDescent="0.2">
      <c r="A59" s="271"/>
      <c r="B59" s="139" t="s">
        <v>151</v>
      </c>
      <c r="C59" s="148">
        <f>ROUND(C57+C58,2)</f>
        <v>70.69</v>
      </c>
      <c r="D59" s="37">
        <f>D57+D58</f>
        <v>2120.6999999999998</v>
      </c>
    </row>
    <row r="60" spans="1:4" x14ac:dyDescent="0.2">
      <c r="A60" s="271"/>
      <c r="B60" s="44"/>
      <c r="C60" s="273"/>
      <c r="D60" s="273"/>
    </row>
    <row r="61" spans="1:4" x14ac:dyDescent="0.2">
      <c r="A61" s="3"/>
      <c r="B61" s="9"/>
      <c r="C61" s="9"/>
      <c r="D61" s="5"/>
    </row>
    <row r="62" spans="1:4" ht="12" customHeight="1" x14ac:dyDescent="0.2">
      <c r="A62" s="297" t="s">
        <v>96</v>
      </c>
      <c r="B62" s="298"/>
      <c r="C62" s="20">
        <v>30</v>
      </c>
      <c r="D62" s="21"/>
    </row>
    <row r="63" spans="1:4" ht="25.5" customHeight="1" x14ac:dyDescent="0.2">
      <c r="A63" s="288" t="s">
        <v>113</v>
      </c>
      <c r="B63" s="289"/>
      <c r="C63" s="149">
        <f>D59/C62</f>
        <v>70.69</v>
      </c>
      <c r="D63" s="21"/>
    </row>
  </sheetData>
  <mergeCells count="7">
    <mergeCell ref="A63:B63"/>
    <mergeCell ref="A1:D1"/>
    <mergeCell ref="C2:D2"/>
    <mergeCell ref="A5:D5"/>
    <mergeCell ref="A7:B7"/>
    <mergeCell ref="A9:B9"/>
    <mergeCell ref="A62:B6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8"/>
  <sheetViews>
    <sheetView workbookViewId="0">
      <selection activeCell="D68" sqref="D68"/>
    </sheetView>
  </sheetViews>
  <sheetFormatPr defaultColWidth="9.140625" defaultRowHeight="12" x14ac:dyDescent="0.2"/>
  <cols>
    <col min="1" max="1" width="9.5703125" style="150" customWidth="1"/>
    <col min="2" max="2" width="56.85546875" style="150" customWidth="1"/>
    <col min="3" max="3" width="9.140625" style="150"/>
    <col min="4" max="4" width="10.8554687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317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105</v>
      </c>
      <c r="B9" s="296"/>
      <c r="C9" s="25"/>
      <c r="D9" s="26"/>
    </row>
    <row r="10" spans="1:4" ht="116.25" customHeight="1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66.5" customHeight="1" x14ac:dyDescent="0.2">
      <c r="A14" s="30"/>
      <c r="B14" s="15" t="s">
        <v>811</v>
      </c>
      <c r="C14" s="16">
        <v>12.84</v>
      </c>
      <c r="D14" s="16">
        <f>C14*C57</f>
        <v>385.2</v>
      </c>
    </row>
    <row r="15" spans="1:4" ht="24" x14ac:dyDescent="0.2">
      <c r="A15" s="30">
        <v>1200</v>
      </c>
      <c r="B15" s="265" t="s">
        <v>278</v>
      </c>
      <c r="C15" s="16">
        <f>ROUND(C14*0.2359,2)</f>
        <v>3.03</v>
      </c>
      <c r="D15" s="16">
        <f>C15*C57</f>
        <v>90.899999999999991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5" ht="142.5" customHeight="1" x14ac:dyDescent="0.2">
      <c r="A17" s="30"/>
      <c r="B17" s="265" t="s">
        <v>812</v>
      </c>
      <c r="C17" s="16">
        <f>ROUND((0.054+0.054+0.099+0.155+0.038+0.0242+0.047+2.5)*1.21,2)</f>
        <v>3.6</v>
      </c>
      <c r="D17" s="16">
        <f>C17*C57</f>
        <v>108</v>
      </c>
      <c r="E17" s="266" t="s">
        <v>813</v>
      </c>
    </row>
    <row r="18" spans="1:5" x14ac:dyDescent="0.2">
      <c r="A18" s="30"/>
      <c r="B18" s="267" t="s">
        <v>87</v>
      </c>
      <c r="C18" s="37">
        <f>C14+C15+C17</f>
        <v>19.47</v>
      </c>
      <c r="D18" s="37">
        <f>D14+D15+D17</f>
        <v>584.09999999999991</v>
      </c>
      <c r="E18" s="177"/>
    </row>
    <row r="19" spans="1:5" x14ac:dyDescent="0.2">
      <c r="A19" s="30"/>
      <c r="B19" s="267" t="s">
        <v>280</v>
      </c>
      <c r="C19" s="19"/>
      <c r="D19" s="19"/>
    </row>
    <row r="20" spans="1:5" x14ac:dyDescent="0.2">
      <c r="A20" s="30">
        <v>2210</v>
      </c>
      <c r="B20" s="48" t="s">
        <v>141</v>
      </c>
      <c r="C20" s="19"/>
      <c r="D20" s="19"/>
    </row>
    <row r="21" spans="1:5" ht="84" x14ac:dyDescent="0.2">
      <c r="A21" s="30"/>
      <c r="B21" s="48" t="s">
        <v>814</v>
      </c>
      <c r="C21" s="16">
        <f>ROUND(3.28/10,2)</f>
        <v>0.33</v>
      </c>
      <c r="D21" s="16">
        <f>C21*C57</f>
        <v>9.9</v>
      </c>
    </row>
    <row r="22" spans="1:5" x14ac:dyDescent="0.2">
      <c r="A22" s="30">
        <v>2221</v>
      </c>
      <c r="B22" s="48" t="s">
        <v>89</v>
      </c>
      <c r="C22" s="19"/>
      <c r="D22" s="19"/>
    </row>
    <row r="23" spans="1:5" ht="84" x14ac:dyDescent="0.2">
      <c r="A23" s="30"/>
      <c r="B23" s="48" t="s">
        <v>815</v>
      </c>
      <c r="C23" s="16">
        <f>ROUND(5.49/10,2)</f>
        <v>0.55000000000000004</v>
      </c>
      <c r="D23" s="16">
        <f>C23*C57</f>
        <v>16.5</v>
      </c>
    </row>
    <row r="24" spans="1:5" x14ac:dyDescent="0.2">
      <c r="A24" s="30">
        <v>2222</v>
      </c>
      <c r="B24" s="48" t="s">
        <v>90</v>
      </c>
      <c r="C24" s="19"/>
      <c r="D24" s="19"/>
    </row>
    <row r="25" spans="1:5" ht="84" x14ac:dyDescent="0.2">
      <c r="A25" s="30"/>
      <c r="B25" s="48" t="s">
        <v>816</v>
      </c>
      <c r="C25" s="16">
        <f>ROUND(0.55/10,2)</f>
        <v>0.06</v>
      </c>
      <c r="D25" s="16">
        <f>C25*C57</f>
        <v>1.7999999999999998</v>
      </c>
    </row>
    <row r="26" spans="1:5" x14ac:dyDescent="0.2">
      <c r="A26" s="30">
        <v>2223</v>
      </c>
      <c r="B26" s="30" t="s">
        <v>91</v>
      </c>
      <c r="C26" s="19"/>
      <c r="D26" s="19"/>
    </row>
    <row r="27" spans="1:5" ht="84" x14ac:dyDescent="0.2">
      <c r="A27" s="30"/>
      <c r="B27" s="48" t="s">
        <v>817</v>
      </c>
      <c r="C27" s="16">
        <f>ROUND(14.39/10,2)</f>
        <v>1.44</v>
      </c>
      <c r="D27" s="16">
        <f>C27*C57</f>
        <v>43.199999999999996</v>
      </c>
    </row>
    <row r="28" spans="1:5" x14ac:dyDescent="0.2">
      <c r="A28" s="30">
        <v>2224</v>
      </c>
      <c r="B28" s="48" t="s">
        <v>142</v>
      </c>
      <c r="C28" s="19"/>
      <c r="D28" s="19"/>
    </row>
    <row r="29" spans="1:5" ht="84" x14ac:dyDescent="0.2">
      <c r="A29" s="30"/>
      <c r="B29" s="48" t="s">
        <v>818</v>
      </c>
      <c r="C29" s="16">
        <f>ROUND(1.19/10,2)</f>
        <v>0.12</v>
      </c>
      <c r="D29" s="16">
        <f>ROUND(C29*C57,2)</f>
        <v>3.6</v>
      </c>
    </row>
    <row r="30" spans="1:5" x14ac:dyDescent="0.2">
      <c r="A30" s="30">
        <v>2231</v>
      </c>
      <c r="B30" s="48" t="s">
        <v>121</v>
      </c>
      <c r="C30" s="19"/>
      <c r="D30" s="19"/>
    </row>
    <row r="31" spans="1:5" ht="84" x14ac:dyDescent="0.2">
      <c r="A31" s="30"/>
      <c r="B31" s="48" t="s">
        <v>819</v>
      </c>
      <c r="C31" s="16">
        <f>ROUND(4.14/10,2)</f>
        <v>0.41</v>
      </c>
      <c r="D31" s="16">
        <f>C31*C57</f>
        <v>12.299999999999999</v>
      </c>
    </row>
    <row r="32" spans="1:5" x14ac:dyDescent="0.2">
      <c r="A32" s="30">
        <v>2233</v>
      </c>
      <c r="B32" s="48" t="s">
        <v>143</v>
      </c>
      <c r="C32" s="16"/>
      <c r="D32" s="16"/>
    </row>
    <row r="33" spans="1:4" x14ac:dyDescent="0.2">
      <c r="A33" s="30"/>
      <c r="B33" s="48" t="s">
        <v>144</v>
      </c>
      <c r="C33" s="16">
        <v>0</v>
      </c>
      <c r="D33" s="16">
        <f>C33*C59</f>
        <v>0</v>
      </c>
    </row>
    <row r="34" spans="1:4" x14ac:dyDescent="0.2">
      <c r="A34" s="30">
        <v>2243</v>
      </c>
      <c r="B34" s="48" t="s">
        <v>100</v>
      </c>
      <c r="C34" s="16"/>
      <c r="D34" s="16"/>
    </row>
    <row r="35" spans="1:4" ht="84" x14ac:dyDescent="0.2">
      <c r="A35" s="30"/>
      <c r="B35" s="48" t="s">
        <v>820</v>
      </c>
      <c r="C35" s="16">
        <f>ROUND(5.17/10,2)</f>
        <v>0.52</v>
      </c>
      <c r="D35" s="16">
        <f>C35*C57</f>
        <v>15.600000000000001</v>
      </c>
    </row>
    <row r="36" spans="1:4" x14ac:dyDescent="0.2">
      <c r="A36" s="30">
        <v>2244</v>
      </c>
      <c r="B36" s="48" t="s">
        <v>92</v>
      </c>
      <c r="C36" s="19"/>
      <c r="D36" s="19"/>
    </row>
    <row r="37" spans="1:4" ht="84" x14ac:dyDescent="0.2">
      <c r="A37" s="274"/>
      <c r="B37" s="48" t="s">
        <v>821</v>
      </c>
      <c r="C37" s="16">
        <f>ROUND(3.91/10,2)</f>
        <v>0.39</v>
      </c>
      <c r="D37" s="16">
        <f>C37*C57</f>
        <v>11.700000000000001</v>
      </c>
    </row>
    <row r="38" spans="1:4" x14ac:dyDescent="0.2">
      <c r="A38" s="30">
        <v>2250</v>
      </c>
      <c r="B38" s="48" t="s">
        <v>145</v>
      </c>
      <c r="C38" s="19"/>
      <c r="D38" s="16"/>
    </row>
    <row r="39" spans="1:4" ht="84" x14ac:dyDescent="0.2">
      <c r="A39" s="30"/>
      <c r="B39" s="269" t="s">
        <v>822</v>
      </c>
      <c r="C39" s="16">
        <f>ROUND(10.76/10,2)</f>
        <v>1.08</v>
      </c>
      <c r="D39" s="16">
        <f>C39*C57</f>
        <v>32.400000000000006</v>
      </c>
    </row>
    <row r="40" spans="1:4" x14ac:dyDescent="0.2">
      <c r="A40" s="30">
        <v>2261</v>
      </c>
      <c r="B40" s="269" t="s">
        <v>146</v>
      </c>
      <c r="C40" s="16"/>
      <c r="D40" s="16"/>
    </row>
    <row r="41" spans="1:4" ht="84" x14ac:dyDescent="0.2">
      <c r="A41" s="30"/>
      <c r="B41" s="269" t="s">
        <v>823</v>
      </c>
      <c r="C41" s="16">
        <f>ROUND(37.55/10,2)</f>
        <v>3.76</v>
      </c>
      <c r="D41" s="16">
        <f>C41*C57</f>
        <v>112.8</v>
      </c>
    </row>
    <row r="42" spans="1:4" x14ac:dyDescent="0.2">
      <c r="A42" s="30">
        <v>2311</v>
      </c>
      <c r="B42" s="48" t="s">
        <v>93</v>
      </c>
      <c r="C42" s="19"/>
      <c r="D42" s="19"/>
    </row>
    <row r="43" spans="1:4" ht="84" x14ac:dyDescent="0.2">
      <c r="A43" s="30"/>
      <c r="B43" s="48" t="s">
        <v>824</v>
      </c>
      <c r="C43" s="16">
        <f>ROUND(1.04/10,2)</f>
        <v>0.1</v>
      </c>
      <c r="D43" s="16">
        <f>C43*C57</f>
        <v>3</v>
      </c>
    </row>
    <row r="44" spans="1:4" x14ac:dyDescent="0.2">
      <c r="A44" s="30">
        <v>2350</v>
      </c>
      <c r="B44" s="48" t="s">
        <v>123</v>
      </c>
      <c r="C44" s="19"/>
      <c r="D44" s="19"/>
    </row>
    <row r="45" spans="1:4" ht="84" x14ac:dyDescent="0.2">
      <c r="A45" s="30"/>
      <c r="B45" s="48" t="s">
        <v>825</v>
      </c>
      <c r="C45" s="16">
        <f>ROUND(3.47/10,2)</f>
        <v>0.35</v>
      </c>
      <c r="D45" s="16">
        <f>C45*C57</f>
        <v>10.5</v>
      </c>
    </row>
    <row r="46" spans="1:4" x14ac:dyDescent="0.2">
      <c r="A46" s="30">
        <v>5120</v>
      </c>
      <c r="B46" s="48" t="s">
        <v>101</v>
      </c>
      <c r="C46" s="19"/>
      <c r="D46" s="16"/>
    </row>
    <row r="47" spans="1:4" ht="84" x14ac:dyDescent="0.2">
      <c r="A47" s="30"/>
      <c r="B47" s="48" t="s">
        <v>826</v>
      </c>
      <c r="C47" s="16">
        <f>ROUND(0.83/10,2)</f>
        <v>0.08</v>
      </c>
      <c r="D47" s="16">
        <f>C47*C57</f>
        <v>2.4</v>
      </c>
    </row>
    <row r="48" spans="1:4" x14ac:dyDescent="0.2">
      <c r="A48" s="30">
        <v>5220</v>
      </c>
      <c r="B48" s="48" t="s">
        <v>147</v>
      </c>
      <c r="C48" s="16">
        <v>0</v>
      </c>
      <c r="D48" s="16">
        <v>0</v>
      </c>
    </row>
    <row r="49" spans="1:5" x14ac:dyDescent="0.2">
      <c r="A49" s="30">
        <v>5238</v>
      </c>
      <c r="B49" s="48" t="s">
        <v>148</v>
      </c>
      <c r="C49" s="270"/>
      <c r="D49" s="16"/>
    </row>
    <row r="50" spans="1:5" ht="84" x14ac:dyDescent="0.2">
      <c r="A50" s="30"/>
      <c r="B50" s="48" t="s">
        <v>827</v>
      </c>
      <c r="C50" s="16">
        <f>ROUND(1.27/10,2)</f>
        <v>0.13</v>
      </c>
      <c r="D50" s="16">
        <f>C50*C57</f>
        <v>3.9000000000000004</v>
      </c>
    </row>
    <row r="51" spans="1:5" x14ac:dyDescent="0.2">
      <c r="A51" s="30"/>
      <c r="B51" s="27" t="s">
        <v>94</v>
      </c>
      <c r="C51" s="37">
        <f>SUM(C20:C50)</f>
        <v>9.32</v>
      </c>
      <c r="D51" s="37">
        <f>SUM(D20:D50)</f>
        <v>279.59999999999997</v>
      </c>
    </row>
    <row r="52" spans="1:5" x14ac:dyDescent="0.2">
      <c r="A52" s="36"/>
      <c r="B52" s="138" t="s">
        <v>149</v>
      </c>
      <c r="C52" s="37">
        <f>ROUND(C51+C18,4)</f>
        <v>28.79</v>
      </c>
      <c r="D52" s="37">
        <f>ROUND(D51+D18,4)</f>
        <v>863.7</v>
      </c>
      <c r="E52" s="272"/>
    </row>
    <row r="53" spans="1:5" x14ac:dyDescent="0.2">
      <c r="A53" s="36"/>
      <c r="B53" s="138" t="s">
        <v>150</v>
      </c>
      <c r="C53" s="148">
        <f>ROUND(C52*0.21,2)</f>
        <v>6.05</v>
      </c>
      <c r="D53" s="148">
        <f>C53*C57</f>
        <v>181.5</v>
      </c>
      <c r="E53" s="272"/>
    </row>
    <row r="54" spans="1:5" x14ac:dyDescent="0.2">
      <c r="A54" s="36"/>
      <c r="B54" s="139" t="s">
        <v>151</v>
      </c>
      <c r="C54" s="148">
        <f>ROUND(C52+C53,2)</f>
        <v>34.840000000000003</v>
      </c>
      <c r="D54" s="37">
        <f>D52+D53</f>
        <v>1045.2</v>
      </c>
      <c r="E54" s="177"/>
    </row>
    <row r="55" spans="1:5" x14ac:dyDescent="0.2">
      <c r="A55" s="271"/>
      <c r="B55" s="44"/>
      <c r="C55" s="273"/>
      <c r="D55" s="273"/>
      <c r="E55" s="177"/>
    </row>
    <row r="56" spans="1:5" x14ac:dyDescent="0.2">
      <c r="A56" s="3"/>
      <c r="B56" s="9"/>
      <c r="C56" s="9"/>
      <c r="D56" s="5"/>
      <c r="E56" s="177"/>
    </row>
    <row r="57" spans="1:5" ht="12" customHeight="1" x14ac:dyDescent="0.2">
      <c r="A57" s="297" t="s">
        <v>96</v>
      </c>
      <c r="B57" s="298"/>
      <c r="C57" s="20">
        <v>30</v>
      </c>
      <c r="D57" s="21"/>
      <c r="E57" s="177"/>
    </row>
    <row r="58" spans="1:5" ht="39.75" customHeight="1" x14ac:dyDescent="0.2">
      <c r="A58" s="288" t="s">
        <v>113</v>
      </c>
      <c r="B58" s="289"/>
      <c r="C58" s="149">
        <f>D54/C57</f>
        <v>34.840000000000003</v>
      </c>
      <c r="D58" s="21"/>
      <c r="E58" s="177"/>
    </row>
  </sheetData>
  <mergeCells count="7">
    <mergeCell ref="A58:B58"/>
    <mergeCell ref="A1:D1"/>
    <mergeCell ref="C2:D2"/>
    <mergeCell ref="A5:D5"/>
    <mergeCell ref="A7:B7"/>
    <mergeCell ref="A9:B9"/>
    <mergeCell ref="A57:B5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8"/>
  <sheetViews>
    <sheetView workbookViewId="0">
      <selection activeCell="E46" sqref="E1:E1048576"/>
    </sheetView>
  </sheetViews>
  <sheetFormatPr defaultColWidth="9.140625" defaultRowHeight="12" x14ac:dyDescent="0.2"/>
  <cols>
    <col min="1" max="1" width="10" style="150" customWidth="1"/>
    <col min="2" max="2" width="59.28515625" style="150" customWidth="1"/>
    <col min="3" max="3" width="9.140625" style="150"/>
    <col min="4" max="4" width="11.570312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316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105</v>
      </c>
      <c r="B9" s="296"/>
      <c r="C9" s="25"/>
      <c r="D9" s="26"/>
    </row>
    <row r="10" spans="1:4" ht="108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59.75" customHeight="1" x14ac:dyDescent="0.2">
      <c r="A14" s="30"/>
      <c r="B14" s="15" t="s">
        <v>828</v>
      </c>
      <c r="C14" s="16">
        <v>24.08</v>
      </c>
      <c r="D14" s="16">
        <f>C14*C57</f>
        <v>722.4</v>
      </c>
    </row>
    <row r="15" spans="1:4" ht="24" x14ac:dyDescent="0.2">
      <c r="A15" s="30">
        <v>1200</v>
      </c>
      <c r="B15" s="265" t="s">
        <v>277</v>
      </c>
      <c r="C15" s="16">
        <f>ROUND(C14*0.2359,2)</f>
        <v>5.68</v>
      </c>
      <c r="D15" s="16">
        <f>C15*C57</f>
        <v>170.39999999999998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6" ht="146.25" customHeight="1" x14ac:dyDescent="0.2">
      <c r="A17" s="30"/>
      <c r="B17" s="265" t="s">
        <v>829</v>
      </c>
      <c r="C17" s="16">
        <f>ROUND((0.054+0.054+0.099+0.155+0.038+0.0242+0.047+2.5)*1.21,2)</f>
        <v>3.6</v>
      </c>
      <c r="D17" s="16">
        <f>C17*C57</f>
        <v>108</v>
      </c>
      <c r="E17" s="177"/>
      <c r="F17" s="177"/>
    </row>
    <row r="18" spans="1:6" x14ac:dyDescent="0.2">
      <c r="A18" s="30"/>
      <c r="B18" s="267" t="s">
        <v>87</v>
      </c>
      <c r="C18" s="37">
        <f>C14+C15+C17</f>
        <v>33.36</v>
      </c>
      <c r="D18" s="37">
        <f>D14+D15+D17</f>
        <v>1000.8</v>
      </c>
    </row>
    <row r="19" spans="1:6" x14ac:dyDescent="0.2">
      <c r="A19" s="30"/>
      <c r="B19" s="267" t="s">
        <v>280</v>
      </c>
      <c r="C19" s="19"/>
      <c r="D19" s="19"/>
    </row>
    <row r="20" spans="1:6" x14ac:dyDescent="0.2">
      <c r="A20" s="30">
        <v>2210</v>
      </c>
      <c r="B20" s="48" t="s">
        <v>141</v>
      </c>
      <c r="C20" s="19"/>
      <c r="D20" s="19"/>
    </row>
    <row r="21" spans="1:6" ht="89.25" customHeight="1" x14ac:dyDescent="0.2">
      <c r="A21" s="30"/>
      <c r="B21" s="48" t="s">
        <v>797</v>
      </c>
      <c r="C21" s="16">
        <f>ROUND(6.14/10,2)</f>
        <v>0.61</v>
      </c>
      <c r="D21" s="16">
        <f>C21*C57</f>
        <v>18.3</v>
      </c>
    </row>
    <row r="22" spans="1:6" x14ac:dyDescent="0.2">
      <c r="A22" s="30">
        <v>2221</v>
      </c>
      <c r="B22" s="48" t="s">
        <v>89</v>
      </c>
      <c r="C22" s="19"/>
      <c r="D22" s="19"/>
    </row>
    <row r="23" spans="1:6" ht="88.5" customHeight="1" x14ac:dyDescent="0.2">
      <c r="A23" s="30"/>
      <c r="B23" s="48" t="s">
        <v>798</v>
      </c>
      <c r="C23" s="16">
        <f>ROUND(10.29/10,2)</f>
        <v>1.03</v>
      </c>
      <c r="D23" s="16">
        <f>C23*C57</f>
        <v>30.900000000000002</v>
      </c>
    </row>
    <row r="24" spans="1:6" x14ac:dyDescent="0.2">
      <c r="A24" s="30">
        <v>2222</v>
      </c>
      <c r="B24" s="48" t="s">
        <v>90</v>
      </c>
      <c r="C24" s="19"/>
      <c r="D24" s="19"/>
    </row>
    <row r="25" spans="1:6" ht="89.25" customHeight="1" x14ac:dyDescent="0.2">
      <c r="A25" s="30"/>
      <c r="B25" s="48" t="s">
        <v>799</v>
      </c>
      <c r="C25" s="16">
        <f>ROUND(1.04/10,2)</f>
        <v>0.1</v>
      </c>
      <c r="D25" s="16">
        <f>C25*C57</f>
        <v>3</v>
      </c>
    </row>
    <row r="26" spans="1:6" x14ac:dyDescent="0.2">
      <c r="A26" s="30">
        <v>2223</v>
      </c>
      <c r="B26" s="30" t="s">
        <v>91</v>
      </c>
      <c r="C26" s="19"/>
      <c r="D26" s="19"/>
    </row>
    <row r="27" spans="1:6" ht="89.25" customHeight="1" x14ac:dyDescent="0.2">
      <c r="A27" s="30"/>
      <c r="B27" s="48" t="s">
        <v>800</v>
      </c>
      <c r="C27" s="16">
        <f>ROUND(26.98/10,2)</f>
        <v>2.7</v>
      </c>
      <c r="D27" s="16">
        <f>C27*C57</f>
        <v>81</v>
      </c>
    </row>
    <row r="28" spans="1:6" x14ac:dyDescent="0.2">
      <c r="A28" s="30">
        <v>2224</v>
      </c>
      <c r="B28" s="48" t="s">
        <v>142</v>
      </c>
      <c r="C28" s="19"/>
      <c r="D28" s="19"/>
    </row>
    <row r="29" spans="1:6" ht="89.25" customHeight="1" x14ac:dyDescent="0.2">
      <c r="A29" s="30"/>
      <c r="B29" s="48" t="s">
        <v>801</v>
      </c>
      <c r="C29" s="16">
        <f>ROUND(2.23/10,2)</f>
        <v>0.22</v>
      </c>
      <c r="D29" s="16">
        <f>ROUND(C29*C57,2)</f>
        <v>6.6</v>
      </c>
    </row>
    <row r="30" spans="1:6" x14ac:dyDescent="0.2">
      <c r="A30" s="30">
        <v>2231</v>
      </c>
      <c r="B30" s="48" t="s">
        <v>121</v>
      </c>
      <c r="C30" s="19"/>
      <c r="D30" s="19"/>
    </row>
    <row r="31" spans="1:6" ht="88.5" customHeight="1" x14ac:dyDescent="0.2">
      <c r="A31" s="30"/>
      <c r="B31" s="48" t="s">
        <v>802</v>
      </c>
      <c r="C31" s="16">
        <f>ROUND(7.77/10,2)</f>
        <v>0.78</v>
      </c>
      <c r="D31" s="16">
        <f>C31*C57</f>
        <v>23.400000000000002</v>
      </c>
    </row>
    <row r="32" spans="1:6" x14ac:dyDescent="0.2">
      <c r="A32" s="30">
        <v>2233</v>
      </c>
      <c r="B32" s="48" t="s">
        <v>143</v>
      </c>
      <c r="C32" s="16"/>
      <c r="D32" s="16"/>
    </row>
    <row r="33" spans="1:4" x14ac:dyDescent="0.2">
      <c r="A33" s="30"/>
      <c r="B33" s="48" t="s">
        <v>144</v>
      </c>
      <c r="C33" s="16">
        <v>0</v>
      </c>
      <c r="D33" s="16">
        <f>C33*C61</f>
        <v>0</v>
      </c>
    </row>
    <row r="34" spans="1:4" x14ac:dyDescent="0.2">
      <c r="A34" s="30">
        <v>2243</v>
      </c>
      <c r="B34" s="48" t="s">
        <v>100</v>
      </c>
      <c r="C34" s="16"/>
      <c r="D34" s="16"/>
    </row>
    <row r="35" spans="1:4" ht="89.25" customHeight="1" x14ac:dyDescent="0.2">
      <c r="A35" s="30"/>
      <c r="B35" s="48" t="s">
        <v>803</v>
      </c>
      <c r="C35" s="16">
        <f>ROUND(9.7/10,2)</f>
        <v>0.97</v>
      </c>
      <c r="D35" s="16">
        <f>C35*C57</f>
        <v>29.099999999999998</v>
      </c>
    </row>
    <row r="36" spans="1:4" x14ac:dyDescent="0.2">
      <c r="A36" s="30">
        <v>2244</v>
      </c>
      <c r="B36" s="48" t="s">
        <v>92</v>
      </c>
      <c r="C36" s="19"/>
      <c r="D36" s="19"/>
    </row>
    <row r="37" spans="1:4" ht="87.75" customHeight="1" x14ac:dyDescent="0.2">
      <c r="A37" s="268"/>
      <c r="B37" s="269" t="s">
        <v>804</v>
      </c>
      <c r="C37" s="16">
        <f>ROUND(7.33/10,2)</f>
        <v>0.73</v>
      </c>
      <c r="D37" s="16">
        <f>C37*C57</f>
        <v>21.9</v>
      </c>
    </row>
    <row r="38" spans="1:4" x14ac:dyDescent="0.2">
      <c r="A38" s="30">
        <v>2250</v>
      </c>
      <c r="B38" s="48" t="s">
        <v>145</v>
      </c>
      <c r="C38" s="19"/>
      <c r="D38" s="16"/>
    </row>
    <row r="39" spans="1:4" ht="87.75" customHeight="1" x14ac:dyDescent="0.2">
      <c r="A39" s="30"/>
      <c r="B39" s="269" t="s">
        <v>805</v>
      </c>
      <c r="C39" s="16">
        <f>ROUND(20.18/10,2)</f>
        <v>2.02</v>
      </c>
      <c r="D39" s="16">
        <f>C39*C57</f>
        <v>60.6</v>
      </c>
    </row>
    <row r="40" spans="1:4" x14ac:dyDescent="0.2">
      <c r="A40" s="30">
        <v>2261</v>
      </c>
      <c r="B40" s="269" t="s">
        <v>146</v>
      </c>
      <c r="C40" s="16"/>
      <c r="D40" s="16"/>
    </row>
    <row r="41" spans="1:4" ht="90.75" customHeight="1" x14ac:dyDescent="0.2">
      <c r="A41" s="30"/>
      <c r="B41" s="269" t="s">
        <v>806</v>
      </c>
      <c r="C41" s="16">
        <f>ROUND(70.41/10,2)</f>
        <v>7.04</v>
      </c>
      <c r="D41" s="16">
        <f>C41*C57</f>
        <v>211.2</v>
      </c>
    </row>
    <row r="42" spans="1:4" x14ac:dyDescent="0.2">
      <c r="A42" s="30">
        <v>2311</v>
      </c>
      <c r="B42" s="48" t="s">
        <v>93</v>
      </c>
      <c r="C42" s="19"/>
      <c r="D42" s="19"/>
    </row>
    <row r="43" spans="1:4" ht="87.75" customHeight="1" x14ac:dyDescent="0.2">
      <c r="A43" s="30"/>
      <c r="B43" s="269" t="s">
        <v>807</v>
      </c>
      <c r="C43" s="16">
        <f>ROUND(1.96/10,2)</f>
        <v>0.2</v>
      </c>
      <c r="D43" s="16">
        <f>C43*C57</f>
        <v>6</v>
      </c>
    </row>
    <row r="44" spans="1:4" x14ac:dyDescent="0.2">
      <c r="A44" s="30">
        <v>2350</v>
      </c>
      <c r="B44" s="48" t="s">
        <v>123</v>
      </c>
      <c r="C44" s="19"/>
      <c r="D44" s="19"/>
    </row>
    <row r="45" spans="1:4" ht="88.5" customHeight="1" x14ac:dyDescent="0.2">
      <c r="A45" s="30"/>
      <c r="B45" s="269" t="s">
        <v>808</v>
      </c>
      <c r="C45" s="16">
        <f>ROUND(6.5/10,2)</f>
        <v>0.65</v>
      </c>
      <c r="D45" s="16">
        <f>C45*C57</f>
        <v>19.5</v>
      </c>
    </row>
    <row r="46" spans="1:4" x14ac:dyDescent="0.2">
      <c r="A46" s="30">
        <v>5120</v>
      </c>
      <c r="B46" s="48" t="s">
        <v>101</v>
      </c>
      <c r="C46" s="19"/>
      <c r="D46" s="16"/>
    </row>
    <row r="47" spans="1:4" ht="87.75" customHeight="1" x14ac:dyDescent="0.2">
      <c r="A47" s="30"/>
      <c r="B47" s="269" t="s">
        <v>809</v>
      </c>
      <c r="C47" s="16">
        <f>ROUND(1.56/10,2)</f>
        <v>0.16</v>
      </c>
      <c r="D47" s="16">
        <f>C47*C57</f>
        <v>4.8</v>
      </c>
    </row>
    <row r="48" spans="1:4" x14ac:dyDescent="0.2">
      <c r="A48" s="30">
        <v>5220</v>
      </c>
      <c r="B48" s="48" t="s">
        <v>147</v>
      </c>
      <c r="C48" s="16">
        <v>0</v>
      </c>
      <c r="D48" s="16">
        <v>0</v>
      </c>
    </row>
    <row r="49" spans="1:4" x14ac:dyDescent="0.2">
      <c r="A49" s="30">
        <v>5238</v>
      </c>
      <c r="B49" s="48" t="s">
        <v>148</v>
      </c>
      <c r="C49" s="270"/>
      <c r="D49" s="16"/>
    </row>
    <row r="50" spans="1:4" ht="90.75" customHeight="1" x14ac:dyDescent="0.2">
      <c r="A50" s="30"/>
      <c r="B50" s="269" t="s">
        <v>810</v>
      </c>
      <c r="C50" s="16">
        <f>ROUND(2.38/10,2)</f>
        <v>0.24</v>
      </c>
      <c r="D50" s="16">
        <f>C50*C57</f>
        <v>7.1999999999999993</v>
      </c>
    </row>
    <row r="51" spans="1:4" x14ac:dyDescent="0.2">
      <c r="A51" s="30"/>
      <c r="B51" s="27" t="s">
        <v>94</v>
      </c>
      <c r="C51" s="37">
        <f>SUM(C20:C50)</f>
        <v>17.449999999999996</v>
      </c>
      <c r="D51" s="37">
        <f>SUM(D20:D50)</f>
        <v>523.5</v>
      </c>
    </row>
    <row r="52" spans="1:4" x14ac:dyDescent="0.2">
      <c r="A52" s="36"/>
      <c r="B52" s="138" t="s">
        <v>149</v>
      </c>
      <c r="C52" s="37">
        <f>ROUND(C51+C18,4)</f>
        <v>50.81</v>
      </c>
      <c r="D52" s="37">
        <f>ROUND(D51+D18,4)</f>
        <v>1524.3</v>
      </c>
    </row>
    <row r="53" spans="1:4" x14ac:dyDescent="0.2">
      <c r="A53" s="271"/>
      <c r="B53" s="138" t="s">
        <v>150</v>
      </c>
      <c r="C53" s="148">
        <f>ROUND(C52*0.21,2)</f>
        <v>10.67</v>
      </c>
      <c r="D53" s="148">
        <f>C53*C57</f>
        <v>320.10000000000002</v>
      </c>
    </row>
    <row r="54" spans="1:4" x14ac:dyDescent="0.2">
      <c r="A54" s="271"/>
      <c r="B54" s="139" t="s">
        <v>151</v>
      </c>
      <c r="C54" s="148">
        <f>ROUND(C52+C53,2)</f>
        <v>61.48</v>
      </c>
      <c r="D54" s="37">
        <f>D52+D53</f>
        <v>1844.4</v>
      </c>
    </row>
    <row r="55" spans="1:4" x14ac:dyDescent="0.2">
      <c r="A55" s="271"/>
      <c r="B55" s="44"/>
      <c r="C55" s="273"/>
      <c r="D55" s="273"/>
    </row>
    <row r="56" spans="1:4" x14ac:dyDescent="0.2">
      <c r="A56" s="3"/>
      <c r="B56" s="9"/>
      <c r="C56" s="9"/>
      <c r="D56" s="5"/>
    </row>
    <row r="57" spans="1:4" ht="12" customHeight="1" x14ac:dyDescent="0.2">
      <c r="A57" s="297" t="s">
        <v>96</v>
      </c>
      <c r="B57" s="298"/>
      <c r="C57" s="20">
        <v>30</v>
      </c>
      <c r="D57" s="21"/>
    </row>
    <row r="58" spans="1:4" ht="30.75" customHeight="1" x14ac:dyDescent="0.2">
      <c r="A58" s="288" t="s">
        <v>113</v>
      </c>
      <c r="B58" s="289"/>
      <c r="C58" s="149">
        <f>D54/C57</f>
        <v>61.480000000000004</v>
      </c>
      <c r="D58" s="21"/>
    </row>
  </sheetData>
  <mergeCells count="7">
    <mergeCell ref="A58:B58"/>
    <mergeCell ref="A1:D1"/>
    <mergeCell ref="C2:D2"/>
    <mergeCell ref="A5:D5"/>
    <mergeCell ref="A7:B7"/>
    <mergeCell ref="A9:B9"/>
    <mergeCell ref="A57:B5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2"/>
  <sheetViews>
    <sheetView topLeftCell="A58" workbookViewId="0">
      <selection activeCell="N10" sqref="N10"/>
    </sheetView>
  </sheetViews>
  <sheetFormatPr defaultColWidth="9.140625" defaultRowHeight="12" x14ac:dyDescent="0.2"/>
  <cols>
    <col min="1" max="1" width="9.85546875" style="150" customWidth="1"/>
    <col min="2" max="2" width="59.140625" style="150" customWidth="1"/>
    <col min="3" max="3" width="12.85546875" style="150" customWidth="1"/>
    <col min="4" max="4" width="1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314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106</v>
      </c>
      <c r="B9" s="296"/>
      <c r="C9" s="25"/>
      <c r="D9" s="26"/>
    </row>
    <row r="10" spans="1:4" ht="97.5" customHeight="1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68" x14ac:dyDescent="0.2">
      <c r="A14" s="30"/>
      <c r="B14" s="15" t="s">
        <v>830</v>
      </c>
      <c r="C14" s="16">
        <v>56.18</v>
      </c>
      <c r="D14" s="16">
        <f>C14*C70</f>
        <v>561.79999999999995</v>
      </c>
    </row>
    <row r="15" spans="1:4" ht="24" x14ac:dyDescent="0.2">
      <c r="A15" s="30">
        <v>1200</v>
      </c>
      <c r="B15" s="265" t="s">
        <v>281</v>
      </c>
      <c r="C15" s="16">
        <f>ROUND(C14*0.2359,2)</f>
        <v>13.25</v>
      </c>
      <c r="D15" s="16">
        <f>C15*C70</f>
        <v>132.5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4" ht="101.25" customHeight="1" x14ac:dyDescent="0.2">
      <c r="A17" s="30"/>
      <c r="B17" s="265" t="s">
        <v>831</v>
      </c>
      <c r="C17" s="16">
        <f>ROUND((14.1+5.78+5.56+18.77+6.89+3.59+2.3+5.38+8.34+7.2+17.44+2.62+0.06+13.89+21.85)*1.21,2)</f>
        <v>161.86000000000001</v>
      </c>
      <c r="D17" s="16">
        <f>C17*C70</f>
        <v>1618.6000000000001</v>
      </c>
    </row>
    <row r="18" spans="1:4" ht="89.25" customHeight="1" x14ac:dyDescent="0.2">
      <c r="A18" s="30"/>
      <c r="B18" s="265" t="s">
        <v>832</v>
      </c>
      <c r="C18" s="19"/>
      <c r="D18" s="19"/>
    </row>
    <row r="19" spans="1:4" ht="65.25" customHeight="1" x14ac:dyDescent="0.2">
      <c r="A19" s="30"/>
      <c r="B19" s="265" t="s">
        <v>833</v>
      </c>
      <c r="C19" s="19"/>
      <c r="D19" s="19"/>
    </row>
    <row r="20" spans="1:4" ht="84.75" customHeight="1" x14ac:dyDescent="0.2">
      <c r="A20" s="30"/>
      <c r="B20" s="265" t="s">
        <v>834</v>
      </c>
      <c r="C20" s="19"/>
      <c r="D20" s="19"/>
    </row>
    <row r="21" spans="1:4" ht="88.5" customHeight="1" x14ac:dyDescent="0.2">
      <c r="A21" s="30"/>
      <c r="B21" s="265" t="s">
        <v>835</v>
      </c>
      <c r="C21" s="19"/>
      <c r="D21" s="19"/>
    </row>
    <row r="22" spans="1:4" ht="75" customHeight="1" x14ac:dyDescent="0.2">
      <c r="A22" s="30"/>
      <c r="B22" s="265" t="s">
        <v>836</v>
      </c>
      <c r="C22" s="19"/>
      <c r="D22" s="19"/>
    </row>
    <row r="23" spans="1:4" ht="75.75" customHeight="1" x14ac:dyDescent="0.2">
      <c r="A23" s="30"/>
      <c r="B23" s="265" t="s">
        <v>837</v>
      </c>
      <c r="C23" s="19"/>
      <c r="D23" s="19"/>
    </row>
    <row r="24" spans="1:4" ht="110.25" customHeight="1" x14ac:dyDescent="0.2">
      <c r="A24" s="30"/>
      <c r="B24" s="265" t="s">
        <v>838</v>
      </c>
      <c r="C24" s="19"/>
      <c r="D24" s="19"/>
    </row>
    <row r="25" spans="1:4" ht="147" customHeight="1" x14ac:dyDescent="0.2">
      <c r="A25" s="30"/>
      <c r="B25" s="265" t="s">
        <v>839</v>
      </c>
      <c r="C25" s="19"/>
      <c r="D25" s="19"/>
    </row>
    <row r="26" spans="1:4" ht="87" customHeight="1" x14ac:dyDescent="0.2">
      <c r="A26" s="30"/>
      <c r="B26" s="265" t="s">
        <v>840</v>
      </c>
      <c r="C26" s="19"/>
      <c r="D26" s="19"/>
    </row>
    <row r="27" spans="1:4" ht="67.5" customHeight="1" x14ac:dyDescent="0.2">
      <c r="A27" s="30"/>
      <c r="B27" s="265" t="s">
        <v>841</v>
      </c>
      <c r="C27" s="19"/>
      <c r="D27" s="19"/>
    </row>
    <row r="28" spans="1:4" ht="87" customHeight="1" x14ac:dyDescent="0.2">
      <c r="A28" s="30"/>
      <c r="B28" s="265" t="s">
        <v>842</v>
      </c>
      <c r="C28" s="19"/>
      <c r="D28" s="19"/>
    </row>
    <row r="29" spans="1:4" ht="36.75" customHeight="1" x14ac:dyDescent="0.2">
      <c r="A29" s="30"/>
      <c r="B29" s="265" t="s">
        <v>315</v>
      </c>
      <c r="C29" s="19"/>
      <c r="D29" s="19"/>
    </row>
    <row r="30" spans="1:4" ht="74.25" customHeight="1" x14ac:dyDescent="0.2">
      <c r="A30" s="30"/>
      <c r="B30" s="265" t="s">
        <v>843</v>
      </c>
      <c r="C30" s="19"/>
      <c r="D30" s="19"/>
    </row>
    <row r="31" spans="1:4" ht="99.75" customHeight="1" x14ac:dyDescent="0.2">
      <c r="A31" s="30"/>
      <c r="B31" s="265" t="s">
        <v>844</v>
      </c>
      <c r="C31" s="19"/>
      <c r="D31" s="19"/>
    </row>
    <row r="32" spans="1:4" x14ac:dyDescent="0.2">
      <c r="A32" s="30"/>
      <c r="B32" s="267" t="s">
        <v>87</v>
      </c>
      <c r="C32" s="37">
        <f>C14+C15+C17</f>
        <v>231.29000000000002</v>
      </c>
      <c r="D32" s="37">
        <f>D14+D15+D17</f>
        <v>2312.9</v>
      </c>
    </row>
    <row r="33" spans="1:4" ht="13.5" customHeight="1" x14ac:dyDescent="0.2">
      <c r="A33" s="30"/>
      <c r="B33" s="267" t="s">
        <v>280</v>
      </c>
      <c r="C33" s="19"/>
      <c r="D33" s="19"/>
    </row>
    <row r="34" spans="1:4" x14ac:dyDescent="0.2">
      <c r="A34" s="30">
        <v>2210</v>
      </c>
      <c r="B34" s="48" t="s">
        <v>141</v>
      </c>
      <c r="C34" s="19"/>
      <c r="D34" s="19"/>
    </row>
    <row r="35" spans="1:4" ht="90" customHeight="1" x14ac:dyDescent="0.2">
      <c r="A35" s="30"/>
      <c r="B35" s="48" t="s">
        <v>845</v>
      </c>
      <c r="C35" s="16">
        <f>ROUND(14.34/10,2)</f>
        <v>1.43</v>
      </c>
      <c r="D35" s="16">
        <f>C35*C70</f>
        <v>14.299999999999999</v>
      </c>
    </row>
    <row r="36" spans="1:4" x14ac:dyDescent="0.2">
      <c r="A36" s="30">
        <v>2221</v>
      </c>
      <c r="B36" s="48" t="s">
        <v>89</v>
      </c>
      <c r="C36" s="19"/>
      <c r="D36" s="19"/>
    </row>
    <row r="37" spans="1:4" ht="91.5" customHeight="1" x14ac:dyDescent="0.2">
      <c r="A37" s="30"/>
      <c r="B37" s="48" t="s">
        <v>846</v>
      </c>
      <c r="C37" s="16">
        <f>ROUND(24/10,2)</f>
        <v>2.4</v>
      </c>
      <c r="D37" s="18">
        <f>C37*C70</f>
        <v>24</v>
      </c>
    </row>
    <row r="38" spans="1:4" x14ac:dyDescent="0.2">
      <c r="A38" s="30">
        <v>2222</v>
      </c>
      <c r="B38" s="48" t="s">
        <v>90</v>
      </c>
      <c r="C38" s="19"/>
      <c r="D38" s="19"/>
    </row>
    <row r="39" spans="1:4" ht="92.25" customHeight="1" x14ac:dyDescent="0.2">
      <c r="A39" s="30"/>
      <c r="B39" s="48" t="s">
        <v>847</v>
      </c>
      <c r="C39" s="16">
        <f>ROUND(2.42/10,2)</f>
        <v>0.24</v>
      </c>
      <c r="D39" s="16">
        <f>C39*C70</f>
        <v>2.4</v>
      </c>
    </row>
    <row r="40" spans="1:4" x14ac:dyDescent="0.2">
      <c r="A40" s="30">
        <v>2223</v>
      </c>
      <c r="B40" s="30" t="s">
        <v>91</v>
      </c>
      <c r="C40" s="19"/>
      <c r="D40" s="19"/>
    </row>
    <row r="41" spans="1:4" ht="91.5" customHeight="1" x14ac:dyDescent="0.2">
      <c r="A41" s="30"/>
      <c r="B41" s="48" t="s">
        <v>848</v>
      </c>
      <c r="C41" s="16">
        <f>ROUND(62.95/10,2)</f>
        <v>6.3</v>
      </c>
      <c r="D41" s="16">
        <f>C41*C70</f>
        <v>63</v>
      </c>
    </row>
    <row r="42" spans="1:4" x14ac:dyDescent="0.2">
      <c r="A42" s="30">
        <v>2224</v>
      </c>
      <c r="B42" s="48" t="s">
        <v>142</v>
      </c>
      <c r="C42" s="19"/>
      <c r="D42" s="19"/>
    </row>
    <row r="43" spans="1:4" ht="93.75" customHeight="1" x14ac:dyDescent="0.2">
      <c r="A43" s="30"/>
      <c r="B43" s="48" t="s">
        <v>849</v>
      </c>
      <c r="C43" s="16">
        <f>ROUND(5.2/10,2)</f>
        <v>0.52</v>
      </c>
      <c r="D43" s="16">
        <f>ROUND(C43*C70,2)</f>
        <v>5.2</v>
      </c>
    </row>
    <row r="44" spans="1:4" x14ac:dyDescent="0.2">
      <c r="A44" s="30">
        <v>2231</v>
      </c>
      <c r="B44" s="48" t="s">
        <v>121</v>
      </c>
      <c r="C44" s="19"/>
      <c r="D44" s="19"/>
    </row>
    <row r="45" spans="1:4" ht="94.5" customHeight="1" x14ac:dyDescent="0.2">
      <c r="A45" s="30"/>
      <c r="B45" s="48" t="s">
        <v>850</v>
      </c>
      <c r="C45" s="16">
        <f>ROUND(18.13/10,2)</f>
        <v>1.81</v>
      </c>
      <c r="D45" s="16">
        <f>C45*C70</f>
        <v>18.100000000000001</v>
      </c>
    </row>
    <row r="46" spans="1:4" x14ac:dyDescent="0.2">
      <c r="A46" s="30">
        <v>2233</v>
      </c>
      <c r="B46" s="48" t="s">
        <v>143</v>
      </c>
      <c r="C46" s="16"/>
      <c r="D46" s="16"/>
    </row>
    <row r="47" spans="1:4" x14ac:dyDescent="0.2">
      <c r="A47" s="30"/>
      <c r="B47" s="48" t="s">
        <v>144</v>
      </c>
      <c r="C47" s="16">
        <v>0</v>
      </c>
      <c r="D47" s="16">
        <f>C47*C76</f>
        <v>0</v>
      </c>
    </row>
    <row r="48" spans="1:4" x14ac:dyDescent="0.2">
      <c r="A48" s="30">
        <v>2243</v>
      </c>
      <c r="B48" s="48" t="s">
        <v>100</v>
      </c>
      <c r="C48" s="16"/>
      <c r="D48" s="16"/>
    </row>
    <row r="49" spans="1:4" ht="88.5" customHeight="1" x14ac:dyDescent="0.2">
      <c r="A49" s="30"/>
      <c r="B49" s="48" t="s">
        <v>851</v>
      </c>
      <c r="C49" s="16">
        <f>ROUND(22.62/10,2)</f>
        <v>2.2599999999999998</v>
      </c>
      <c r="D49" s="18">
        <f>C49*C70</f>
        <v>22.599999999999998</v>
      </c>
    </row>
    <row r="50" spans="1:4" x14ac:dyDescent="0.2">
      <c r="A50" s="30">
        <v>2244</v>
      </c>
      <c r="B50" s="48" t="s">
        <v>92</v>
      </c>
      <c r="C50" s="19"/>
      <c r="D50" s="74"/>
    </row>
    <row r="51" spans="1:4" ht="90" customHeight="1" x14ac:dyDescent="0.2">
      <c r="A51" s="268"/>
      <c r="B51" s="269" t="s">
        <v>852</v>
      </c>
      <c r="C51" s="16">
        <f>ROUND(17.1/10,2)</f>
        <v>1.71</v>
      </c>
      <c r="D51" s="18">
        <f>C51*C70</f>
        <v>17.100000000000001</v>
      </c>
    </row>
    <row r="52" spans="1:4" x14ac:dyDescent="0.2">
      <c r="A52" s="30">
        <v>2250</v>
      </c>
      <c r="B52" s="48" t="s">
        <v>145</v>
      </c>
      <c r="C52" s="19"/>
      <c r="D52" s="16"/>
    </row>
    <row r="53" spans="1:4" ht="89.25" customHeight="1" x14ac:dyDescent="0.2">
      <c r="A53" s="30"/>
      <c r="B53" s="269" t="s">
        <v>853</v>
      </c>
      <c r="C53" s="16">
        <f>ROUND(47.08/10,2)</f>
        <v>4.71</v>
      </c>
      <c r="D53" s="16">
        <f>C53*C70</f>
        <v>47.1</v>
      </c>
    </row>
    <row r="54" spans="1:4" x14ac:dyDescent="0.2">
      <c r="A54" s="30">
        <v>2261</v>
      </c>
      <c r="B54" s="269" t="s">
        <v>146</v>
      </c>
      <c r="C54" s="16"/>
      <c r="D54" s="16"/>
    </row>
    <row r="55" spans="1:4" ht="88.5" customHeight="1" x14ac:dyDescent="0.2">
      <c r="A55" s="30"/>
      <c r="B55" s="269" t="s">
        <v>854</v>
      </c>
      <c r="C55" s="16">
        <f>ROUND(164.29/10,2)</f>
        <v>16.43</v>
      </c>
      <c r="D55" s="16">
        <f>C55*C70</f>
        <v>164.3</v>
      </c>
    </row>
    <row r="56" spans="1:4" x14ac:dyDescent="0.2">
      <c r="A56" s="30">
        <v>2311</v>
      </c>
      <c r="B56" s="48" t="s">
        <v>93</v>
      </c>
      <c r="C56" s="19"/>
      <c r="D56" s="19"/>
    </row>
    <row r="57" spans="1:4" ht="89.25" customHeight="1" x14ac:dyDescent="0.2">
      <c r="A57" s="30"/>
      <c r="B57" s="269" t="s">
        <v>855</v>
      </c>
      <c r="C57" s="16">
        <f>ROUND(4.57/10,2)</f>
        <v>0.46</v>
      </c>
      <c r="D57" s="16">
        <f>C57*C70</f>
        <v>4.6000000000000005</v>
      </c>
    </row>
    <row r="58" spans="1:4" x14ac:dyDescent="0.2">
      <c r="A58" s="30">
        <v>2350</v>
      </c>
      <c r="B58" s="48" t="s">
        <v>123</v>
      </c>
      <c r="C58" s="19"/>
      <c r="D58" s="19"/>
    </row>
    <row r="59" spans="1:4" ht="90.75" customHeight="1" x14ac:dyDescent="0.2">
      <c r="A59" s="30"/>
      <c r="B59" s="269" t="s">
        <v>856</v>
      </c>
      <c r="C59" s="16">
        <f>ROUND(15.16/10,2)</f>
        <v>1.52</v>
      </c>
      <c r="D59" s="16">
        <f>C59*C70</f>
        <v>15.2</v>
      </c>
    </row>
    <row r="60" spans="1:4" ht="19.5" customHeight="1" x14ac:dyDescent="0.2">
      <c r="A60" s="30">
        <v>5120</v>
      </c>
      <c r="B60" s="48" t="s">
        <v>101</v>
      </c>
      <c r="C60" s="19"/>
      <c r="D60" s="16"/>
    </row>
    <row r="61" spans="1:4" ht="87" customHeight="1" x14ac:dyDescent="0.2">
      <c r="A61" s="30"/>
      <c r="B61" s="269" t="s">
        <v>857</v>
      </c>
      <c r="C61" s="16">
        <f>ROUND(3.64/10,2)</f>
        <v>0.36</v>
      </c>
      <c r="D61" s="16">
        <f>C61*C70</f>
        <v>3.5999999999999996</v>
      </c>
    </row>
    <row r="62" spans="1:4" x14ac:dyDescent="0.2">
      <c r="A62" s="30">
        <v>5220</v>
      </c>
      <c r="B62" s="48" t="s">
        <v>153</v>
      </c>
      <c r="C62" s="16">
        <v>0</v>
      </c>
      <c r="D62" s="16">
        <v>0</v>
      </c>
    </row>
    <row r="63" spans="1:4" x14ac:dyDescent="0.2">
      <c r="A63" s="30">
        <v>5238</v>
      </c>
      <c r="B63" s="48" t="s">
        <v>148</v>
      </c>
      <c r="C63" s="270"/>
      <c r="D63" s="16"/>
    </row>
    <row r="64" spans="1:4" ht="87.75" customHeight="1" x14ac:dyDescent="0.2">
      <c r="A64" s="30"/>
      <c r="B64" s="269" t="s">
        <v>858</v>
      </c>
      <c r="C64" s="16">
        <f>ROUND(5.55/10,2)</f>
        <v>0.56000000000000005</v>
      </c>
      <c r="D64" s="16">
        <f>C64*C70</f>
        <v>5.6000000000000005</v>
      </c>
    </row>
    <row r="65" spans="1:4" x14ac:dyDescent="0.2">
      <c r="A65" s="30"/>
      <c r="B65" s="27" t="s">
        <v>94</v>
      </c>
      <c r="C65" s="37">
        <f>SUM(C34:C64)</f>
        <v>40.710000000000008</v>
      </c>
      <c r="D65" s="37">
        <f>SUM(D34:D64)</f>
        <v>407.10000000000008</v>
      </c>
    </row>
    <row r="66" spans="1:4" x14ac:dyDescent="0.2">
      <c r="A66" s="36"/>
      <c r="B66" s="138" t="s">
        <v>149</v>
      </c>
      <c r="C66" s="37">
        <f>ROUND(C65+C32,4)</f>
        <v>272</v>
      </c>
      <c r="D66" s="37">
        <f>ROUND(D65+D32,4)</f>
        <v>2720</v>
      </c>
    </row>
    <row r="67" spans="1:4" x14ac:dyDescent="0.2">
      <c r="A67" s="271"/>
      <c r="B67" s="138" t="s">
        <v>150</v>
      </c>
      <c r="C67" s="148">
        <f>ROUND(C66*0.21,2)</f>
        <v>57.12</v>
      </c>
      <c r="D67" s="148">
        <f>C67*C70</f>
        <v>571.19999999999993</v>
      </c>
    </row>
    <row r="68" spans="1:4" x14ac:dyDescent="0.2">
      <c r="A68" s="271"/>
      <c r="B68" s="139" t="s">
        <v>151</v>
      </c>
      <c r="C68" s="148">
        <f>ROUND(C66+C67,2)</f>
        <v>329.12</v>
      </c>
      <c r="D68" s="37">
        <f>D66+D67</f>
        <v>3291.2</v>
      </c>
    </row>
    <row r="69" spans="1:4" x14ac:dyDescent="0.2">
      <c r="A69" s="271"/>
      <c r="B69" s="275"/>
      <c r="C69" s="148"/>
      <c r="D69" s="37"/>
    </row>
    <row r="70" spans="1:4" x14ac:dyDescent="0.2">
      <c r="A70" s="297" t="s">
        <v>96</v>
      </c>
      <c r="B70" s="298"/>
      <c r="C70" s="20">
        <v>10</v>
      </c>
      <c r="D70" s="21"/>
    </row>
    <row r="71" spans="1:4" ht="12" customHeight="1" x14ac:dyDescent="0.2">
      <c r="A71" s="288" t="s">
        <v>113</v>
      </c>
      <c r="B71" s="289"/>
      <c r="C71" s="149">
        <f>D68/C70</f>
        <v>329.12</v>
      </c>
      <c r="D71" s="21"/>
    </row>
    <row r="72" spans="1:4" ht="27" customHeight="1" x14ac:dyDescent="0.2"/>
  </sheetData>
  <mergeCells count="7">
    <mergeCell ref="A71:B71"/>
    <mergeCell ref="A1:D1"/>
    <mergeCell ref="C2:D2"/>
    <mergeCell ref="A5:D5"/>
    <mergeCell ref="A7:B7"/>
    <mergeCell ref="A9:B9"/>
    <mergeCell ref="A70:B7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7"/>
  <sheetViews>
    <sheetView topLeftCell="A49" workbookViewId="0">
      <selection activeCell="E78" sqref="E78:E79"/>
    </sheetView>
  </sheetViews>
  <sheetFormatPr defaultColWidth="9.140625" defaultRowHeight="12" x14ac:dyDescent="0.2"/>
  <cols>
    <col min="1" max="1" width="9.5703125" style="150" customWidth="1"/>
    <col min="2" max="2" width="59.140625" style="150" customWidth="1"/>
    <col min="3" max="3" width="10.42578125" style="150" customWidth="1"/>
    <col min="4" max="4" width="11.14062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313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105</v>
      </c>
      <c r="B9" s="296"/>
      <c r="C9" s="25"/>
      <c r="D9" s="26"/>
    </row>
    <row r="10" spans="1:4" ht="108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57.5" customHeight="1" x14ac:dyDescent="0.2">
      <c r="A14" s="30"/>
      <c r="B14" s="15" t="s">
        <v>859</v>
      </c>
      <c r="C14" s="16">
        <v>12.84</v>
      </c>
      <c r="D14" s="16">
        <f>C14*C56</f>
        <v>385.2</v>
      </c>
    </row>
    <row r="15" spans="1:4" ht="24" customHeight="1" x14ac:dyDescent="0.2">
      <c r="A15" s="30">
        <v>1200</v>
      </c>
      <c r="B15" s="265" t="s">
        <v>278</v>
      </c>
      <c r="C15" s="16">
        <f>ROUND(C14*0.2359,2)</f>
        <v>3.03</v>
      </c>
      <c r="D15" s="16">
        <f>C15*C56</f>
        <v>90.899999999999991</v>
      </c>
    </row>
    <row r="16" spans="1:4" x14ac:dyDescent="0.2">
      <c r="A16" s="30">
        <v>2341</v>
      </c>
      <c r="B16" s="30" t="s">
        <v>86</v>
      </c>
      <c r="C16" s="16">
        <v>0</v>
      </c>
      <c r="D16" s="16">
        <v>0</v>
      </c>
    </row>
    <row r="17" spans="1:4" x14ac:dyDescent="0.2">
      <c r="A17" s="30" t="s">
        <v>154</v>
      </c>
      <c r="B17" s="267" t="s">
        <v>87</v>
      </c>
      <c r="C17" s="37">
        <f>C14+C15</f>
        <v>15.87</v>
      </c>
      <c r="D17" s="37">
        <f>D14+D15</f>
        <v>476.09999999999997</v>
      </c>
    </row>
    <row r="18" spans="1:4" x14ac:dyDescent="0.2">
      <c r="A18" s="30"/>
      <c r="B18" s="267" t="s">
        <v>280</v>
      </c>
      <c r="C18" s="19"/>
      <c r="D18" s="19"/>
    </row>
    <row r="19" spans="1:4" x14ac:dyDescent="0.2">
      <c r="A19" s="30">
        <v>2210</v>
      </c>
      <c r="B19" s="48" t="s">
        <v>141</v>
      </c>
      <c r="C19" s="19"/>
      <c r="D19" s="19"/>
    </row>
    <row r="20" spans="1:4" ht="82.5" customHeight="1" x14ac:dyDescent="0.2">
      <c r="A20" s="30"/>
      <c r="B20" s="48" t="s">
        <v>814</v>
      </c>
      <c r="C20" s="16">
        <f>ROUND(3.28/10,2)</f>
        <v>0.33</v>
      </c>
      <c r="D20" s="16">
        <f>C20*C56</f>
        <v>9.9</v>
      </c>
    </row>
    <row r="21" spans="1:4" x14ac:dyDescent="0.2">
      <c r="A21" s="30">
        <v>2221</v>
      </c>
      <c r="B21" s="48" t="s">
        <v>89</v>
      </c>
      <c r="C21" s="19"/>
      <c r="D21" s="19"/>
    </row>
    <row r="22" spans="1:4" ht="84" customHeight="1" x14ac:dyDescent="0.2">
      <c r="A22" s="30"/>
      <c r="B22" s="48" t="s">
        <v>815</v>
      </c>
      <c r="C22" s="16">
        <f>ROUND(5.49/10,2)</f>
        <v>0.55000000000000004</v>
      </c>
      <c r="D22" s="16">
        <f>C22*C56</f>
        <v>16.5</v>
      </c>
    </row>
    <row r="23" spans="1:4" x14ac:dyDescent="0.2">
      <c r="A23" s="30">
        <v>2222</v>
      </c>
      <c r="B23" s="48" t="s">
        <v>90</v>
      </c>
      <c r="C23" s="19"/>
      <c r="D23" s="19"/>
    </row>
    <row r="24" spans="1:4" ht="83.25" customHeight="1" x14ac:dyDescent="0.2">
      <c r="A24" s="30"/>
      <c r="B24" s="48" t="s">
        <v>816</v>
      </c>
      <c r="C24" s="16">
        <f>ROUND(0.55/10,2)</f>
        <v>0.06</v>
      </c>
      <c r="D24" s="16">
        <f>C24*C56</f>
        <v>1.7999999999999998</v>
      </c>
    </row>
    <row r="25" spans="1:4" x14ac:dyDescent="0.2">
      <c r="A25" s="30">
        <v>2223</v>
      </c>
      <c r="B25" s="30" t="s">
        <v>91</v>
      </c>
      <c r="C25" s="19"/>
      <c r="D25" s="19"/>
    </row>
    <row r="26" spans="1:4" ht="82.5" customHeight="1" x14ac:dyDescent="0.2">
      <c r="A26" s="30"/>
      <c r="B26" s="48" t="s">
        <v>817</v>
      </c>
      <c r="C26" s="16">
        <f>ROUND(14.39/10,2)</f>
        <v>1.44</v>
      </c>
      <c r="D26" s="16">
        <f>C26*C56</f>
        <v>43.199999999999996</v>
      </c>
    </row>
    <row r="27" spans="1:4" x14ac:dyDescent="0.2">
      <c r="A27" s="30">
        <v>2224</v>
      </c>
      <c r="B27" s="48" t="s">
        <v>142</v>
      </c>
      <c r="C27" s="19"/>
      <c r="D27" s="19"/>
    </row>
    <row r="28" spans="1:4" ht="82.5" customHeight="1" x14ac:dyDescent="0.2">
      <c r="A28" s="30"/>
      <c r="B28" s="48" t="s">
        <v>818</v>
      </c>
      <c r="C28" s="16">
        <f>ROUND(1.19/10,2)</f>
        <v>0.12</v>
      </c>
      <c r="D28" s="16">
        <f>ROUND(C28*C56,2)</f>
        <v>3.6</v>
      </c>
    </row>
    <row r="29" spans="1:4" x14ac:dyDescent="0.2">
      <c r="A29" s="30">
        <v>2231</v>
      </c>
      <c r="B29" s="48" t="s">
        <v>121</v>
      </c>
      <c r="C29" s="19"/>
      <c r="D29" s="19"/>
    </row>
    <row r="30" spans="1:4" ht="84" customHeight="1" x14ac:dyDescent="0.2">
      <c r="A30" s="30"/>
      <c r="B30" s="48" t="s">
        <v>819</v>
      </c>
      <c r="C30" s="16">
        <f>ROUND(4.14/10,2)</f>
        <v>0.41</v>
      </c>
      <c r="D30" s="16">
        <f>C30*C56</f>
        <v>12.299999999999999</v>
      </c>
    </row>
    <row r="31" spans="1:4" x14ac:dyDescent="0.2">
      <c r="A31" s="30">
        <v>2233</v>
      </c>
      <c r="B31" s="48" t="s">
        <v>143</v>
      </c>
      <c r="C31" s="16"/>
      <c r="D31" s="16"/>
    </row>
    <row r="32" spans="1:4" x14ac:dyDescent="0.2">
      <c r="A32" s="30"/>
      <c r="B32" s="48" t="s">
        <v>144</v>
      </c>
      <c r="C32" s="16">
        <v>0</v>
      </c>
      <c r="D32" s="16">
        <f>C32*C58</f>
        <v>0</v>
      </c>
    </row>
    <row r="33" spans="1:4" x14ac:dyDescent="0.2">
      <c r="A33" s="30">
        <v>2243</v>
      </c>
      <c r="B33" s="48" t="s">
        <v>100</v>
      </c>
      <c r="C33" s="16"/>
      <c r="D33" s="16"/>
    </row>
    <row r="34" spans="1:4" ht="81.75" customHeight="1" x14ac:dyDescent="0.2">
      <c r="A34" s="30"/>
      <c r="B34" s="48" t="s">
        <v>820</v>
      </c>
      <c r="C34" s="16">
        <f>ROUND(5.17/10,2)</f>
        <v>0.52</v>
      </c>
      <c r="D34" s="18">
        <f>C34*C56</f>
        <v>15.600000000000001</v>
      </c>
    </row>
    <row r="35" spans="1:4" x14ac:dyDescent="0.2">
      <c r="A35" s="30">
        <v>2244</v>
      </c>
      <c r="B35" s="48" t="s">
        <v>92</v>
      </c>
      <c r="C35" s="19"/>
      <c r="D35" s="74"/>
    </row>
    <row r="36" spans="1:4" ht="81.75" customHeight="1" x14ac:dyDescent="0.2">
      <c r="A36" s="274"/>
      <c r="B36" s="48" t="s">
        <v>821</v>
      </c>
      <c r="C36" s="16">
        <f>ROUND(3.91/10,2)</f>
        <v>0.39</v>
      </c>
      <c r="D36" s="18">
        <f>C36*C56</f>
        <v>11.700000000000001</v>
      </c>
    </row>
    <row r="37" spans="1:4" x14ac:dyDescent="0.2">
      <c r="A37" s="30">
        <v>2250</v>
      </c>
      <c r="B37" s="48" t="s">
        <v>145</v>
      </c>
      <c r="C37" s="19"/>
      <c r="D37" s="16"/>
    </row>
    <row r="38" spans="1:4" ht="78" customHeight="1" x14ac:dyDescent="0.2">
      <c r="A38" s="30"/>
      <c r="B38" s="269" t="s">
        <v>822</v>
      </c>
      <c r="C38" s="16">
        <f>ROUND(10.76/10,2)</f>
        <v>1.08</v>
      </c>
      <c r="D38" s="16">
        <f>C38*C56</f>
        <v>32.400000000000006</v>
      </c>
    </row>
    <row r="39" spans="1:4" x14ac:dyDescent="0.2">
      <c r="A39" s="30">
        <v>2261</v>
      </c>
      <c r="B39" s="269" t="s">
        <v>146</v>
      </c>
      <c r="C39" s="16"/>
      <c r="D39" s="16"/>
    </row>
    <row r="40" spans="1:4" ht="86.25" customHeight="1" x14ac:dyDescent="0.2">
      <c r="A40" s="30"/>
      <c r="B40" s="269" t="s">
        <v>823</v>
      </c>
      <c r="C40" s="16">
        <f>ROUND(37.55/10,2)</f>
        <v>3.76</v>
      </c>
      <c r="D40" s="16">
        <f>C40*C56</f>
        <v>112.8</v>
      </c>
    </row>
    <row r="41" spans="1:4" x14ac:dyDescent="0.2">
      <c r="A41" s="30">
        <v>2311</v>
      </c>
      <c r="B41" s="48" t="s">
        <v>93</v>
      </c>
      <c r="C41" s="19"/>
      <c r="D41" s="19"/>
    </row>
    <row r="42" spans="1:4" ht="82.5" customHeight="1" x14ac:dyDescent="0.2">
      <c r="A42" s="30"/>
      <c r="B42" s="48" t="s">
        <v>824</v>
      </c>
      <c r="C42" s="16">
        <f>ROUND(1.04/10,2)</f>
        <v>0.1</v>
      </c>
      <c r="D42" s="16">
        <f>C42*C56</f>
        <v>3</v>
      </c>
    </row>
    <row r="43" spans="1:4" x14ac:dyDescent="0.2">
      <c r="A43" s="30">
        <v>2350</v>
      </c>
      <c r="B43" s="48" t="s">
        <v>123</v>
      </c>
      <c r="C43" s="19"/>
      <c r="D43" s="19"/>
    </row>
    <row r="44" spans="1:4" ht="81.75" customHeight="1" x14ac:dyDescent="0.2">
      <c r="A44" s="30"/>
      <c r="B44" s="48" t="s">
        <v>825</v>
      </c>
      <c r="C44" s="16">
        <f>ROUND(3.47/10,2)</f>
        <v>0.35</v>
      </c>
      <c r="D44" s="16">
        <f>C44*C56</f>
        <v>10.5</v>
      </c>
    </row>
    <row r="45" spans="1:4" x14ac:dyDescent="0.2">
      <c r="A45" s="30">
        <v>5120</v>
      </c>
      <c r="B45" s="48" t="s">
        <v>101</v>
      </c>
      <c r="C45" s="19"/>
      <c r="D45" s="16"/>
    </row>
    <row r="46" spans="1:4" ht="81.75" customHeight="1" x14ac:dyDescent="0.2">
      <c r="A46" s="30"/>
      <c r="B46" s="48" t="s">
        <v>826</v>
      </c>
      <c r="C46" s="16">
        <f>ROUND(0.83/10,2)</f>
        <v>0.08</v>
      </c>
      <c r="D46" s="16">
        <f>C46*C56</f>
        <v>2.4</v>
      </c>
    </row>
    <row r="47" spans="1:4" x14ac:dyDescent="0.2">
      <c r="A47" s="30">
        <v>5220</v>
      </c>
      <c r="B47" s="48" t="s">
        <v>147</v>
      </c>
      <c r="C47" s="16">
        <v>0</v>
      </c>
      <c r="D47" s="16">
        <v>0</v>
      </c>
    </row>
    <row r="48" spans="1:4" x14ac:dyDescent="0.2">
      <c r="A48" s="30">
        <v>5238</v>
      </c>
      <c r="B48" s="48" t="s">
        <v>148</v>
      </c>
      <c r="C48" s="270"/>
      <c r="D48" s="16"/>
    </row>
    <row r="49" spans="1:5" ht="81" customHeight="1" x14ac:dyDescent="0.2">
      <c r="A49" s="30"/>
      <c r="B49" s="48" t="s">
        <v>827</v>
      </c>
      <c r="C49" s="16">
        <f>ROUND(1.27/10,2)</f>
        <v>0.13</v>
      </c>
      <c r="D49" s="16">
        <f>C49*C56</f>
        <v>3.9000000000000004</v>
      </c>
    </row>
    <row r="50" spans="1:5" x14ac:dyDescent="0.2">
      <c r="A50" s="30"/>
      <c r="B50" s="27" t="s">
        <v>94</v>
      </c>
      <c r="C50" s="37">
        <f>SUM(C19:C49)</f>
        <v>9.32</v>
      </c>
      <c r="D50" s="37">
        <f>SUM(D19:D49)</f>
        <v>279.59999999999997</v>
      </c>
    </row>
    <row r="51" spans="1:5" x14ac:dyDescent="0.2">
      <c r="A51" s="36"/>
      <c r="B51" s="138" t="s">
        <v>149</v>
      </c>
      <c r="C51" s="37">
        <f>ROUND(C50+C17,4)</f>
        <v>25.19</v>
      </c>
      <c r="D51" s="37">
        <f>ROUND(D50+D17,4)</f>
        <v>755.7</v>
      </c>
    </row>
    <row r="52" spans="1:5" x14ac:dyDescent="0.2">
      <c r="A52" s="36"/>
      <c r="B52" s="138" t="s">
        <v>150</v>
      </c>
      <c r="C52" s="148">
        <f>ROUND(C51*0.21,2)</f>
        <v>5.29</v>
      </c>
      <c r="D52" s="148">
        <f>C52*C56</f>
        <v>158.69999999999999</v>
      </c>
      <c r="E52" s="177"/>
    </row>
    <row r="53" spans="1:5" x14ac:dyDescent="0.2">
      <c r="A53" s="36"/>
      <c r="B53" s="139" t="s">
        <v>151</v>
      </c>
      <c r="C53" s="148">
        <f>ROUND(C51+C52,2)</f>
        <v>30.48</v>
      </c>
      <c r="D53" s="37">
        <f>D51+D52</f>
        <v>914.40000000000009</v>
      </c>
      <c r="E53" s="178"/>
    </row>
    <row r="54" spans="1:5" x14ac:dyDescent="0.2">
      <c r="A54" s="271"/>
      <c r="B54" s="44"/>
      <c r="C54" s="273"/>
      <c r="D54" s="273"/>
    </row>
    <row r="55" spans="1:5" x14ac:dyDescent="0.2">
      <c r="A55" s="3"/>
      <c r="B55" s="9"/>
      <c r="C55" s="9"/>
      <c r="D55" s="5"/>
    </row>
    <row r="56" spans="1:5" ht="12" customHeight="1" x14ac:dyDescent="0.2">
      <c r="A56" s="297" t="s">
        <v>96</v>
      </c>
      <c r="B56" s="298"/>
      <c r="C56" s="20">
        <v>30</v>
      </c>
      <c r="D56" s="21"/>
    </row>
    <row r="57" spans="1:5" ht="29.25" customHeight="1" x14ac:dyDescent="0.2">
      <c r="A57" s="288" t="s">
        <v>113</v>
      </c>
      <c r="B57" s="289"/>
      <c r="C57" s="149">
        <f>D53/C56</f>
        <v>30.480000000000004</v>
      </c>
      <c r="D57" s="21"/>
    </row>
  </sheetData>
  <mergeCells count="7">
    <mergeCell ref="A57:B57"/>
    <mergeCell ref="A1:D1"/>
    <mergeCell ref="C2:D2"/>
    <mergeCell ref="A5:D5"/>
    <mergeCell ref="A7:B7"/>
    <mergeCell ref="A9:B9"/>
    <mergeCell ref="A56:B5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61"/>
  <sheetViews>
    <sheetView topLeftCell="A7" workbookViewId="0">
      <selection activeCell="C12" sqref="C12"/>
    </sheetView>
  </sheetViews>
  <sheetFormatPr defaultColWidth="9.140625" defaultRowHeight="12" x14ac:dyDescent="0.2"/>
  <cols>
    <col min="1" max="1" width="9.42578125" style="150" customWidth="1"/>
    <col min="2" max="2" width="59.42578125" style="150" customWidth="1"/>
    <col min="3" max="3" width="10" style="150" customWidth="1"/>
    <col min="4" max="4" width="11.2851562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290" t="s">
        <v>78</v>
      </c>
      <c r="B4" s="290"/>
      <c r="C4" s="290"/>
      <c r="D4" s="290"/>
    </row>
    <row r="5" spans="1:4" ht="12" customHeight="1" x14ac:dyDescent="0.2">
      <c r="A5" s="3"/>
      <c r="B5" s="3"/>
      <c r="C5" s="291"/>
      <c r="D5" s="292"/>
    </row>
    <row r="6" spans="1:4" x14ac:dyDescent="0.2">
      <c r="A6" s="143" t="s">
        <v>111</v>
      </c>
      <c r="B6" s="4"/>
      <c r="C6" s="4"/>
      <c r="D6" s="4"/>
    </row>
    <row r="7" spans="1:4" ht="12" customHeight="1" x14ac:dyDescent="0.2">
      <c r="A7" s="3"/>
      <c r="B7" s="263"/>
      <c r="C7" s="263"/>
      <c r="D7" s="5"/>
    </row>
    <row r="8" spans="1:4" x14ac:dyDescent="0.2">
      <c r="A8" s="293" t="s">
        <v>312</v>
      </c>
      <c r="B8" s="293"/>
      <c r="C8" s="293"/>
      <c r="D8" s="293"/>
    </row>
    <row r="9" spans="1:4" x14ac:dyDescent="0.2">
      <c r="A9" s="264"/>
      <c r="B9" s="151"/>
      <c r="C9" s="151"/>
      <c r="D9" s="5"/>
    </row>
    <row r="10" spans="1:4" x14ac:dyDescent="0.2">
      <c r="A10" s="294" t="s">
        <v>112</v>
      </c>
      <c r="B10" s="295"/>
      <c r="C10" s="151"/>
      <c r="D10" s="5"/>
    </row>
    <row r="11" spans="1:4" x14ac:dyDescent="0.2">
      <c r="A11" s="3"/>
      <c r="B11" s="8"/>
      <c r="C11" s="9"/>
      <c r="D11" s="5"/>
    </row>
    <row r="12" spans="1:4" x14ac:dyDescent="0.2">
      <c r="A12" s="296" t="s">
        <v>105</v>
      </c>
      <c r="B12" s="296"/>
      <c r="C12" s="151"/>
      <c r="D12" s="26"/>
    </row>
    <row r="13" spans="1:4" ht="108" x14ac:dyDescent="0.2">
      <c r="A13" s="10" t="s">
        <v>80</v>
      </c>
      <c r="B13" s="10" t="s">
        <v>81</v>
      </c>
      <c r="C13" s="10" t="s">
        <v>152</v>
      </c>
      <c r="D13" s="10" t="s">
        <v>83</v>
      </c>
    </row>
    <row r="14" spans="1:4" ht="16.5" customHeight="1" x14ac:dyDescent="0.2">
      <c r="A14" s="11">
        <v>1</v>
      </c>
      <c r="B14" s="12">
        <v>2</v>
      </c>
      <c r="C14" s="11">
        <v>3</v>
      </c>
      <c r="D14" s="11">
        <v>4</v>
      </c>
    </row>
    <row r="15" spans="1:4" x14ac:dyDescent="0.2">
      <c r="A15" s="11"/>
      <c r="B15" s="27" t="s">
        <v>84</v>
      </c>
      <c r="C15" s="13"/>
      <c r="D15" s="13"/>
    </row>
    <row r="16" spans="1:4" x14ac:dyDescent="0.2">
      <c r="A16" s="28">
        <v>1100</v>
      </c>
      <c r="B16" s="29" t="s">
        <v>85</v>
      </c>
      <c r="C16" s="14"/>
      <c r="D16" s="14"/>
    </row>
    <row r="17" spans="1:4" ht="135" customHeight="1" x14ac:dyDescent="0.2">
      <c r="A17" s="30"/>
      <c r="B17" s="15" t="s">
        <v>860</v>
      </c>
      <c r="C17" s="16">
        <v>0.8</v>
      </c>
      <c r="D17" s="16">
        <f>C17*C60</f>
        <v>24</v>
      </c>
    </row>
    <row r="18" spans="1:4" ht="24" x14ac:dyDescent="0.2">
      <c r="A18" s="30">
        <v>1200</v>
      </c>
      <c r="B18" s="265" t="s">
        <v>282</v>
      </c>
      <c r="C18" s="16">
        <f>ROUND(C17*0.2359,2)</f>
        <v>0.19</v>
      </c>
      <c r="D18" s="16">
        <f>C18*C60</f>
        <v>5.7</v>
      </c>
    </row>
    <row r="19" spans="1:4" x14ac:dyDescent="0.2">
      <c r="A19" s="30">
        <v>2341</v>
      </c>
      <c r="B19" s="30" t="s">
        <v>86</v>
      </c>
      <c r="C19" s="19"/>
      <c r="D19" s="19"/>
    </row>
    <row r="20" spans="1:4" x14ac:dyDescent="0.2">
      <c r="A20" s="30"/>
      <c r="B20" s="265" t="s">
        <v>155</v>
      </c>
      <c r="C20" s="16">
        <v>0</v>
      </c>
      <c r="D20" s="16">
        <f>C20*C60</f>
        <v>0</v>
      </c>
    </row>
    <row r="21" spans="1:4" ht="15.75" customHeight="1" x14ac:dyDescent="0.2">
      <c r="A21" s="30"/>
      <c r="B21" s="267" t="s">
        <v>87</v>
      </c>
      <c r="C21" s="37">
        <f>C17+C18+C20</f>
        <v>0.99</v>
      </c>
      <c r="D21" s="37">
        <f>D17+D18+D20</f>
        <v>29.7</v>
      </c>
    </row>
    <row r="22" spans="1:4" x14ac:dyDescent="0.2">
      <c r="A22" s="30"/>
      <c r="B22" s="267" t="s">
        <v>280</v>
      </c>
      <c r="C22" s="19"/>
      <c r="D22" s="19"/>
    </row>
    <row r="23" spans="1:4" ht="16.5" customHeight="1" x14ac:dyDescent="0.2">
      <c r="A23" s="30">
        <v>2210</v>
      </c>
      <c r="B23" s="48" t="s">
        <v>141</v>
      </c>
      <c r="C23" s="19"/>
      <c r="D23" s="19"/>
    </row>
    <row r="24" spans="1:4" ht="84" x14ac:dyDescent="0.2">
      <c r="A24" s="30"/>
      <c r="B24" s="48" t="s">
        <v>861</v>
      </c>
      <c r="C24" s="16">
        <f>ROUND(0.21/10,2)</f>
        <v>0.02</v>
      </c>
      <c r="D24" s="16">
        <f>C24*C60</f>
        <v>0.6</v>
      </c>
    </row>
    <row r="25" spans="1:4" x14ac:dyDescent="0.2">
      <c r="A25" s="30">
        <v>2221</v>
      </c>
      <c r="B25" s="48" t="s">
        <v>89</v>
      </c>
      <c r="C25" s="19"/>
      <c r="D25" s="19"/>
    </row>
    <row r="26" spans="1:4" ht="84" x14ac:dyDescent="0.2">
      <c r="A26" s="30"/>
      <c r="B26" s="48" t="s">
        <v>862</v>
      </c>
      <c r="C26" s="16">
        <f>ROUND(0.34/10,2)</f>
        <v>0.03</v>
      </c>
      <c r="D26" s="18">
        <f>C26*C60</f>
        <v>0.89999999999999991</v>
      </c>
    </row>
    <row r="27" spans="1:4" ht="19.5" customHeight="1" x14ac:dyDescent="0.2">
      <c r="A27" s="30">
        <v>2222</v>
      </c>
      <c r="B27" s="48" t="s">
        <v>90</v>
      </c>
      <c r="C27" s="19"/>
      <c r="D27" s="19"/>
    </row>
    <row r="28" spans="1:4" ht="84" x14ac:dyDescent="0.2">
      <c r="A28" s="30"/>
      <c r="B28" s="48" t="s">
        <v>863</v>
      </c>
      <c r="C28" s="16">
        <f>ROUND(0.0345/10,2)</f>
        <v>0</v>
      </c>
      <c r="D28" s="16">
        <f>C28*C60</f>
        <v>0</v>
      </c>
    </row>
    <row r="29" spans="1:4" ht="17.25" customHeight="1" x14ac:dyDescent="0.2">
      <c r="A29" s="30">
        <v>2223</v>
      </c>
      <c r="B29" s="30" t="s">
        <v>91</v>
      </c>
      <c r="C29" s="19"/>
      <c r="D29" s="19"/>
    </row>
    <row r="30" spans="1:4" ht="84" x14ac:dyDescent="0.2">
      <c r="A30" s="30"/>
      <c r="B30" s="48" t="s">
        <v>864</v>
      </c>
      <c r="C30" s="16">
        <f>ROUND(0.9/10,2)</f>
        <v>0.09</v>
      </c>
      <c r="D30" s="16">
        <f>C30*C60</f>
        <v>2.6999999999999997</v>
      </c>
    </row>
    <row r="31" spans="1:4" ht="19.5" customHeight="1" x14ac:dyDescent="0.2">
      <c r="A31" s="30">
        <v>2224</v>
      </c>
      <c r="B31" s="48" t="s">
        <v>142</v>
      </c>
      <c r="C31" s="19"/>
      <c r="D31" s="19"/>
    </row>
    <row r="32" spans="1:4" ht="84" x14ac:dyDescent="0.2">
      <c r="A32" s="30"/>
      <c r="B32" s="48" t="s">
        <v>865</v>
      </c>
      <c r="C32" s="16">
        <f>ROUND(0.07/10,2)</f>
        <v>0.01</v>
      </c>
      <c r="D32" s="16">
        <f>ROUND(C32*C60,2)</f>
        <v>0.3</v>
      </c>
    </row>
    <row r="33" spans="1:4" x14ac:dyDescent="0.2">
      <c r="A33" s="30">
        <v>2231</v>
      </c>
      <c r="B33" s="48" t="s">
        <v>121</v>
      </c>
      <c r="C33" s="19"/>
      <c r="D33" s="19"/>
    </row>
    <row r="34" spans="1:4" ht="84" x14ac:dyDescent="0.2">
      <c r="A34" s="30"/>
      <c r="B34" s="48" t="s">
        <v>866</v>
      </c>
      <c r="C34" s="16">
        <f>ROUND(0.26/10,2)</f>
        <v>0.03</v>
      </c>
      <c r="D34" s="16">
        <f>C34*C60</f>
        <v>0.89999999999999991</v>
      </c>
    </row>
    <row r="35" spans="1:4" x14ac:dyDescent="0.2">
      <c r="A35" s="30">
        <v>2233</v>
      </c>
      <c r="B35" s="48" t="s">
        <v>143</v>
      </c>
      <c r="C35" s="16"/>
      <c r="D35" s="16"/>
    </row>
    <row r="36" spans="1:4" x14ac:dyDescent="0.2">
      <c r="A36" s="30"/>
      <c r="B36" s="48" t="s">
        <v>144</v>
      </c>
      <c r="C36" s="16">
        <v>0</v>
      </c>
      <c r="D36" s="16">
        <f>C36*C64</f>
        <v>0</v>
      </c>
    </row>
    <row r="37" spans="1:4" ht="16.5" customHeight="1" x14ac:dyDescent="0.2">
      <c r="A37" s="30">
        <v>2243</v>
      </c>
      <c r="B37" s="48" t="s">
        <v>100</v>
      </c>
      <c r="C37" s="16"/>
      <c r="D37" s="16"/>
    </row>
    <row r="38" spans="1:4" ht="84" x14ac:dyDescent="0.2">
      <c r="A38" s="30"/>
      <c r="B38" s="48" t="s">
        <v>867</v>
      </c>
      <c r="C38" s="16">
        <f>ROUND(0.32/10,2)</f>
        <v>0.03</v>
      </c>
      <c r="D38" s="18">
        <f>C38*C60</f>
        <v>0.89999999999999991</v>
      </c>
    </row>
    <row r="39" spans="1:4" ht="18.75" customHeight="1" x14ac:dyDescent="0.2">
      <c r="A39" s="30">
        <v>2244</v>
      </c>
      <c r="B39" s="48" t="s">
        <v>92</v>
      </c>
      <c r="C39" s="19"/>
      <c r="D39" s="74"/>
    </row>
    <row r="40" spans="1:4" ht="84" x14ac:dyDescent="0.2">
      <c r="A40" s="274"/>
      <c r="B40" s="48" t="s">
        <v>868</v>
      </c>
      <c r="C40" s="16">
        <f>ROUND(0.24/10,2)</f>
        <v>0.02</v>
      </c>
      <c r="D40" s="18">
        <f>C40*C60</f>
        <v>0.6</v>
      </c>
    </row>
    <row r="41" spans="1:4" x14ac:dyDescent="0.2">
      <c r="A41" s="30">
        <v>2250</v>
      </c>
      <c r="B41" s="48" t="s">
        <v>145</v>
      </c>
      <c r="C41" s="19"/>
      <c r="D41" s="16"/>
    </row>
    <row r="42" spans="1:4" ht="84" x14ac:dyDescent="0.2">
      <c r="A42" s="30"/>
      <c r="B42" s="48" t="s">
        <v>869</v>
      </c>
      <c r="C42" s="16">
        <f>ROUND(0.67/10,2)</f>
        <v>7.0000000000000007E-2</v>
      </c>
      <c r="D42" s="16">
        <f>C42*C60</f>
        <v>2.1</v>
      </c>
    </row>
    <row r="43" spans="1:4" ht="15" customHeight="1" x14ac:dyDescent="0.2">
      <c r="A43" s="30">
        <v>2261</v>
      </c>
      <c r="B43" s="269" t="s">
        <v>146</v>
      </c>
      <c r="C43" s="16"/>
      <c r="D43" s="16"/>
    </row>
    <row r="44" spans="1:4" ht="84" x14ac:dyDescent="0.2">
      <c r="A44" s="30"/>
      <c r="B44" s="269" t="s">
        <v>870</v>
      </c>
      <c r="C44" s="16">
        <f>ROUND(2.35/10,2)</f>
        <v>0.24</v>
      </c>
      <c r="D44" s="16">
        <f>C44*C60</f>
        <v>7.1999999999999993</v>
      </c>
    </row>
    <row r="45" spans="1:4" ht="14.25" customHeight="1" x14ac:dyDescent="0.2">
      <c r="A45" s="30">
        <v>2311</v>
      </c>
      <c r="B45" s="48" t="s">
        <v>93</v>
      </c>
      <c r="C45" s="19"/>
      <c r="D45" s="19"/>
    </row>
    <row r="46" spans="1:4" ht="84" x14ac:dyDescent="0.2">
      <c r="A46" s="30"/>
      <c r="B46" s="48" t="s">
        <v>871</v>
      </c>
      <c r="C46" s="16">
        <f>ROUND(0.065/10,2)</f>
        <v>0.01</v>
      </c>
      <c r="D46" s="16">
        <f>C46*C60</f>
        <v>0.3</v>
      </c>
    </row>
    <row r="47" spans="1:4" ht="16.5" customHeight="1" x14ac:dyDescent="0.2">
      <c r="A47" s="30">
        <v>2350</v>
      </c>
      <c r="B47" s="48" t="s">
        <v>123</v>
      </c>
      <c r="C47" s="19"/>
      <c r="D47" s="19"/>
    </row>
    <row r="48" spans="1:4" ht="84" x14ac:dyDescent="0.2">
      <c r="A48" s="30"/>
      <c r="B48" s="48" t="s">
        <v>872</v>
      </c>
      <c r="C48" s="16">
        <f>ROUND(0.22/10,2)</f>
        <v>0.02</v>
      </c>
      <c r="D48" s="16">
        <f>C48*C60</f>
        <v>0.6</v>
      </c>
    </row>
    <row r="49" spans="1:5" x14ac:dyDescent="0.2">
      <c r="A49" s="30">
        <v>5120</v>
      </c>
      <c r="B49" s="48" t="s">
        <v>101</v>
      </c>
      <c r="C49" s="19"/>
      <c r="D49" s="16"/>
    </row>
    <row r="50" spans="1:5" ht="83.25" customHeight="1" x14ac:dyDescent="0.2">
      <c r="A50" s="30"/>
      <c r="B50" s="48" t="s">
        <v>873</v>
      </c>
      <c r="C50" s="16">
        <f>ROUND(0.05/10,2)</f>
        <v>0.01</v>
      </c>
      <c r="D50" s="16">
        <f>C50*C60</f>
        <v>0.3</v>
      </c>
    </row>
    <row r="51" spans="1:5" x14ac:dyDescent="0.2">
      <c r="A51" s="30">
        <v>5220</v>
      </c>
      <c r="B51" s="48" t="s">
        <v>153</v>
      </c>
      <c r="C51" s="16">
        <v>0</v>
      </c>
      <c r="D51" s="16">
        <v>0</v>
      </c>
    </row>
    <row r="52" spans="1:5" x14ac:dyDescent="0.2">
      <c r="A52" s="30">
        <v>5238</v>
      </c>
      <c r="B52" s="48" t="s">
        <v>148</v>
      </c>
      <c r="C52" s="270"/>
      <c r="D52" s="16"/>
    </row>
    <row r="53" spans="1:5" ht="84" x14ac:dyDescent="0.2">
      <c r="A53" s="30"/>
      <c r="B53" s="48" t="s">
        <v>874</v>
      </c>
      <c r="C53" s="16">
        <f>ROUND(0.08/10,2)</f>
        <v>0.01</v>
      </c>
      <c r="D53" s="16">
        <f>C53*C60</f>
        <v>0.3</v>
      </c>
    </row>
    <row r="54" spans="1:5" x14ac:dyDescent="0.2">
      <c r="A54" s="30"/>
      <c r="B54" s="27" t="s">
        <v>94</v>
      </c>
      <c r="C54" s="37">
        <f>SUM(C23:C53)</f>
        <v>0.59000000000000008</v>
      </c>
      <c r="D54" s="37">
        <f>SUM(D23:D53)</f>
        <v>17.7</v>
      </c>
    </row>
    <row r="55" spans="1:5" x14ac:dyDescent="0.2">
      <c r="A55" s="36"/>
      <c r="B55" s="138" t="s">
        <v>149</v>
      </c>
      <c r="C55" s="37">
        <f>ROUND(C54+C21,4)</f>
        <v>1.58</v>
      </c>
      <c r="D55" s="37">
        <f>ROUND(D54+D21,4)</f>
        <v>47.4</v>
      </c>
    </row>
    <row r="56" spans="1:5" x14ac:dyDescent="0.2">
      <c r="A56" s="36"/>
      <c r="B56" s="138" t="s">
        <v>150</v>
      </c>
      <c r="C56" s="148">
        <f>ROUND(C55*0.21,2)</f>
        <v>0.33</v>
      </c>
      <c r="D56" s="148">
        <f>C56*C60</f>
        <v>9.9</v>
      </c>
      <c r="E56" s="177"/>
    </row>
    <row r="57" spans="1:5" ht="12" customHeight="1" x14ac:dyDescent="0.2">
      <c r="A57" s="36"/>
      <c r="B57" s="139" t="s">
        <v>151</v>
      </c>
      <c r="C57" s="148">
        <f>ROUND(C55+C56,2)</f>
        <v>1.91</v>
      </c>
      <c r="D57" s="37">
        <f>D55+D56</f>
        <v>57.3</v>
      </c>
      <c r="E57" s="178"/>
    </row>
    <row r="58" spans="1:5" ht="10.5" customHeight="1" x14ac:dyDescent="0.2">
      <c r="A58" s="271"/>
      <c r="B58" s="44"/>
      <c r="C58" s="273"/>
      <c r="D58" s="273"/>
    </row>
    <row r="59" spans="1:5" x14ac:dyDescent="0.2">
      <c r="A59" s="3"/>
      <c r="B59" s="9"/>
      <c r="C59" s="9"/>
      <c r="D59" s="5"/>
    </row>
    <row r="60" spans="1:5" x14ac:dyDescent="0.2">
      <c r="A60" s="297" t="s">
        <v>96</v>
      </c>
      <c r="B60" s="298"/>
      <c r="C60" s="20">
        <v>30</v>
      </c>
      <c r="D60" s="21"/>
    </row>
    <row r="61" spans="1:5" x14ac:dyDescent="0.2">
      <c r="A61" s="288" t="s">
        <v>113</v>
      </c>
      <c r="B61" s="289"/>
      <c r="C61" s="149">
        <f>D57/C60</f>
        <v>1.91</v>
      </c>
      <c r="D61" s="21"/>
    </row>
  </sheetData>
  <mergeCells count="9">
    <mergeCell ref="A60:B60"/>
    <mergeCell ref="A61:B61"/>
    <mergeCell ref="A1:D1"/>
    <mergeCell ref="C2:D2"/>
    <mergeCell ref="A4:D4"/>
    <mergeCell ref="C5:D5"/>
    <mergeCell ref="A8:D8"/>
    <mergeCell ref="A10:B10"/>
    <mergeCell ref="A12:B1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8"/>
  <sheetViews>
    <sheetView topLeftCell="A43" workbookViewId="0">
      <selection activeCell="C9" sqref="C9"/>
    </sheetView>
  </sheetViews>
  <sheetFormatPr defaultColWidth="9.140625" defaultRowHeight="12" x14ac:dyDescent="0.2"/>
  <cols>
    <col min="1" max="1" width="9.42578125" style="150" customWidth="1"/>
    <col min="2" max="2" width="59" style="150" customWidth="1"/>
    <col min="3" max="3" width="9.7109375" style="150" customWidth="1"/>
    <col min="4" max="4" width="11" style="150" customWidth="1"/>
    <col min="5" max="16384" width="9.140625" style="150"/>
  </cols>
  <sheetData>
    <row r="1" spans="1:11" x14ac:dyDescent="0.2">
      <c r="A1" s="290" t="s">
        <v>78</v>
      </c>
      <c r="B1" s="290"/>
      <c r="C1" s="290"/>
      <c r="D1" s="290"/>
    </row>
    <row r="2" spans="1:11" x14ac:dyDescent="0.2">
      <c r="A2" s="3"/>
      <c r="B2" s="3"/>
      <c r="C2" s="291"/>
      <c r="D2" s="292"/>
    </row>
    <row r="3" spans="1:11" x14ac:dyDescent="0.2">
      <c r="A3" s="143" t="s">
        <v>111</v>
      </c>
      <c r="B3" s="4"/>
      <c r="C3" s="4"/>
      <c r="D3" s="4"/>
    </row>
    <row r="4" spans="1:11" x14ac:dyDescent="0.2">
      <c r="A4" s="3"/>
      <c r="B4" s="263"/>
      <c r="C4" s="263"/>
      <c r="D4" s="5"/>
    </row>
    <row r="5" spans="1:11" ht="12" customHeight="1" x14ac:dyDescent="0.2">
      <c r="A5" s="293" t="s">
        <v>311</v>
      </c>
      <c r="B5" s="293"/>
      <c r="C5" s="293"/>
      <c r="D5" s="293"/>
    </row>
    <row r="6" spans="1:11" x14ac:dyDescent="0.2">
      <c r="A6" s="264"/>
      <c r="B6" s="151"/>
      <c r="C6" s="151"/>
      <c r="D6" s="5"/>
    </row>
    <row r="7" spans="1:11" ht="12" customHeight="1" x14ac:dyDescent="0.2">
      <c r="A7" s="294" t="s">
        <v>112</v>
      </c>
      <c r="B7" s="295"/>
      <c r="C7" s="151"/>
      <c r="D7" s="5"/>
    </row>
    <row r="8" spans="1:11" x14ac:dyDescent="0.2">
      <c r="A8" s="3"/>
      <c r="B8" s="8"/>
      <c r="C8" s="9"/>
      <c r="D8" s="5"/>
    </row>
    <row r="9" spans="1:11" x14ac:dyDescent="0.2">
      <c r="A9" s="296" t="s">
        <v>105</v>
      </c>
      <c r="B9" s="296"/>
      <c r="C9" s="25"/>
      <c r="D9" s="26"/>
    </row>
    <row r="10" spans="1:11" ht="113.25" customHeight="1" x14ac:dyDescent="0.2">
      <c r="A10" s="10" t="s">
        <v>80</v>
      </c>
      <c r="B10" s="10" t="s">
        <v>81</v>
      </c>
      <c r="C10" s="10" t="s">
        <v>152</v>
      </c>
      <c r="D10" s="10" t="s">
        <v>83</v>
      </c>
    </row>
    <row r="11" spans="1:11" x14ac:dyDescent="0.2">
      <c r="A11" s="11">
        <v>1</v>
      </c>
      <c r="B11" s="12">
        <v>2</v>
      </c>
      <c r="C11" s="11">
        <v>3</v>
      </c>
      <c r="D11" s="11">
        <v>4</v>
      </c>
    </row>
    <row r="12" spans="1:11" x14ac:dyDescent="0.2">
      <c r="A12" s="11"/>
      <c r="B12" s="27" t="s">
        <v>84</v>
      </c>
      <c r="C12" s="13"/>
      <c r="D12" s="13"/>
    </row>
    <row r="13" spans="1:11" x14ac:dyDescent="0.2">
      <c r="A13" s="28">
        <v>1100</v>
      </c>
      <c r="B13" s="29" t="s">
        <v>85</v>
      </c>
      <c r="C13" s="14"/>
      <c r="D13" s="14"/>
    </row>
    <row r="14" spans="1:11" ht="74.25" customHeight="1" x14ac:dyDescent="0.2">
      <c r="A14" s="30"/>
      <c r="B14" s="15" t="s">
        <v>875</v>
      </c>
      <c r="C14" s="16">
        <v>2.02</v>
      </c>
      <c r="D14" s="16">
        <f>C14*C57</f>
        <v>60.6</v>
      </c>
      <c r="E14" s="262"/>
    </row>
    <row r="15" spans="1:11" ht="39" customHeight="1" x14ac:dyDescent="0.2">
      <c r="A15" s="30">
        <v>1200</v>
      </c>
      <c r="B15" s="265" t="s">
        <v>876</v>
      </c>
      <c r="C15" s="16">
        <f>ROUND(0.79,2)</f>
        <v>0.79</v>
      </c>
      <c r="D15" s="16">
        <f>C15*C57</f>
        <v>23.700000000000003</v>
      </c>
      <c r="F15" s="195"/>
      <c r="G15" s="195"/>
      <c r="H15" s="195"/>
      <c r="I15" s="195"/>
      <c r="J15" s="195"/>
      <c r="K15" s="195"/>
    </row>
    <row r="16" spans="1:11" x14ac:dyDescent="0.2">
      <c r="A16" s="30">
        <v>2341</v>
      </c>
      <c r="B16" s="30" t="s">
        <v>86</v>
      </c>
      <c r="C16" s="19"/>
      <c r="D16" s="19"/>
    </row>
    <row r="17" spans="1:4" x14ac:dyDescent="0.2">
      <c r="A17" s="30"/>
      <c r="B17" s="265" t="s">
        <v>155</v>
      </c>
      <c r="C17" s="16">
        <v>0</v>
      </c>
      <c r="D17" s="16">
        <f>C17*C57</f>
        <v>0</v>
      </c>
    </row>
    <row r="18" spans="1:4" x14ac:dyDescent="0.2">
      <c r="A18" s="30"/>
      <c r="B18" s="267" t="s">
        <v>87</v>
      </c>
      <c r="C18" s="37">
        <f>C14+C15+C17</f>
        <v>2.81</v>
      </c>
      <c r="D18" s="37">
        <f>D14+D15+D17</f>
        <v>84.300000000000011</v>
      </c>
    </row>
    <row r="19" spans="1:4" x14ac:dyDescent="0.2">
      <c r="A19" s="30"/>
      <c r="B19" s="267" t="s">
        <v>280</v>
      </c>
      <c r="C19" s="19"/>
      <c r="D19" s="19"/>
    </row>
    <row r="20" spans="1:4" x14ac:dyDescent="0.2">
      <c r="A20" s="30">
        <v>2210</v>
      </c>
      <c r="B20" s="48" t="s">
        <v>141</v>
      </c>
      <c r="C20" s="19"/>
      <c r="D20" s="19"/>
    </row>
    <row r="21" spans="1:4" ht="84" customHeight="1" x14ac:dyDescent="0.2">
      <c r="A21" s="30"/>
      <c r="B21" s="48" t="s">
        <v>877</v>
      </c>
      <c r="C21" s="16">
        <f>ROUND(0.21/30,2)</f>
        <v>0.01</v>
      </c>
      <c r="D21" s="16">
        <f>C21*C57</f>
        <v>0.3</v>
      </c>
    </row>
    <row r="22" spans="1:4" x14ac:dyDescent="0.2">
      <c r="A22" s="30">
        <v>2221</v>
      </c>
      <c r="B22" s="48" t="s">
        <v>89</v>
      </c>
      <c r="C22" s="19"/>
      <c r="D22" s="19"/>
    </row>
    <row r="23" spans="1:4" ht="85.5" customHeight="1" x14ac:dyDescent="0.2">
      <c r="A23" s="30"/>
      <c r="B23" s="48" t="s">
        <v>878</v>
      </c>
      <c r="C23" s="16">
        <f>ROUND(0.34/30,2)</f>
        <v>0.01</v>
      </c>
      <c r="D23" s="18">
        <f>C23*C57</f>
        <v>0.3</v>
      </c>
    </row>
    <row r="24" spans="1:4" x14ac:dyDescent="0.2">
      <c r="A24" s="30">
        <v>2222</v>
      </c>
      <c r="B24" s="48" t="s">
        <v>90</v>
      </c>
      <c r="C24" s="19"/>
      <c r="D24" s="19"/>
    </row>
    <row r="25" spans="1:4" ht="81.75" customHeight="1" x14ac:dyDescent="0.2">
      <c r="A25" s="30"/>
      <c r="B25" s="48" t="s">
        <v>879</v>
      </c>
      <c r="C25" s="16">
        <f>ROUND(0.04/30,2)</f>
        <v>0</v>
      </c>
      <c r="D25" s="16">
        <f>C25*C57</f>
        <v>0</v>
      </c>
    </row>
    <row r="26" spans="1:4" x14ac:dyDescent="0.2">
      <c r="A26" s="30">
        <v>2223</v>
      </c>
      <c r="B26" s="30" t="s">
        <v>91</v>
      </c>
      <c r="C26" s="19"/>
      <c r="D26" s="19"/>
    </row>
    <row r="27" spans="1:4" ht="82.5" customHeight="1" x14ac:dyDescent="0.2">
      <c r="A27" s="30"/>
      <c r="B27" s="48" t="s">
        <v>880</v>
      </c>
      <c r="C27" s="16">
        <f>ROUND(0.9/30,2)</f>
        <v>0.03</v>
      </c>
      <c r="D27" s="16">
        <f>C27*C57</f>
        <v>0.89999999999999991</v>
      </c>
    </row>
    <row r="28" spans="1:4" x14ac:dyDescent="0.2">
      <c r="A28" s="30">
        <v>2224</v>
      </c>
      <c r="B28" s="48" t="s">
        <v>142</v>
      </c>
      <c r="C28" s="19"/>
      <c r="D28" s="19"/>
    </row>
    <row r="29" spans="1:4" ht="84.75" customHeight="1" x14ac:dyDescent="0.2">
      <c r="A29" s="30"/>
      <c r="B29" s="48" t="s">
        <v>881</v>
      </c>
      <c r="C29" s="16">
        <f>ROUND(0.07/30,2)</f>
        <v>0</v>
      </c>
      <c r="D29" s="16">
        <f>ROUND(C29*C57,2)</f>
        <v>0</v>
      </c>
    </row>
    <row r="30" spans="1:4" x14ac:dyDescent="0.2">
      <c r="A30" s="30">
        <v>2231</v>
      </c>
      <c r="B30" s="48" t="s">
        <v>121</v>
      </c>
      <c r="C30" s="19"/>
      <c r="D30" s="19"/>
    </row>
    <row r="31" spans="1:4" ht="79.5" customHeight="1" x14ac:dyDescent="0.2">
      <c r="A31" s="30"/>
      <c r="B31" s="48" t="s">
        <v>882</v>
      </c>
      <c r="C31" s="16">
        <f>ROUND(0.26/30,2)</f>
        <v>0.01</v>
      </c>
      <c r="D31" s="16">
        <f>C31*C57</f>
        <v>0.3</v>
      </c>
    </row>
    <row r="32" spans="1:4" x14ac:dyDescent="0.2">
      <c r="A32" s="30">
        <v>2233</v>
      </c>
      <c r="B32" s="48" t="s">
        <v>143</v>
      </c>
      <c r="C32" s="16"/>
      <c r="D32" s="16"/>
    </row>
    <row r="33" spans="1:4" x14ac:dyDescent="0.2">
      <c r="A33" s="30"/>
      <c r="B33" s="48" t="s">
        <v>144</v>
      </c>
      <c r="C33" s="16">
        <v>0</v>
      </c>
      <c r="D33" s="16">
        <f>C33*C64</f>
        <v>0</v>
      </c>
    </row>
    <row r="34" spans="1:4" x14ac:dyDescent="0.2">
      <c r="A34" s="30">
        <v>2243</v>
      </c>
      <c r="B34" s="48" t="s">
        <v>100</v>
      </c>
      <c r="C34" s="16"/>
      <c r="D34" s="16"/>
    </row>
    <row r="35" spans="1:4" ht="82.5" customHeight="1" x14ac:dyDescent="0.2">
      <c r="A35" s="30"/>
      <c r="B35" s="48" t="s">
        <v>883</v>
      </c>
      <c r="C35" s="16">
        <f>ROUND(0.32/30,2)</f>
        <v>0.01</v>
      </c>
      <c r="D35" s="18">
        <f>C35*C57</f>
        <v>0.3</v>
      </c>
    </row>
    <row r="36" spans="1:4" x14ac:dyDescent="0.2">
      <c r="A36" s="30">
        <v>2244</v>
      </c>
      <c r="B36" s="48" t="s">
        <v>92</v>
      </c>
      <c r="C36" s="19"/>
      <c r="D36" s="74"/>
    </row>
    <row r="37" spans="1:4" ht="84" x14ac:dyDescent="0.2">
      <c r="A37" s="274"/>
      <c r="B37" s="48" t="s">
        <v>884</v>
      </c>
      <c r="C37" s="16">
        <f>ROUND(0.24/30,2)</f>
        <v>0.01</v>
      </c>
      <c r="D37" s="18">
        <f>C37*C57</f>
        <v>0.3</v>
      </c>
    </row>
    <row r="38" spans="1:4" x14ac:dyDescent="0.2">
      <c r="A38" s="30">
        <v>2250</v>
      </c>
      <c r="B38" s="48" t="s">
        <v>145</v>
      </c>
      <c r="C38" s="19"/>
      <c r="D38" s="16"/>
    </row>
    <row r="39" spans="1:4" ht="82.5" customHeight="1" x14ac:dyDescent="0.2">
      <c r="A39" s="30"/>
      <c r="B39" s="48" t="s">
        <v>885</v>
      </c>
      <c r="C39" s="16">
        <f>ROUND(0.67/30,2)</f>
        <v>0.02</v>
      </c>
      <c r="D39" s="16">
        <f>C39*C57</f>
        <v>0.6</v>
      </c>
    </row>
    <row r="40" spans="1:4" x14ac:dyDescent="0.2">
      <c r="A40" s="30">
        <v>2261</v>
      </c>
      <c r="B40" s="269" t="s">
        <v>146</v>
      </c>
      <c r="C40" s="16"/>
      <c r="D40" s="16"/>
    </row>
    <row r="41" spans="1:4" ht="83.25" customHeight="1" x14ac:dyDescent="0.2">
      <c r="A41" s="30"/>
      <c r="B41" s="269" t="s">
        <v>886</v>
      </c>
      <c r="C41" s="16">
        <f>ROUND(2.35/30,2)</f>
        <v>0.08</v>
      </c>
      <c r="D41" s="16">
        <f>C41*C57</f>
        <v>2.4</v>
      </c>
    </row>
    <row r="42" spans="1:4" x14ac:dyDescent="0.2">
      <c r="A42" s="30">
        <v>2311</v>
      </c>
      <c r="B42" s="48" t="s">
        <v>93</v>
      </c>
      <c r="C42" s="19"/>
      <c r="D42" s="19"/>
    </row>
    <row r="43" spans="1:4" ht="86.25" customHeight="1" x14ac:dyDescent="0.2">
      <c r="A43" s="30"/>
      <c r="B43" s="48" t="s">
        <v>887</v>
      </c>
      <c r="C43" s="16">
        <f>ROUND(0.065/30,2)</f>
        <v>0</v>
      </c>
      <c r="D43" s="16">
        <f>C43*C57</f>
        <v>0</v>
      </c>
    </row>
    <row r="44" spans="1:4" x14ac:dyDescent="0.2">
      <c r="A44" s="30">
        <v>2350</v>
      </c>
      <c r="B44" s="48" t="s">
        <v>123</v>
      </c>
      <c r="C44" s="19"/>
      <c r="D44" s="19"/>
    </row>
    <row r="45" spans="1:4" ht="86.25" customHeight="1" x14ac:dyDescent="0.2">
      <c r="A45" s="30"/>
      <c r="B45" s="48" t="s">
        <v>888</v>
      </c>
      <c r="C45" s="16">
        <f>ROUND(0.22/30,2)</f>
        <v>0.01</v>
      </c>
      <c r="D45" s="16">
        <f>C45*C57</f>
        <v>0.3</v>
      </c>
    </row>
    <row r="46" spans="1:4" x14ac:dyDescent="0.2">
      <c r="A46" s="30">
        <v>5120</v>
      </c>
      <c r="B46" s="48" t="s">
        <v>101</v>
      </c>
      <c r="C46" s="19"/>
      <c r="D46" s="16"/>
    </row>
    <row r="47" spans="1:4" ht="76.5" customHeight="1" x14ac:dyDescent="0.2">
      <c r="A47" s="30"/>
      <c r="B47" s="48" t="s">
        <v>889</v>
      </c>
      <c r="C47" s="16">
        <f>ROUND(0.05/30,2)</f>
        <v>0</v>
      </c>
      <c r="D47" s="16">
        <f>C47*C57</f>
        <v>0</v>
      </c>
    </row>
    <row r="48" spans="1:4" x14ac:dyDescent="0.2">
      <c r="A48" s="30">
        <v>5220</v>
      </c>
      <c r="B48" s="48" t="s">
        <v>153</v>
      </c>
      <c r="C48" s="16">
        <v>0</v>
      </c>
      <c r="D48" s="16">
        <v>0</v>
      </c>
    </row>
    <row r="49" spans="1:4" x14ac:dyDescent="0.2">
      <c r="A49" s="30">
        <v>5238</v>
      </c>
      <c r="B49" s="48" t="s">
        <v>148</v>
      </c>
      <c r="C49" s="270"/>
      <c r="D49" s="16"/>
    </row>
    <row r="50" spans="1:4" ht="84.75" customHeight="1" x14ac:dyDescent="0.2">
      <c r="A50" s="30"/>
      <c r="B50" s="48" t="s">
        <v>890</v>
      </c>
      <c r="C50" s="16">
        <f>ROUND(0.08/30,2)</f>
        <v>0</v>
      </c>
      <c r="D50" s="16">
        <f>C50*C57</f>
        <v>0</v>
      </c>
    </row>
    <row r="51" spans="1:4" x14ac:dyDescent="0.2">
      <c r="A51" s="30"/>
      <c r="B51" s="27" t="s">
        <v>94</v>
      </c>
      <c r="C51" s="37">
        <f>SUM(C20:C50)</f>
        <v>0.19</v>
      </c>
      <c r="D51" s="37">
        <f>SUM(D20:D50)</f>
        <v>5.7</v>
      </c>
    </row>
    <row r="52" spans="1:4" x14ac:dyDescent="0.2">
      <c r="A52" s="36"/>
      <c r="B52" s="138" t="s">
        <v>149</v>
      </c>
      <c r="C52" s="37">
        <f>ROUND(C51+C18,4)</f>
        <v>3</v>
      </c>
      <c r="D52" s="37">
        <f>ROUND(D51+D18,4)</f>
        <v>90</v>
      </c>
    </row>
    <row r="53" spans="1:4" x14ac:dyDescent="0.2">
      <c r="A53" s="36"/>
      <c r="B53" s="138" t="s">
        <v>150</v>
      </c>
      <c r="C53" s="148">
        <f>ROUND(C52*0.21,2)</f>
        <v>0.63</v>
      </c>
      <c r="D53" s="148">
        <f>ROUND(D52*0.21,2)</f>
        <v>18.899999999999999</v>
      </c>
    </row>
    <row r="54" spans="1:4" x14ac:dyDescent="0.2">
      <c r="A54" s="36"/>
      <c r="B54" s="139" t="s">
        <v>151</v>
      </c>
      <c r="C54" s="148">
        <f>ROUND(C52+C53,2)</f>
        <v>3.63</v>
      </c>
      <c r="D54" s="37">
        <f>D52+D53</f>
        <v>108.9</v>
      </c>
    </row>
    <row r="55" spans="1:4" x14ac:dyDescent="0.2">
      <c r="A55" s="271"/>
      <c r="B55" s="44"/>
      <c r="C55" s="273"/>
      <c r="D55" s="273"/>
    </row>
    <row r="56" spans="1:4" x14ac:dyDescent="0.2">
      <c r="A56" s="3"/>
      <c r="B56" s="9"/>
      <c r="C56" s="9"/>
      <c r="D56" s="5"/>
    </row>
    <row r="57" spans="1:4" ht="12" customHeight="1" x14ac:dyDescent="0.2">
      <c r="A57" s="297" t="s">
        <v>96</v>
      </c>
      <c r="B57" s="298"/>
      <c r="C57" s="20">
        <v>30</v>
      </c>
      <c r="D57" s="21"/>
    </row>
    <row r="58" spans="1:4" ht="33.75" customHeight="1" x14ac:dyDescent="0.2">
      <c r="A58" s="288" t="s">
        <v>113</v>
      </c>
      <c r="B58" s="289"/>
      <c r="C58" s="149">
        <f>D54/C57</f>
        <v>3.6300000000000003</v>
      </c>
      <c r="D58" s="21"/>
    </row>
  </sheetData>
  <mergeCells count="7">
    <mergeCell ref="A58:B58"/>
    <mergeCell ref="A1:D1"/>
    <mergeCell ref="C2:D2"/>
    <mergeCell ref="A5:D5"/>
    <mergeCell ref="A7:B7"/>
    <mergeCell ref="A9:B9"/>
    <mergeCell ref="A57:B5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33"/>
  <sheetViews>
    <sheetView topLeftCell="A10" workbookViewId="0">
      <selection activeCell="D36" sqref="D36"/>
    </sheetView>
  </sheetViews>
  <sheetFormatPr defaultColWidth="9.140625" defaultRowHeight="12" x14ac:dyDescent="0.2"/>
  <cols>
    <col min="1" max="1" width="9.5703125" style="150" customWidth="1"/>
    <col min="2" max="2" width="60.85546875" style="150" customWidth="1"/>
    <col min="3" max="3" width="9.140625" style="150"/>
    <col min="4" max="4" width="10.8554687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21" customHeight="1" x14ac:dyDescent="0.2">
      <c r="A5" s="301" t="s">
        <v>310</v>
      </c>
      <c r="B5" s="301"/>
      <c r="C5" s="301"/>
      <c r="D5" s="301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264"/>
      <c r="B8" s="276"/>
      <c r="C8" s="151"/>
      <c r="D8" s="5"/>
    </row>
    <row r="9" spans="1:4" x14ac:dyDescent="0.2">
      <c r="A9" s="296" t="s">
        <v>156</v>
      </c>
      <c r="B9" s="296"/>
      <c r="C9" s="151"/>
      <c r="D9" s="5"/>
    </row>
    <row r="10" spans="1:4" ht="108" x14ac:dyDescent="0.2">
      <c r="A10" s="10" t="s">
        <v>80</v>
      </c>
      <c r="B10" s="10" t="s">
        <v>81</v>
      </c>
      <c r="C10" s="285" t="s">
        <v>157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52"/>
      <c r="B12" s="153" t="s">
        <v>84</v>
      </c>
      <c r="C12" s="13"/>
      <c r="D12" s="13"/>
    </row>
    <row r="13" spans="1:4" x14ac:dyDescent="0.2">
      <c r="A13" s="277">
        <v>1100</v>
      </c>
      <c r="B13" s="154" t="s">
        <v>85</v>
      </c>
      <c r="C13" s="14"/>
      <c r="D13" s="14"/>
    </row>
    <row r="14" spans="1:4" ht="132.75" customHeight="1" x14ac:dyDescent="0.2">
      <c r="A14" s="145"/>
      <c r="B14" s="15" t="s">
        <v>891</v>
      </c>
      <c r="C14" s="16">
        <v>96.3</v>
      </c>
      <c r="D14" s="16">
        <f>C14*C29</f>
        <v>288.89999999999998</v>
      </c>
    </row>
    <row r="15" spans="1:4" ht="24" x14ac:dyDescent="0.2">
      <c r="A15" s="146">
        <v>1200</v>
      </c>
      <c r="B15" s="265" t="s">
        <v>283</v>
      </c>
      <c r="C15" s="16">
        <f>ROUND(C14*0.2359,2)</f>
        <v>22.72</v>
      </c>
      <c r="D15" s="16">
        <f>C15*C29</f>
        <v>68.16</v>
      </c>
    </row>
    <row r="16" spans="1:4" x14ac:dyDescent="0.2">
      <c r="A16" s="145"/>
      <c r="B16" s="278" t="s">
        <v>87</v>
      </c>
      <c r="C16" s="148">
        <f>SUM(C13:C15)</f>
        <v>119.02</v>
      </c>
      <c r="D16" s="148">
        <f>SUM(D13:D15)</f>
        <v>357.05999999999995</v>
      </c>
    </row>
    <row r="17" spans="1:22" x14ac:dyDescent="0.2">
      <c r="A17" s="145"/>
      <c r="B17" s="278" t="s">
        <v>88</v>
      </c>
      <c r="C17" s="155"/>
      <c r="D17" s="155"/>
    </row>
    <row r="18" spans="1:22" ht="15" customHeight="1" x14ac:dyDescent="0.2">
      <c r="A18" s="277">
        <v>1100</v>
      </c>
      <c r="B18" s="144" t="s">
        <v>85</v>
      </c>
      <c r="C18" s="19"/>
      <c r="D18" s="19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5"/>
      <c r="T18" s="195"/>
      <c r="U18" s="195"/>
      <c r="V18" s="195"/>
    </row>
    <row r="19" spans="1:22" ht="24" x14ac:dyDescent="0.2">
      <c r="A19" s="145"/>
      <c r="B19" s="15" t="s">
        <v>892</v>
      </c>
      <c r="C19" s="16">
        <v>42.8</v>
      </c>
      <c r="D19" s="16">
        <f>C19*C29</f>
        <v>128.39999999999998</v>
      </c>
    </row>
    <row r="20" spans="1:22" ht="24" x14ac:dyDescent="0.2">
      <c r="A20" s="146">
        <v>1200</v>
      </c>
      <c r="B20" s="265" t="s">
        <v>893</v>
      </c>
      <c r="C20" s="16">
        <f>ROUND(C19*0.2359,2)</f>
        <v>10.1</v>
      </c>
      <c r="D20" s="16">
        <f>C20*C29</f>
        <v>30.299999999999997</v>
      </c>
    </row>
    <row r="21" spans="1:22" ht="24" x14ac:dyDescent="0.2">
      <c r="A21" s="146">
        <v>2112</v>
      </c>
      <c r="B21" s="265" t="s">
        <v>158</v>
      </c>
      <c r="C21" s="155"/>
      <c r="D21" s="155"/>
      <c r="E21" s="261"/>
    </row>
    <row r="22" spans="1:22" ht="24" x14ac:dyDescent="0.2">
      <c r="A22" s="145"/>
      <c r="B22" s="265" t="s">
        <v>159</v>
      </c>
      <c r="C22" s="16">
        <v>18.399999999999999</v>
      </c>
      <c r="D22" s="16">
        <f>C22*C29</f>
        <v>55.199999999999996</v>
      </c>
    </row>
    <row r="23" spans="1:22" x14ac:dyDescent="0.2">
      <c r="A23" s="145"/>
      <c r="B23" s="279" t="s">
        <v>94</v>
      </c>
      <c r="C23" s="148">
        <f>SUM(C19:C22)</f>
        <v>71.3</v>
      </c>
      <c r="D23" s="148">
        <f>C23*C29</f>
        <v>213.89999999999998</v>
      </c>
    </row>
    <row r="24" spans="1:22" x14ac:dyDescent="0.2">
      <c r="A24" s="156"/>
      <c r="B24" s="138" t="s">
        <v>149</v>
      </c>
      <c r="C24" s="148">
        <f>C23+C16</f>
        <v>190.32</v>
      </c>
      <c r="D24" s="148">
        <f>D16+D23</f>
        <v>570.95999999999992</v>
      </c>
    </row>
    <row r="25" spans="1:22" x14ac:dyDescent="0.2">
      <c r="A25" s="156"/>
      <c r="B25" s="138" t="s">
        <v>150</v>
      </c>
      <c r="C25" s="148">
        <f>ROUND(C24*0.21,2)</f>
        <v>39.97</v>
      </c>
      <c r="D25" s="148">
        <f>C25*C29</f>
        <v>119.91</v>
      </c>
    </row>
    <row r="26" spans="1:22" ht="12" customHeight="1" x14ac:dyDescent="0.2">
      <c r="A26" s="156"/>
      <c r="B26" s="139" t="s">
        <v>948</v>
      </c>
      <c r="C26" s="148">
        <f>ROUND(C24+C25,2)</f>
        <v>230.29</v>
      </c>
      <c r="D26" s="148">
        <f>D24+D25</f>
        <v>690.86999999999989</v>
      </c>
    </row>
    <row r="27" spans="1:22" ht="13.5" customHeight="1" x14ac:dyDescent="0.2">
      <c r="A27" s="280"/>
      <c r="B27" s="3"/>
      <c r="C27" s="281"/>
      <c r="D27" s="281"/>
    </row>
    <row r="28" spans="1:22" x14ac:dyDescent="0.2">
      <c r="A28" s="3"/>
      <c r="B28" s="9"/>
      <c r="C28" s="9"/>
      <c r="D28" s="5"/>
    </row>
    <row r="29" spans="1:22" x14ac:dyDescent="0.2">
      <c r="A29" s="299" t="s">
        <v>96</v>
      </c>
      <c r="B29" s="300"/>
      <c r="C29" s="20">
        <v>3</v>
      </c>
      <c r="D29" s="21"/>
    </row>
    <row r="30" spans="1:22" x14ac:dyDescent="0.2">
      <c r="A30" s="288" t="s">
        <v>113</v>
      </c>
      <c r="B30" s="289"/>
      <c r="C30" s="149">
        <f>D26/C29</f>
        <v>230.28999999999996</v>
      </c>
      <c r="D30" s="21"/>
      <c r="E30" s="282"/>
    </row>
    <row r="31" spans="1:22" x14ac:dyDescent="0.2">
      <c r="A31" s="23"/>
      <c r="B31" s="23"/>
      <c r="C31" s="23"/>
      <c r="D31" s="23"/>
    </row>
    <row r="32" spans="1:22" x14ac:dyDescent="0.2">
      <c r="A32" s="23"/>
      <c r="B32" s="23"/>
      <c r="C32" s="23"/>
      <c r="D32" s="24"/>
    </row>
    <row r="33" spans="1:4" x14ac:dyDescent="0.2">
      <c r="A33" s="23"/>
      <c r="B33" s="23"/>
      <c r="C33" s="23"/>
      <c r="D33" s="24"/>
    </row>
  </sheetData>
  <mergeCells count="7">
    <mergeCell ref="A29:B29"/>
    <mergeCell ref="A30:B3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0"/>
  <sheetViews>
    <sheetView topLeftCell="A13" workbookViewId="0">
      <selection activeCell="B26" sqref="B26"/>
    </sheetView>
  </sheetViews>
  <sheetFormatPr defaultColWidth="9.140625" defaultRowHeight="12" x14ac:dyDescent="0.2"/>
  <cols>
    <col min="1" max="1" width="9.42578125" style="150" customWidth="1"/>
    <col min="2" max="2" width="60.28515625" style="150" customWidth="1"/>
    <col min="3" max="3" width="9.140625" style="150"/>
    <col min="4" max="4" width="11.14062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26.25" customHeight="1" x14ac:dyDescent="0.2">
      <c r="A5" s="301" t="s">
        <v>309</v>
      </c>
      <c r="B5" s="301"/>
      <c r="C5" s="301"/>
      <c r="D5" s="301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264"/>
      <c r="B8" s="276"/>
      <c r="C8" s="151"/>
      <c r="D8" s="5"/>
    </row>
    <row r="9" spans="1:4" x14ac:dyDescent="0.2">
      <c r="A9" s="296" t="s">
        <v>156</v>
      </c>
      <c r="B9" s="296"/>
      <c r="C9" s="151"/>
      <c r="D9" s="5"/>
    </row>
    <row r="10" spans="1:4" ht="108" x14ac:dyDescent="0.2">
      <c r="A10" s="10" t="s">
        <v>80</v>
      </c>
      <c r="B10" s="10" t="s">
        <v>81</v>
      </c>
      <c r="C10" s="285" t="s">
        <v>157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52"/>
      <c r="B12" s="153" t="s">
        <v>84</v>
      </c>
      <c r="C12" s="13"/>
      <c r="D12" s="13"/>
    </row>
    <row r="13" spans="1:4" x14ac:dyDescent="0.2">
      <c r="A13" s="277">
        <v>1100</v>
      </c>
      <c r="B13" s="154" t="s">
        <v>85</v>
      </c>
      <c r="C13" s="14"/>
      <c r="D13" s="14"/>
    </row>
    <row r="14" spans="1:4" ht="133.5" customHeight="1" x14ac:dyDescent="0.2">
      <c r="A14" s="145"/>
      <c r="B14" s="15" t="s">
        <v>894</v>
      </c>
      <c r="C14" s="16">
        <v>96.3</v>
      </c>
      <c r="D14" s="16">
        <f>C14*C29</f>
        <v>288.89999999999998</v>
      </c>
    </row>
    <row r="15" spans="1:4" ht="24.75" customHeight="1" x14ac:dyDescent="0.2">
      <c r="A15" s="146">
        <v>1200</v>
      </c>
      <c r="B15" s="265" t="s">
        <v>283</v>
      </c>
      <c r="C15" s="16">
        <f>ROUND(C14*0.2359,2)</f>
        <v>22.72</v>
      </c>
      <c r="D15" s="16">
        <f>C15*C29</f>
        <v>68.16</v>
      </c>
    </row>
    <row r="16" spans="1:4" x14ac:dyDescent="0.2">
      <c r="A16" s="145"/>
      <c r="B16" s="278" t="s">
        <v>87</v>
      </c>
      <c r="C16" s="148">
        <f>SUM(C13:C15)</f>
        <v>119.02</v>
      </c>
      <c r="D16" s="148">
        <f>SUM(D13:D15)</f>
        <v>357.05999999999995</v>
      </c>
    </row>
    <row r="17" spans="1:7" x14ac:dyDescent="0.2">
      <c r="A17" s="145"/>
      <c r="B17" s="278" t="s">
        <v>279</v>
      </c>
      <c r="C17" s="155"/>
      <c r="D17" s="155"/>
    </row>
    <row r="18" spans="1:7" x14ac:dyDescent="0.2">
      <c r="A18" s="277">
        <v>1100</v>
      </c>
      <c r="B18" s="154" t="s">
        <v>85</v>
      </c>
      <c r="C18" s="155"/>
      <c r="D18" s="155"/>
    </row>
    <row r="19" spans="1:7" ht="37.5" customHeight="1" x14ac:dyDescent="0.2">
      <c r="A19" s="145"/>
      <c r="B19" s="15" t="s">
        <v>895</v>
      </c>
      <c r="C19" s="16">
        <v>165</v>
      </c>
      <c r="D19" s="16">
        <f>C19*C29</f>
        <v>495</v>
      </c>
    </row>
    <row r="20" spans="1:7" ht="24" customHeight="1" x14ac:dyDescent="0.2">
      <c r="A20" s="146">
        <v>1200</v>
      </c>
      <c r="B20" s="265" t="s">
        <v>896</v>
      </c>
      <c r="C20" s="16">
        <f>ROUND(C19*0.2359,2)</f>
        <v>38.92</v>
      </c>
      <c r="D20" s="16">
        <f>C20*C29</f>
        <v>116.76</v>
      </c>
    </row>
    <row r="21" spans="1:7" x14ac:dyDescent="0.2">
      <c r="A21" s="146">
        <v>2322</v>
      </c>
      <c r="B21" s="265" t="s">
        <v>160</v>
      </c>
      <c r="C21" s="155"/>
      <c r="D21" s="155"/>
    </row>
    <row r="22" spans="1:7" ht="62.25" customHeight="1" x14ac:dyDescent="0.2">
      <c r="A22" s="145"/>
      <c r="B22" s="265" t="s">
        <v>897</v>
      </c>
      <c r="C22" s="16">
        <v>56.92</v>
      </c>
      <c r="D22" s="16">
        <f>C22*C29</f>
        <v>170.76</v>
      </c>
      <c r="E22" s="283"/>
      <c r="F22" s="180"/>
      <c r="G22" s="179"/>
    </row>
    <row r="23" spans="1:7" x14ac:dyDescent="0.2">
      <c r="A23" s="145"/>
      <c r="B23" s="279" t="s">
        <v>94</v>
      </c>
      <c r="C23" s="148">
        <f>SUM(C19:C22)</f>
        <v>260.84000000000003</v>
      </c>
      <c r="D23" s="148">
        <f>C23*C29</f>
        <v>782.5200000000001</v>
      </c>
    </row>
    <row r="24" spans="1:7" x14ac:dyDescent="0.2">
      <c r="A24" s="156"/>
      <c r="B24" s="138" t="s">
        <v>149</v>
      </c>
      <c r="C24" s="148">
        <f>C23+C16</f>
        <v>379.86</v>
      </c>
      <c r="D24" s="148">
        <f>D16+D23</f>
        <v>1139.58</v>
      </c>
    </row>
    <row r="25" spans="1:7" x14ac:dyDescent="0.2">
      <c r="A25" s="156"/>
      <c r="B25" s="138" t="s">
        <v>150</v>
      </c>
      <c r="C25" s="148">
        <f>ROUND(C24*0.21,2)</f>
        <v>79.77</v>
      </c>
      <c r="D25" s="148">
        <f>C25*C29</f>
        <v>239.31</v>
      </c>
    </row>
    <row r="26" spans="1:7" x14ac:dyDescent="0.2">
      <c r="A26" s="156"/>
      <c r="B26" s="139" t="s">
        <v>948</v>
      </c>
      <c r="C26" s="148">
        <f>ROUND(C24+C25,2)</f>
        <v>459.63</v>
      </c>
      <c r="D26" s="148">
        <f>D24+D25</f>
        <v>1378.8899999999999</v>
      </c>
    </row>
    <row r="27" spans="1:7" x14ac:dyDescent="0.2">
      <c r="A27" s="280"/>
      <c r="B27" s="3"/>
      <c r="C27" s="281"/>
      <c r="D27" s="281"/>
    </row>
    <row r="28" spans="1:7" x14ac:dyDescent="0.2">
      <c r="A28" s="3"/>
      <c r="B28" s="9"/>
      <c r="C28" s="9"/>
      <c r="D28" s="5"/>
    </row>
    <row r="29" spans="1:7" ht="12" customHeight="1" x14ac:dyDescent="0.2">
      <c r="A29" s="299" t="s">
        <v>96</v>
      </c>
      <c r="B29" s="300"/>
      <c r="C29" s="20">
        <v>3</v>
      </c>
      <c r="D29" s="21"/>
    </row>
    <row r="30" spans="1:7" ht="29.25" customHeight="1" x14ac:dyDescent="0.2">
      <c r="A30" s="288" t="s">
        <v>113</v>
      </c>
      <c r="B30" s="289"/>
      <c r="C30" s="149">
        <f>D26/C29</f>
        <v>459.62999999999994</v>
      </c>
      <c r="D30" s="21"/>
    </row>
  </sheetData>
  <mergeCells count="7">
    <mergeCell ref="A30:B30"/>
    <mergeCell ref="A1:D1"/>
    <mergeCell ref="C2:D2"/>
    <mergeCell ref="A5:D5"/>
    <mergeCell ref="A7:B7"/>
    <mergeCell ref="A9:B9"/>
    <mergeCell ref="A29:B29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64"/>
  <sheetViews>
    <sheetView workbookViewId="0">
      <selection activeCell="B59" sqref="B59"/>
    </sheetView>
  </sheetViews>
  <sheetFormatPr defaultColWidth="9.140625" defaultRowHeight="12" x14ac:dyDescent="0.2"/>
  <cols>
    <col min="1" max="1" width="9.42578125" style="150" customWidth="1"/>
    <col min="2" max="2" width="60.5703125" style="150" customWidth="1"/>
    <col min="3" max="3" width="9.140625" style="150"/>
    <col min="4" max="4" width="11.28515625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916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 t="s">
        <v>161</v>
      </c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162</v>
      </c>
      <c r="B9" s="296"/>
      <c r="C9" s="151"/>
      <c r="D9" s="26"/>
    </row>
    <row r="10" spans="1:4" ht="112.5" customHeight="1" x14ac:dyDescent="0.2">
      <c r="A10" s="10" t="s">
        <v>80</v>
      </c>
      <c r="B10" s="10" t="s">
        <v>81</v>
      </c>
      <c r="C10" s="285" t="s">
        <v>898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32.75" customHeight="1" x14ac:dyDescent="0.2">
      <c r="A14" s="30"/>
      <c r="B14" s="15" t="s">
        <v>899</v>
      </c>
      <c r="C14" s="16">
        <v>8.0299999999999994</v>
      </c>
      <c r="D14" s="16">
        <f>C14*C62</f>
        <v>16.059999999999999</v>
      </c>
    </row>
    <row r="15" spans="1:4" ht="25.5" customHeight="1" x14ac:dyDescent="0.2">
      <c r="A15" s="30">
        <v>1200</v>
      </c>
      <c r="B15" s="265" t="s">
        <v>284</v>
      </c>
      <c r="C15" s="16">
        <f>ROUND(C14*0.2359,2)</f>
        <v>1.89</v>
      </c>
      <c r="D15" s="16">
        <f>C15*C62</f>
        <v>3.78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15" x14ac:dyDescent="0.2">
      <c r="A17" s="30"/>
      <c r="B17" s="265" t="s">
        <v>155</v>
      </c>
      <c r="C17" s="16">
        <v>0</v>
      </c>
      <c r="D17" s="16">
        <f>C17*C35</f>
        <v>0</v>
      </c>
    </row>
    <row r="18" spans="1:15" x14ac:dyDescent="0.2">
      <c r="A18" s="30"/>
      <c r="B18" s="267" t="s">
        <v>87</v>
      </c>
      <c r="C18" s="37">
        <f>C14+C15+C17</f>
        <v>9.92</v>
      </c>
      <c r="D18" s="37">
        <f>D14+D15+D17</f>
        <v>19.84</v>
      </c>
    </row>
    <row r="19" spans="1:15" x14ac:dyDescent="0.2">
      <c r="A19" s="30"/>
      <c r="B19" s="267" t="s">
        <v>280</v>
      </c>
      <c r="C19" s="19"/>
      <c r="D19" s="19"/>
    </row>
    <row r="20" spans="1:15" x14ac:dyDescent="0.2">
      <c r="A20" s="277">
        <v>1100</v>
      </c>
      <c r="B20" s="144" t="s">
        <v>85</v>
      </c>
      <c r="C20" s="19"/>
      <c r="D20" s="19"/>
    </row>
    <row r="21" spans="1:15" ht="37.5" customHeight="1" x14ac:dyDescent="0.2">
      <c r="A21" s="145"/>
      <c r="B21" s="15" t="s">
        <v>900</v>
      </c>
      <c r="C21" s="16">
        <f>ROUND(0.77,2)</f>
        <v>0.77</v>
      </c>
      <c r="D21" s="16">
        <f>C21*C62</f>
        <v>1.54</v>
      </c>
      <c r="F21" s="195"/>
      <c r="G21" s="195"/>
      <c r="H21" s="195"/>
      <c r="I21" s="195"/>
      <c r="J21" s="195"/>
      <c r="K21" s="195"/>
      <c r="L21" s="195"/>
      <c r="M21" s="195"/>
      <c r="N21" s="195"/>
      <c r="O21" s="195"/>
    </row>
    <row r="22" spans="1:15" ht="25.5" customHeight="1" x14ac:dyDescent="0.2">
      <c r="A22" s="146">
        <v>1200</v>
      </c>
      <c r="B22" s="265" t="s">
        <v>901</v>
      </c>
      <c r="C22" s="16">
        <f>ROUND(C21*0.2359,2)</f>
        <v>0.18</v>
      </c>
      <c r="D22" s="16">
        <f>C22*C62</f>
        <v>0.36</v>
      </c>
    </row>
    <row r="23" spans="1:15" x14ac:dyDescent="0.2">
      <c r="A23" s="30">
        <v>2210</v>
      </c>
      <c r="B23" s="48" t="s">
        <v>141</v>
      </c>
      <c r="C23" s="19"/>
      <c r="D23" s="19"/>
    </row>
    <row r="24" spans="1:15" ht="60" x14ac:dyDescent="0.2">
      <c r="A24" s="30"/>
      <c r="B24" s="48" t="s">
        <v>902</v>
      </c>
      <c r="C24" s="16">
        <f>ROUND(0.07,2)</f>
        <v>7.0000000000000007E-2</v>
      </c>
      <c r="D24" s="16">
        <f>C24*C62</f>
        <v>0.14000000000000001</v>
      </c>
    </row>
    <row r="25" spans="1:15" x14ac:dyDescent="0.2">
      <c r="A25" s="30">
        <v>2221</v>
      </c>
      <c r="B25" s="48" t="s">
        <v>89</v>
      </c>
      <c r="C25" s="19"/>
      <c r="D25" s="19"/>
    </row>
    <row r="26" spans="1:15" ht="48" customHeight="1" x14ac:dyDescent="0.2">
      <c r="A26" s="30"/>
      <c r="B26" s="48" t="s">
        <v>903</v>
      </c>
      <c r="C26" s="16">
        <f>ROUND(0.11,2)</f>
        <v>0.11</v>
      </c>
      <c r="D26" s="16">
        <f>C26*C62</f>
        <v>0.22</v>
      </c>
      <c r="F26" s="195"/>
      <c r="G26" s="195"/>
      <c r="H26" s="195"/>
      <c r="I26" s="195"/>
      <c r="J26" s="195"/>
      <c r="K26" s="195"/>
    </row>
    <row r="27" spans="1:15" x14ac:dyDescent="0.2">
      <c r="A27" s="30">
        <v>2222</v>
      </c>
      <c r="B27" s="48" t="s">
        <v>90</v>
      </c>
      <c r="C27" s="19"/>
      <c r="D27" s="19"/>
    </row>
    <row r="28" spans="1:15" x14ac:dyDescent="0.2">
      <c r="A28" s="30"/>
      <c r="B28" s="48" t="s">
        <v>904</v>
      </c>
      <c r="C28" s="16">
        <f>ROUND(0/10,2)</f>
        <v>0</v>
      </c>
      <c r="D28" s="16">
        <f>C28*C62</f>
        <v>0</v>
      </c>
    </row>
    <row r="29" spans="1:15" x14ac:dyDescent="0.2">
      <c r="A29" s="30">
        <v>2223</v>
      </c>
      <c r="B29" s="30" t="s">
        <v>91</v>
      </c>
      <c r="C29" s="19"/>
      <c r="D29" s="19"/>
    </row>
    <row r="30" spans="1:15" ht="60" x14ac:dyDescent="0.2">
      <c r="A30" s="30"/>
      <c r="B30" s="48" t="s">
        <v>905</v>
      </c>
      <c r="C30" s="16">
        <f>ROUND(0.29,2)</f>
        <v>0.28999999999999998</v>
      </c>
      <c r="D30" s="16">
        <f>C30*C62</f>
        <v>0.57999999999999996</v>
      </c>
    </row>
    <row r="31" spans="1:15" x14ac:dyDescent="0.2">
      <c r="A31" s="30">
        <v>2224</v>
      </c>
      <c r="B31" s="48" t="s">
        <v>142</v>
      </c>
      <c r="C31" s="19"/>
      <c r="D31" s="19"/>
    </row>
    <row r="32" spans="1:15" x14ac:dyDescent="0.2">
      <c r="A32" s="30"/>
      <c r="B32" s="48" t="s">
        <v>904</v>
      </c>
      <c r="C32" s="16">
        <f>ROUND(0/10,2)</f>
        <v>0</v>
      </c>
      <c r="D32" s="16">
        <f>ROUND(C32*C62,2)</f>
        <v>0</v>
      </c>
    </row>
    <row r="33" spans="1:4" ht="12" customHeight="1" x14ac:dyDescent="0.2">
      <c r="A33" s="30">
        <v>2231</v>
      </c>
      <c r="B33" s="48" t="s">
        <v>121</v>
      </c>
      <c r="C33" s="19"/>
      <c r="D33" s="19"/>
    </row>
    <row r="34" spans="1:4" ht="69" customHeight="1" x14ac:dyDescent="0.2">
      <c r="A34" s="30"/>
      <c r="B34" s="48" t="s">
        <v>906</v>
      </c>
      <c r="C34" s="16">
        <f>ROUND(0.08,2)</f>
        <v>0.08</v>
      </c>
      <c r="D34" s="16">
        <f>C34*C62</f>
        <v>0.16</v>
      </c>
    </row>
    <row r="35" spans="1:4" x14ac:dyDescent="0.2">
      <c r="A35" s="30">
        <v>2233</v>
      </c>
      <c r="B35" s="48" t="s">
        <v>143</v>
      </c>
      <c r="C35" s="16"/>
      <c r="D35" s="16"/>
    </row>
    <row r="36" spans="1:4" x14ac:dyDescent="0.2">
      <c r="A36" s="30"/>
      <c r="B36" s="48" t="s">
        <v>144</v>
      </c>
      <c r="C36" s="16">
        <v>0</v>
      </c>
      <c r="D36" s="16">
        <f>C36*C64</f>
        <v>0</v>
      </c>
    </row>
    <row r="37" spans="1:4" x14ac:dyDescent="0.2">
      <c r="A37" s="30">
        <v>2243</v>
      </c>
      <c r="B37" s="48" t="s">
        <v>100</v>
      </c>
      <c r="C37" s="16"/>
      <c r="D37" s="16"/>
    </row>
    <row r="38" spans="1:4" ht="60" x14ac:dyDescent="0.2">
      <c r="A38" s="30"/>
      <c r="B38" s="48" t="s">
        <v>907</v>
      </c>
      <c r="C38" s="16">
        <f>ROUND(0.1,2)</f>
        <v>0.1</v>
      </c>
      <c r="D38" s="18">
        <f>C38*C62</f>
        <v>0.2</v>
      </c>
    </row>
    <row r="39" spans="1:4" x14ac:dyDescent="0.2">
      <c r="A39" s="30">
        <v>2244</v>
      </c>
      <c r="B39" s="48" t="s">
        <v>92</v>
      </c>
      <c r="C39" s="19"/>
      <c r="D39" s="74"/>
    </row>
    <row r="40" spans="1:4" ht="60" x14ac:dyDescent="0.2">
      <c r="A40" s="274"/>
      <c r="B40" s="48" t="s">
        <v>908</v>
      </c>
      <c r="C40" s="16">
        <f>ROUND(0.08,2)</f>
        <v>0.08</v>
      </c>
      <c r="D40" s="18">
        <f>C40*C62</f>
        <v>0.16</v>
      </c>
    </row>
    <row r="41" spans="1:4" x14ac:dyDescent="0.2">
      <c r="A41" s="30">
        <v>2250</v>
      </c>
      <c r="B41" s="48" t="s">
        <v>145</v>
      </c>
      <c r="C41" s="19"/>
      <c r="D41" s="16"/>
    </row>
    <row r="42" spans="1:4" ht="60" x14ac:dyDescent="0.2">
      <c r="A42" s="30"/>
      <c r="B42" s="269" t="s">
        <v>909</v>
      </c>
      <c r="C42" s="16">
        <f>ROUND(0.22,2)</f>
        <v>0.22</v>
      </c>
      <c r="D42" s="16">
        <f>C42*C62</f>
        <v>0.44</v>
      </c>
    </row>
    <row r="43" spans="1:4" x14ac:dyDescent="0.2">
      <c r="A43" s="30">
        <v>2261</v>
      </c>
      <c r="B43" s="269" t="s">
        <v>146</v>
      </c>
      <c r="C43" s="16"/>
      <c r="D43" s="16"/>
    </row>
    <row r="44" spans="1:4" ht="60" x14ac:dyDescent="0.2">
      <c r="A44" s="30"/>
      <c r="B44" s="269" t="s">
        <v>910</v>
      </c>
      <c r="C44" s="16">
        <f>ROUND(12.05,2)</f>
        <v>12.05</v>
      </c>
      <c r="D44" s="16">
        <f>C44*C62</f>
        <v>24.1</v>
      </c>
    </row>
    <row r="45" spans="1:4" x14ac:dyDescent="0.2">
      <c r="A45" s="30">
        <v>2311</v>
      </c>
      <c r="B45" s="48" t="s">
        <v>93</v>
      </c>
      <c r="C45" s="19"/>
      <c r="D45" s="19"/>
    </row>
    <row r="46" spans="1:4" x14ac:dyDescent="0.2">
      <c r="A46" s="30"/>
      <c r="B46" s="48" t="s">
        <v>904</v>
      </c>
      <c r="C46" s="16">
        <f>ROUND(0/10,2)</f>
        <v>0</v>
      </c>
      <c r="D46" s="16">
        <f>C46*C62</f>
        <v>0</v>
      </c>
    </row>
    <row r="47" spans="1:4" x14ac:dyDescent="0.2">
      <c r="A47" s="30">
        <v>2312</v>
      </c>
      <c r="B47" s="48" t="s">
        <v>911</v>
      </c>
      <c r="C47" s="16"/>
      <c r="D47" s="16"/>
    </row>
    <row r="48" spans="1:4" ht="60" x14ac:dyDescent="0.2">
      <c r="A48" s="30"/>
      <c r="B48" s="269" t="s">
        <v>912</v>
      </c>
      <c r="C48" s="16">
        <f>ROUND(0.14,2)</f>
        <v>0.14000000000000001</v>
      </c>
      <c r="D48" s="16">
        <f>C48*C62</f>
        <v>0.28000000000000003</v>
      </c>
    </row>
    <row r="49" spans="1:4" x14ac:dyDescent="0.2">
      <c r="A49" s="30">
        <v>2350</v>
      </c>
      <c r="B49" s="48" t="s">
        <v>123</v>
      </c>
      <c r="C49" s="19"/>
      <c r="D49" s="19"/>
    </row>
    <row r="50" spans="1:4" ht="60" x14ac:dyDescent="0.2">
      <c r="A50" s="30"/>
      <c r="B50" s="48" t="s">
        <v>913</v>
      </c>
      <c r="C50" s="16">
        <f>ROUND(0.07,2)</f>
        <v>7.0000000000000007E-2</v>
      </c>
      <c r="D50" s="16">
        <f>C50*C62</f>
        <v>0.14000000000000001</v>
      </c>
    </row>
    <row r="51" spans="1:4" x14ac:dyDescent="0.2">
      <c r="A51" s="30">
        <v>5120</v>
      </c>
      <c r="B51" s="48" t="s">
        <v>101</v>
      </c>
      <c r="C51" s="19"/>
      <c r="D51" s="16"/>
    </row>
    <row r="52" spans="1:4" ht="60" x14ac:dyDescent="0.2">
      <c r="A52" s="30"/>
      <c r="B52" s="48" t="s">
        <v>914</v>
      </c>
      <c r="C52" s="16">
        <f>ROUND(0.02,2)</f>
        <v>0.02</v>
      </c>
      <c r="D52" s="16">
        <f>C52*C62</f>
        <v>0.04</v>
      </c>
    </row>
    <row r="53" spans="1:4" x14ac:dyDescent="0.2">
      <c r="A53" s="30">
        <v>5220</v>
      </c>
      <c r="B53" s="48" t="s">
        <v>147</v>
      </c>
      <c r="C53" s="16">
        <v>0</v>
      </c>
      <c r="D53" s="16">
        <v>0</v>
      </c>
    </row>
    <row r="54" spans="1:4" x14ac:dyDescent="0.2">
      <c r="A54" s="30">
        <v>5238</v>
      </c>
      <c r="B54" s="48" t="s">
        <v>148</v>
      </c>
      <c r="C54" s="270"/>
      <c r="D54" s="16"/>
    </row>
    <row r="55" spans="1:4" ht="60" x14ac:dyDescent="0.2">
      <c r="A55" s="30"/>
      <c r="B55" s="48" t="s">
        <v>915</v>
      </c>
      <c r="C55" s="16">
        <f>ROUND(0.03,2)</f>
        <v>0.03</v>
      </c>
      <c r="D55" s="16">
        <f>C55*C62</f>
        <v>0.06</v>
      </c>
    </row>
    <row r="56" spans="1:4" x14ac:dyDescent="0.2">
      <c r="A56" s="30"/>
      <c r="B56" s="27" t="s">
        <v>94</v>
      </c>
      <c r="C56" s="37">
        <f>SUM(C21:C55)</f>
        <v>14.21</v>
      </c>
      <c r="D56" s="37">
        <f>SUM(D21:D55)</f>
        <v>28.42</v>
      </c>
    </row>
    <row r="57" spans="1:4" x14ac:dyDescent="0.2">
      <c r="A57" s="36"/>
      <c r="B57" s="138" t="s">
        <v>149</v>
      </c>
      <c r="C57" s="37">
        <f>ROUND(C56+C18,4)</f>
        <v>24.13</v>
      </c>
      <c r="D57" s="37">
        <f>ROUND(D56+D18,4)</f>
        <v>48.26</v>
      </c>
    </row>
    <row r="58" spans="1:4" x14ac:dyDescent="0.2">
      <c r="A58" s="36"/>
      <c r="B58" s="138" t="s">
        <v>150</v>
      </c>
      <c r="C58" s="148">
        <f>ROUND(C57*0.21,2)</f>
        <v>5.07</v>
      </c>
      <c r="D58" s="148">
        <f>C58*C62</f>
        <v>10.14</v>
      </c>
    </row>
    <row r="59" spans="1:4" x14ac:dyDescent="0.2">
      <c r="A59" s="36"/>
      <c r="B59" s="139" t="s">
        <v>949</v>
      </c>
      <c r="C59" s="37">
        <f>ROUND(C57+C58,2)</f>
        <v>29.2</v>
      </c>
      <c r="D59" s="37">
        <f>D57+D58</f>
        <v>58.4</v>
      </c>
    </row>
    <row r="60" spans="1:4" x14ac:dyDescent="0.2">
      <c r="A60" s="271"/>
      <c r="B60" s="44"/>
      <c r="C60" s="273"/>
      <c r="D60" s="273"/>
    </row>
    <row r="61" spans="1:4" x14ac:dyDescent="0.2">
      <c r="A61" s="3"/>
      <c r="B61" s="9"/>
      <c r="C61" s="9"/>
      <c r="D61" s="5"/>
    </row>
    <row r="62" spans="1:4" x14ac:dyDescent="0.2">
      <c r="A62" s="297" t="s">
        <v>96</v>
      </c>
      <c r="B62" s="298"/>
      <c r="C62" s="20">
        <v>2</v>
      </c>
      <c r="D62" s="21"/>
    </row>
    <row r="63" spans="1:4" x14ac:dyDescent="0.2">
      <c r="A63" s="288" t="s">
        <v>113</v>
      </c>
      <c r="B63" s="289"/>
      <c r="C63" s="149">
        <f>D59/C62</f>
        <v>29.2</v>
      </c>
      <c r="D63" s="21"/>
    </row>
    <row r="64" spans="1:4" ht="15" x14ac:dyDescent="0.25">
      <c r="A64"/>
      <c r="B64"/>
      <c r="C64"/>
      <c r="D64"/>
    </row>
  </sheetData>
  <mergeCells count="7">
    <mergeCell ref="A62:B62"/>
    <mergeCell ref="A63:B63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64"/>
  <sheetViews>
    <sheetView topLeftCell="A44" workbookViewId="0">
      <selection activeCell="D57" sqref="D57"/>
    </sheetView>
  </sheetViews>
  <sheetFormatPr defaultColWidth="9.140625" defaultRowHeight="12" x14ac:dyDescent="0.2"/>
  <cols>
    <col min="1" max="1" width="9.5703125" style="150" customWidth="1"/>
    <col min="2" max="2" width="60.28515625" style="150" customWidth="1"/>
    <col min="3" max="3" width="9.140625" style="150"/>
    <col min="4" max="4" width="11" style="150" customWidth="1"/>
    <col min="5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917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 t="s">
        <v>164</v>
      </c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162</v>
      </c>
      <c r="B9" s="296"/>
      <c r="C9" s="25"/>
      <c r="D9" s="26"/>
    </row>
    <row r="10" spans="1:4" ht="108" x14ac:dyDescent="0.2">
      <c r="A10" s="10" t="s">
        <v>80</v>
      </c>
      <c r="B10" s="10" t="s">
        <v>81</v>
      </c>
      <c r="C10" s="285" t="s">
        <v>898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44" customHeight="1" x14ac:dyDescent="0.2">
      <c r="A14" s="30"/>
      <c r="B14" s="15" t="s">
        <v>918</v>
      </c>
      <c r="C14" s="16">
        <v>96.36</v>
      </c>
      <c r="D14" s="16">
        <f>C14*C62</f>
        <v>192.72</v>
      </c>
    </row>
    <row r="15" spans="1:4" ht="28.5" customHeight="1" x14ac:dyDescent="0.2">
      <c r="A15" s="30">
        <v>1200</v>
      </c>
      <c r="B15" s="265" t="s">
        <v>285</v>
      </c>
      <c r="C15" s="16">
        <f>ROUND(C14*0.2359,2)</f>
        <v>22.73</v>
      </c>
      <c r="D15" s="16">
        <f>C15*C62</f>
        <v>45.46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10" x14ac:dyDescent="0.2">
      <c r="A17" s="30"/>
      <c r="B17" s="265" t="s">
        <v>155</v>
      </c>
      <c r="C17" s="16">
        <v>0</v>
      </c>
      <c r="D17" s="16">
        <f>C17*C35</f>
        <v>0</v>
      </c>
    </row>
    <row r="18" spans="1:10" x14ac:dyDescent="0.2">
      <c r="A18" s="30"/>
      <c r="B18" s="267" t="s">
        <v>87</v>
      </c>
      <c r="C18" s="37">
        <f>C14+C15+C17</f>
        <v>119.09</v>
      </c>
      <c r="D18" s="37">
        <f>D14+D15+D17</f>
        <v>238.18</v>
      </c>
    </row>
    <row r="19" spans="1:10" x14ac:dyDescent="0.2">
      <c r="A19" s="30"/>
      <c r="B19" s="267" t="s">
        <v>280</v>
      </c>
      <c r="C19" s="19"/>
      <c r="D19" s="19"/>
    </row>
    <row r="20" spans="1:10" x14ac:dyDescent="0.2">
      <c r="A20" s="277">
        <v>1100</v>
      </c>
      <c r="B20" s="144" t="s">
        <v>85</v>
      </c>
      <c r="C20" s="19"/>
      <c r="D20" s="19"/>
    </row>
    <row r="21" spans="1:10" ht="58.5" customHeight="1" x14ac:dyDescent="0.2">
      <c r="A21" s="145"/>
      <c r="B21" s="15" t="s">
        <v>919</v>
      </c>
      <c r="C21" s="16">
        <f>ROUND(7.66,2)</f>
        <v>7.66</v>
      </c>
      <c r="D21" s="16">
        <f>C21*C62</f>
        <v>15.32</v>
      </c>
      <c r="E21" s="198"/>
      <c r="F21" s="197"/>
      <c r="G21" s="197"/>
      <c r="H21" s="197"/>
      <c r="I21" s="197"/>
      <c r="J21" s="197"/>
    </row>
    <row r="22" spans="1:10" ht="24" customHeight="1" x14ac:dyDescent="0.2">
      <c r="A22" s="146">
        <v>1200</v>
      </c>
      <c r="B22" s="265" t="s">
        <v>163</v>
      </c>
      <c r="C22" s="16">
        <f>ROUND(C21*0.2359,2)</f>
        <v>1.81</v>
      </c>
      <c r="D22" s="16">
        <f>C22*C62</f>
        <v>3.62</v>
      </c>
    </row>
    <row r="23" spans="1:10" x14ac:dyDescent="0.2">
      <c r="A23" s="30">
        <v>2210</v>
      </c>
      <c r="B23" s="48" t="s">
        <v>141</v>
      </c>
      <c r="C23" s="19"/>
      <c r="D23" s="19"/>
    </row>
    <row r="24" spans="1:10" ht="60" x14ac:dyDescent="0.2">
      <c r="A24" s="30"/>
      <c r="B24" s="48" t="s">
        <v>920</v>
      </c>
      <c r="C24" s="16">
        <f>ROUND(1.05,2)</f>
        <v>1.05</v>
      </c>
      <c r="D24" s="16">
        <f>C24*C62</f>
        <v>2.1</v>
      </c>
    </row>
    <row r="25" spans="1:10" x14ac:dyDescent="0.2">
      <c r="A25" s="30">
        <v>2221</v>
      </c>
      <c r="B25" s="48" t="s">
        <v>89</v>
      </c>
      <c r="C25" s="19"/>
      <c r="D25" s="19"/>
    </row>
    <row r="26" spans="1:10" ht="60" x14ac:dyDescent="0.2">
      <c r="A26" s="30"/>
      <c r="B26" s="48" t="s">
        <v>921</v>
      </c>
      <c r="C26" s="16">
        <f>ROUND(1.76,2)</f>
        <v>1.76</v>
      </c>
      <c r="D26" s="16">
        <f>C26*C62</f>
        <v>3.52</v>
      </c>
      <c r="E26" s="198"/>
    </row>
    <row r="27" spans="1:10" x14ac:dyDescent="0.2">
      <c r="A27" s="30">
        <v>2222</v>
      </c>
      <c r="B27" s="48" t="s">
        <v>90</v>
      </c>
      <c r="C27" s="19"/>
      <c r="D27" s="19"/>
      <c r="E27" s="198"/>
    </row>
    <row r="28" spans="1:10" x14ac:dyDescent="0.2">
      <c r="A28" s="30"/>
      <c r="B28" s="48" t="s">
        <v>904</v>
      </c>
      <c r="C28" s="16">
        <f>ROUND(0/10,2)</f>
        <v>0</v>
      </c>
      <c r="D28" s="16">
        <f>C28*C62</f>
        <v>0</v>
      </c>
      <c r="E28" s="198"/>
    </row>
    <row r="29" spans="1:10" x14ac:dyDescent="0.2">
      <c r="A29" s="30">
        <v>2223</v>
      </c>
      <c r="B29" s="30" t="s">
        <v>91</v>
      </c>
      <c r="C29" s="19"/>
      <c r="D29" s="19"/>
    </row>
    <row r="30" spans="1:10" ht="60" x14ac:dyDescent="0.2">
      <c r="A30" s="30"/>
      <c r="B30" s="48" t="s">
        <v>922</v>
      </c>
      <c r="C30" s="16">
        <f>ROUND(4.62,2)</f>
        <v>4.62</v>
      </c>
      <c r="D30" s="16">
        <f>C30*C62</f>
        <v>9.24</v>
      </c>
    </row>
    <row r="31" spans="1:10" x14ac:dyDescent="0.2">
      <c r="A31" s="30">
        <v>2224</v>
      </c>
      <c r="B31" s="48" t="s">
        <v>142</v>
      </c>
      <c r="C31" s="19"/>
      <c r="D31" s="19"/>
    </row>
    <row r="32" spans="1:10" x14ac:dyDescent="0.2">
      <c r="A32" s="30"/>
      <c r="B32" s="48" t="s">
        <v>904</v>
      </c>
      <c r="C32" s="16">
        <f>ROUND(0/10,2)</f>
        <v>0</v>
      </c>
      <c r="D32" s="16">
        <f>ROUND(C32*C62,2)</f>
        <v>0</v>
      </c>
    </row>
    <row r="33" spans="1:4" ht="12" customHeight="1" x14ac:dyDescent="0.2">
      <c r="A33" s="30">
        <v>2231</v>
      </c>
      <c r="B33" s="48" t="s">
        <v>121</v>
      </c>
      <c r="C33" s="19"/>
      <c r="D33" s="19"/>
    </row>
    <row r="34" spans="1:4" ht="30" customHeight="1" x14ac:dyDescent="0.2">
      <c r="A34" s="30"/>
      <c r="B34" s="48" t="s">
        <v>923</v>
      </c>
      <c r="C34" s="16">
        <f>ROUND(1.33,2)</f>
        <v>1.33</v>
      </c>
      <c r="D34" s="16">
        <f>C34*C62</f>
        <v>2.66</v>
      </c>
    </row>
    <row r="35" spans="1:4" x14ac:dyDescent="0.2">
      <c r="A35" s="30">
        <v>2233</v>
      </c>
      <c r="B35" s="48" t="s">
        <v>143</v>
      </c>
      <c r="C35" s="16"/>
      <c r="D35" s="16"/>
    </row>
    <row r="36" spans="1:4" x14ac:dyDescent="0.2">
      <c r="A36" s="30"/>
      <c r="B36" s="48" t="s">
        <v>144</v>
      </c>
      <c r="C36" s="16">
        <v>0</v>
      </c>
      <c r="D36" s="16">
        <f>C36*C64</f>
        <v>0</v>
      </c>
    </row>
    <row r="37" spans="1:4" x14ac:dyDescent="0.2">
      <c r="A37" s="30">
        <v>2243</v>
      </c>
      <c r="B37" s="48" t="s">
        <v>100</v>
      </c>
      <c r="C37" s="16"/>
      <c r="D37" s="16"/>
    </row>
    <row r="38" spans="1:4" ht="60" x14ac:dyDescent="0.2">
      <c r="A38" s="30"/>
      <c r="B38" s="48" t="s">
        <v>924</v>
      </c>
      <c r="C38" s="16">
        <f>ROUND(1.66,2)</f>
        <v>1.66</v>
      </c>
      <c r="D38" s="18">
        <f>C38*C62</f>
        <v>3.32</v>
      </c>
    </row>
    <row r="39" spans="1:4" x14ac:dyDescent="0.2">
      <c r="A39" s="30">
        <v>2244</v>
      </c>
      <c r="B39" s="48" t="s">
        <v>92</v>
      </c>
      <c r="C39" s="19"/>
      <c r="D39" s="74"/>
    </row>
    <row r="40" spans="1:4" ht="60" x14ac:dyDescent="0.2">
      <c r="A40" s="274"/>
      <c r="B40" s="48" t="s">
        <v>925</v>
      </c>
      <c r="C40" s="16">
        <f>ROUND(1.25,2)</f>
        <v>1.25</v>
      </c>
      <c r="D40" s="18">
        <f>C40*C62</f>
        <v>2.5</v>
      </c>
    </row>
    <row r="41" spans="1:4" x14ac:dyDescent="0.2">
      <c r="A41" s="30">
        <v>2250</v>
      </c>
      <c r="B41" s="48" t="s">
        <v>145</v>
      </c>
      <c r="C41" s="19"/>
      <c r="D41" s="16"/>
    </row>
    <row r="42" spans="1:4" ht="60" x14ac:dyDescent="0.2">
      <c r="A42" s="30"/>
      <c r="B42" s="269" t="s">
        <v>926</v>
      </c>
      <c r="C42" s="16">
        <f>ROUND(3.45,2)</f>
        <v>3.45</v>
      </c>
      <c r="D42" s="16">
        <f>C42*C62</f>
        <v>6.9</v>
      </c>
    </row>
    <row r="43" spans="1:4" x14ac:dyDescent="0.2">
      <c r="A43" s="30">
        <v>2261</v>
      </c>
      <c r="B43" s="269" t="s">
        <v>146</v>
      </c>
      <c r="C43" s="16"/>
      <c r="D43" s="16"/>
    </row>
    <row r="44" spans="1:4" ht="72" x14ac:dyDescent="0.2">
      <c r="A44" s="30"/>
      <c r="B44" s="269" t="s">
        <v>927</v>
      </c>
      <c r="C44" s="16">
        <f>ROUND(12.05,2)</f>
        <v>12.05</v>
      </c>
      <c r="D44" s="16">
        <f>C44*C62</f>
        <v>24.1</v>
      </c>
    </row>
    <row r="45" spans="1:4" x14ac:dyDescent="0.2">
      <c r="A45" s="30">
        <v>2311</v>
      </c>
      <c r="B45" s="48" t="s">
        <v>93</v>
      </c>
      <c r="C45" s="19"/>
      <c r="D45" s="19"/>
    </row>
    <row r="46" spans="1:4" x14ac:dyDescent="0.2">
      <c r="A46" s="30"/>
      <c r="B46" s="48" t="s">
        <v>904</v>
      </c>
      <c r="C46" s="16">
        <f>ROUND(0/10,2)</f>
        <v>0</v>
      </c>
      <c r="D46" s="16">
        <f>C46*C62</f>
        <v>0</v>
      </c>
    </row>
    <row r="47" spans="1:4" x14ac:dyDescent="0.2">
      <c r="A47" s="30">
        <v>2312</v>
      </c>
      <c r="B47" s="48" t="s">
        <v>911</v>
      </c>
      <c r="C47" s="16"/>
      <c r="D47" s="16"/>
    </row>
    <row r="48" spans="1:4" ht="60" x14ac:dyDescent="0.2">
      <c r="A48" s="30"/>
      <c r="B48" s="269" t="s">
        <v>928</v>
      </c>
      <c r="C48" s="16">
        <f>ROUND(2.23,2)</f>
        <v>2.23</v>
      </c>
      <c r="D48" s="16">
        <f>C48*C62</f>
        <v>4.46</v>
      </c>
    </row>
    <row r="49" spans="1:4" x14ac:dyDescent="0.2">
      <c r="A49" s="30">
        <v>2350</v>
      </c>
      <c r="B49" s="48" t="s">
        <v>123</v>
      </c>
      <c r="C49" s="19"/>
      <c r="D49" s="19"/>
    </row>
    <row r="50" spans="1:4" ht="60" x14ac:dyDescent="0.2">
      <c r="A50" s="30"/>
      <c r="B50" s="48" t="s">
        <v>929</v>
      </c>
      <c r="C50" s="16">
        <f>ROUND(1.11,2)</f>
        <v>1.1100000000000001</v>
      </c>
      <c r="D50" s="16">
        <f>C50*C62</f>
        <v>2.2200000000000002</v>
      </c>
    </row>
    <row r="51" spans="1:4" x14ac:dyDescent="0.2">
      <c r="A51" s="30">
        <v>5120</v>
      </c>
      <c r="B51" s="48" t="s">
        <v>101</v>
      </c>
      <c r="C51" s="19"/>
      <c r="D51" s="16"/>
    </row>
    <row r="52" spans="1:4" ht="60" x14ac:dyDescent="0.2">
      <c r="A52" s="30"/>
      <c r="B52" s="48" t="s">
        <v>930</v>
      </c>
      <c r="C52" s="16">
        <f>ROUND(0.27,2)</f>
        <v>0.27</v>
      </c>
      <c r="D52" s="16">
        <f>C52*C62</f>
        <v>0.54</v>
      </c>
    </row>
    <row r="53" spans="1:4" x14ac:dyDescent="0.2">
      <c r="A53" s="30">
        <v>5220</v>
      </c>
      <c r="B53" s="48" t="s">
        <v>147</v>
      </c>
      <c r="C53" s="16">
        <v>0</v>
      </c>
      <c r="D53" s="16">
        <v>0</v>
      </c>
    </row>
    <row r="54" spans="1:4" x14ac:dyDescent="0.2">
      <c r="A54" s="30">
        <v>5238</v>
      </c>
      <c r="B54" s="48" t="s">
        <v>148</v>
      </c>
      <c r="C54" s="270"/>
      <c r="D54" s="16"/>
    </row>
    <row r="55" spans="1:4" ht="60" x14ac:dyDescent="0.2">
      <c r="A55" s="30"/>
      <c r="B55" s="48" t="s">
        <v>931</v>
      </c>
      <c r="C55" s="16">
        <f>ROUND(0.41,2)</f>
        <v>0.41</v>
      </c>
      <c r="D55" s="16">
        <f>C55*C62</f>
        <v>0.82</v>
      </c>
    </row>
    <row r="56" spans="1:4" x14ac:dyDescent="0.2">
      <c r="A56" s="30"/>
      <c r="B56" s="27" t="s">
        <v>94</v>
      </c>
      <c r="C56" s="37">
        <f>SUM(C21:C55)</f>
        <v>40.659999999999997</v>
      </c>
      <c r="D56" s="37">
        <f>SUM(D21:D55)</f>
        <v>81.319999999999993</v>
      </c>
    </row>
    <row r="57" spans="1:4" x14ac:dyDescent="0.2">
      <c r="A57" s="36"/>
      <c r="B57" s="138" t="s">
        <v>149</v>
      </c>
      <c r="C57" s="37">
        <f>ROUND(C56+C18,4)</f>
        <v>159.75</v>
      </c>
      <c r="D57" s="37">
        <f>ROUND(D56+D18,4)</f>
        <v>319.5</v>
      </c>
    </row>
    <row r="58" spans="1:4" x14ac:dyDescent="0.2">
      <c r="A58" s="36"/>
      <c r="B58" s="138" t="s">
        <v>150</v>
      </c>
      <c r="C58" s="148">
        <f>ROUND(C57*0.21,2)</f>
        <v>33.549999999999997</v>
      </c>
      <c r="D58" s="148">
        <f>C58*C62</f>
        <v>67.099999999999994</v>
      </c>
    </row>
    <row r="59" spans="1:4" x14ac:dyDescent="0.2">
      <c r="A59" s="36"/>
      <c r="B59" s="139" t="s">
        <v>950</v>
      </c>
      <c r="C59" s="148">
        <f>ROUND(C57+C58,2)</f>
        <v>193.3</v>
      </c>
      <c r="D59" s="37">
        <f>D57+D58</f>
        <v>386.6</v>
      </c>
    </row>
    <row r="60" spans="1:4" x14ac:dyDescent="0.2">
      <c r="A60" s="271"/>
      <c r="B60" s="44"/>
      <c r="C60" s="273"/>
      <c r="D60" s="273"/>
    </row>
    <row r="61" spans="1:4" x14ac:dyDescent="0.2">
      <c r="A61" s="3"/>
      <c r="B61" s="9"/>
      <c r="C61" s="9"/>
      <c r="D61" s="5"/>
    </row>
    <row r="62" spans="1:4" x14ac:dyDescent="0.2">
      <c r="A62" s="297" t="s">
        <v>96</v>
      </c>
      <c r="B62" s="298"/>
      <c r="C62" s="20">
        <v>2</v>
      </c>
      <c r="D62" s="21"/>
    </row>
    <row r="63" spans="1:4" x14ac:dyDescent="0.2">
      <c r="A63" s="288" t="s">
        <v>113</v>
      </c>
      <c r="B63" s="289"/>
      <c r="C63" s="149">
        <f>D59/C62</f>
        <v>193.3</v>
      </c>
      <c r="D63" s="21"/>
    </row>
    <row r="64" spans="1:4" ht="15" x14ac:dyDescent="0.25">
      <c r="A64"/>
      <c r="B64"/>
      <c r="C64"/>
      <c r="D64"/>
    </row>
  </sheetData>
  <mergeCells count="7">
    <mergeCell ref="A62:B62"/>
    <mergeCell ref="A63:B63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65"/>
  <sheetViews>
    <sheetView topLeftCell="A37" workbookViewId="0">
      <selection activeCell="C9" sqref="C9"/>
    </sheetView>
  </sheetViews>
  <sheetFormatPr defaultColWidth="9.140625" defaultRowHeight="12" x14ac:dyDescent="0.2"/>
  <cols>
    <col min="1" max="1" width="9.140625" style="150"/>
    <col min="2" max="2" width="61.42578125" style="150" customWidth="1"/>
    <col min="3" max="3" width="10" style="150" customWidth="1"/>
    <col min="4" max="16384" width="9.140625" style="150"/>
  </cols>
  <sheetData>
    <row r="1" spans="1:4" x14ac:dyDescent="0.2">
      <c r="A1" s="290" t="s">
        <v>78</v>
      </c>
      <c r="B1" s="290"/>
      <c r="C1" s="290"/>
      <c r="D1" s="290"/>
    </row>
    <row r="2" spans="1:4" x14ac:dyDescent="0.2">
      <c r="A2" s="3"/>
      <c r="B2" s="3"/>
      <c r="C2" s="291"/>
      <c r="D2" s="292"/>
    </row>
    <row r="3" spans="1:4" x14ac:dyDescent="0.2">
      <c r="A3" s="143" t="s">
        <v>111</v>
      </c>
      <c r="B3" s="4"/>
      <c r="C3" s="4"/>
      <c r="D3" s="4"/>
    </row>
    <row r="4" spans="1:4" x14ac:dyDescent="0.2">
      <c r="A4" s="3"/>
      <c r="B4" s="263"/>
      <c r="C4" s="263"/>
      <c r="D4" s="5"/>
    </row>
    <row r="5" spans="1:4" ht="12" customHeight="1" x14ac:dyDescent="0.2">
      <c r="A5" s="293" t="s">
        <v>932</v>
      </c>
      <c r="B5" s="293"/>
      <c r="C5" s="293"/>
      <c r="D5" s="293"/>
    </row>
    <row r="6" spans="1:4" x14ac:dyDescent="0.2">
      <c r="A6" s="264"/>
      <c r="B6" s="151"/>
      <c r="C6" s="151"/>
      <c r="D6" s="5"/>
    </row>
    <row r="7" spans="1:4" ht="12" customHeight="1" x14ac:dyDescent="0.2">
      <c r="A7" s="294" t="s">
        <v>112</v>
      </c>
      <c r="B7" s="295"/>
      <c r="C7" s="151"/>
      <c r="D7" s="5"/>
    </row>
    <row r="8" spans="1:4" x14ac:dyDescent="0.2">
      <c r="A8" s="3"/>
      <c r="B8" s="8"/>
      <c r="C8" s="9"/>
      <c r="D8" s="5"/>
    </row>
    <row r="9" spans="1:4" x14ac:dyDescent="0.2">
      <c r="A9" s="296" t="s">
        <v>106</v>
      </c>
      <c r="B9" s="296"/>
      <c r="C9" s="25"/>
      <c r="D9" s="26"/>
    </row>
    <row r="10" spans="1:4" ht="120" x14ac:dyDescent="0.2">
      <c r="A10" s="10" t="s">
        <v>140</v>
      </c>
      <c r="B10" s="10" t="s">
        <v>81</v>
      </c>
      <c r="C10" s="10" t="s">
        <v>152</v>
      </c>
      <c r="D10" s="10" t="s">
        <v>83</v>
      </c>
    </row>
    <row r="11" spans="1:4" x14ac:dyDescent="0.2">
      <c r="A11" s="11">
        <v>1</v>
      </c>
      <c r="B11" s="12">
        <v>2</v>
      </c>
      <c r="C11" s="11">
        <v>3</v>
      </c>
      <c r="D11" s="11">
        <v>4</v>
      </c>
    </row>
    <row r="12" spans="1:4" x14ac:dyDescent="0.2">
      <c r="A12" s="11"/>
      <c r="B12" s="27" t="s">
        <v>84</v>
      </c>
      <c r="C12" s="13"/>
      <c r="D12" s="13"/>
    </row>
    <row r="13" spans="1:4" x14ac:dyDescent="0.2">
      <c r="A13" s="28">
        <v>1100</v>
      </c>
      <c r="B13" s="29" t="s">
        <v>85</v>
      </c>
      <c r="C13" s="14"/>
      <c r="D13" s="14"/>
    </row>
    <row r="14" spans="1:4" ht="144.75" customHeight="1" x14ac:dyDescent="0.2">
      <c r="A14" s="30"/>
      <c r="B14" s="15" t="s">
        <v>933</v>
      </c>
      <c r="C14" s="16">
        <v>9.64</v>
      </c>
      <c r="D14" s="16">
        <f>C14*C62</f>
        <v>96.4</v>
      </c>
    </row>
    <row r="15" spans="1:4" ht="27.75" customHeight="1" x14ac:dyDescent="0.2">
      <c r="A15" s="30">
        <v>1200</v>
      </c>
      <c r="B15" s="265" t="s">
        <v>934</v>
      </c>
      <c r="C15" s="16">
        <f>ROUND(C14*0.2359,2)</f>
        <v>2.27</v>
      </c>
      <c r="D15" s="16">
        <f>C15*C62</f>
        <v>22.7</v>
      </c>
    </row>
    <row r="16" spans="1:4" x14ac:dyDescent="0.2">
      <c r="A16" s="30">
        <v>2341</v>
      </c>
      <c r="B16" s="30" t="s">
        <v>86</v>
      </c>
      <c r="C16" s="19"/>
      <c r="D16" s="19"/>
    </row>
    <row r="17" spans="1:10" x14ac:dyDescent="0.2">
      <c r="A17" s="30"/>
      <c r="B17" s="265" t="s">
        <v>155</v>
      </c>
      <c r="C17" s="16">
        <v>0</v>
      </c>
      <c r="D17" s="16">
        <f>C17*C38</f>
        <v>0</v>
      </c>
    </row>
    <row r="18" spans="1:10" x14ac:dyDescent="0.2">
      <c r="A18" s="30"/>
      <c r="B18" s="267" t="s">
        <v>87</v>
      </c>
      <c r="C18" s="37">
        <f>C14+C15+C17</f>
        <v>11.91</v>
      </c>
      <c r="D18" s="37">
        <f>D14+D15+D17</f>
        <v>119.10000000000001</v>
      </c>
    </row>
    <row r="19" spans="1:10" ht="15" x14ac:dyDescent="0.25">
      <c r="A19" s="30"/>
      <c r="B19" s="267" t="s">
        <v>280</v>
      </c>
      <c r="C19" s="19"/>
      <c r="D19" s="19"/>
      <c r="E19"/>
    </row>
    <row r="20" spans="1:10" ht="15" x14ac:dyDescent="0.25">
      <c r="A20" s="277">
        <v>1100</v>
      </c>
      <c r="B20" s="144" t="s">
        <v>85</v>
      </c>
      <c r="C20" s="19"/>
      <c r="D20" s="19"/>
      <c r="E20"/>
    </row>
    <row r="21" spans="1:10" ht="60.75" customHeight="1" x14ac:dyDescent="0.25">
      <c r="A21" s="145"/>
      <c r="B21" s="15" t="s">
        <v>935</v>
      </c>
      <c r="C21" s="16">
        <f>ROUND(7.66/10,2)</f>
        <v>0.77</v>
      </c>
      <c r="D21" s="16">
        <f>C21*C62</f>
        <v>7.7</v>
      </c>
      <c r="E21"/>
      <c r="F21" s="197"/>
      <c r="G21" s="197"/>
      <c r="H21" s="197"/>
      <c r="I21" s="197"/>
      <c r="J21" s="197"/>
    </row>
    <row r="22" spans="1:10" ht="24" x14ac:dyDescent="0.25">
      <c r="A22" s="146">
        <v>1200</v>
      </c>
      <c r="B22" s="265" t="s">
        <v>901</v>
      </c>
      <c r="C22" s="16">
        <f>ROUND(C21*0.2359,2)</f>
        <v>0.18</v>
      </c>
      <c r="D22" s="16">
        <f>C22*C62</f>
        <v>1.7999999999999998</v>
      </c>
      <c r="E22"/>
    </row>
    <row r="23" spans="1:10" ht="15" x14ac:dyDescent="0.25">
      <c r="A23" s="30">
        <v>2210</v>
      </c>
      <c r="B23" s="48" t="s">
        <v>141</v>
      </c>
      <c r="C23" s="19"/>
      <c r="D23" s="19"/>
      <c r="E23"/>
    </row>
    <row r="24" spans="1:10" ht="80.25" customHeight="1" x14ac:dyDescent="0.25">
      <c r="A24" s="30"/>
      <c r="B24" s="48" t="s">
        <v>936</v>
      </c>
      <c r="C24" s="16">
        <f>ROUND(1.05/10,2)</f>
        <v>0.11</v>
      </c>
      <c r="D24" s="16">
        <f>C24*C62</f>
        <v>1.1000000000000001</v>
      </c>
      <c r="E24"/>
    </row>
    <row r="25" spans="1:10" ht="15" x14ac:dyDescent="0.25">
      <c r="A25" s="30">
        <v>2221</v>
      </c>
      <c r="B25" s="48" t="s">
        <v>89</v>
      </c>
      <c r="C25" s="19"/>
      <c r="D25" s="19"/>
      <c r="E25"/>
    </row>
    <row r="26" spans="1:10" ht="72.75" customHeight="1" x14ac:dyDescent="0.25">
      <c r="A26" s="30"/>
      <c r="B26" s="48" t="s">
        <v>937</v>
      </c>
      <c r="C26" s="16">
        <f>ROUND(1.76/10,2)</f>
        <v>0.18</v>
      </c>
      <c r="D26" s="16">
        <f>C26*C62</f>
        <v>1.7999999999999998</v>
      </c>
      <c r="E26"/>
    </row>
    <row r="27" spans="1:10" ht="15" x14ac:dyDescent="0.25">
      <c r="A27" s="30">
        <v>2222</v>
      </c>
      <c r="B27" s="48" t="s">
        <v>90</v>
      </c>
      <c r="C27" s="19"/>
      <c r="D27" s="19"/>
      <c r="E27"/>
    </row>
    <row r="28" spans="1:10" ht="15" x14ac:dyDescent="0.25">
      <c r="A28" s="30"/>
      <c r="B28" s="48" t="s">
        <v>904</v>
      </c>
      <c r="C28" s="16">
        <f>ROUND(0/10,2)</f>
        <v>0</v>
      </c>
      <c r="D28" s="16">
        <f>C28*C62</f>
        <v>0</v>
      </c>
      <c r="E28"/>
    </row>
    <row r="29" spans="1:10" ht="15" x14ac:dyDescent="0.25">
      <c r="A29" s="30">
        <v>2223</v>
      </c>
      <c r="B29" s="30" t="s">
        <v>91</v>
      </c>
      <c r="C29" s="19"/>
      <c r="D29" s="19"/>
      <c r="E29"/>
    </row>
    <row r="30" spans="1:10" ht="77.25" customHeight="1" x14ac:dyDescent="0.25">
      <c r="A30" s="30"/>
      <c r="B30" s="48" t="s">
        <v>938</v>
      </c>
      <c r="C30" s="16">
        <f>ROUND(4.62/10,2)</f>
        <v>0.46</v>
      </c>
      <c r="D30" s="16">
        <f>C30*C62</f>
        <v>4.6000000000000005</v>
      </c>
      <c r="E30"/>
    </row>
    <row r="31" spans="1:10" ht="15" x14ac:dyDescent="0.25">
      <c r="A31" s="30">
        <v>2224</v>
      </c>
      <c r="B31" s="48" t="s">
        <v>142</v>
      </c>
      <c r="C31" s="19"/>
      <c r="D31" s="19"/>
      <c r="E31"/>
    </row>
    <row r="32" spans="1:10" ht="15" x14ac:dyDescent="0.25">
      <c r="A32" s="30"/>
      <c r="B32" s="48" t="s">
        <v>904</v>
      </c>
      <c r="C32" s="16">
        <f>ROUND(0/10,2)</f>
        <v>0</v>
      </c>
      <c r="D32" s="16">
        <f>ROUND(C32*C62,2)</f>
        <v>0</v>
      </c>
      <c r="E32"/>
    </row>
    <row r="33" spans="1:5" ht="12" customHeight="1" x14ac:dyDescent="0.25">
      <c r="A33" s="30">
        <v>2231</v>
      </c>
      <c r="B33" s="48" t="s">
        <v>121</v>
      </c>
      <c r="C33" s="19"/>
      <c r="D33" s="19"/>
      <c r="E33"/>
    </row>
    <row r="34" spans="1:5" ht="71.25" customHeight="1" x14ac:dyDescent="0.25">
      <c r="A34" s="30"/>
      <c r="B34" s="48" t="s">
        <v>939</v>
      </c>
      <c r="C34" s="16">
        <f>ROUND(1.33/10,2)</f>
        <v>0.13</v>
      </c>
      <c r="D34" s="16">
        <f>C34*C62</f>
        <v>1.3</v>
      </c>
      <c r="E34"/>
    </row>
    <row r="35" spans="1:5" ht="15" x14ac:dyDescent="0.25">
      <c r="A35" s="30">
        <v>2233</v>
      </c>
      <c r="B35" s="48" t="s">
        <v>143</v>
      </c>
      <c r="C35" s="16"/>
      <c r="D35" s="16"/>
      <c r="E35"/>
    </row>
    <row r="36" spans="1:5" ht="15" x14ac:dyDescent="0.25">
      <c r="A36" s="30"/>
      <c r="B36" s="48" t="s">
        <v>144</v>
      </c>
      <c r="C36" s="16">
        <v>0</v>
      </c>
      <c r="D36" s="16">
        <f>C36*C64</f>
        <v>0</v>
      </c>
      <c r="E36"/>
    </row>
    <row r="37" spans="1:5" ht="15" x14ac:dyDescent="0.25">
      <c r="A37" s="30">
        <v>2243</v>
      </c>
      <c r="B37" s="48" t="s">
        <v>100</v>
      </c>
      <c r="C37" s="16"/>
      <c r="D37" s="16"/>
      <c r="E37"/>
    </row>
    <row r="38" spans="1:5" ht="84" x14ac:dyDescent="0.25">
      <c r="A38" s="30"/>
      <c r="B38" s="48" t="s">
        <v>940</v>
      </c>
      <c r="C38" s="16">
        <f>ROUND(1.66/10,2)</f>
        <v>0.17</v>
      </c>
      <c r="D38" s="18">
        <f>C38*C62</f>
        <v>1.7000000000000002</v>
      </c>
      <c r="E38"/>
    </row>
    <row r="39" spans="1:5" ht="15" x14ac:dyDescent="0.25">
      <c r="A39" s="30">
        <v>2244</v>
      </c>
      <c r="B39" s="48" t="s">
        <v>92</v>
      </c>
      <c r="C39" s="19"/>
      <c r="D39" s="74"/>
      <c r="E39"/>
    </row>
    <row r="40" spans="1:5" ht="84" x14ac:dyDescent="0.25">
      <c r="A40" s="274"/>
      <c r="B40" s="48" t="s">
        <v>941</v>
      </c>
      <c r="C40" s="16">
        <f>ROUND(1.25/10,2)</f>
        <v>0.13</v>
      </c>
      <c r="D40" s="18">
        <f>C40*C62</f>
        <v>1.3</v>
      </c>
      <c r="E40"/>
    </row>
    <row r="41" spans="1:5" ht="15" x14ac:dyDescent="0.25">
      <c r="A41" s="30">
        <v>2250</v>
      </c>
      <c r="B41" s="48" t="s">
        <v>145</v>
      </c>
      <c r="C41" s="19"/>
      <c r="D41" s="16"/>
      <c r="E41"/>
    </row>
    <row r="42" spans="1:5" ht="84" x14ac:dyDescent="0.25">
      <c r="A42" s="30"/>
      <c r="B42" s="269" t="s">
        <v>942</v>
      </c>
      <c r="C42" s="16">
        <f>ROUND(3.45/10,2)</f>
        <v>0.35</v>
      </c>
      <c r="D42" s="16">
        <f>C42*C62</f>
        <v>3.5</v>
      </c>
      <c r="E42"/>
    </row>
    <row r="43" spans="1:5" ht="15" x14ac:dyDescent="0.25">
      <c r="A43" s="30">
        <v>2261</v>
      </c>
      <c r="B43" s="269" t="s">
        <v>146</v>
      </c>
      <c r="C43" s="16"/>
      <c r="D43" s="16"/>
      <c r="E43"/>
    </row>
    <row r="44" spans="1:5" ht="84" x14ac:dyDescent="0.25">
      <c r="A44" s="30"/>
      <c r="B44" s="269" t="s">
        <v>943</v>
      </c>
      <c r="C44" s="16">
        <f>ROUND(12.05/10,2)</f>
        <v>1.21</v>
      </c>
      <c r="D44" s="16">
        <f>C44*C62</f>
        <v>12.1</v>
      </c>
      <c r="E44"/>
    </row>
    <row r="45" spans="1:5" ht="15" x14ac:dyDescent="0.25">
      <c r="A45" s="30">
        <v>2311</v>
      </c>
      <c r="B45" s="48" t="s">
        <v>93</v>
      </c>
      <c r="C45" s="19"/>
      <c r="D45" s="19"/>
      <c r="E45"/>
    </row>
    <row r="46" spans="1:5" ht="15" x14ac:dyDescent="0.25">
      <c r="A46" s="30"/>
      <c r="B46" s="48" t="s">
        <v>904</v>
      </c>
      <c r="C46" s="16">
        <f>ROUND(0/10,2)</f>
        <v>0</v>
      </c>
      <c r="D46" s="16">
        <f>C46*C62</f>
        <v>0</v>
      </c>
      <c r="E46"/>
    </row>
    <row r="47" spans="1:5" ht="15" x14ac:dyDescent="0.25">
      <c r="A47" s="30">
        <v>2312</v>
      </c>
      <c r="B47" s="48" t="s">
        <v>911</v>
      </c>
      <c r="C47" s="16"/>
      <c r="D47" s="16"/>
      <c r="E47"/>
    </row>
    <row r="48" spans="1:5" ht="84" x14ac:dyDescent="0.25">
      <c r="A48" s="30"/>
      <c r="B48" s="269" t="s">
        <v>944</v>
      </c>
      <c r="C48" s="16">
        <f>ROUND(2.23/10,2)</f>
        <v>0.22</v>
      </c>
      <c r="D48" s="16">
        <f>C48*C62</f>
        <v>2.2000000000000002</v>
      </c>
      <c r="E48"/>
    </row>
    <row r="49" spans="1:5" ht="15" x14ac:dyDescent="0.25">
      <c r="A49" s="30">
        <v>2350</v>
      </c>
      <c r="B49" s="48" t="s">
        <v>123</v>
      </c>
      <c r="C49" s="19"/>
      <c r="D49" s="19"/>
      <c r="E49"/>
    </row>
    <row r="50" spans="1:5" ht="84" x14ac:dyDescent="0.25">
      <c r="A50" s="30"/>
      <c r="B50" s="48" t="s">
        <v>945</v>
      </c>
      <c r="C50" s="16">
        <f>ROUND(1.11/10,2)</f>
        <v>0.11</v>
      </c>
      <c r="D50" s="16">
        <f>C50*C62</f>
        <v>1.1000000000000001</v>
      </c>
      <c r="E50"/>
    </row>
    <row r="51" spans="1:5" ht="15" x14ac:dyDescent="0.25">
      <c r="A51" s="30">
        <v>5120</v>
      </c>
      <c r="B51" s="48" t="s">
        <v>101</v>
      </c>
      <c r="C51" s="19"/>
      <c r="D51" s="16"/>
      <c r="E51"/>
    </row>
    <row r="52" spans="1:5" ht="84" x14ac:dyDescent="0.25">
      <c r="A52" s="30"/>
      <c r="B52" s="48" t="s">
        <v>946</v>
      </c>
      <c r="C52" s="16">
        <f>ROUND(0.27/10,2)</f>
        <v>0.03</v>
      </c>
      <c r="D52" s="16">
        <f>C52*C62</f>
        <v>0.3</v>
      </c>
      <c r="E52"/>
    </row>
    <row r="53" spans="1:5" ht="15" x14ac:dyDescent="0.25">
      <c r="A53" s="30">
        <v>5220</v>
      </c>
      <c r="B53" s="48" t="s">
        <v>147</v>
      </c>
      <c r="C53" s="16">
        <v>0</v>
      </c>
      <c r="D53" s="16">
        <v>0</v>
      </c>
      <c r="E53"/>
    </row>
    <row r="54" spans="1:5" ht="15" x14ac:dyDescent="0.25">
      <c r="A54" s="30">
        <v>5238</v>
      </c>
      <c r="B54" s="48" t="s">
        <v>148</v>
      </c>
      <c r="C54" s="270"/>
      <c r="D54" s="16"/>
      <c r="E54"/>
    </row>
    <row r="55" spans="1:5" ht="84" x14ac:dyDescent="0.25">
      <c r="A55" s="30"/>
      <c r="B55" s="48" t="s">
        <v>947</v>
      </c>
      <c r="C55" s="16">
        <f>ROUND(0.41/10,2)</f>
        <v>0.04</v>
      </c>
      <c r="D55" s="16">
        <f>C55*C62</f>
        <v>0.4</v>
      </c>
      <c r="E55"/>
    </row>
    <row r="56" spans="1:5" ht="15" x14ac:dyDescent="0.25">
      <c r="A56" s="30"/>
      <c r="B56" s="27" t="s">
        <v>94</v>
      </c>
      <c r="C56" s="37">
        <f>SUM(C21:C55)</f>
        <v>4.0900000000000007</v>
      </c>
      <c r="D56" s="37">
        <f>SUM(D21:D55)</f>
        <v>40.9</v>
      </c>
      <c r="E56"/>
    </row>
    <row r="57" spans="1:5" ht="15" x14ac:dyDescent="0.25">
      <c r="A57" s="36"/>
      <c r="B57" s="138" t="s">
        <v>149</v>
      </c>
      <c r="C57" s="37">
        <f>ROUND(C56+C18,4)</f>
        <v>16</v>
      </c>
      <c r="D57" s="37">
        <f>ROUND(D56+D18,4)</f>
        <v>160</v>
      </c>
      <c r="E57"/>
    </row>
    <row r="58" spans="1:5" ht="15" x14ac:dyDescent="0.25">
      <c r="A58" s="36"/>
      <c r="B58" s="138" t="s">
        <v>150</v>
      </c>
      <c r="C58" s="148">
        <f>ROUND(C57*0.21,2)</f>
        <v>3.36</v>
      </c>
      <c r="D58" s="148">
        <f>C58*C62</f>
        <v>33.6</v>
      </c>
      <c r="E58"/>
    </row>
    <row r="59" spans="1:5" ht="15" x14ac:dyDescent="0.25">
      <c r="A59" s="36"/>
      <c r="B59" s="139" t="s">
        <v>151</v>
      </c>
      <c r="C59" s="148">
        <f>ROUND(C57+C58,2)</f>
        <v>19.36</v>
      </c>
      <c r="D59" s="37">
        <f>D57+D58</f>
        <v>193.6</v>
      </c>
      <c r="E59"/>
    </row>
    <row r="60" spans="1:5" ht="15" x14ac:dyDescent="0.25">
      <c r="A60" s="271"/>
      <c r="B60" s="44"/>
      <c r="C60" s="273"/>
      <c r="D60" s="273"/>
      <c r="E60"/>
    </row>
    <row r="61" spans="1:5" ht="15" x14ac:dyDescent="0.25">
      <c r="A61" s="3"/>
      <c r="B61" s="9"/>
      <c r="C61" s="9"/>
      <c r="D61" s="5"/>
      <c r="E61"/>
    </row>
    <row r="62" spans="1:5" ht="15" x14ac:dyDescent="0.25">
      <c r="A62" s="297" t="s">
        <v>96</v>
      </c>
      <c r="B62" s="298"/>
      <c r="C62" s="20">
        <v>10</v>
      </c>
      <c r="D62" s="21"/>
      <c r="E62"/>
    </row>
    <row r="63" spans="1:5" ht="15" x14ac:dyDescent="0.25">
      <c r="A63" s="288" t="s">
        <v>113</v>
      </c>
      <c r="B63" s="289"/>
      <c r="C63" s="149">
        <f>D59/C62</f>
        <v>19.36</v>
      </c>
      <c r="D63" s="21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</sheetData>
  <mergeCells count="7">
    <mergeCell ref="A62:B62"/>
    <mergeCell ref="A63:B63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8296-6906-415D-A74C-0F32DF17BF86}">
  <dimension ref="A1:E88"/>
  <sheetViews>
    <sheetView topLeftCell="A76" zoomScale="98" zoomScaleNormal="98" workbookViewId="0">
      <selection activeCell="B83" sqref="B83"/>
    </sheetView>
  </sheetViews>
  <sheetFormatPr defaultRowHeight="15" x14ac:dyDescent="0.25"/>
  <cols>
    <col min="1" max="1" width="6.28515625" customWidth="1"/>
    <col min="2" max="2" width="57.5703125" customWidth="1"/>
    <col min="3" max="3" width="13.5703125" customWidth="1"/>
    <col min="4" max="4" width="13.7109375" customWidth="1"/>
  </cols>
  <sheetData>
    <row r="1" spans="1:5" x14ac:dyDescent="0.25">
      <c r="A1" s="304" t="s">
        <v>78</v>
      </c>
      <c r="B1" s="304"/>
      <c r="C1" s="304"/>
      <c r="D1" s="304"/>
    </row>
    <row r="2" spans="1:5" ht="6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7.5" customHeight="1" x14ac:dyDescent="0.25">
      <c r="A4" s="55"/>
      <c r="B4" s="58"/>
      <c r="C4" s="58"/>
      <c r="D4" s="59"/>
    </row>
    <row r="5" spans="1:5" ht="15" customHeight="1" x14ac:dyDescent="0.25">
      <c r="A5" s="307" t="s">
        <v>308</v>
      </c>
      <c r="B5" s="307"/>
      <c r="C5" s="307"/>
      <c r="D5" s="307"/>
    </row>
    <row r="6" spans="1:5" ht="11.25" customHeight="1" x14ac:dyDescent="0.25">
      <c r="A6" s="236"/>
      <c r="B6" s="60"/>
      <c r="C6" s="60"/>
      <c r="D6" s="59"/>
    </row>
    <row r="7" spans="1:5" x14ac:dyDescent="0.25">
      <c r="A7" s="308" t="s">
        <v>112</v>
      </c>
      <c r="B7" s="308"/>
      <c r="C7" s="60"/>
      <c r="D7" s="59"/>
    </row>
    <row r="8" spans="1:5" x14ac:dyDescent="0.25">
      <c r="A8" s="309" t="s">
        <v>187</v>
      </c>
      <c r="B8" s="309"/>
      <c r="C8" s="62"/>
      <c r="D8" s="59"/>
    </row>
    <row r="9" spans="1:5" ht="78" customHeight="1" x14ac:dyDescent="0.25">
      <c r="A9" s="63" t="s">
        <v>80</v>
      </c>
      <c r="B9" s="63" t="s">
        <v>81</v>
      </c>
      <c r="C9" s="63" t="s">
        <v>82</v>
      </c>
      <c r="D9" s="63" t="s">
        <v>83</v>
      </c>
    </row>
    <row r="10" spans="1:5" x14ac:dyDescent="0.25">
      <c r="A10" s="64">
        <v>1</v>
      </c>
      <c r="B10" s="65">
        <v>2</v>
      </c>
      <c r="C10" s="64">
        <v>3</v>
      </c>
      <c r="D10" s="64">
        <v>4</v>
      </c>
    </row>
    <row r="11" spans="1:5" x14ac:dyDescent="0.25">
      <c r="A11" s="66"/>
      <c r="B11" s="67" t="s">
        <v>84</v>
      </c>
      <c r="C11" s="68"/>
      <c r="D11" s="68"/>
    </row>
    <row r="12" spans="1:5" x14ac:dyDescent="0.25">
      <c r="A12" s="69">
        <v>1100</v>
      </c>
      <c r="B12" s="70" t="s">
        <v>85</v>
      </c>
      <c r="C12" s="71"/>
      <c r="D12" s="71"/>
    </row>
    <row r="13" spans="1:5" ht="88.5" customHeight="1" x14ac:dyDescent="0.25">
      <c r="A13" s="50"/>
      <c r="B13" s="72" t="s">
        <v>335</v>
      </c>
      <c r="C13" s="18">
        <f>0.17*6</f>
        <v>1.02</v>
      </c>
      <c r="D13" s="18">
        <f>C13*269</f>
        <v>274.38</v>
      </c>
    </row>
    <row r="14" spans="1:5" ht="24" x14ac:dyDescent="0.25">
      <c r="A14" s="50">
        <v>1200</v>
      </c>
      <c r="B14" s="73" t="s">
        <v>324</v>
      </c>
      <c r="C14" s="18">
        <f>ROUND(C13*0.2359,2)</f>
        <v>0.24</v>
      </c>
      <c r="D14" s="18">
        <f>C14*269</f>
        <v>64.56</v>
      </c>
      <c r="E14" s="181"/>
    </row>
    <row r="15" spans="1:5" x14ac:dyDescent="0.25">
      <c r="A15" s="35">
        <v>2341</v>
      </c>
      <c r="B15" s="35" t="s">
        <v>97</v>
      </c>
      <c r="C15" s="18"/>
      <c r="D15" s="74"/>
    </row>
    <row r="16" spans="1:5" ht="97.5" customHeight="1" x14ac:dyDescent="0.25">
      <c r="A16" s="50"/>
      <c r="B16" s="73" t="s">
        <v>327</v>
      </c>
      <c r="C16" s="18">
        <v>1.08</v>
      </c>
      <c r="D16" s="18">
        <f>C16*269</f>
        <v>290.52000000000004</v>
      </c>
    </row>
    <row r="17" spans="1:5" x14ac:dyDescent="0.25">
      <c r="A17" s="50"/>
      <c r="B17" s="75" t="s">
        <v>87</v>
      </c>
      <c r="C17" s="82">
        <f>SUM(C12:C16)</f>
        <v>2.34</v>
      </c>
      <c r="D17" s="82">
        <f>SUM(D12:D16)</f>
        <v>629.46</v>
      </c>
      <c r="E17" s="181"/>
    </row>
    <row r="18" spans="1:5" x14ac:dyDescent="0.25">
      <c r="A18" s="77"/>
      <c r="B18" s="92" t="s">
        <v>88</v>
      </c>
      <c r="C18" s="78"/>
      <c r="D18" s="78"/>
    </row>
    <row r="19" spans="1:5" ht="15" customHeight="1" x14ac:dyDescent="0.25">
      <c r="A19" s="35">
        <v>2100</v>
      </c>
      <c r="B19" s="244" t="s">
        <v>584</v>
      </c>
      <c r="C19" s="78"/>
      <c r="D19" s="78"/>
    </row>
    <row r="20" spans="1:5" ht="63" customHeight="1" x14ac:dyDescent="0.25">
      <c r="A20" s="77"/>
      <c r="B20" s="40" t="s">
        <v>952</v>
      </c>
      <c r="C20" s="74">
        <f>ROUND(31.85/9509,5)</f>
        <v>3.3500000000000001E-3</v>
      </c>
      <c r="D20" s="18">
        <f>C20*269</f>
        <v>0.90115000000000001</v>
      </c>
    </row>
    <row r="21" spans="1:5" x14ac:dyDescent="0.25">
      <c r="A21" s="35">
        <v>2210</v>
      </c>
      <c r="B21" s="40" t="s">
        <v>568</v>
      </c>
      <c r="C21" s="74"/>
      <c r="D21" s="74"/>
    </row>
    <row r="22" spans="1:5" ht="63.75" customHeight="1" x14ac:dyDescent="0.25">
      <c r="A22" s="35"/>
      <c r="B22" s="40" t="s">
        <v>953</v>
      </c>
      <c r="C22" s="74">
        <f>ROUND(228.88/9509,5)</f>
        <v>2.4070000000000001E-2</v>
      </c>
      <c r="D22" s="18">
        <f>C22*269</f>
        <v>6.4748299999999999</v>
      </c>
    </row>
    <row r="23" spans="1:5" x14ac:dyDescent="0.25">
      <c r="A23" s="35">
        <v>2221</v>
      </c>
      <c r="B23" s="40" t="s">
        <v>89</v>
      </c>
      <c r="C23" s="18"/>
      <c r="D23" s="18"/>
    </row>
    <row r="24" spans="1:5" ht="60" x14ac:dyDescent="0.25">
      <c r="A24" s="35"/>
      <c r="B24" s="40" t="s">
        <v>954</v>
      </c>
      <c r="C24" s="18">
        <f>ROUND(382.73/9509,5)</f>
        <v>4.0250000000000001E-2</v>
      </c>
      <c r="D24" s="18">
        <f t="shared" ref="D24:D81" si="0">C24*269</f>
        <v>10.827250000000001</v>
      </c>
      <c r="E24" s="187"/>
    </row>
    <row r="25" spans="1:5" x14ac:dyDescent="0.25">
      <c r="A25" s="35">
        <v>2222</v>
      </c>
      <c r="B25" s="242" t="s">
        <v>90</v>
      </c>
      <c r="C25" s="18"/>
      <c r="D25" s="18"/>
      <c r="E25" s="187"/>
    </row>
    <row r="26" spans="1:5" ht="69.75" customHeight="1" x14ac:dyDescent="0.25">
      <c r="A26" s="35"/>
      <c r="B26" s="40" t="s">
        <v>955</v>
      </c>
      <c r="C26" s="74">
        <f>ROUND(38.69/9509,4)</f>
        <v>4.1000000000000003E-3</v>
      </c>
      <c r="D26" s="18">
        <f t="shared" ref="D26" si="1">C26*269</f>
        <v>1.1029</v>
      </c>
      <c r="E26" s="187"/>
    </row>
    <row r="27" spans="1:5" x14ac:dyDescent="0.25">
      <c r="A27" s="35">
        <v>2223</v>
      </c>
      <c r="B27" s="35" t="s">
        <v>91</v>
      </c>
      <c r="C27" s="74"/>
      <c r="D27" s="18"/>
    </row>
    <row r="28" spans="1:5" ht="60" x14ac:dyDescent="0.25">
      <c r="A28" s="35"/>
      <c r="B28" s="40" t="s">
        <v>956</v>
      </c>
      <c r="C28" s="74">
        <f>ROUND(1004.28/9509,5)</f>
        <v>0.10561</v>
      </c>
      <c r="D28" s="18">
        <f>C28*269</f>
        <v>28.409089999999999</v>
      </c>
    </row>
    <row r="29" spans="1:5" ht="25.5" customHeight="1" x14ac:dyDescent="0.25">
      <c r="A29" s="35">
        <v>2224</v>
      </c>
      <c r="B29" s="40" t="s">
        <v>115</v>
      </c>
      <c r="C29" s="74"/>
      <c r="D29" s="18"/>
    </row>
    <row r="30" spans="1:5" ht="62.25" customHeight="1" x14ac:dyDescent="0.25">
      <c r="A30" s="34"/>
      <c r="B30" s="40" t="s">
        <v>957</v>
      </c>
      <c r="C30" s="74">
        <f>ROUND(82.8/9509,4)</f>
        <v>8.6999999999999994E-3</v>
      </c>
      <c r="D30" s="18">
        <f t="shared" si="0"/>
        <v>2.3403</v>
      </c>
    </row>
    <row r="31" spans="1:5" x14ac:dyDescent="0.25">
      <c r="A31" s="35">
        <v>2231</v>
      </c>
      <c r="B31" s="40" t="s">
        <v>121</v>
      </c>
      <c r="C31" s="74"/>
      <c r="D31" s="18"/>
    </row>
    <row r="32" spans="1:5" ht="63" customHeight="1" x14ac:dyDescent="0.25">
      <c r="A32" s="35"/>
      <c r="B32" s="40" t="s">
        <v>958</v>
      </c>
      <c r="C32" s="18">
        <f>ROUND(289.4/9509,4)</f>
        <v>3.04E-2</v>
      </c>
      <c r="D32" s="18">
        <f>C32*269</f>
        <v>8.1776</v>
      </c>
    </row>
    <row r="33" spans="1:4" ht="14.25" customHeight="1" x14ac:dyDescent="0.25">
      <c r="A33" s="35">
        <v>2233</v>
      </c>
      <c r="B33" s="242" t="s">
        <v>143</v>
      </c>
      <c r="C33" s="18"/>
      <c r="D33" s="18"/>
    </row>
    <row r="34" spans="1:4" ht="63" customHeight="1" x14ac:dyDescent="0.25">
      <c r="A34" s="35"/>
      <c r="B34" s="40" t="s">
        <v>959</v>
      </c>
      <c r="C34" s="74">
        <f>ROUND(20.68/9509,4)</f>
        <v>2.2000000000000001E-3</v>
      </c>
      <c r="D34" s="18">
        <f t="shared" ref="D34" si="2">C34*269</f>
        <v>0.59179999999999999</v>
      </c>
    </row>
    <row r="35" spans="1:4" ht="17.25" customHeight="1" x14ac:dyDescent="0.25">
      <c r="A35" s="35">
        <v>2235</v>
      </c>
      <c r="B35" s="242" t="s">
        <v>569</v>
      </c>
      <c r="C35" s="74"/>
      <c r="D35" s="18"/>
    </row>
    <row r="36" spans="1:4" ht="63" customHeight="1" x14ac:dyDescent="0.25">
      <c r="A36" s="35"/>
      <c r="B36" s="40" t="s">
        <v>960</v>
      </c>
      <c r="C36" s="74">
        <f>ROUND(58.15/9509,4)</f>
        <v>6.1000000000000004E-3</v>
      </c>
      <c r="D36" s="18">
        <f t="shared" ref="D36" si="3">C36*269</f>
        <v>1.6409</v>
      </c>
    </row>
    <row r="37" spans="1:4" ht="15" customHeight="1" x14ac:dyDescent="0.25">
      <c r="A37" s="35">
        <v>2239</v>
      </c>
      <c r="B37" s="242" t="s">
        <v>570</v>
      </c>
      <c r="C37" s="74"/>
      <c r="D37" s="18"/>
    </row>
    <row r="38" spans="1:4" ht="63" customHeight="1" x14ac:dyDescent="0.25">
      <c r="A38" s="35"/>
      <c r="B38" s="40" t="s">
        <v>961</v>
      </c>
      <c r="C38" s="74">
        <f>ROUND(524.45/9509,4)</f>
        <v>5.5199999999999999E-2</v>
      </c>
      <c r="D38" s="18">
        <f t="shared" ref="D38" si="4">C38*269</f>
        <v>14.848799999999999</v>
      </c>
    </row>
    <row r="39" spans="1:4" ht="14.25" customHeight="1" x14ac:dyDescent="0.25">
      <c r="A39" s="35">
        <v>2242</v>
      </c>
      <c r="B39" s="242" t="s">
        <v>571</v>
      </c>
      <c r="C39" s="74"/>
      <c r="D39" s="18"/>
    </row>
    <row r="40" spans="1:4" ht="63" customHeight="1" x14ac:dyDescent="0.25">
      <c r="A40" s="35"/>
      <c r="B40" s="40" t="s">
        <v>962</v>
      </c>
      <c r="C40" s="74">
        <f>ROUND(131.923/9509,4)</f>
        <v>1.3899999999999999E-2</v>
      </c>
      <c r="D40" s="18">
        <f t="shared" ref="D40" si="5">C40*269</f>
        <v>3.7390999999999996</v>
      </c>
    </row>
    <row r="41" spans="1:4" x14ac:dyDescent="0.25">
      <c r="A41" s="35">
        <v>2243</v>
      </c>
      <c r="B41" s="40" t="s">
        <v>100</v>
      </c>
      <c r="C41" s="18"/>
      <c r="D41" s="18"/>
    </row>
    <row r="42" spans="1:4" ht="74.25" customHeight="1" x14ac:dyDescent="0.25">
      <c r="A42" s="35"/>
      <c r="B42" s="40" t="s">
        <v>963</v>
      </c>
      <c r="C42" s="74">
        <f>ROUND(360.94/9509,4)</f>
        <v>3.7999999999999999E-2</v>
      </c>
      <c r="D42" s="18">
        <f t="shared" si="0"/>
        <v>10.222</v>
      </c>
    </row>
    <row r="43" spans="1:4" x14ac:dyDescent="0.25">
      <c r="A43" s="35">
        <v>2244</v>
      </c>
      <c r="B43" s="40" t="s">
        <v>92</v>
      </c>
      <c r="C43" s="18"/>
      <c r="D43" s="18"/>
    </row>
    <row r="44" spans="1:4" ht="60" x14ac:dyDescent="0.25">
      <c r="A44" s="79"/>
      <c r="B44" s="40" t="s">
        <v>708</v>
      </c>
      <c r="C44" s="74">
        <f>ROUND(272.76/9509,4)</f>
        <v>2.87E-2</v>
      </c>
      <c r="D44" s="18">
        <f t="shared" ref="D44" si="6">C44*269</f>
        <v>7.7202999999999999</v>
      </c>
    </row>
    <row r="45" spans="1:4" x14ac:dyDescent="0.25">
      <c r="A45" s="35">
        <v>2247</v>
      </c>
      <c r="B45" s="242" t="s">
        <v>572</v>
      </c>
      <c r="C45" s="18"/>
      <c r="D45" s="18"/>
    </row>
    <row r="46" spans="1:4" ht="58.5" customHeight="1" x14ac:dyDescent="0.25">
      <c r="A46" s="79"/>
      <c r="B46" s="40" t="s">
        <v>964</v>
      </c>
      <c r="C46" s="74">
        <f>ROUND(12.06/9509,4)</f>
        <v>1.2999999999999999E-3</v>
      </c>
      <c r="D46" s="18">
        <f t="shared" ref="D46" si="7">C46*269</f>
        <v>0.34970000000000001</v>
      </c>
    </row>
    <row r="47" spans="1:4" ht="14.25" customHeight="1" x14ac:dyDescent="0.25">
      <c r="A47" s="35">
        <v>2249</v>
      </c>
      <c r="B47" s="242" t="s">
        <v>573</v>
      </c>
      <c r="C47" s="18"/>
      <c r="D47" s="18"/>
    </row>
    <row r="48" spans="1:4" ht="66.75" customHeight="1" x14ac:dyDescent="0.25">
      <c r="A48" s="79"/>
      <c r="B48" s="40" t="s">
        <v>965</v>
      </c>
      <c r="C48" s="74">
        <f>ROUND(23.35/9509,4)</f>
        <v>2.5000000000000001E-3</v>
      </c>
      <c r="D48" s="18">
        <f t="shared" ref="D48" si="8">C48*269</f>
        <v>0.67249999999999999</v>
      </c>
    </row>
    <row r="49" spans="1:4" x14ac:dyDescent="0.25">
      <c r="A49" s="35">
        <v>2250</v>
      </c>
      <c r="B49" s="40" t="s">
        <v>122</v>
      </c>
      <c r="C49" s="74"/>
      <c r="D49" s="18"/>
    </row>
    <row r="50" spans="1:4" ht="60" x14ac:dyDescent="0.25">
      <c r="A50" s="35"/>
      <c r="B50" s="40" t="s">
        <v>966</v>
      </c>
      <c r="C50" s="74">
        <f>ROUND(750.97/9509,4)</f>
        <v>7.9000000000000001E-2</v>
      </c>
      <c r="D50" s="18">
        <f t="shared" si="0"/>
        <v>21.251000000000001</v>
      </c>
    </row>
    <row r="51" spans="1:4" x14ac:dyDescent="0.25">
      <c r="A51" s="35">
        <v>2261</v>
      </c>
      <c r="B51" s="242" t="s">
        <v>146</v>
      </c>
      <c r="C51" s="18"/>
      <c r="D51" s="18"/>
    </row>
    <row r="52" spans="1:4" ht="65.25" customHeight="1" x14ac:dyDescent="0.25">
      <c r="A52" s="35"/>
      <c r="B52" s="40" t="s">
        <v>967</v>
      </c>
      <c r="C52" s="74">
        <f>ROUND(2620.34/9509,4)</f>
        <v>0.27560000000000001</v>
      </c>
      <c r="D52" s="18">
        <f t="shared" ref="D52" si="9">C52*269</f>
        <v>74.136400000000009</v>
      </c>
    </row>
    <row r="53" spans="1:4" ht="17.25" customHeight="1" x14ac:dyDescent="0.25">
      <c r="A53" s="35">
        <v>2263</v>
      </c>
      <c r="B53" s="242" t="s">
        <v>574</v>
      </c>
      <c r="C53" s="18"/>
      <c r="D53" s="18"/>
    </row>
    <row r="54" spans="1:4" ht="65.25" customHeight="1" x14ac:dyDescent="0.25">
      <c r="A54" s="35"/>
      <c r="B54" s="40" t="s">
        <v>968</v>
      </c>
      <c r="C54" s="74">
        <f>ROUND(9.91/9509,3)</f>
        <v>1E-3</v>
      </c>
      <c r="D54" s="18">
        <f t="shared" ref="D54" si="10">C54*269</f>
        <v>0.26900000000000002</v>
      </c>
    </row>
    <row r="55" spans="1:4" ht="15" customHeight="1" x14ac:dyDescent="0.25">
      <c r="A55" s="35">
        <v>2264</v>
      </c>
      <c r="B55" s="242" t="s">
        <v>575</v>
      </c>
      <c r="C55" s="18"/>
      <c r="D55" s="18"/>
    </row>
    <row r="56" spans="1:4" ht="65.25" customHeight="1" x14ac:dyDescent="0.25">
      <c r="A56" s="35"/>
      <c r="B56" s="40" t="s">
        <v>969</v>
      </c>
      <c r="C56" s="74">
        <f>ROUND(132.32/9509,3)</f>
        <v>1.4E-2</v>
      </c>
      <c r="D56" s="18">
        <f t="shared" ref="D56" si="11">C56*269</f>
        <v>3.766</v>
      </c>
    </row>
    <row r="57" spans="1:4" x14ac:dyDescent="0.25">
      <c r="A57" s="35">
        <v>2311</v>
      </c>
      <c r="B57" s="40" t="s">
        <v>93</v>
      </c>
      <c r="C57" s="74"/>
      <c r="D57" s="18"/>
    </row>
    <row r="58" spans="1:4" ht="60" x14ac:dyDescent="0.25">
      <c r="A58" s="35"/>
      <c r="B58" s="40" t="s">
        <v>970</v>
      </c>
      <c r="C58" s="74">
        <f>ROUND(72.76/9509,4)</f>
        <v>7.7000000000000002E-3</v>
      </c>
      <c r="D58" s="18">
        <f t="shared" si="0"/>
        <v>2.0712999999999999</v>
      </c>
    </row>
    <row r="59" spans="1:4" x14ac:dyDescent="0.25">
      <c r="A59" s="35">
        <v>2312</v>
      </c>
      <c r="B59" s="40" t="s">
        <v>124</v>
      </c>
      <c r="C59" s="18"/>
      <c r="D59" s="18"/>
    </row>
    <row r="60" spans="1:4" ht="60" x14ac:dyDescent="0.25">
      <c r="A60" s="35"/>
      <c r="B60" s="40" t="s">
        <v>971</v>
      </c>
      <c r="C60" s="74">
        <f>ROUND(484.21/9509,5)</f>
        <v>5.092E-2</v>
      </c>
      <c r="D60" s="18">
        <f t="shared" si="0"/>
        <v>13.697480000000001</v>
      </c>
    </row>
    <row r="61" spans="1:4" x14ac:dyDescent="0.25">
      <c r="A61" s="35">
        <v>2314</v>
      </c>
      <c r="B61" s="242" t="s">
        <v>576</v>
      </c>
      <c r="C61" s="18"/>
      <c r="D61" s="18"/>
    </row>
    <row r="62" spans="1:4" ht="63.75" customHeight="1" x14ac:dyDescent="0.25">
      <c r="A62" s="35"/>
      <c r="B62" s="40" t="s">
        <v>972</v>
      </c>
      <c r="C62" s="74">
        <f>ROUND(224.14/9509,4)</f>
        <v>2.3599999999999999E-2</v>
      </c>
      <c r="D62" s="18">
        <f t="shared" ref="D62" si="12">C62*269</f>
        <v>6.3483999999999998</v>
      </c>
    </row>
    <row r="63" spans="1:4" ht="13.5" customHeight="1" x14ac:dyDescent="0.25">
      <c r="A63" s="35">
        <v>2322</v>
      </c>
      <c r="B63" s="243" t="s">
        <v>577</v>
      </c>
      <c r="C63" s="18"/>
      <c r="D63" s="18"/>
    </row>
    <row r="64" spans="1:4" ht="63.75" customHeight="1" x14ac:dyDescent="0.25">
      <c r="A64" s="35"/>
      <c r="B64" s="40" t="s">
        <v>973</v>
      </c>
      <c r="C64" s="74">
        <f>ROUND(103.21/9509,3)</f>
        <v>1.0999999999999999E-2</v>
      </c>
      <c r="D64" s="18">
        <f t="shared" ref="D64" si="13">C64*269</f>
        <v>2.9589999999999996</v>
      </c>
    </row>
    <row r="65" spans="1:4" x14ac:dyDescent="0.25">
      <c r="A65" s="35">
        <v>2350</v>
      </c>
      <c r="B65" s="40" t="s">
        <v>123</v>
      </c>
      <c r="C65" s="74"/>
      <c r="D65" s="18"/>
    </row>
    <row r="66" spans="1:4" ht="60" x14ac:dyDescent="0.25">
      <c r="A66" s="35"/>
      <c r="B66" s="40" t="s">
        <v>974</v>
      </c>
      <c r="C66" s="80">
        <f>ROUND(241.97/9509,4)</f>
        <v>2.5399999999999999E-2</v>
      </c>
      <c r="D66" s="18">
        <f t="shared" si="0"/>
        <v>6.8325999999999993</v>
      </c>
    </row>
    <row r="67" spans="1:4" x14ac:dyDescent="0.25">
      <c r="A67" s="35">
        <v>2361</v>
      </c>
      <c r="B67" s="242" t="s">
        <v>578</v>
      </c>
      <c r="C67" s="18"/>
      <c r="D67" s="18"/>
    </row>
    <row r="68" spans="1:4" ht="65.25" customHeight="1" x14ac:dyDescent="0.25">
      <c r="A68" s="35"/>
      <c r="B68" s="40" t="s">
        <v>975</v>
      </c>
      <c r="C68" s="74">
        <f>ROUND(87.42/9509,4)</f>
        <v>9.1999999999999998E-3</v>
      </c>
      <c r="D68" s="18">
        <f t="shared" ref="D68" si="14">C68*269</f>
        <v>2.4748000000000001</v>
      </c>
    </row>
    <row r="69" spans="1:4" ht="19.5" customHeight="1" x14ac:dyDescent="0.25">
      <c r="A69" s="35">
        <v>2513</v>
      </c>
      <c r="B69" s="242" t="s">
        <v>579</v>
      </c>
      <c r="C69" s="18"/>
      <c r="D69" s="18"/>
    </row>
    <row r="70" spans="1:4" ht="65.25" customHeight="1" x14ac:dyDescent="0.25">
      <c r="A70" s="35"/>
      <c r="B70" s="40" t="s">
        <v>976</v>
      </c>
      <c r="C70" s="74">
        <f>ROUND(28.69/9509,4)</f>
        <v>3.0000000000000001E-3</v>
      </c>
      <c r="D70" s="18">
        <f t="shared" ref="D70" si="15">C70*269</f>
        <v>0.80700000000000005</v>
      </c>
    </row>
    <row r="71" spans="1:4" ht="17.25" customHeight="1" x14ac:dyDescent="0.25">
      <c r="A71" s="35">
        <v>2519</v>
      </c>
      <c r="B71" s="242" t="s">
        <v>580</v>
      </c>
      <c r="C71" s="74"/>
      <c r="D71" s="18"/>
    </row>
    <row r="72" spans="1:4" ht="65.25" customHeight="1" x14ac:dyDescent="0.25">
      <c r="A72" s="35"/>
      <c r="B72" s="40" t="s">
        <v>977</v>
      </c>
      <c r="C72" s="74">
        <f>ROUND(8.56/9509,3)</f>
        <v>1E-3</v>
      </c>
      <c r="D72" s="18">
        <f t="shared" ref="D72" si="16">C72*269</f>
        <v>0.26900000000000002</v>
      </c>
    </row>
    <row r="73" spans="1:4" x14ac:dyDescent="0.25">
      <c r="A73" s="35">
        <v>5120</v>
      </c>
      <c r="B73" s="40" t="s">
        <v>101</v>
      </c>
      <c r="C73" s="74"/>
      <c r="D73" s="18"/>
    </row>
    <row r="74" spans="1:4" ht="64.5" customHeight="1" x14ac:dyDescent="0.25">
      <c r="A74" s="35"/>
      <c r="B74" s="40" t="s">
        <v>978</v>
      </c>
      <c r="C74" s="74">
        <f>ROUND(58.04/9509,4)</f>
        <v>6.1000000000000004E-3</v>
      </c>
      <c r="D74" s="18">
        <f t="shared" si="0"/>
        <v>1.6409</v>
      </c>
    </row>
    <row r="75" spans="1:4" ht="16.5" customHeight="1" x14ac:dyDescent="0.25">
      <c r="A75" s="35">
        <v>5210</v>
      </c>
      <c r="B75" s="243" t="s">
        <v>581</v>
      </c>
      <c r="C75" s="74"/>
      <c r="D75" s="18"/>
    </row>
    <row r="76" spans="1:4" ht="64.5" customHeight="1" x14ac:dyDescent="0.25">
      <c r="A76" s="35"/>
      <c r="B76" s="40" t="s">
        <v>979</v>
      </c>
      <c r="C76" s="74">
        <f>ROUND(249.88/9509,4)</f>
        <v>2.63E-2</v>
      </c>
      <c r="D76" s="18">
        <f t="shared" ref="D76" si="17">C76*269</f>
        <v>7.0747</v>
      </c>
    </row>
    <row r="77" spans="1:4" ht="18" customHeight="1" x14ac:dyDescent="0.25">
      <c r="A77" s="35">
        <v>5220</v>
      </c>
      <c r="B77" s="40" t="s">
        <v>116</v>
      </c>
      <c r="C77" s="18">
        <v>0</v>
      </c>
      <c r="D77" s="18">
        <f t="shared" si="0"/>
        <v>0</v>
      </c>
    </row>
    <row r="78" spans="1:4" ht="18.75" customHeight="1" x14ac:dyDescent="0.25">
      <c r="A78" s="35">
        <v>5231</v>
      </c>
      <c r="B78" s="243" t="s">
        <v>582</v>
      </c>
      <c r="C78" s="18"/>
      <c r="D78" s="18"/>
    </row>
    <row r="79" spans="1:4" ht="63" customHeight="1" x14ac:dyDescent="0.25">
      <c r="A79" s="35"/>
      <c r="B79" s="40" t="s">
        <v>980</v>
      </c>
      <c r="C79" s="74">
        <f>ROUND(61.55/9509,4)</f>
        <v>6.4999999999999997E-3</v>
      </c>
      <c r="D79" s="18">
        <f t="shared" ref="D79" si="18">C79*269</f>
        <v>1.7484999999999999</v>
      </c>
    </row>
    <row r="80" spans="1:4" x14ac:dyDescent="0.25">
      <c r="A80" s="35">
        <v>5238</v>
      </c>
      <c r="B80" s="40" t="s">
        <v>117</v>
      </c>
      <c r="C80" s="80"/>
      <c r="D80" s="18"/>
    </row>
    <row r="81" spans="1:5" ht="60" x14ac:dyDescent="0.25">
      <c r="A81" s="35"/>
      <c r="B81" s="40" t="s">
        <v>981</v>
      </c>
      <c r="C81" s="74">
        <f>ROUND(88.34/9509,4)</f>
        <v>9.2999999999999992E-3</v>
      </c>
      <c r="D81" s="18">
        <f t="shared" si="0"/>
        <v>2.5016999999999996</v>
      </c>
    </row>
    <row r="82" spans="1:5" ht="21" customHeight="1" x14ac:dyDescent="0.25">
      <c r="A82" s="35">
        <v>5239</v>
      </c>
      <c r="B82" s="243" t="s">
        <v>583</v>
      </c>
      <c r="C82" s="74"/>
      <c r="D82" s="18"/>
    </row>
    <row r="83" spans="1:5" ht="70.5" customHeight="1" x14ac:dyDescent="0.25">
      <c r="A83" s="35"/>
      <c r="B83" s="40" t="s">
        <v>982</v>
      </c>
      <c r="C83" s="74">
        <f>ROUND(151.09/9509,3)</f>
        <v>1.6E-2</v>
      </c>
      <c r="D83" s="18">
        <f t="shared" ref="D83" si="19">C83*269</f>
        <v>4.3040000000000003</v>
      </c>
    </row>
    <row r="84" spans="1:5" x14ac:dyDescent="0.25">
      <c r="A84" s="35"/>
      <c r="B84" s="81" t="s">
        <v>94</v>
      </c>
      <c r="C84" s="82">
        <f>ROUND(C20+C22+C24+C26+C28+C30+C32+C34+C36+C38+C40+C42+C44+C46+C48+C50+C52+C54+C56+C58+C60+C62+C64+C66+C68+C70+C72+C74+C76+C79+C81+C83,4)</f>
        <v>0.93</v>
      </c>
      <c r="D84" s="82">
        <f>ROUND(D20+D22+D24+D26+D28+D30+D32+D34+D36+D38+D40+D42+D44+D46+D48+D50+D52+D54+D56+D58+D60+D62+D64+D66+D68+D70+D72+D74+D76+D79+D81+D83,2)</f>
        <v>250.17</v>
      </c>
    </row>
    <row r="85" spans="1:5" x14ac:dyDescent="0.25">
      <c r="A85" s="83"/>
      <c r="B85" s="84" t="s">
        <v>95</v>
      </c>
      <c r="C85" s="82">
        <f>ROUND(C84+C17,4)</f>
        <v>3.27</v>
      </c>
      <c r="D85" s="82">
        <f>ROUND(D84+D17,3)</f>
        <v>879.63</v>
      </c>
      <c r="E85" s="181"/>
    </row>
    <row r="86" spans="1:5" x14ac:dyDescent="0.25">
      <c r="A86" s="85"/>
      <c r="B86" s="86"/>
      <c r="C86" s="87"/>
      <c r="D86" s="87"/>
    </row>
    <row r="87" spans="1:5" ht="21.75" customHeight="1" x14ac:dyDescent="0.25">
      <c r="A87" s="302" t="s">
        <v>96</v>
      </c>
      <c r="B87" s="303"/>
      <c r="C87" s="93">
        <v>269</v>
      </c>
      <c r="D87" s="89"/>
    </row>
    <row r="88" spans="1:5" ht="32.25" customHeight="1" x14ac:dyDescent="0.25">
      <c r="A88" s="302" t="s">
        <v>113</v>
      </c>
      <c r="B88" s="303"/>
      <c r="C88" s="22">
        <f>D85/C87</f>
        <v>3.27</v>
      </c>
      <c r="D88" s="89"/>
    </row>
  </sheetData>
  <mergeCells count="7">
    <mergeCell ref="A88:B88"/>
    <mergeCell ref="A1:D1"/>
    <mergeCell ref="C2:D2"/>
    <mergeCell ref="A5:D5"/>
    <mergeCell ref="A7:B7"/>
    <mergeCell ref="A8:B8"/>
    <mergeCell ref="A87:B87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F55A7-A212-4BD8-90F5-D5F4A5927A0F}">
  <dimension ref="A1:E91"/>
  <sheetViews>
    <sheetView topLeftCell="A78" workbookViewId="0">
      <selection activeCell="G81" sqref="G81:H81"/>
    </sheetView>
  </sheetViews>
  <sheetFormatPr defaultRowHeight="15" x14ac:dyDescent="0.25"/>
  <cols>
    <col min="1" max="1" width="6.5703125" customWidth="1"/>
    <col min="2" max="2" width="61.5703125" customWidth="1"/>
    <col min="3" max="3" width="14.140625" customWidth="1"/>
    <col min="4" max="4" width="11.85546875" customWidth="1"/>
    <col min="5" max="5" width="9.14062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8.25" customHeight="1" x14ac:dyDescent="0.25">
      <c r="A4" s="55"/>
      <c r="B4" s="58"/>
      <c r="C4" s="58"/>
      <c r="D4" s="59"/>
    </row>
    <row r="5" spans="1:5" ht="34.5" customHeight="1" x14ac:dyDescent="0.25">
      <c r="A5" s="307" t="s">
        <v>307</v>
      </c>
      <c r="B5" s="307"/>
      <c r="C5" s="307"/>
      <c r="D5" s="307"/>
    </row>
    <row r="6" spans="1:5" ht="4.5" customHeight="1" x14ac:dyDescent="0.25">
      <c r="A6" s="236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236"/>
      <c r="B8" s="237"/>
      <c r="C8" s="60"/>
      <c r="D8" s="59"/>
    </row>
    <row r="9" spans="1:5" x14ac:dyDescent="0.25">
      <c r="A9" s="309" t="s">
        <v>188</v>
      </c>
      <c r="B9" s="309"/>
      <c r="C9" s="62"/>
      <c r="D9" s="59"/>
    </row>
    <row r="10" spans="1:5" ht="11.25" customHeight="1" x14ac:dyDescent="0.25">
      <c r="A10" s="309"/>
      <c r="B10" s="309"/>
      <c r="C10" s="62"/>
      <c r="D10" s="59"/>
    </row>
    <row r="11" spans="1:5" ht="108" x14ac:dyDescent="0.25">
      <c r="A11" s="63" t="s">
        <v>80</v>
      </c>
      <c r="B11" s="63" t="s">
        <v>81</v>
      </c>
      <c r="C11" s="63" t="s">
        <v>99</v>
      </c>
      <c r="D11" s="63" t="s">
        <v>83</v>
      </c>
    </row>
    <row r="12" spans="1:5" x14ac:dyDescent="0.25">
      <c r="A12" s="64">
        <v>1</v>
      </c>
      <c r="B12" s="65">
        <v>2</v>
      </c>
      <c r="C12" s="64">
        <v>3</v>
      </c>
      <c r="D12" s="64">
        <v>4</v>
      </c>
    </row>
    <row r="13" spans="1:5" x14ac:dyDescent="0.25">
      <c r="A13" s="66"/>
      <c r="B13" s="67" t="s">
        <v>84</v>
      </c>
      <c r="C13" s="68"/>
      <c r="D13" s="68"/>
    </row>
    <row r="14" spans="1:5" x14ac:dyDescent="0.25">
      <c r="A14" s="69">
        <v>1100</v>
      </c>
      <c r="B14" s="70" t="s">
        <v>85</v>
      </c>
      <c r="C14" s="71"/>
      <c r="D14" s="71"/>
    </row>
    <row r="15" spans="1:5" ht="74.25" customHeight="1" x14ac:dyDescent="0.25">
      <c r="A15" s="50"/>
      <c r="B15" s="90" t="s">
        <v>336</v>
      </c>
      <c r="C15" s="18">
        <f>0.17*20</f>
        <v>3.4000000000000004</v>
      </c>
      <c r="D15" s="18">
        <f>C15*895</f>
        <v>3043.0000000000005</v>
      </c>
    </row>
    <row r="16" spans="1:5" ht="24" x14ac:dyDescent="0.25">
      <c r="A16" s="50">
        <v>1200</v>
      </c>
      <c r="B16" s="73" t="s">
        <v>325</v>
      </c>
      <c r="C16" s="18">
        <f>ROUND(C15*0.2359,2)</f>
        <v>0.8</v>
      </c>
      <c r="D16" s="18">
        <f>C16*895</f>
        <v>716</v>
      </c>
      <c r="E16" s="181"/>
    </row>
    <row r="17" spans="1:5" x14ac:dyDescent="0.25">
      <c r="A17" s="50">
        <v>2341</v>
      </c>
      <c r="B17" s="50" t="s">
        <v>97</v>
      </c>
      <c r="C17" s="91"/>
      <c r="D17" s="91"/>
    </row>
    <row r="18" spans="1:5" ht="108" x14ac:dyDescent="0.25">
      <c r="A18" s="50"/>
      <c r="B18" s="73" t="s">
        <v>410</v>
      </c>
      <c r="C18" s="18">
        <v>4.83</v>
      </c>
      <c r="D18" s="18">
        <f>C18*895</f>
        <v>4322.8500000000004</v>
      </c>
      <c r="E18" s="184"/>
    </row>
    <row r="19" spans="1:5" x14ac:dyDescent="0.25">
      <c r="A19" s="35"/>
      <c r="B19" s="92" t="s">
        <v>87</v>
      </c>
      <c r="C19" s="82">
        <f>SUM(C14:C18)</f>
        <v>9.0300000000000011</v>
      </c>
      <c r="D19" s="82">
        <f>SUM(D14:D18)</f>
        <v>8081.85</v>
      </c>
      <c r="E19" s="181"/>
    </row>
    <row r="20" spans="1:5" x14ac:dyDescent="0.25">
      <c r="A20" s="77"/>
      <c r="B20" s="175" t="s">
        <v>88</v>
      </c>
      <c r="C20" s="78"/>
      <c r="D20" s="78"/>
    </row>
    <row r="21" spans="1:5" x14ac:dyDescent="0.25">
      <c r="A21" s="35">
        <v>2100</v>
      </c>
      <c r="B21" s="244" t="s">
        <v>584</v>
      </c>
      <c r="C21" s="78"/>
      <c r="D21" s="78"/>
    </row>
    <row r="22" spans="1:5" ht="48" x14ac:dyDescent="0.25">
      <c r="A22" s="77"/>
      <c r="B22" s="40" t="s">
        <v>983</v>
      </c>
      <c r="C22" s="80">
        <f>ROUND(31.85/9509,5)</f>
        <v>3.3500000000000001E-3</v>
      </c>
      <c r="D22" s="18">
        <f>C22*895</f>
        <v>2.9982500000000001</v>
      </c>
    </row>
    <row r="23" spans="1:5" x14ac:dyDescent="0.25">
      <c r="A23" s="35">
        <v>2210</v>
      </c>
      <c r="B23" s="40" t="s">
        <v>568</v>
      </c>
      <c r="C23" s="74"/>
      <c r="D23" s="74"/>
    </row>
    <row r="24" spans="1:5" ht="48" x14ac:dyDescent="0.25">
      <c r="A24" s="35"/>
      <c r="B24" s="40" t="s">
        <v>984</v>
      </c>
      <c r="C24" s="18">
        <f>ROUND(228.88/9509,5)</f>
        <v>2.4070000000000001E-2</v>
      </c>
      <c r="D24" s="18">
        <f>C24*895</f>
        <v>21.542650000000002</v>
      </c>
    </row>
    <row r="25" spans="1:5" x14ac:dyDescent="0.25">
      <c r="A25" s="35">
        <v>2221</v>
      </c>
      <c r="B25" s="40" t="s">
        <v>89</v>
      </c>
      <c r="C25" s="18"/>
      <c r="D25" s="18"/>
    </row>
    <row r="26" spans="1:5" ht="48" x14ac:dyDescent="0.25">
      <c r="A26" s="35"/>
      <c r="B26" s="40" t="s">
        <v>985</v>
      </c>
      <c r="C26" s="18">
        <f>ROUND(382.73/9509,5)</f>
        <v>4.0250000000000001E-2</v>
      </c>
      <c r="D26" s="18">
        <f>C26*895</f>
        <v>36.02375</v>
      </c>
    </row>
    <row r="27" spans="1:5" x14ac:dyDescent="0.25">
      <c r="A27" s="35">
        <v>2222</v>
      </c>
      <c r="B27" s="242" t="s">
        <v>90</v>
      </c>
      <c r="C27" s="18"/>
      <c r="D27" s="18"/>
    </row>
    <row r="28" spans="1:5" ht="48" x14ac:dyDescent="0.25">
      <c r="A28" s="35"/>
      <c r="B28" s="40" t="s">
        <v>986</v>
      </c>
      <c r="C28" s="74">
        <f>ROUND(38.69/9509,3)</f>
        <v>4.0000000000000001E-3</v>
      </c>
      <c r="D28" s="18">
        <f>C28*895</f>
        <v>3.58</v>
      </c>
    </row>
    <row r="29" spans="1:5" x14ac:dyDescent="0.25">
      <c r="A29" s="35">
        <v>2223</v>
      </c>
      <c r="B29" s="35" t="s">
        <v>91</v>
      </c>
      <c r="C29" s="74"/>
      <c r="D29" s="18"/>
    </row>
    <row r="30" spans="1:5" ht="48" x14ac:dyDescent="0.25">
      <c r="A30" s="35"/>
      <c r="B30" s="40" t="s">
        <v>987</v>
      </c>
      <c r="C30" s="18">
        <f>ROUND(1004.28/9509,3)</f>
        <v>0.106</v>
      </c>
      <c r="D30" s="18">
        <f>C30*895</f>
        <v>94.86999999999999</v>
      </c>
    </row>
    <row r="31" spans="1:5" ht="24" x14ac:dyDescent="0.25">
      <c r="A31" s="35">
        <v>2224</v>
      </c>
      <c r="B31" s="40" t="s">
        <v>115</v>
      </c>
      <c r="C31" s="74"/>
      <c r="D31" s="18"/>
    </row>
    <row r="32" spans="1:5" ht="48" x14ac:dyDescent="0.25">
      <c r="A32" s="34"/>
      <c r="B32" s="40" t="s">
        <v>988</v>
      </c>
      <c r="C32" s="74">
        <f>ROUND(82.8/9509,5)</f>
        <v>8.7100000000000007E-3</v>
      </c>
      <c r="D32" s="18">
        <f>C32*895</f>
        <v>7.7954500000000007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48" x14ac:dyDescent="0.25">
      <c r="A34" s="35"/>
      <c r="B34" s="40" t="s">
        <v>989</v>
      </c>
      <c r="C34" s="74">
        <f>ROUND(289.4/9509,3)</f>
        <v>0.03</v>
      </c>
      <c r="D34" s="18">
        <f>C34*895</f>
        <v>26.849999999999998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709</v>
      </c>
      <c r="C36" s="74">
        <f>ROUND(20.68/9509,5)</f>
        <v>2.1700000000000001E-3</v>
      </c>
      <c r="D36" s="18">
        <f>C36*895</f>
        <v>1.94215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990</v>
      </c>
      <c r="C38" s="74">
        <f>ROUND(58.15/9509,5)</f>
        <v>6.1199999999999996E-3</v>
      </c>
      <c r="D38" s="18">
        <f>C38*895</f>
        <v>5.4773999999999994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48" x14ac:dyDescent="0.25">
      <c r="A40" s="35"/>
      <c r="B40" s="40" t="s">
        <v>991</v>
      </c>
      <c r="C40" s="74">
        <f>ROUND(524.45/9509,3)</f>
        <v>5.5E-2</v>
      </c>
      <c r="D40" s="18">
        <f>C40*895</f>
        <v>49.225000000000001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48" x14ac:dyDescent="0.25">
      <c r="A42" s="35"/>
      <c r="B42" s="40" t="s">
        <v>992</v>
      </c>
      <c r="C42" s="74">
        <f>ROUND(131.923/9509,5)</f>
        <v>1.387E-2</v>
      </c>
      <c r="D42" s="18">
        <f>C42*895</f>
        <v>12.413650000000001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48" x14ac:dyDescent="0.25">
      <c r="A44" s="35"/>
      <c r="B44" s="40" t="s">
        <v>993</v>
      </c>
      <c r="C44" s="18">
        <f>ROUND(360.94/9509,5)</f>
        <v>3.7960000000000001E-2</v>
      </c>
      <c r="D44" s="18">
        <f>C44*895</f>
        <v>33.974200000000003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48" x14ac:dyDescent="0.25">
      <c r="A46" s="79"/>
      <c r="B46" s="40" t="s">
        <v>994</v>
      </c>
      <c r="C46" s="18">
        <f>ROUND(272.76/9509,5)</f>
        <v>2.8680000000000001E-2</v>
      </c>
      <c r="D46" s="18">
        <f>C46*895</f>
        <v>25.668600000000001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48" x14ac:dyDescent="0.25">
      <c r="A48" s="79"/>
      <c r="B48" s="40" t="s">
        <v>995</v>
      </c>
      <c r="C48" s="74">
        <f>ROUND(12.06/9509,4)</f>
        <v>1.2999999999999999E-3</v>
      </c>
      <c r="D48" s="18">
        <f>C48*895</f>
        <v>1.1635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996</v>
      </c>
      <c r="C50" s="253">
        <f>ROUND(23.35/9509,4)</f>
        <v>2.5000000000000001E-3</v>
      </c>
      <c r="D50" s="18">
        <f>C50*895</f>
        <v>2.2375000000000003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48" x14ac:dyDescent="0.25">
      <c r="A52" s="35"/>
      <c r="B52" s="40" t="s">
        <v>997</v>
      </c>
      <c r="C52" s="18">
        <f>ROUND(750.97/9509,5)</f>
        <v>7.8969999999999999E-2</v>
      </c>
      <c r="D52" s="18">
        <f>C52*895</f>
        <v>70.678150000000002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48" x14ac:dyDescent="0.25">
      <c r="A54" s="35"/>
      <c r="B54" s="40" t="s">
        <v>998</v>
      </c>
      <c r="C54" s="80">
        <f>ROUND(2620.34/9509,5)</f>
        <v>0.27556000000000003</v>
      </c>
      <c r="D54" s="18">
        <f>C54*895</f>
        <v>246.62620000000001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48" x14ac:dyDescent="0.25">
      <c r="A56" s="35"/>
      <c r="B56" s="40" t="s">
        <v>999</v>
      </c>
      <c r="C56" s="74">
        <f>ROUND(9.91/9509,4)</f>
        <v>1E-3</v>
      </c>
      <c r="D56" s="18">
        <f>C56*895</f>
        <v>0.89500000000000002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1000</v>
      </c>
      <c r="C58" s="18">
        <f>ROUND(132.32/9509,4)</f>
        <v>1.3899999999999999E-2</v>
      </c>
      <c r="D58" s="18">
        <f>C58*895</f>
        <v>12.4405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1001</v>
      </c>
      <c r="C60" s="74">
        <f>ROUND(72.76/9509,5)</f>
        <v>7.6499999999999997E-3</v>
      </c>
      <c r="D60" s="18">
        <f>C60*895</f>
        <v>6.8467500000000001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48" x14ac:dyDescent="0.25">
      <c r="A62" s="35"/>
      <c r="B62" s="40" t="s">
        <v>710</v>
      </c>
      <c r="C62" s="18">
        <f>ROUND(484.21/9509,5)</f>
        <v>5.092E-2</v>
      </c>
      <c r="D62" s="18">
        <f>C62*895</f>
        <v>45.573399999999999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48" x14ac:dyDescent="0.25">
      <c r="A64" s="35"/>
      <c r="B64" s="40" t="s">
        <v>1002</v>
      </c>
      <c r="C64" s="74">
        <f>ROUND(224.14/9509,4)</f>
        <v>2.3599999999999999E-2</v>
      </c>
      <c r="D64" s="18">
        <f>C64*895</f>
        <v>21.122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48" x14ac:dyDescent="0.25">
      <c r="A66" s="35"/>
      <c r="B66" s="40" t="s">
        <v>1003</v>
      </c>
      <c r="C66" s="18">
        <f>ROUND(103.21/9509,5)</f>
        <v>1.085E-2</v>
      </c>
      <c r="D66" s="18">
        <f>C66*895</f>
        <v>9.7107500000000009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48" x14ac:dyDescent="0.25">
      <c r="A68" s="35"/>
      <c r="B68" s="40" t="s">
        <v>1004</v>
      </c>
      <c r="C68" s="80">
        <f>ROUND(241.97/9509,5)</f>
        <v>2.545E-2</v>
      </c>
      <c r="D68" s="18">
        <f>C68*895</f>
        <v>22.777750000000001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1005</v>
      </c>
      <c r="C70" s="80">
        <f>ROUND(87.42/9509,5)</f>
        <v>9.1900000000000003E-3</v>
      </c>
      <c r="D70" s="18">
        <f>C70*895</f>
        <v>8.2250499999999995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1006</v>
      </c>
      <c r="C72" s="74">
        <f>ROUND(28.69/9509,5)</f>
        <v>3.0200000000000001E-3</v>
      </c>
      <c r="D72" s="18">
        <f>C72*895</f>
        <v>2.7029000000000001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48" x14ac:dyDescent="0.25">
      <c r="A74" s="35"/>
      <c r="B74" s="40" t="s">
        <v>1007</v>
      </c>
      <c r="C74" s="74">
        <f>ROUND(8.56/9509,3)</f>
        <v>1E-3</v>
      </c>
      <c r="D74" s="18">
        <f>C74*895</f>
        <v>0.89500000000000002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1008</v>
      </c>
      <c r="C76" s="74">
        <f>ROUND(58.04/9509,4)</f>
        <v>6.1000000000000004E-3</v>
      </c>
      <c r="D76" s="18">
        <f>C76*895+0.01</f>
        <v>5.4695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1009</v>
      </c>
      <c r="C78" s="74">
        <f>ROUND(249.88/9509,4)</f>
        <v>2.63E-2</v>
      </c>
      <c r="D78" s="18">
        <f>C78*895</f>
        <v>23.538499999999999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24.75" customHeight="1" x14ac:dyDescent="0.25">
      <c r="A80" s="35"/>
      <c r="B80" s="40" t="s">
        <v>621</v>
      </c>
      <c r="C80" s="18">
        <v>0</v>
      </c>
      <c r="D80" s="18">
        <f t="shared" ref="D80" si="0">C80*895</f>
        <v>0</v>
      </c>
    </row>
    <row r="81" spans="1:5" x14ac:dyDescent="0.25">
      <c r="A81" s="35">
        <v>5231</v>
      </c>
      <c r="B81" s="243" t="s">
        <v>582</v>
      </c>
      <c r="C81" s="18"/>
      <c r="D81" s="18"/>
    </row>
    <row r="82" spans="1:5" ht="48" x14ac:dyDescent="0.25">
      <c r="A82" s="35"/>
      <c r="B82" s="40" t="s">
        <v>1010</v>
      </c>
      <c r="C82" s="253">
        <f>ROUND(61.55/9509,4)</f>
        <v>6.4999999999999997E-3</v>
      </c>
      <c r="D82" s="18">
        <f>C82*895</f>
        <v>5.8174999999999999</v>
      </c>
    </row>
    <row r="83" spans="1:5" x14ac:dyDescent="0.25">
      <c r="A83" s="35">
        <v>5238</v>
      </c>
      <c r="B83" s="40" t="s">
        <v>117</v>
      </c>
      <c r="C83" s="80"/>
      <c r="D83" s="18"/>
    </row>
    <row r="84" spans="1:5" ht="48" x14ac:dyDescent="0.25">
      <c r="A84" s="35"/>
      <c r="B84" s="40" t="s">
        <v>1011</v>
      </c>
      <c r="C84" s="18">
        <f>ROUND(88.34/9509,2)</f>
        <v>0.01</v>
      </c>
      <c r="D84" s="18">
        <f>C84*895</f>
        <v>8.9500000000000011</v>
      </c>
    </row>
    <row r="85" spans="1:5" x14ac:dyDescent="0.25">
      <c r="A85" s="35">
        <v>5239</v>
      </c>
      <c r="B85" s="243" t="s">
        <v>583</v>
      </c>
      <c r="C85" s="74"/>
      <c r="D85" s="18"/>
    </row>
    <row r="86" spans="1:5" ht="48" x14ac:dyDescent="0.25">
      <c r="A86" s="35"/>
      <c r="B86" s="40" t="s">
        <v>1012</v>
      </c>
      <c r="C86" s="74">
        <f>ROUND(151.09/9509,3)</f>
        <v>1.6E-2</v>
      </c>
      <c r="D86" s="18">
        <f>C86*895</f>
        <v>14.32</v>
      </c>
    </row>
    <row r="87" spans="1:5" ht="18" customHeight="1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ROUND(C22+C24+C26+C28+C30+C32+C34+C36+C38+C40+C42+C44+C46+C48+C50+C52+C54+C56+C58+C60+C62+C64+C66+C68+C70+C72+C74+C76+C78+C82+C84+C86,4)</f>
        <v>0.93</v>
      </c>
      <c r="D87" s="82">
        <f>ROUND(D22+D24+D26+D28+D30+D32+D34+D36+D38+D40+D42+D44+D46+D48+D50+D52+D54+D56+D58+D60+D62+D64+D66+D68+D70+D72+D74+D76+D78+D82+D84+D86,2)</f>
        <v>832.35</v>
      </c>
    </row>
    <row r="88" spans="1:5" ht="19.5" customHeight="1" x14ac:dyDescent="0.25">
      <c r="A88" s="83"/>
      <c r="B88" s="84" t="s">
        <v>95</v>
      </c>
      <c r="C88" s="82">
        <f>ROUND(C87+C19,5)</f>
        <v>9.9600000000000009</v>
      </c>
      <c r="D88" s="82">
        <f>ROUND(D87+D19,3)</f>
        <v>8914.2000000000007</v>
      </c>
      <c r="E88" s="182"/>
    </row>
    <row r="89" spans="1:5" x14ac:dyDescent="0.25">
      <c r="A89" s="85"/>
      <c r="B89" s="86"/>
      <c r="C89" s="87"/>
      <c r="D89" s="87"/>
    </row>
    <row r="90" spans="1:5" x14ac:dyDescent="0.25">
      <c r="A90" s="302" t="s">
        <v>96</v>
      </c>
      <c r="B90" s="303"/>
      <c r="C90" s="88">
        <v>895</v>
      </c>
      <c r="D90" s="89"/>
    </row>
    <row r="91" spans="1:5" ht="27.75" customHeight="1" x14ac:dyDescent="0.25">
      <c r="A91" s="302" t="s">
        <v>113</v>
      </c>
      <c r="B91" s="303"/>
      <c r="C91" s="22">
        <f>D88/C90</f>
        <v>9.9600000000000009</v>
      </c>
      <c r="D91" s="89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E342-698F-4ABE-A1D4-16B170380AAE}">
  <dimension ref="A1:E89"/>
  <sheetViews>
    <sheetView topLeftCell="A84" workbookViewId="0">
      <selection activeCell="B84" sqref="B84"/>
    </sheetView>
  </sheetViews>
  <sheetFormatPr defaultRowHeight="15" x14ac:dyDescent="0.25"/>
  <cols>
    <col min="1" max="1" width="10.140625" customWidth="1"/>
    <col min="2" max="2" width="58.5703125" customWidth="1"/>
    <col min="3" max="3" width="11.42578125" customWidth="1"/>
    <col min="4" max="4" width="11.14062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15" customHeight="1" x14ac:dyDescent="0.25">
      <c r="A5" s="307" t="s">
        <v>306</v>
      </c>
      <c r="B5" s="307"/>
      <c r="C5" s="307"/>
      <c r="D5" s="307"/>
    </row>
    <row r="6" spans="1:5" x14ac:dyDescent="0.25">
      <c r="A6" s="236"/>
      <c r="B6" s="60"/>
      <c r="C6" s="60"/>
      <c r="D6" s="59"/>
    </row>
    <row r="7" spans="1:5" ht="15" customHeight="1" x14ac:dyDescent="0.25">
      <c r="A7" s="308" t="s">
        <v>112</v>
      </c>
      <c r="B7" s="310"/>
      <c r="C7" s="60"/>
      <c r="D7" s="59"/>
    </row>
    <row r="8" spans="1:5" ht="7.5" customHeight="1" x14ac:dyDescent="0.25">
      <c r="A8" s="236"/>
      <c r="B8" s="237"/>
      <c r="C8" s="60"/>
      <c r="D8" s="59"/>
    </row>
    <row r="9" spans="1:5" x14ac:dyDescent="0.25">
      <c r="A9" s="309" t="s">
        <v>187</v>
      </c>
      <c r="B9" s="309"/>
      <c r="C9" s="62"/>
      <c r="D9" s="59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9.5" customHeight="1" x14ac:dyDescent="0.25">
      <c r="A14" s="50"/>
      <c r="B14" s="90" t="s">
        <v>337</v>
      </c>
      <c r="C14" s="18">
        <f>0.17*20</f>
        <v>3.4000000000000004</v>
      </c>
      <c r="D14" s="18">
        <f>C14*269</f>
        <v>914.60000000000014</v>
      </c>
    </row>
    <row r="15" spans="1:5" ht="24" x14ac:dyDescent="0.25">
      <c r="A15" s="50">
        <v>1200</v>
      </c>
      <c r="B15" s="73" t="s">
        <v>326</v>
      </c>
      <c r="C15" s="18">
        <f>ROUND(C14*0.2359,2)</f>
        <v>0.8</v>
      </c>
      <c r="D15" s="18">
        <f>C15*269</f>
        <v>215.20000000000002</v>
      </c>
      <c r="E15" s="181"/>
    </row>
    <row r="16" spans="1:5" x14ac:dyDescent="0.25">
      <c r="A16" s="50">
        <v>2341</v>
      </c>
      <c r="B16" s="50" t="s">
        <v>118</v>
      </c>
      <c r="C16" s="91"/>
      <c r="D16" s="91"/>
    </row>
    <row r="17" spans="1:5" ht="72" x14ac:dyDescent="0.25">
      <c r="A17" s="50"/>
      <c r="B17" s="73" t="s">
        <v>331</v>
      </c>
      <c r="C17" s="18">
        <v>0.28000000000000003</v>
      </c>
      <c r="D17" s="18">
        <f>C17*269</f>
        <v>75.320000000000007</v>
      </c>
    </row>
    <row r="18" spans="1:5" x14ac:dyDescent="0.25">
      <c r="A18" s="50"/>
      <c r="B18" s="92" t="s">
        <v>87</v>
      </c>
      <c r="C18" s="82">
        <f>SUM(C13:C17)</f>
        <v>4.4800000000000004</v>
      </c>
      <c r="D18" s="82">
        <f>SUM(D13:D17)</f>
        <v>1205.1200000000001</v>
      </c>
      <c r="E18" s="183"/>
    </row>
    <row r="19" spans="1:5" x14ac:dyDescent="0.25">
      <c r="A19" s="77"/>
      <c r="B19" s="92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1013</v>
      </c>
      <c r="C21" s="74">
        <f>ROUND(31.85/9509,3)</f>
        <v>3.0000000000000001E-3</v>
      </c>
      <c r="D21" s="18">
        <f>C21*269</f>
        <v>0.80700000000000005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1014</v>
      </c>
      <c r="C23" s="18">
        <f>ROUND(228.88/9509,3)</f>
        <v>2.4E-2</v>
      </c>
      <c r="D23" s="18">
        <f>C23*269</f>
        <v>6.4560000000000004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1015</v>
      </c>
      <c r="C25" s="18">
        <f>ROUND(382.73/9509,3)</f>
        <v>0.04</v>
      </c>
      <c r="D25" s="18">
        <f t="shared" ref="D25:D82" si="0">C25*269</f>
        <v>10.76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1016</v>
      </c>
      <c r="C27" s="74">
        <f>ROUND(38.69/9509,3)</f>
        <v>4.0000000000000001E-3</v>
      </c>
      <c r="D27" s="18">
        <f t="shared" ref="D27" si="1">C27*269</f>
        <v>1.0760000000000001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1017</v>
      </c>
      <c r="C29" s="18">
        <f>ROUND(1004.28/9509,3)</f>
        <v>0.106</v>
      </c>
      <c r="D29" s="18">
        <f t="shared" si="0"/>
        <v>28.513999999999999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1018</v>
      </c>
      <c r="C31" s="18">
        <f>ROUND(82.8/9509,3)</f>
        <v>8.9999999999999993E-3</v>
      </c>
      <c r="D31" s="18">
        <f t="shared" si="0"/>
        <v>2.4209999999999998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1019</v>
      </c>
      <c r="C33" s="18">
        <f>ROUND(289.4/9509,3)</f>
        <v>0.03</v>
      </c>
      <c r="D33" s="18">
        <f t="shared" si="0"/>
        <v>8.07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1020</v>
      </c>
      <c r="C35" s="74">
        <f>ROUND(20.68/9509,3)</f>
        <v>2E-3</v>
      </c>
      <c r="D35" s="18">
        <f t="shared" ref="D35" si="2">C35*269</f>
        <v>0.53800000000000003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1021</v>
      </c>
      <c r="C37" s="74">
        <f>ROUND(58.15/9509,3)</f>
        <v>6.0000000000000001E-3</v>
      </c>
      <c r="D37" s="18">
        <f t="shared" ref="D37" si="3">C37*269</f>
        <v>1.6140000000000001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961</v>
      </c>
      <c r="C39" s="74">
        <f>ROUND(524.45/9509,4)</f>
        <v>5.5199999999999999E-2</v>
      </c>
      <c r="D39" s="18">
        <f t="shared" ref="D39" si="4">C39*269</f>
        <v>14.848799999999999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1022</v>
      </c>
      <c r="C41" s="74">
        <f>ROUND(131.923/9509,3)</f>
        <v>1.4E-2</v>
      </c>
      <c r="D41" s="18">
        <f t="shared" ref="D41" si="5">C41*269</f>
        <v>3.766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963</v>
      </c>
      <c r="C43" s="18">
        <f>ROUND(360.94/9509,3)</f>
        <v>3.7999999999999999E-2</v>
      </c>
      <c r="D43" s="18">
        <f t="shared" si="0"/>
        <v>10.222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1023</v>
      </c>
      <c r="C45" s="18">
        <f>ROUND(272.76/9509,3)</f>
        <v>2.9000000000000001E-2</v>
      </c>
      <c r="D45" s="18">
        <f t="shared" ref="D45" si="6">C45*269</f>
        <v>7.8010000000000002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1024</v>
      </c>
      <c r="C47" s="74">
        <f>ROUND(12.06/9509,3)</f>
        <v>1E-3</v>
      </c>
      <c r="D47" s="18">
        <f t="shared" ref="D47" si="7">C47*269</f>
        <v>0.26900000000000002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1025</v>
      </c>
      <c r="C49" s="253">
        <f>ROUND(23.35/9509,5)</f>
        <v>2.4599999999999999E-3</v>
      </c>
      <c r="D49" s="18">
        <f t="shared" ref="D49" si="8">C49*269</f>
        <v>0.66173999999999999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1026</v>
      </c>
      <c r="C51" s="18">
        <f>ROUND(750.97/9509,5)</f>
        <v>7.8969999999999999E-2</v>
      </c>
      <c r="D51" s="18">
        <f t="shared" si="0"/>
        <v>21.242930000000001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967</v>
      </c>
      <c r="C53" s="18">
        <f>ROUND(2620.34/9509,4)</f>
        <v>0.27560000000000001</v>
      </c>
      <c r="D53" s="18">
        <f t="shared" ref="D53" si="9">C53*269</f>
        <v>74.136400000000009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968</v>
      </c>
      <c r="C55" s="74">
        <f>ROUND(9.91/9509,3)</f>
        <v>1E-3</v>
      </c>
      <c r="D55" s="18">
        <f t="shared" ref="D55" si="10">C55*269</f>
        <v>0.26900000000000002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969</v>
      </c>
      <c r="C57" s="18">
        <f>ROUND(132.32/9509,3)</f>
        <v>1.4E-2</v>
      </c>
      <c r="D57" s="18">
        <f t="shared" ref="D57" si="11">C57*269</f>
        <v>3.766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1027</v>
      </c>
      <c r="C59" s="74">
        <f>ROUND(72.76/9509,3)</f>
        <v>8.0000000000000002E-3</v>
      </c>
      <c r="D59" s="18">
        <f t="shared" si="0"/>
        <v>2.1520000000000001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1028</v>
      </c>
      <c r="C61" s="18">
        <f>ROUND(484.21/9509,3)</f>
        <v>5.0999999999999997E-2</v>
      </c>
      <c r="D61" s="18">
        <f t="shared" si="0"/>
        <v>13.718999999999999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1029</v>
      </c>
      <c r="C63" s="18">
        <f>ROUND(224.14/9509,3)</f>
        <v>2.4E-2</v>
      </c>
      <c r="D63" s="18">
        <f t="shared" ref="D63" si="12">C63*269</f>
        <v>6.4560000000000004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973</v>
      </c>
      <c r="C65" s="18">
        <f>ROUND(103.21/9509,3)</f>
        <v>1.0999999999999999E-2</v>
      </c>
      <c r="D65" s="18">
        <f t="shared" ref="D65" si="13">C65*269</f>
        <v>2.9589999999999996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1030</v>
      </c>
      <c r="C67" s="253">
        <f>ROUND(241.97/9509,5)</f>
        <v>2.545E-2</v>
      </c>
      <c r="D67" s="18">
        <f t="shared" si="0"/>
        <v>6.84605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975</v>
      </c>
      <c r="C69" s="18">
        <f>ROUND(87.42/9509,4)</f>
        <v>9.1999999999999998E-3</v>
      </c>
      <c r="D69" s="18">
        <f t="shared" ref="D69" si="14">C69*269</f>
        <v>2.4748000000000001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976</v>
      </c>
      <c r="C71" s="74">
        <f>ROUND(28.69/9509,5)</f>
        <v>3.0200000000000001E-3</v>
      </c>
      <c r="D71" s="18">
        <f t="shared" ref="D71" si="15">C71*269</f>
        <v>0.81237999999999999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1031</v>
      </c>
      <c r="C73" s="74">
        <f>ROUND(8.56/9509,5)</f>
        <v>8.9999999999999998E-4</v>
      </c>
      <c r="D73" s="18">
        <f t="shared" ref="D73" si="16">C73*269</f>
        <v>0.24209999999999998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978</v>
      </c>
      <c r="C75" s="74">
        <f>ROUND(58.04/9509,5)</f>
        <v>6.1000000000000004E-3</v>
      </c>
      <c r="D75" s="18">
        <f t="shared" si="0"/>
        <v>1.6409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1032</v>
      </c>
      <c r="C77" s="80">
        <f>ROUND(249.88/9509,4)</f>
        <v>2.63E-2</v>
      </c>
      <c r="D77" s="18">
        <f t="shared" ref="D77" si="17">C77*269</f>
        <v>7.0747</v>
      </c>
    </row>
    <row r="78" spans="1:4" x14ac:dyDescent="0.25">
      <c r="A78" s="35">
        <v>5220</v>
      </c>
      <c r="B78" s="40" t="s">
        <v>116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0" x14ac:dyDescent="0.25">
      <c r="A80" s="35"/>
      <c r="B80" s="40" t="s">
        <v>1033</v>
      </c>
      <c r="C80" s="74">
        <f>ROUND(61.55/9509,4)</f>
        <v>6.4999999999999997E-3</v>
      </c>
      <c r="D80" s="18">
        <f t="shared" ref="D80" si="18">C80*269</f>
        <v>1.7484999999999999</v>
      </c>
    </row>
    <row r="81" spans="1:4" x14ac:dyDescent="0.25">
      <c r="A81" s="35">
        <v>5238</v>
      </c>
      <c r="B81" s="40" t="s">
        <v>117</v>
      </c>
      <c r="C81" s="74"/>
      <c r="D81" s="18"/>
    </row>
    <row r="82" spans="1:4" ht="60" x14ac:dyDescent="0.25">
      <c r="A82" s="35"/>
      <c r="B82" s="40" t="s">
        <v>981</v>
      </c>
      <c r="C82" s="74">
        <f>ROUND(88.34/9509,4)</f>
        <v>9.2999999999999992E-3</v>
      </c>
      <c r="D82" s="18">
        <f t="shared" si="0"/>
        <v>2.5016999999999996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982</v>
      </c>
      <c r="C84" s="74">
        <f>ROUND(151.09/9509,3)</f>
        <v>1.6E-2</v>
      </c>
      <c r="D84" s="18">
        <f t="shared" ref="D84" si="19">C84*269</f>
        <v>4.3040000000000003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250.17</v>
      </c>
    </row>
    <row r="86" spans="1:4" x14ac:dyDescent="0.25">
      <c r="A86" s="83"/>
      <c r="B86" s="84" t="s">
        <v>95</v>
      </c>
      <c r="C86" s="82">
        <f>ROUND(C85+C18,4)</f>
        <v>5.41</v>
      </c>
      <c r="D86" s="82">
        <f>ROUND(D85+D18,4)</f>
        <v>1455.29</v>
      </c>
    </row>
    <row r="87" spans="1:4" x14ac:dyDescent="0.25">
      <c r="A87" s="85"/>
      <c r="B87" s="86"/>
      <c r="C87" s="87"/>
      <c r="D87" s="87"/>
    </row>
    <row r="88" spans="1:4" x14ac:dyDescent="0.25">
      <c r="A88" s="311" t="s">
        <v>96</v>
      </c>
      <c r="B88" s="312"/>
      <c r="C88" s="88">
        <v>269</v>
      </c>
      <c r="D88" s="89"/>
    </row>
    <row r="89" spans="1:4" ht="27" customHeight="1" x14ac:dyDescent="0.25">
      <c r="A89" s="313" t="s">
        <v>113</v>
      </c>
      <c r="B89" s="314"/>
      <c r="C89" s="22">
        <f>D86/C88</f>
        <v>5.41</v>
      </c>
      <c r="D89" s="89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3298-8805-4EEF-A68E-A666BAC4DE58}">
  <dimension ref="A1:E90"/>
  <sheetViews>
    <sheetView topLeftCell="A83" workbookViewId="0">
      <selection activeCell="B47" sqref="B47"/>
    </sheetView>
  </sheetViews>
  <sheetFormatPr defaultRowHeight="15" x14ac:dyDescent="0.25"/>
  <cols>
    <col min="1" max="1" width="9.7109375" customWidth="1"/>
    <col min="2" max="2" width="57.140625" customWidth="1"/>
    <col min="3" max="4" width="11.7109375" customWidth="1"/>
    <col min="5" max="5" width="9.5703125" customWidth="1"/>
  </cols>
  <sheetData>
    <row r="1" spans="1:5" x14ac:dyDescent="0.25">
      <c r="A1" s="304" t="s">
        <v>78</v>
      </c>
      <c r="B1" s="304"/>
      <c r="C1" s="304"/>
      <c r="D1" s="304"/>
    </row>
    <row r="2" spans="1:5" ht="10.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12" customHeight="1" x14ac:dyDescent="0.25">
      <c r="A4" s="55"/>
      <c r="B4" s="58"/>
      <c r="C4" s="58"/>
      <c r="D4" s="59"/>
    </row>
    <row r="5" spans="1:5" ht="21" customHeight="1" x14ac:dyDescent="0.25">
      <c r="A5" s="307" t="s">
        <v>305</v>
      </c>
      <c r="B5" s="307"/>
      <c r="C5" s="307"/>
      <c r="D5" s="307"/>
    </row>
    <row r="6" spans="1:5" ht="11.25" customHeight="1" x14ac:dyDescent="0.25">
      <c r="A6" s="236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236"/>
      <c r="B8" s="237"/>
      <c r="C8" s="60"/>
      <c r="D8" s="59"/>
    </row>
    <row r="9" spans="1:5" x14ac:dyDescent="0.25">
      <c r="A9" s="309" t="s">
        <v>189</v>
      </c>
      <c r="B9" s="309"/>
      <c r="C9" s="62"/>
      <c r="D9" s="59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6.5" customHeight="1" x14ac:dyDescent="0.25">
      <c r="A14" s="35"/>
      <c r="B14" s="90" t="s">
        <v>338</v>
      </c>
      <c r="C14" s="18">
        <f>0.17*20</f>
        <v>3.4000000000000004</v>
      </c>
      <c r="D14" s="18">
        <f>C14*626</f>
        <v>2128.4</v>
      </c>
    </row>
    <row r="15" spans="1:5" ht="24" x14ac:dyDescent="0.25">
      <c r="A15" s="35">
        <v>1200</v>
      </c>
      <c r="B15" s="40" t="s">
        <v>326</v>
      </c>
      <c r="C15" s="18">
        <f>ROUND(C14*0.2359,2)</f>
        <v>0.8</v>
      </c>
      <c r="D15" s="18">
        <f>C15*626</f>
        <v>500.8</v>
      </c>
      <c r="E15" s="181"/>
    </row>
    <row r="16" spans="1:5" x14ac:dyDescent="0.25">
      <c r="A16" s="35">
        <v>2341</v>
      </c>
      <c r="B16" s="35" t="s">
        <v>97</v>
      </c>
      <c r="C16" s="91"/>
      <c r="D16" s="91"/>
    </row>
    <row r="17" spans="1:5" ht="84" x14ac:dyDescent="0.25">
      <c r="A17" s="35"/>
      <c r="B17" s="73" t="s">
        <v>330</v>
      </c>
      <c r="C17" s="18">
        <v>5.28</v>
      </c>
      <c r="D17" s="18">
        <f>C17*626</f>
        <v>3305.28</v>
      </c>
    </row>
    <row r="18" spans="1:5" x14ac:dyDescent="0.25">
      <c r="A18" s="50"/>
      <c r="B18" s="92" t="s">
        <v>87</v>
      </c>
      <c r="C18" s="82">
        <f>SUM(C13:C17)</f>
        <v>9.48</v>
      </c>
      <c r="D18" s="82">
        <f>SUM(D13:D17)</f>
        <v>5934.4800000000005</v>
      </c>
      <c r="E18" s="183"/>
    </row>
    <row r="19" spans="1:5" x14ac:dyDescent="0.25">
      <c r="A19" s="77"/>
      <c r="B19" s="92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1034</v>
      </c>
      <c r="C21" s="74">
        <f>ROUND(31.85/9509,5)</f>
        <v>3.3500000000000001E-3</v>
      </c>
      <c r="D21" s="18">
        <f>C21*626</f>
        <v>2.0971000000000002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1035</v>
      </c>
      <c r="C23" s="74">
        <f>ROUND(228.88/9509,4)</f>
        <v>2.41E-2</v>
      </c>
      <c r="D23" s="18">
        <f>C23*626</f>
        <v>15.086600000000001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1036</v>
      </c>
      <c r="C25" s="80">
        <f>ROUND(382.73/9509,4)</f>
        <v>4.02E-2</v>
      </c>
      <c r="D25" s="18">
        <f t="shared" ref="D25:D85" si="0">C25*626</f>
        <v>25.165199999999999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1037</v>
      </c>
      <c r="C27" s="74">
        <f>ROUND(38.69/9509,3)</f>
        <v>4.0000000000000001E-3</v>
      </c>
      <c r="D27" s="18">
        <f t="shared" si="0"/>
        <v>2.504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1038</v>
      </c>
      <c r="C29" s="18">
        <f>ROUND(1004.28/9509,3)</f>
        <v>0.106</v>
      </c>
      <c r="D29" s="18">
        <f t="shared" si="0"/>
        <v>66.355999999999995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1039</v>
      </c>
      <c r="C31" s="18">
        <f>ROUND(82.8/9509,3)</f>
        <v>8.9999999999999993E-3</v>
      </c>
      <c r="D31" s="18">
        <f t="shared" si="0"/>
        <v>5.6339999999999995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1040</v>
      </c>
      <c r="C33" s="18">
        <f>ROUND(289.4/9509,3)</f>
        <v>0.03</v>
      </c>
      <c r="D33" s="18">
        <f t="shared" si="0"/>
        <v>18.779999999999998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1041</v>
      </c>
      <c r="C35" s="74">
        <f>ROUND(20.68/9509,3)</f>
        <v>2E-3</v>
      </c>
      <c r="D35" s="18">
        <f t="shared" si="0"/>
        <v>1.252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1042</v>
      </c>
      <c r="C37" s="74">
        <f>ROUND(58.15/9509,3)</f>
        <v>6.0000000000000001E-3</v>
      </c>
      <c r="D37" s="18">
        <f t="shared" si="0"/>
        <v>3.7560000000000002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1043</v>
      </c>
      <c r="C39" s="74">
        <f>ROUND(524.45/9509,3)</f>
        <v>5.5E-2</v>
      </c>
      <c r="D39" s="18">
        <f t="shared" si="0"/>
        <v>34.43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1044</v>
      </c>
      <c r="C41" s="74">
        <f>ROUND(131.923/9509,3)</f>
        <v>1.4E-2</v>
      </c>
      <c r="D41" s="18">
        <f t="shared" si="0"/>
        <v>8.7639999999999993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1045</v>
      </c>
      <c r="C43" s="18">
        <f>ROUND(360.94/9509,3)</f>
        <v>3.7999999999999999E-2</v>
      </c>
      <c r="D43" s="18">
        <f t="shared" si="0"/>
        <v>23.788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1065</v>
      </c>
      <c r="C45" s="18">
        <f>ROUND(272.76/9509,3)</f>
        <v>2.9000000000000001E-2</v>
      </c>
      <c r="D45" s="18">
        <f t="shared" si="0"/>
        <v>18.154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1046</v>
      </c>
      <c r="C47" s="74">
        <f>ROUND(12.06/9509,3)</f>
        <v>1E-3</v>
      </c>
      <c r="D47" s="18">
        <f t="shared" si="0"/>
        <v>0.626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1047</v>
      </c>
      <c r="C49" s="74">
        <f>ROUND(23.35/9509,3)</f>
        <v>2E-3</v>
      </c>
      <c r="D49" s="18">
        <f t="shared" si="0"/>
        <v>1.252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1048</v>
      </c>
      <c r="C51" s="18">
        <f>ROUND(750.97/9509,3)</f>
        <v>7.9000000000000001E-2</v>
      </c>
      <c r="D51" s="18">
        <f t="shared" si="0"/>
        <v>49.454000000000001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1049</v>
      </c>
      <c r="C53" s="80">
        <f>ROUND(2620.34/9509,4)</f>
        <v>0.27560000000000001</v>
      </c>
      <c r="D53" s="18">
        <f t="shared" si="0"/>
        <v>172.5256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1050</v>
      </c>
      <c r="C55" s="74">
        <f>ROUND(9.91/9509,4)</f>
        <v>1E-3</v>
      </c>
      <c r="D55" s="18">
        <f t="shared" si="0"/>
        <v>0.626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1051</v>
      </c>
      <c r="C57" s="18">
        <f>ROUND(132.32/9509,3)</f>
        <v>1.4E-2</v>
      </c>
      <c r="D57" s="18">
        <f t="shared" si="0"/>
        <v>8.7639999999999993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1052</v>
      </c>
      <c r="C59" s="74">
        <f>ROUND(72.76/9509,3)</f>
        <v>8.0000000000000002E-3</v>
      </c>
      <c r="D59" s="18">
        <f t="shared" si="0"/>
        <v>5.008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1053</v>
      </c>
      <c r="C61" s="18">
        <f>ROUND(484.21/9509,3)</f>
        <v>5.0999999999999997E-2</v>
      </c>
      <c r="D61" s="18">
        <f t="shared" si="0"/>
        <v>31.925999999999998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1054</v>
      </c>
      <c r="C63" s="18">
        <f>ROUND(224.14/9509,3)</f>
        <v>2.4E-2</v>
      </c>
      <c r="D63" s="18">
        <f t="shared" si="0"/>
        <v>15.024000000000001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1055</v>
      </c>
      <c r="C65" s="18">
        <f>ROUND(103.21/9509,3)</f>
        <v>1.0999999999999999E-2</v>
      </c>
      <c r="D65" s="18">
        <f t="shared" si="0"/>
        <v>6.8859999999999992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1056</v>
      </c>
      <c r="C67" s="18">
        <f>ROUND(241.97/9509,5)</f>
        <v>2.545E-2</v>
      </c>
      <c r="D67" s="18">
        <f t="shared" si="0"/>
        <v>15.931700000000001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1057</v>
      </c>
      <c r="C69" s="74">
        <f>ROUND(87.42/9509,5)</f>
        <v>9.1900000000000003E-3</v>
      </c>
      <c r="D69" s="18">
        <f t="shared" si="0"/>
        <v>5.7529399999999997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1058</v>
      </c>
      <c r="C71" s="74">
        <f>ROUND(28.69/9509,5)</f>
        <v>3.0200000000000001E-3</v>
      </c>
      <c r="D71" s="18">
        <f t="shared" si="0"/>
        <v>1.89052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1059</v>
      </c>
      <c r="C73" s="253">
        <f>ROUND(8.56/9509,5)</f>
        <v>8.9999999999999998E-4</v>
      </c>
      <c r="D73" s="18">
        <f t="shared" si="0"/>
        <v>0.56340000000000001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1060</v>
      </c>
      <c r="C75" s="253">
        <f>ROUND(58.04/9509,4)</f>
        <v>6.1000000000000004E-3</v>
      </c>
      <c r="D75" s="18">
        <f t="shared" si="0"/>
        <v>3.8186000000000004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1061</v>
      </c>
      <c r="C77" s="74">
        <f>ROUND(249.88/9509,4)</f>
        <v>2.63E-2</v>
      </c>
      <c r="D77" s="18">
        <f t="shared" si="0"/>
        <v>16.463799999999999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1062</v>
      </c>
      <c r="C81" s="80">
        <f>ROUND(61.55/9509,4)</f>
        <v>6.4999999999999997E-3</v>
      </c>
      <c r="D81" s="18">
        <f t="shared" si="0"/>
        <v>4.069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1063</v>
      </c>
      <c r="C83" s="253">
        <f>ROUND(88.34/9509,5)</f>
        <v>9.2899999999999996E-3</v>
      </c>
      <c r="D83" s="18">
        <f t="shared" si="0"/>
        <v>5.8155399999999995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1064</v>
      </c>
      <c r="C85" s="74">
        <f>ROUND(151.09/9509,3)</f>
        <v>1.6E-2</v>
      </c>
      <c r="D85" s="18">
        <f t="shared" si="0"/>
        <v>10.016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ROUND(D21+D23+D25+D27+D29+D31+D33+D35+D37+D39+D41+D43+D45+D47+D49+D51+D53+D55+D57+D59+D61+D63+D65+D67+D69+D71+D73+D75+D77+D81+D83+D85,3)</f>
        <v>582.17999999999995</v>
      </c>
    </row>
    <row r="87" spans="1:4" x14ac:dyDescent="0.25">
      <c r="A87" s="83"/>
      <c r="B87" s="84" t="s">
        <v>95</v>
      </c>
      <c r="C87" s="82">
        <f>ROUND(C86+C18,4)</f>
        <v>10.41</v>
      </c>
      <c r="D87" s="82">
        <f>ROUND(D86+D18,4)</f>
        <v>6516.66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626</v>
      </c>
      <c r="D89" s="89"/>
    </row>
    <row r="90" spans="1:4" ht="33" customHeight="1" x14ac:dyDescent="0.25">
      <c r="A90" s="313" t="s">
        <v>113</v>
      </c>
      <c r="B90" s="314"/>
      <c r="C90" s="22">
        <f>D87/C89</f>
        <v>10.41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532CC-1F86-4D70-94BF-0E42FD413922}">
  <dimension ref="A1:F90"/>
  <sheetViews>
    <sheetView topLeftCell="A77" workbookViewId="0">
      <selection activeCell="B97" sqref="B97"/>
    </sheetView>
  </sheetViews>
  <sheetFormatPr defaultRowHeight="15" x14ac:dyDescent="0.25"/>
  <cols>
    <col min="1" max="1" width="9.5703125" customWidth="1"/>
    <col min="2" max="2" width="54.85546875" customWidth="1"/>
    <col min="3" max="3" width="10.85546875" customWidth="1"/>
    <col min="4" max="4" width="11.425781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28.5" customHeight="1" x14ac:dyDescent="0.25">
      <c r="A5" s="307" t="s">
        <v>304</v>
      </c>
      <c r="B5" s="307"/>
      <c r="C5" s="307"/>
      <c r="D5" s="307"/>
    </row>
    <row r="6" spans="1:5" x14ac:dyDescent="0.25">
      <c r="A6" s="236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36"/>
      <c r="B8" s="237"/>
      <c r="C8" s="60"/>
      <c r="D8" s="96"/>
    </row>
    <row r="9" spans="1:5" x14ac:dyDescent="0.25">
      <c r="A9" s="318" t="s">
        <v>190</v>
      </c>
      <c r="B9" s="318"/>
      <c r="C9" s="100"/>
      <c r="D9" s="96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4.25" customHeight="1" x14ac:dyDescent="0.25">
      <c r="A14" s="35"/>
      <c r="B14" s="90" t="s">
        <v>339</v>
      </c>
      <c r="C14" s="18">
        <f>0.17*20</f>
        <v>3.4000000000000004</v>
      </c>
      <c r="D14" s="18">
        <f>C14*224</f>
        <v>761.60000000000014</v>
      </c>
    </row>
    <row r="15" spans="1:5" ht="24" x14ac:dyDescent="0.25">
      <c r="A15" s="35">
        <v>1200</v>
      </c>
      <c r="B15" s="73" t="s">
        <v>326</v>
      </c>
      <c r="C15" s="18">
        <f>ROUND(C14*0.2359,2)</f>
        <v>0.8</v>
      </c>
      <c r="D15" s="18">
        <f>C15*224</f>
        <v>179.20000000000002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6" ht="96" x14ac:dyDescent="0.25">
      <c r="A17" s="35"/>
      <c r="B17" s="40" t="s">
        <v>329</v>
      </c>
      <c r="C17" s="18">
        <v>3.85</v>
      </c>
      <c r="D17" s="18">
        <f>C17*224</f>
        <v>862.4</v>
      </c>
      <c r="E17" s="181"/>
      <c r="F17" s="181"/>
    </row>
    <row r="18" spans="1:6" x14ac:dyDescent="0.25">
      <c r="A18" s="84"/>
      <c r="B18" s="92" t="s">
        <v>87</v>
      </c>
      <c r="C18" s="82">
        <f>SUM(C13:C17)</f>
        <v>8.0500000000000007</v>
      </c>
      <c r="D18" s="82">
        <f>SUM(D13:D17)</f>
        <v>1803.2000000000003</v>
      </c>
      <c r="E18" s="183"/>
    </row>
    <row r="19" spans="1:6" x14ac:dyDescent="0.25">
      <c r="A19" s="77"/>
      <c r="B19" s="92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60" x14ac:dyDescent="0.25">
      <c r="A21" s="77"/>
      <c r="B21" s="40" t="s">
        <v>1066</v>
      </c>
      <c r="C21" s="74">
        <f>ROUND(31.85/9509,5)</f>
        <v>3.3500000000000001E-3</v>
      </c>
      <c r="D21" s="18">
        <f>C21*224</f>
        <v>0.75040000000000007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60" x14ac:dyDescent="0.25">
      <c r="A23" s="35"/>
      <c r="B23" s="40" t="s">
        <v>1067</v>
      </c>
      <c r="C23" s="18">
        <f>ROUND(228.88/9509,5)</f>
        <v>2.4070000000000001E-2</v>
      </c>
      <c r="D23" s="18">
        <f t="shared" ref="D23:D85" si="0">C23*224</f>
        <v>5.39168</v>
      </c>
    </row>
    <row r="24" spans="1:6" x14ac:dyDescent="0.25">
      <c r="A24" s="35">
        <v>2221</v>
      </c>
      <c r="B24" s="40" t="s">
        <v>89</v>
      </c>
      <c r="C24" s="18"/>
      <c r="D24" s="18"/>
    </row>
    <row r="25" spans="1:6" ht="60" x14ac:dyDescent="0.25">
      <c r="A25" s="35"/>
      <c r="B25" s="40" t="s">
        <v>1068</v>
      </c>
      <c r="C25" s="18">
        <f>ROUND(382.73/9509,5)</f>
        <v>4.0250000000000001E-2</v>
      </c>
      <c r="D25" s="18">
        <f t="shared" si="0"/>
        <v>9.016</v>
      </c>
    </row>
    <row r="26" spans="1:6" x14ac:dyDescent="0.25">
      <c r="A26" s="35">
        <v>2222</v>
      </c>
      <c r="B26" s="242" t="s">
        <v>90</v>
      </c>
      <c r="C26" s="18"/>
      <c r="D26" s="18"/>
    </row>
    <row r="27" spans="1:6" ht="60" x14ac:dyDescent="0.25">
      <c r="A27" s="35"/>
      <c r="B27" s="40" t="s">
        <v>1069</v>
      </c>
      <c r="C27" s="74">
        <f>ROUND(38.69/9509,5)</f>
        <v>4.0699999999999998E-3</v>
      </c>
      <c r="D27" s="18">
        <f t="shared" si="0"/>
        <v>0.91167999999999993</v>
      </c>
    </row>
    <row r="28" spans="1:6" x14ac:dyDescent="0.25">
      <c r="A28" s="35">
        <v>2223</v>
      </c>
      <c r="B28" s="35" t="s">
        <v>91</v>
      </c>
      <c r="C28" s="74"/>
      <c r="D28" s="18"/>
    </row>
    <row r="29" spans="1:6" ht="60" x14ac:dyDescent="0.25">
      <c r="A29" s="35"/>
      <c r="B29" s="40" t="s">
        <v>1070</v>
      </c>
      <c r="C29" s="18">
        <f>ROUND(1004.28/9509,3)</f>
        <v>0.106</v>
      </c>
      <c r="D29" s="18">
        <f t="shared" si="0"/>
        <v>23.744</v>
      </c>
    </row>
    <row r="30" spans="1:6" ht="24" x14ac:dyDescent="0.25">
      <c r="A30" s="35">
        <v>2224</v>
      </c>
      <c r="B30" s="40" t="s">
        <v>115</v>
      </c>
      <c r="C30" s="74"/>
      <c r="D30" s="18"/>
    </row>
    <row r="31" spans="1:6" ht="60" x14ac:dyDescent="0.25">
      <c r="A31" s="34"/>
      <c r="B31" s="40" t="s">
        <v>1071</v>
      </c>
      <c r="C31" s="18">
        <f>ROUND(82.8/9509,3)</f>
        <v>8.9999999999999993E-3</v>
      </c>
      <c r="D31" s="18">
        <f t="shared" si="0"/>
        <v>2.016</v>
      </c>
    </row>
    <row r="32" spans="1:6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585</v>
      </c>
      <c r="C33" s="18">
        <f>ROUND(289.4/9509,3)</f>
        <v>0.03</v>
      </c>
      <c r="D33" s="18">
        <f t="shared" si="0"/>
        <v>6.72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1072</v>
      </c>
      <c r="C35" s="74">
        <f>ROUND(20.68/9509,3)</f>
        <v>2E-3</v>
      </c>
      <c r="D35" s="18">
        <f t="shared" si="0"/>
        <v>0.44800000000000001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1073</v>
      </c>
      <c r="C37" s="74">
        <f>ROUND(58.15/9509,3)</f>
        <v>6.0000000000000001E-3</v>
      </c>
      <c r="D37" s="18">
        <f t="shared" si="0"/>
        <v>1.3440000000000001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1074</v>
      </c>
      <c r="C39" s="74">
        <f>ROUND(524.45/9509,5)</f>
        <v>5.5149999999999998E-2</v>
      </c>
      <c r="D39" s="18">
        <f t="shared" si="0"/>
        <v>12.3536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1075</v>
      </c>
      <c r="C41" s="74">
        <f>ROUND(131.923/9509,3)</f>
        <v>1.4E-2</v>
      </c>
      <c r="D41" s="18">
        <f t="shared" si="0"/>
        <v>3.1360000000000001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1077</v>
      </c>
      <c r="C43" s="18">
        <f>ROUND(360.94/9509,3)</f>
        <v>3.7999999999999999E-2</v>
      </c>
      <c r="D43" s="18">
        <f t="shared" si="0"/>
        <v>8.5120000000000005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1076</v>
      </c>
      <c r="C45" s="18">
        <f>ROUND(272.76/9509,3)</f>
        <v>2.9000000000000001E-2</v>
      </c>
      <c r="D45" s="18">
        <f t="shared" si="0"/>
        <v>6.4960000000000004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1078</v>
      </c>
      <c r="C47" s="74">
        <f>ROUND(12.06/9509,3)</f>
        <v>1E-3</v>
      </c>
      <c r="D47" s="18">
        <f t="shared" si="0"/>
        <v>0.224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586</v>
      </c>
      <c r="C49" s="74">
        <f>ROUND(23.35/9509,3)</f>
        <v>2E-3</v>
      </c>
      <c r="D49" s="18">
        <f t="shared" si="0"/>
        <v>0.44800000000000001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1079</v>
      </c>
      <c r="C51" s="18">
        <f>ROUND(750.97/9509,4)</f>
        <v>7.9000000000000001E-2</v>
      </c>
      <c r="D51" s="18">
        <f t="shared" si="0"/>
        <v>17.696000000000002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1080</v>
      </c>
      <c r="C53" s="18">
        <f>ROUND(2620.34/9509,3)</f>
        <v>0.27600000000000002</v>
      </c>
      <c r="D53" s="18">
        <f t="shared" si="0"/>
        <v>61.824000000000005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1081</v>
      </c>
      <c r="C55" s="74">
        <f>ROUND(9.91/9509,5)</f>
        <v>1.0399999999999999E-3</v>
      </c>
      <c r="D55" s="18">
        <f t="shared" si="0"/>
        <v>0.23295999999999997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1082</v>
      </c>
      <c r="C57" s="74">
        <f>ROUND(132.32/9509,5)</f>
        <v>1.392E-2</v>
      </c>
      <c r="D57" s="18">
        <f t="shared" si="0"/>
        <v>3.11808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1083</v>
      </c>
      <c r="C59" s="80">
        <f>ROUND(72.76/9509,4)</f>
        <v>7.7000000000000002E-3</v>
      </c>
      <c r="D59" s="18">
        <f t="shared" si="0"/>
        <v>1.7248000000000001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1084</v>
      </c>
      <c r="C61" s="74">
        <f>ROUND(484.21/9509,5)</f>
        <v>5.092E-2</v>
      </c>
      <c r="D61" s="18">
        <f t="shared" si="0"/>
        <v>11.406079999999999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1085</v>
      </c>
      <c r="C63" s="18">
        <f>ROUND(224.14/9509,3)</f>
        <v>2.4E-2</v>
      </c>
      <c r="D63" s="18">
        <f t="shared" si="0"/>
        <v>5.3760000000000003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1086</v>
      </c>
      <c r="C65" s="74">
        <f>ROUND(103.21/9509,5)</f>
        <v>1.085E-2</v>
      </c>
      <c r="D65" s="18">
        <f t="shared" si="0"/>
        <v>2.4304000000000001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1087</v>
      </c>
      <c r="C67" s="74">
        <f>ROUND(241.97/9509,5)</f>
        <v>2.545E-2</v>
      </c>
      <c r="D67" s="18">
        <f t="shared" si="0"/>
        <v>5.7008000000000001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1088</v>
      </c>
      <c r="C69" s="80">
        <f>ROUND(87.42/9509,4)</f>
        <v>9.1999999999999998E-3</v>
      </c>
      <c r="D69" s="18">
        <f t="shared" si="0"/>
        <v>2.0608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711</v>
      </c>
      <c r="C71" s="74">
        <f>ROUND(28.69/9509,5)</f>
        <v>3.0200000000000001E-3</v>
      </c>
      <c r="D71" s="18">
        <f t="shared" si="0"/>
        <v>0.67647999999999997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712</v>
      </c>
      <c r="C73" s="74">
        <f>ROUND(8.56/9509,5)</f>
        <v>8.9999999999999998E-4</v>
      </c>
      <c r="D73" s="18">
        <f t="shared" si="0"/>
        <v>0.2016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1089</v>
      </c>
      <c r="C75" s="74">
        <f>ROUND(58.04/9509,4)</f>
        <v>6.1000000000000004E-3</v>
      </c>
      <c r="D75" s="18">
        <f t="shared" si="0"/>
        <v>1.3664000000000001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1090</v>
      </c>
      <c r="C77" s="74">
        <f>ROUND(249.88/9509,4)</f>
        <v>2.63E-2</v>
      </c>
      <c r="D77" s="18">
        <f t="shared" si="0"/>
        <v>5.8912000000000004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1091</v>
      </c>
      <c r="C81" s="80">
        <f>ROUND(61.55/9509,4)</f>
        <v>6.4999999999999997E-3</v>
      </c>
      <c r="D81" s="18">
        <f t="shared" si="0"/>
        <v>1.456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1092</v>
      </c>
      <c r="C83" s="74">
        <f>ROUND(88.34/9509,5)</f>
        <v>9.2899999999999996E-3</v>
      </c>
      <c r="D83" s="18">
        <f t="shared" si="0"/>
        <v>2.0809600000000001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1093</v>
      </c>
      <c r="C85" s="74">
        <f>ROUND(151.09/9509,4)</f>
        <v>1.5900000000000001E-2</v>
      </c>
      <c r="D85" s="18">
        <f t="shared" si="0"/>
        <v>3.5616000000000003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208.32</v>
      </c>
    </row>
    <row r="87" spans="1:4" x14ac:dyDescent="0.25">
      <c r="A87" s="83"/>
      <c r="B87" s="84" t="s">
        <v>95</v>
      </c>
      <c r="C87" s="82">
        <f>ROUND(C86+C18,4)</f>
        <v>8.98</v>
      </c>
      <c r="D87" s="82">
        <f>ROUND(D86+D18,4)</f>
        <v>2011.52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224</v>
      </c>
      <c r="D89" s="89"/>
    </row>
    <row r="90" spans="1:4" ht="32.25" customHeight="1" x14ac:dyDescent="0.25">
      <c r="A90" s="313" t="s">
        <v>113</v>
      </c>
      <c r="B90" s="314"/>
      <c r="C90" s="22">
        <f>D87/C89</f>
        <v>8.98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3EE98-90E0-446E-9CEC-EE2AD67D5E17}">
  <dimension ref="A1:E90"/>
  <sheetViews>
    <sheetView topLeftCell="A75" workbookViewId="0">
      <selection activeCell="B57" sqref="B57"/>
    </sheetView>
  </sheetViews>
  <sheetFormatPr defaultRowHeight="15" x14ac:dyDescent="0.25"/>
  <cols>
    <col min="1" max="1" width="9.7109375" customWidth="1"/>
    <col min="2" max="2" width="54.5703125" customWidth="1"/>
    <col min="3" max="3" width="13" customWidth="1"/>
    <col min="4" max="4" width="14.425781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6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60"/>
    </row>
    <row r="5" spans="1:5" ht="26.25" customHeight="1" x14ac:dyDescent="0.25">
      <c r="A5" s="307" t="s">
        <v>303</v>
      </c>
      <c r="B5" s="307"/>
      <c r="C5" s="307"/>
      <c r="D5" s="307"/>
    </row>
    <row r="6" spans="1:5" x14ac:dyDescent="0.25">
      <c r="A6" s="236"/>
      <c r="B6" s="60"/>
      <c r="C6" s="60"/>
      <c r="D6" s="60"/>
    </row>
    <row r="7" spans="1:5" x14ac:dyDescent="0.25">
      <c r="A7" s="308" t="s">
        <v>112</v>
      </c>
      <c r="B7" s="310"/>
      <c r="C7" s="60"/>
      <c r="D7" s="60"/>
    </row>
    <row r="8" spans="1:5" x14ac:dyDescent="0.25">
      <c r="A8" s="236"/>
      <c r="B8" s="237"/>
      <c r="C8" s="60"/>
      <c r="D8" s="60"/>
    </row>
    <row r="9" spans="1:5" x14ac:dyDescent="0.25">
      <c r="A9" s="318" t="s">
        <v>188</v>
      </c>
      <c r="B9" s="318"/>
      <c r="C9" s="100"/>
      <c r="D9" s="100"/>
    </row>
    <row r="10" spans="1:5" ht="97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7.25" customHeight="1" x14ac:dyDescent="0.25">
      <c r="A14" s="35"/>
      <c r="B14" s="90" t="s">
        <v>340</v>
      </c>
      <c r="C14" s="18">
        <f>0.17*20</f>
        <v>3.4000000000000004</v>
      </c>
      <c r="D14" s="18">
        <f>C14*895</f>
        <v>3043.0000000000005</v>
      </c>
    </row>
    <row r="15" spans="1:5" ht="24" x14ac:dyDescent="0.25">
      <c r="A15" s="35">
        <v>1200</v>
      </c>
      <c r="B15" s="40" t="s">
        <v>326</v>
      </c>
      <c r="C15" s="18">
        <f>ROUND(C14*0.2359,2)</f>
        <v>0.8</v>
      </c>
      <c r="D15" s="18">
        <f>C15*895</f>
        <v>716</v>
      </c>
      <c r="E15" s="181"/>
    </row>
    <row r="16" spans="1:5" x14ac:dyDescent="0.25">
      <c r="A16" s="35">
        <v>2341</v>
      </c>
      <c r="B16" s="35" t="s">
        <v>97</v>
      </c>
      <c r="C16" s="74"/>
      <c r="D16" s="74"/>
    </row>
    <row r="17" spans="1:5" ht="120" x14ac:dyDescent="0.25">
      <c r="A17" s="35"/>
      <c r="B17" s="40" t="s">
        <v>411</v>
      </c>
      <c r="C17" s="18">
        <v>17.21</v>
      </c>
      <c r="D17" s="18">
        <f>C17*895</f>
        <v>15402.95</v>
      </c>
      <c r="E17" s="184"/>
    </row>
    <row r="18" spans="1:5" x14ac:dyDescent="0.25">
      <c r="A18" s="35"/>
      <c r="B18" s="92" t="s">
        <v>87</v>
      </c>
      <c r="C18" s="82">
        <f>SUM(C13:C17)</f>
        <v>21.41</v>
      </c>
      <c r="D18" s="82">
        <f>SUM(D13:D17)</f>
        <v>19161.95</v>
      </c>
      <c r="E18" s="183"/>
    </row>
    <row r="19" spans="1:5" x14ac:dyDescent="0.25">
      <c r="A19" s="77"/>
      <c r="B19" s="175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1094</v>
      </c>
      <c r="C21" s="74">
        <f>ROUND(31.85/9509,4)</f>
        <v>3.3E-3</v>
      </c>
      <c r="D21" s="18">
        <f>C21*895</f>
        <v>2.9535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1095</v>
      </c>
      <c r="C23" s="74">
        <f>ROUND(228.88/9509,4)</f>
        <v>2.41E-2</v>
      </c>
      <c r="D23" s="18">
        <f>C23*895</f>
        <v>21.569500000000001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1096</v>
      </c>
      <c r="C25" s="74">
        <f>ROUND(382.73/9509,5)</f>
        <v>4.0250000000000001E-2</v>
      </c>
      <c r="D25" s="18">
        <f>C25*895</f>
        <v>36.02375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1097</v>
      </c>
      <c r="C27" s="253">
        <f>ROUND(38.69/9509,5)</f>
        <v>4.0699999999999998E-3</v>
      </c>
      <c r="D27" s="18">
        <f>C27*895</f>
        <v>3.6426499999999997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987</v>
      </c>
      <c r="C29" s="74">
        <f>ROUND(1004.28/9509,3)</f>
        <v>0.106</v>
      </c>
      <c r="D29" s="18">
        <f>C29*895</f>
        <v>94.86999999999999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1098</v>
      </c>
      <c r="C31" s="18">
        <f>ROUND(82.8/9509,3)</f>
        <v>8.9999999999999993E-3</v>
      </c>
      <c r="D31" s="18">
        <f>C31*895</f>
        <v>8.0549999999999997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1099</v>
      </c>
      <c r="C33" s="74">
        <f>ROUND(289.4/9509,5)</f>
        <v>3.0429999999999999E-2</v>
      </c>
      <c r="D33" s="18">
        <f>C33*895</f>
        <v>27.234849999999998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1100</v>
      </c>
      <c r="C35" s="74">
        <f>ROUND(20.68/9509,5)</f>
        <v>2.1700000000000001E-3</v>
      </c>
      <c r="D35" s="18">
        <f>C35*895</f>
        <v>1.94215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1101</v>
      </c>
      <c r="C37" s="74">
        <f>ROUND(58.15/9509,5)</f>
        <v>6.1199999999999996E-3</v>
      </c>
      <c r="D37" s="18">
        <f>C37*895</f>
        <v>5.4773999999999994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991</v>
      </c>
      <c r="C39" s="74">
        <f>ROUND(524.45/9509,3)</f>
        <v>5.5E-2</v>
      </c>
      <c r="D39" s="18">
        <f>C39*895</f>
        <v>49.225000000000001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1102</v>
      </c>
      <c r="C41" s="74">
        <f>ROUND(131.923/9509,3)</f>
        <v>1.4E-2</v>
      </c>
      <c r="D41" s="18">
        <f>C41*895</f>
        <v>12.530000000000001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1103</v>
      </c>
      <c r="C43" s="18">
        <f>ROUND(360.94/9509,3)</f>
        <v>3.7999999999999999E-2</v>
      </c>
      <c r="D43" s="18">
        <f>C43*895</f>
        <v>34.01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1104</v>
      </c>
      <c r="C45" s="18">
        <f>ROUND(272.76/9509,4)</f>
        <v>2.87E-2</v>
      </c>
      <c r="D45" s="18">
        <f>C45*895</f>
        <v>25.686499999999999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1105</v>
      </c>
      <c r="C47" s="74">
        <f>ROUND(12.06/9509,3)</f>
        <v>1E-3</v>
      </c>
      <c r="D47" s="18">
        <f>C47*895</f>
        <v>0.89500000000000002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1106</v>
      </c>
      <c r="C49" s="74">
        <f>ROUND(23.35/9509,5)</f>
        <v>2.4599999999999999E-3</v>
      </c>
      <c r="D49" s="18">
        <f>C49*895</f>
        <v>2.2016999999999998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1107</v>
      </c>
      <c r="C51" s="74">
        <f>ROUND(750.97/9509,5)</f>
        <v>7.8969999999999999E-2</v>
      </c>
      <c r="D51" s="18">
        <f>C51*895</f>
        <v>70.678150000000002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1108</v>
      </c>
      <c r="C53" s="18">
        <f>ROUND(2620.34/9509,3)</f>
        <v>0.27600000000000002</v>
      </c>
      <c r="D53" s="18">
        <f>C53*895</f>
        <v>247.02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999</v>
      </c>
      <c r="C55" s="74">
        <f>ROUND(9.91/9509,3)</f>
        <v>1E-3</v>
      </c>
      <c r="D55" s="18">
        <f>C55*895</f>
        <v>0.89500000000000002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1109</v>
      </c>
      <c r="C57" s="18">
        <f>ROUND(132.32/9509,3)</f>
        <v>1.4E-2</v>
      </c>
      <c r="D57" s="18">
        <f>C57*895</f>
        <v>12.530000000000001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1110</v>
      </c>
      <c r="C59" s="74">
        <f>ROUND(72.76/9509,5)</f>
        <v>7.6499999999999997E-3</v>
      </c>
      <c r="D59" s="18">
        <f>C59*895</f>
        <v>6.8467500000000001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1111</v>
      </c>
      <c r="C61" s="74">
        <f>ROUND(484.21/9509,5)</f>
        <v>5.092E-2</v>
      </c>
      <c r="D61" s="18">
        <f>C61*895</f>
        <v>45.573399999999999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1112</v>
      </c>
      <c r="C63" s="74">
        <f>ROUND(224.14/9509,5)</f>
        <v>2.3570000000000001E-2</v>
      </c>
      <c r="D63" s="18">
        <f>C63*895</f>
        <v>21.09515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1113</v>
      </c>
      <c r="C65" s="18">
        <f>ROUND(103.21/9509,3)</f>
        <v>1.0999999999999999E-2</v>
      </c>
      <c r="D65" s="18">
        <f>C65*895</f>
        <v>9.8449999999999989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1114</v>
      </c>
      <c r="C67" s="74">
        <f>ROUND(241.97/9509,5)</f>
        <v>2.545E-2</v>
      </c>
      <c r="D67" s="18">
        <f>C67*895</f>
        <v>22.777750000000001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1115</v>
      </c>
      <c r="C69" s="18">
        <f>ROUND(87.42/9509,3)</f>
        <v>8.9999999999999993E-3</v>
      </c>
      <c r="D69" s="18">
        <f>C69*895</f>
        <v>8.0549999999999997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1116</v>
      </c>
      <c r="C71" s="74">
        <f>ROUND(28.69/9509,3)</f>
        <v>3.0000000000000001E-3</v>
      </c>
      <c r="D71" s="18">
        <f>C71*895</f>
        <v>2.6850000000000001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1117</v>
      </c>
      <c r="C73" s="74">
        <f>ROUND(8.56/9509,4)</f>
        <v>8.9999999999999998E-4</v>
      </c>
      <c r="D73" s="18">
        <f>C73*895</f>
        <v>0.80549999999999999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1118</v>
      </c>
      <c r="C75" s="74">
        <f>ROUND(58.04/9509,3)</f>
        <v>6.0000000000000001E-3</v>
      </c>
      <c r="D75" s="18">
        <f>C75*895</f>
        <v>5.37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1119</v>
      </c>
      <c r="C77" s="74">
        <f>ROUND(249.88/9509,5)</f>
        <v>2.6280000000000001E-2</v>
      </c>
      <c r="D77" s="18">
        <f>C77*895</f>
        <v>23.520600000000002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f t="shared" ref="D79" si="0">C79*895</f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1120</v>
      </c>
      <c r="C81" s="253">
        <f>ROUND(61.55/9509,5)</f>
        <v>6.4700000000000001E-3</v>
      </c>
      <c r="D81" s="18">
        <f>C81*895</f>
        <v>5.7906500000000003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1121</v>
      </c>
      <c r="C83" s="253">
        <f>ROUND(88.34/9509,5)</f>
        <v>9.2899999999999996E-3</v>
      </c>
      <c r="D83" s="18">
        <f>C83*895</f>
        <v>8.3145500000000006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1122</v>
      </c>
      <c r="C85" s="74">
        <f>ROUND(151.09/9509,4)</f>
        <v>1.5900000000000001E-2</v>
      </c>
      <c r="D85" s="18">
        <f>C85*895</f>
        <v>14.230500000000001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832.35</v>
      </c>
    </row>
    <row r="87" spans="1:4" x14ac:dyDescent="0.25">
      <c r="A87" s="83"/>
      <c r="B87" s="84" t="s">
        <v>95</v>
      </c>
      <c r="C87" s="82">
        <f>ROUND(C86+C18,4)</f>
        <v>22.34</v>
      </c>
      <c r="D87" s="82">
        <f>ROUND(D86+D18,4)</f>
        <v>19994.3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895</v>
      </c>
      <c r="D89" s="89"/>
    </row>
    <row r="90" spans="1:4" ht="29.25" customHeight="1" x14ac:dyDescent="0.25">
      <c r="A90" s="313" t="s">
        <v>113</v>
      </c>
      <c r="B90" s="314"/>
      <c r="C90" s="22">
        <f>D87/C89</f>
        <v>22.34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3622-030B-4BAB-9D69-4CD4A97DC0C6}">
  <dimension ref="A1:E90"/>
  <sheetViews>
    <sheetView topLeftCell="A84" workbookViewId="0">
      <selection activeCell="F83" sqref="F83"/>
    </sheetView>
  </sheetViews>
  <sheetFormatPr defaultRowHeight="15" x14ac:dyDescent="0.25"/>
  <cols>
    <col min="1" max="1" width="10.140625" customWidth="1"/>
    <col min="2" max="2" width="54.28515625" customWidth="1"/>
    <col min="3" max="3" width="13.85546875" customWidth="1"/>
    <col min="4" max="4" width="13.7109375" customWidth="1"/>
    <col min="5" max="5" width="11.28515625" customWidth="1"/>
    <col min="6" max="6" width="11" customWidth="1"/>
    <col min="7" max="8" width="11.140625" customWidth="1"/>
  </cols>
  <sheetData>
    <row r="1" spans="1:5" x14ac:dyDescent="0.25">
      <c r="A1" s="319" t="s">
        <v>78</v>
      </c>
      <c r="B1" s="319"/>
      <c r="C1" s="319"/>
      <c r="D1" s="319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29.25" customHeight="1" x14ac:dyDescent="0.25">
      <c r="A5" s="307" t="s">
        <v>302</v>
      </c>
      <c r="B5" s="307"/>
      <c r="C5" s="307"/>
      <c r="D5" s="307"/>
    </row>
    <row r="6" spans="1:5" x14ac:dyDescent="0.25">
      <c r="A6" s="236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36"/>
      <c r="B8" s="237"/>
      <c r="C8" s="60"/>
      <c r="D8" s="96"/>
    </row>
    <row r="9" spans="1:5" x14ac:dyDescent="0.25">
      <c r="A9" s="318" t="s">
        <v>188</v>
      </c>
      <c r="B9" s="318"/>
      <c r="C9" s="100"/>
      <c r="D9" s="96"/>
    </row>
    <row r="10" spans="1:5" ht="97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89.25" customHeight="1" x14ac:dyDescent="0.25">
      <c r="A14" s="35"/>
      <c r="B14" s="90" t="s">
        <v>341</v>
      </c>
      <c r="C14" s="18">
        <f>0.17*20</f>
        <v>3.4000000000000004</v>
      </c>
      <c r="D14" s="18">
        <f>C14*895</f>
        <v>3043.0000000000005</v>
      </c>
    </row>
    <row r="15" spans="1:5" ht="24" x14ac:dyDescent="0.25">
      <c r="A15" s="35">
        <v>1200</v>
      </c>
      <c r="B15" s="40" t="s">
        <v>326</v>
      </c>
      <c r="C15" s="18">
        <f>ROUND(C14*0.2359,2)</f>
        <v>0.8</v>
      </c>
      <c r="D15" s="18">
        <f>C15*895</f>
        <v>716</v>
      </c>
      <c r="E15" s="181"/>
    </row>
    <row r="16" spans="1:5" x14ac:dyDescent="0.25">
      <c r="A16" s="35">
        <v>2341</v>
      </c>
      <c r="B16" s="35" t="s">
        <v>118</v>
      </c>
      <c r="C16" s="18"/>
      <c r="D16" s="74"/>
    </row>
    <row r="17" spans="1:5" ht="120" customHeight="1" x14ac:dyDescent="0.25">
      <c r="A17" s="35"/>
      <c r="B17" s="40" t="s">
        <v>415</v>
      </c>
      <c r="C17" s="18">
        <v>14.67</v>
      </c>
      <c r="D17" s="18">
        <f>C17*895</f>
        <v>13129.65</v>
      </c>
      <c r="E17" s="184"/>
    </row>
    <row r="18" spans="1:5" x14ac:dyDescent="0.25">
      <c r="A18" s="84"/>
      <c r="B18" s="92" t="s">
        <v>87</v>
      </c>
      <c r="C18" s="82">
        <f>SUM(C13:C17)</f>
        <v>18.87</v>
      </c>
      <c r="D18" s="82">
        <f>SUM(D13:D17)</f>
        <v>16888.650000000001</v>
      </c>
      <c r="E18" s="183"/>
    </row>
    <row r="19" spans="1:5" x14ac:dyDescent="0.25">
      <c r="A19" s="77"/>
      <c r="B19" s="175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983</v>
      </c>
      <c r="C21" s="74">
        <f>ROUND(31.85/9509,5)</f>
        <v>3.3500000000000001E-3</v>
      </c>
      <c r="D21" s="18">
        <f>C21*895</f>
        <v>2.9982500000000001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1123</v>
      </c>
      <c r="C23" s="74">
        <f>ROUND(228.88/9509,5)</f>
        <v>2.4070000000000001E-2</v>
      </c>
      <c r="D23" s="18">
        <f>C23*895</f>
        <v>21.542650000000002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1124</v>
      </c>
      <c r="C25" s="18">
        <f>ROUND(382.73/9509,3)</f>
        <v>0.04</v>
      </c>
      <c r="D25" s="18">
        <f>C25*895</f>
        <v>35.800000000000004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1125</v>
      </c>
      <c r="C27" s="74">
        <f>ROUND(38.69/9509,3)</f>
        <v>4.0000000000000001E-3</v>
      </c>
      <c r="D27" s="18">
        <f>C27*895</f>
        <v>3.58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987</v>
      </c>
      <c r="C29" s="18">
        <f>ROUND(1004.28/9509,3)</f>
        <v>0.106</v>
      </c>
      <c r="D29" s="18">
        <f>C29*895</f>
        <v>94.86999999999999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1126</v>
      </c>
      <c r="C31" s="18">
        <f>ROUND(82.8/9509,3)</f>
        <v>8.9999999999999993E-3</v>
      </c>
      <c r="D31" s="18">
        <f>C31*895</f>
        <v>8.0549999999999997</v>
      </c>
    </row>
    <row r="32" spans="1:5" x14ac:dyDescent="0.25">
      <c r="A32" s="35">
        <v>2231</v>
      </c>
      <c r="B32" s="40"/>
      <c r="C32" s="74"/>
      <c r="D32" s="18"/>
    </row>
    <row r="33" spans="1:4" ht="60" x14ac:dyDescent="0.25">
      <c r="A33" s="35"/>
      <c r="B33" s="40" t="s">
        <v>989</v>
      </c>
      <c r="C33" s="18">
        <f>ROUND(289.4/9509,3)</f>
        <v>0.03</v>
      </c>
      <c r="D33" s="18">
        <f>C33*895</f>
        <v>26.849999999999998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1127</v>
      </c>
      <c r="C35" s="74">
        <f>ROUND(20.68/9509,3)</f>
        <v>2E-3</v>
      </c>
      <c r="D35" s="18">
        <f>C35*895</f>
        <v>1.79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1128</v>
      </c>
      <c r="C37" s="74">
        <f>ROUND(58.15/9509,3)</f>
        <v>6.0000000000000001E-3</v>
      </c>
      <c r="D37" s="18">
        <f>C37*895</f>
        <v>5.37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991</v>
      </c>
      <c r="C39" s="74">
        <f>ROUND(524.45/9509,3)</f>
        <v>5.5E-2</v>
      </c>
      <c r="D39" s="18">
        <f>C39*895</f>
        <v>49.225000000000001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1102</v>
      </c>
      <c r="C41" s="74">
        <f>ROUND(131.923/9509,3)</f>
        <v>1.4E-2</v>
      </c>
      <c r="D41" s="18">
        <f>C41*895</f>
        <v>12.530000000000001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1103</v>
      </c>
      <c r="C43" s="18">
        <f>ROUND(360.94/9509,3)</f>
        <v>3.7999999999999999E-2</v>
      </c>
      <c r="D43" s="18">
        <f>C43*895</f>
        <v>34.01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1129</v>
      </c>
      <c r="C45" s="18">
        <f>ROUND(272.76/9509,3)</f>
        <v>2.9000000000000001E-2</v>
      </c>
      <c r="D45" s="18">
        <f>C45*895</f>
        <v>25.955000000000002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1105</v>
      </c>
      <c r="C47" s="74">
        <f>ROUND(12.06/9509,3)</f>
        <v>1E-3</v>
      </c>
      <c r="D47" s="18">
        <f>C47*895</f>
        <v>0.89500000000000002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1130</v>
      </c>
      <c r="C49" s="74">
        <f>ROUND(23.35/9509,3)</f>
        <v>2E-3</v>
      </c>
      <c r="D49" s="18">
        <f>C49*895</f>
        <v>1.79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1131</v>
      </c>
      <c r="C51" s="18">
        <f>ROUND(750.97/9509,3)</f>
        <v>7.9000000000000001E-2</v>
      </c>
      <c r="D51" s="18">
        <f>C51*895</f>
        <v>70.704999999999998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1108</v>
      </c>
      <c r="C53" s="18">
        <f>ROUND(2620.34/9509,3)</f>
        <v>0.27600000000000002</v>
      </c>
      <c r="D53" s="18">
        <f>C53*895</f>
        <v>247.02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999</v>
      </c>
      <c r="C55" s="74">
        <f>ROUND(9.91/9509,3)</f>
        <v>1E-3</v>
      </c>
      <c r="D55" s="18">
        <f>C55*895</f>
        <v>0.89500000000000002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1132</v>
      </c>
      <c r="C57" s="74">
        <f>ROUND(132.32/9509,5)</f>
        <v>1.392E-2</v>
      </c>
      <c r="D57" s="18">
        <f>C57*895</f>
        <v>12.458399999999999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1133</v>
      </c>
      <c r="C59" s="74">
        <f>ROUND(72.76/9509,3)</f>
        <v>8.0000000000000002E-3</v>
      </c>
      <c r="D59" s="18">
        <f>C59*895</f>
        <v>7.16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1134</v>
      </c>
      <c r="C61" s="18">
        <f>ROUND(484.21/9509,3)</f>
        <v>5.0999999999999997E-2</v>
      </c>
      <c r="D61" s="18">
        <f>C61*895</f>
        <v>45.644999999999996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1135</v>
      </c>
      <c r="C63" s="18">
        <f>ROUND(224.14/9509,3)</f>
        <v>2.4E-2</v>
      </c>
      <c r="D63" s="18">
        <f>C63*895</f>
        <v>21.48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1136</v>
      </c>
      <c r="C65" s="18">
        <f>ROUND(103.21/9509,3)</f>
        <v>1.0999999999999999E-2</v>
      </c>
      <c r="D65" s="18">
        <f>C65*895</f>
        <v>9.8449999999999989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1137</v>
      </c>
      <c r="C67" s="80">
        <f>ROUND(241.97/9509,4)</f>
        <v>2.5399999999999999E-2</v>
      </c>
      <c r="D67" s="18">
        <f>C67*895</f>
        <v>22.733000000000001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1138</v>
      </c>
      <c r="C69" s="74">
        <f>ROUND(87.42/9509,5)</f>
        <v>9.1900000000000003E-3</v>
      </c>
      <c r="D69" s="18">
        <f>C69*895</f>
        <v>8.2250499999999995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1139</v>
      </c>
      <c r="C71" s="74">
        <f>ROUND(28.69/9509,5)</f>
        <v>3.0200000000000001E-3</v>
      </c>
      <c r="D71" s="18">
        <f>C71*895</f>
        <v>2.7029000000000001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1117</v>
      </c>
      <c r="C73" s="74">
        <f>ROUND(8.56/9509,5)</f>
        <v>8.9999999999999998E-4</v>
      </c>
      <c r="D73" s="18">
        <f>C73*895</f>
        <v>0.80549999999999999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1140</v>
      </c>
      <c r="C75" s="74">
        <f>ROUND(58.04/9509,5)</f>
        <v>6.1000000000000004E-3</v>
      </c>
      <c r="D75" s="18">
        <f>C75*895</f>
        <v>5.4595000000000002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1119</v>
      </c>
      <c r="C77" s="74">
        <f>ROUND(249.88/9509,5)</f>
        <v>2.6280000000000001E-2</v>
      </c>
      <c r="D77" s="18">
        <f>C77*895</f>
        <v>23.520600000000002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f t="shared" ref="D79" si="0">C79*895</f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1120</v>
      </c>
      <c r="C81" s="74">
        <f>ROUND(61.55/9509,5)</f>
        <v>6.4700000000000001E-3</v>
      </c>
      <c r="D81" s="18">
        <f>C81*895</f>
        <v>5.7906500000000003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1141</v>
      </c>
      <c r="C83" s="80">
        <f>ROUND(88.34/9509,4)</f>
        <v>9.2999999999999992E-3</v>
      </c>
      <c r="D83" s="18">
        <f>C83*895</f>
        <v>8.3234999999999992</v>
      </c>
    </row>
    <row r="84" spans="1:4" ht="16.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1012</v>
      </c>
      <c r="C85" s="74">
        <f>ROUND(151.09/9509,3)</f>
        <v>1.6E-2</v>
      </c>
      <c r="D85" s="18">
        <f>C85*895</f>
        <v>14.32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832.35</v>
      </c>
    </row>
    <row r="87" spans="1:4" x14ac:dyDescent="0.25">
      <c r="A87" s="83"/>
      <c r="B87" s="84" t="s">
        <v>95</v>
      </c>
      <c r="C87" s="82">
        <f>ROUND(C86+C18,4)</f>
        <v>19.8</v>
      </c>
      <c r="D87" s="82">
        <f>ROUND(D86+D18,4)</f>
        <v>17721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895</v>
      </c>
      <c r="D89" s="89"/>
    </row>
    <row r="90" spans="1:4" ht="33" customHeight="1" x14ac:dyDescent="0.25">
      <c r="A90" s="313" t="s">
        <v>113</v>
      </c>
      <c r="B90" s="314"/>
      <c r="C90" s="22">
        <f>D87/C89</f>
        <v>19.8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7D07-B7BF-4BBD-B6A3-D18811553CC9}">
  <dimension ref="A1:G90"/>
  <sheetViews>
    <sheetView topLeftCell="A76" workbookViewId="0">
      <selection activeCell="B80" sqref="B80"/>
    </sheetView>
  </sheetViews>
  <sheetFormatPr defaultRowHeight="15" x14ac:dyDescent="0.25"/>
  <cols>
    <col min="1" max="1" width="10.28515625" customWidth="1"/>
    <col min="2" max="2" width="52.42578125" customWidth="1"/>
    <col min="3" max="3" width="11.85546875" customWidth="1"/>
    <col min="4" max="4" width="11.5703125" customWidth="1"/>
  </cols>
  <sheetData>
    <row r="1" spans="1:5" x14ac:dyDescent="0.25">
      <c r="A1" s="322" t="s">
        <v>78</v>
      </c>
      <c r="B1" s="322"/>
      <c r="C1" s="322"/>
      <c r="D1" s="322"/>
    </row>
    <row r="2" spans="1:5" x14ac:dyDescent="0.25">
      <c r="A2" s="142"/>
      <c r="B2" s="142"/>
      <c r="C2" s="323"/>
      <c r="D2" s="323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60"/>
    </row>
    <row r="5" spans="1:5" ht="25.5" customHeight="1" x14ac:dyDescent="0.25">
      <c r="A5" s="308" t="s">
        <v>301</v>
      </c>
      <c r="B5" s="308"/>
      <c r="C5" s="308"/>
      <c r="D5" s="308"/>
    </row>
    <row r="6" spans="1:5" x14ac:dyDescent="0.25">
      <c r="A6" s="236"/>
      <c r="B6" s="60"/>
      <c r="C6" s="60"/>
      <c r="D6" s="60"/>
    </row>
    <row r="7" spans="1:5" x14ac:dyDescent="0.25">
      <c r="A7" s="308" t="s">
        <v>112</v>
      </c>
      <c r="B7" s="310"/>
      <c r="C7" s="60"/>
      <c r="D7" s="60"/>
    </row>
    <row r="8" spans="1:5" x14ac:dyDescent="0.25">
      <c r="A8" s="236"/>
      <c r="B8" s="237"/>
      <c r="C8" s="60"/>
      <c r="D8" s="60"/>
    </row>
    <row r="9" spans="1:5" x14ac:dyDescent="0.25">
      <c r="A9" s="318" t="s">
        <v>183</v>
      </c>
      <c r="B9" s="318"/>
      <c r="C9" s="100"/>
      <c r="D9" s="100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85.5" customHeight="1" x14ac:dyDescent="0.25">
      <c r="A14" s="35"/>
      <c r="B14" s="90" t="s">
        <v>342</v>
      </c>
      <c r="C14" s="18">
        <f>0.17*20</f>
        <v>3.4000000000000004</v>
      </c>
      <c r="D14" s="18">
        <f>C14*7</f>
        <v>23.800000000000004</v>
      </c>
    </row>
    <row r="15" spans="1:5" ht="24" x14ac:dyDescent="0.25">
      <c r="A15" s="35">
        <v>1200</v>
      </c>
      <c r="B15" s="40" t="s">
        <v>328</v>
      </c>
      <c r="C15" s="18">
        <f>ROUND(C14*0.2359,2)</f>
        <v>0.8</v>
      </c>
      <c r="D15" s="18">
        <f>C15*7</f>
        <v>5.6000000000000005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7" ht="108.75" customHeight="1" x14ac:dyDescent="0.25">
      <c r="A17" s="35"/>
      <c r="B17" s="40" t="s">
        <v>396</v>
      </c>
      <c r="C17" s="18">
        <v>10.96</v>
      </c>
      <c r="D17" s="18">
        <f>C17*7</f>
        <v>76.72</v>
      </c>
      <c r="E17" s="320"/>
      <c r="F17" s="321"/>
      <c r="G17" s="321"/>
    </row>
    <row r="18" spans="1:7" x14ac:dyDescent="0.25">
      <c r="A18" s="35"/>
      <c r="B18" s="92" t="s">
        <v>87</v>
      </c>
      <c r="C18" s="82">
        <f>SUM(C13:C17)</f>
        <v>15.16</v>
      </c>
      <c r="D18" s="82">
        <f>SUM(D13:D17)</f>
        <v>106.12</v>
      </c>
      <c r="E18" s="183"/>
      <c r="G18" s="183"/>
    </row>
    <row r="19" spans="1:7" x14ac:dyDescent="0.25">
      <c r="A19" s="77"/>
      <c r="B19" s="175" t="s">
        <v>88</v>
      </c>
      <c r="C19" s="78"/>
      <c r="D19" s="78"/>
    </row>
    <row r="20" spans="1:7" x14ac:dyDescent="0.25">
      <c r="A20" s="35">
        <v>2100</v>
      </c>
      <c r="B20" s="244" t="s">
        <v>584</v>
      </c>
      <c r="C20" s="78"/>
      <c r="D20" s="78"/>
    </row>
    <row r="21" spans="1:7" ht="60" x14ac:dyDescent="0.25">
      <c r="A21" s="77"/>
      <c r="B21" s="40" t="s">
        <v>1142</v>
      </c>
      <c r="C21" s="74">
        <f>ROUND(31.85/9509,5)</f>
        <v>3.3500000000000001E-3</v>
      </c>
      <c r="D21" s="18">
        <f>C21*7</f>
        <v>2.3450000000000002E-2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1143</v>
      </c>
      <c r="C23" s="18">
        <f>ROUND(228.88/9509,5)</f>
        <v>2.4070000000000001E-2</v>
      </c>
      <c r="D23" s="18">
        <f t="shared" ref="D23:D85" si="0">C23*7</f>
        <v>0.16849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1144</v>
      </c>
      <c r="C25" s="18">
        <f>ROUND(382.73/9509,5)</f>
        <v>4.0250000000000001E-2</v>
      </c>
      <c r="D25" s="18">
        <f t="shared" si="0"/>
        <v>0.28175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1145</v>
      </c>
      <c r="C27" s="74">
        <f>ROUND(38.69/9509,5)</f>
        <v>4.0699999999999998E-3</v>
      </c>
      <c r="D27" s="18">
        <f t="shared" si="0"/>
        <v>2.8489999999999998E-2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1146</v>
      </c>
      <c r="C29" s="18">
        <f>ROUND(1004.28/9509,5)</f>
        <v>0.10561</v>
      </c>
      <c r="D29" s="18">
        <f t="shared" si="0"/>
        <v>0.73926999999999998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1147</v>
      </c>
      <c r="C31" s="18">
        <f>ROUND(82.8/9509,5)</f>
        <v>8.7100000000000007E-3</v>
      </c>
      <c r="D31" s="18">
        <f t="shared" si="0"/>
        <v>6.0970000000000003E-2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1148</v>
      </c>
      <c r="C33" s="18">
        <f>ROUND(289.4/9509,5)</f>
        <v>3.0429999999999999E-2</v>
      </c>
      <c r="D33" s="18">
        <f t="shared" si="0"/>
        <v>0.21300999999999998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1149</v>
      </c>
      <c r="C35" s="74">
        <f>ROUND(20.68/9509,4)</f>
        <v>2.2000000000000001E-3</v>
      </c>
      <c r="D35" s="18">
        <f t="shared" si="0"/>
        <v>1.54E-2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1150</v>
      </c>
      <c r="C37" s="74">
        <f>ROUND(58.15/9509,3)</f>
        <v>6.0000000000000001E-3</v>
      </c>
      <c r="D37" s="18">
        <f t="shared" si="0"/>
        <v>4.2000000000000003E-2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1151</v>
      </c>
      <c r="C39" s="74">
        <f>ROUND(524.45/9509,3)</f>
        <v>5.5E-2</v>
      </c>
      <c r="D39" s="18">
        <f t="shared" si="0"/>
        <v>0.38500000000000001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1152</v>
      </c>
      <c r="C41" s="74">
        <f>ROUND(131.923/9509,3)</f>
        <v>1.4E-2</v>
      </c>
      <c r="D41" s="18">
        <f t="shared" si="0"/>
        <v>9.8000000000000004E-2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1153</v>
      </c>
      <c r="C43" s="18">
        <f>ROUND(360.94/9509,5)</f>
        <v>3.7960000000000001E-2</v>
      </c>
      <c r="D43" s="18">
        <f t="shared" si="0"/>
        <v>0.26572000000000001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1154</v>
      </c>
      <c r="C45" s="18">
        <f>ROUND(272.76/9509,3)</f>
        <v>2.9000000000000001E-2</v>
      </c>
      <c r="D45" s="18">
        <f t="shared" si="0"/>
        <v>0.20300000000000001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1155</v>
      </c>
      <c r="C47" s="74">
        <f>ROUND(12.06/9509,3)</f>
        <v>1E-3</v>
      </c>
      <c r="D47" s="18">
        <f t="shared" si="0"/>
        <v>7.0000000000000001E-3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1156</v>
      </c>
      <c r="C49" s="74">
        <f>ROUND(23.35/9509,3)</f>
        <v>2E-3</v>
      </c>
      <c r="D49" s="18">
        <f t="shared" si="0"/>
        <v>1.4E-2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1157</v>
      </c>
      <c r="C51" s="18">
        <f>ROUND(750.97/9509,5)</f>
        <v>7.8969999999999999E-2</v>
      </c>
      <c r="D51" s="18">
        <f t="shared" si="0"/>
        <v>0.55279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1158</v>
      </c>
      <c r="C53" s="18">
        <f>ROUND(2620.34/9509,5)</f>
        <v>0.27556000000000003</v>
      </c>
      <c r="D53" s="18">
        <f t="shared" si="0"/>
        <v>1.9289200000000002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1159</v>
      </c>
      <c r="C55" s="74">
        <f>ROUND(9.91/9509,5)</f>
        <v>1.0399999999999999E-3</v>
      </c>
      <c r="D55" s="18">
        <f t="shared" si="0"/>
        <v>7.2799999999999991E-3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1160</v>
      </c>
      <c r="C57" s="18">
        <f>ROUND(132.32/9509,5)</f>
        <v>1.392E-2</v>
      </c>
      <c r="D57" s="18">
        <f t="shared" si="0"/>
        <v>9.7439999999999999E-2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1161</v>
      </c>
      <c r="C59" s="74">
        <f>ROUND(72.76/9509,3)</f>
        <v>8.0000000000000002E-3</v>
      </c>
      <c r="D59" s="18">
        <f t="shared" si="0"/>
        <v>5.6000000000000001E-2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1162</v>
      </c>
      <c r="C61" s="18">
        <f>ROUND(484.21/9509,3)</f>
        <v>5.0999999999999997E-2</v>
      </c>
      <c r="D61" s="18">
        <f t="shared" si="0"/>
        <v>0.35699999999999998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1163</v>
      </c>
      <c r="C63" s="18">
        <f>ROUND(224.14/9509,5)</f>
        <v>2.3570000000000001E-2</v>
      </c>
      <c r="D63" s="18">
        <f t="shared" si="0"/>
        <v>0.16499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1164</v>
      </c>
      <c r="C65" s="18">
        <f>ROUND(103.21/9509,5)</f>
        <v>1.085E-2</v>
      </c>
      <c r="D65" s="18">
        <f t="shared" si="0"/>
        <v>7.5950000000000004E-2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1165</v>
      </c>
      <c r="C67" s="18">
        <f>ROUND(241.97/9509,5)</f>
        <v>2.545E-2</v>
      </c>
      <c r="D67" s="18">
        <f t="shared" si="0"/>
        <v>0.17815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587</v>
      </c>
      <c r="C69" s="18">
        <f>ROUND(87.42/9509,3)</f>
        <v>8.9999999999999993E-3</v>
      </c>
      <c r="D69" s="18">
        <f t="shared" si="0"/>
        <v>6.3E-2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588</v>
      </c>
      <c r="C71" s="74">
        <f>ROUND(28.69/9509,5)</f>
        <v>3.0200000000000001E-3</v>
      </c>
      <c r="D71" s="18">
        <f t="shared" si="0"/>
        <v>2.1139999999999999E-2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1166</v>
      </c>
      <c r="C73" s="74">
        <f>ROUND(8.56/9509,5)</f>
        <v>8.9999999999999998E-4</v>
      </c>
      <c r="D73" s="18">
        <f t="shared" si="0"/>
        <v>6.3E-3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1167</v>
      </c>
      <c r="C75" s="74">
        <f>ROUND(58.04/9509,5)</f>
        <v>6.1000000000000004E-3</v>
      </c>
      <c r="D75" s="18">
        <f t="shared" si="0"/>
        <v>4.2700000000000002E-2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1168</v>
      </c>
      <c r="C77" s="74">
        <f>ROUND(249.88/9509,5)</f>
        <v>2.6280000000000001E-2</v>
      </c>
      <c r="D77" s="18">
        <f>C77*7+0.01</f>
        <v>0.19396000000000002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48" x14ac:dyDescent="0.25">
      <c r="A79" s="35"/>
      <c r="B79" s="40" t="s">
        <v>623</v>
      </c>
      <c r="C79" s="147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1171</v>
      </c>
      <c r="C81" s="74">
        <f>ROUND(61.55/9509,5)</f>
        <v>6.4700000000000001E-3</v>
      </c>
      <c r="D81" s="18">
        <f>C81*7</f>
        <v>4.5289999999999997E-2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1169</v>
      </c>
      <c r="C83" s="74">
        <f>ROUND(88.34/9509,5)</f>
        <v>9.2899999999999996E-3</v>
      </c>
      <c r="D83" s="18">
        <f t="shared" si="0"/>
        <v>6.5030000000000004E-2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1170</v>
      </c>
      <c r="C85" s="74">
        <f>ROUND(151.09/9509,5)</f>
        <v>1.5890000000000001E-2</v>
      </c>
      <c r="D85" s="18">
        <f t="shared" si="0"/>
        <v>0.11123000000000001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6.51</v>
      </c>
    </row>
    <row r="87" spans="1:4" x14ac:dyDescent="0.25">
      <c r="A87" s="83"/>
      <c r="B87" s="84" t="s">
        <v>95</v>
      </c>
      <c r="C87" s="82">
        <f>ROUND(C86+C18,4)</f>
        <v>16.09</v>
      </c>
      <c r="D87" s="82">
        <f>ROUND(D86+D18,4)</f>
        <v>112.63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7</v>
      </c>
      <c r="D89" s="89"/>
    </row>
    <row r="90" spans="1:4" ht="27.75" customHeight="1" x14ac:dyDescent="0.25">
      <c r="A90" s="313" t="s">
        <v>113</v>
      </c>
      <c r="B90" s="314"/>
      <c r="C90" s="22">
        <f>D87/C89</f>
        <v>16.09</v>
      </c>
      <c r="D90" s="89"/>
    </row>
  </sheetData>
  <mergeCells count="8">
    <mergeCell ref="E17:G17"/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2F11-4C79-4BF1-9947-FBBB919E4464}">
  <dimension ref="A1:E90"/>
  <sheetViews>
    <sheetView topLeftCell="A76" workbookViewId="0">
      <selection activeCell="B37" sqref="B37"/>
    </sheetView>
  </sheetViews>
  <sheetFormatPr defaultRowHeight="15" x14ac:dyDescent="0.25"/>
  <cols>
    <col min="1" max="1" width="10.42578125" customWidth="1"/>
    <col min="2" max="2" width="52.85546875" customWidth="1"/>
    <col min="3" max="3" width="11" customWidth="1"/>
    <col min="4" max="4" width="12.7109375" customWidth="1"/>
  </cols>
  <sheetData>
    <row r="1" spans="1:5" x14ac:dyDescent="0.25">
      <c r="A1" s="322" t="s">
        <v>78</v>
      </c>
      <c r="B1" s="322"/>
      <c r="C1" s="322"/>
      <c r="D1" s="322"/>
    </row>
    <row r="2" spans="1:5" x14ac:dyDescent="0.25">
      <c r="A2" s="142"/>
      <c r="B2" s="142"/>
      <c r="C2" s="323"/>
      <c r="D2" s="324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26.25" customHeight="1" x14ac:dyDescent="0.25">
      <c r="A5" s="307" t="s">
        <v>321</v>
      </c>
      <c r="B5" s="307"/>
      <c r="C5" s="307"/>
      <c r="D5" s="307"/>
    </row>
    <row r="6" spans="1:5" x14ac:dyDescent="0.25">
      <c r="A6" s="236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36"/>
      <c r="B8" s="237"/>
      <c r="C8" s="60"/>
      <c r="D8" s="96"/>
    </row>
    <row r="9" spans="1:5" x14ac:dyDescent="0.25">
      <c r="A9" s="318" t="s">
        <v>191</v>
      </c>
      <c r="B9" s="318"/>
      <c r="C9" s="100"/>
      <c r="D9" s="96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88.5" customHeight="1" x14ac:dyDescent="0.25">
      <c r="A14" s="35"/>
      <c r="B14" s="90" t="s">
        <v>343</v>
      </c>
      <c r="C14" s="18">
        <f>0.17*20</f>
        <v>3.4000000000000004</v>
      </c>
      <c r="D14" s="18">
        <f>C14*16</f>
        <v>54.400000000000006</v>
      </c>
    </row>
    <row r="15" spans="1:5" ht="24" x14ac:dyDescent="0.25">
      <c r="A15" s="35">
        <v>1200</v>
      </c>
      <c r="B15" s="40" t="s">
        <v>326</v>
      </c>
      <c r="C15" s="18">
        <f>ROUND(C14*0.2359,2)</f>
        <v>0.8</v>
      </c>
      <c r="D15" s="18">
        <f>C15*16</f>
        <v>12.8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5" ht="132" x14ac:dyDescent="0.25">
      <c r="A17" s="35"/>
      <c r="B17" s="40" t="s">
        <v>414</v>
      </c>
      <c r="C17" s="18">
        <v>23.72</v>
      </c>
      <c r="D17" s="18">
        <f>C17*16</f>
        <v>379.52</v>
      </c>
      <c r="E17" s="184"/>
    </row>
    <row r="18" spans="1:5" x14ac:dyDescent="0.25">
      <c r="A18" s="35"/>
      <c r="B18" s="92" t="s">
        <v>87</v>
      </c>
      <c r="C18" s="82">
        <f>SUM(C13:C17)</f>
        <v>27.919999999999998</v>
      </c>
      <c r="D18" s="82">
        <f>SUM(D13:D17)</f>
        <v>446.71999999999997</v>
      </c>
      <c r="E18" s="183"/>
    </row>
    <row r="19" spans="1:5" ht="18.75" x14ac:dyDescent="0.3">
      <c r="A19" s="77"/>
      <c r="B19" s="176" t="s">
        <v>88</v>
      </c>
      <c r="C19" s="78"/>
      <c r="D19" s="78"/>
      <c r="E19" s="245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1172</v>
      </c>
      <c r="C21" s="74">
        <f>ROUND(31.85/9509,4)</f>
        <v>3.3E-3</v>
      </c>
      <c r="D21" s="18">
        <f>C21*16</f>
        <v>5.28E-2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1173</v>
      </c>
      <c r="C23" s="18">
        <f>ROUND(228.88/9509,3)</f>
        <v>2.4E-2</v>
      </c>
      <c r="D23" s="18">
        <f t="shared" ref="D23:D85" si="0">C23*16</f>
        <v>0.38400000000000001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1174</v>
      </c>
      <c r="C25" s="18">
        <f>ROUND(382.73/9509,3)</f>
        <v>0.04</v>
      </c>
      <c r="D25" s="18">
        <f t="shared" si="0"/>
        <v>0.64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1175</v>
      </c>
      <c r="C27" s="74">
        <f>ROUND(38.69/9509,3)</f>
        <v>4.0000000000000001E-3</v>
      </c>
      <c r="D27" s="18">
        <f t="shared" si="0"/>
        <v>6.4000000000000001E-2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1176</v>
      </c>
      <c r="C29" s="18">
        <f>ROUND(1004.28/9509,3)</f>
        <v>0.106</v>
      </c>
      <c r="D29" s="18">
        <f t="shared" si="0"/>
        <v>1.696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1177</v>
      </c>
      <c r="C31" s="18">
        <f>ROUND(82.8/9509,3)</f>
        <v>8.9999999999999993E-3</v>
      </c>
      <c r="D31" s="18">
        <f t="shared" si="0"/>
        <v>0.14399999999999999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1178</v>
      </c>
      <c r="C33" s="18">
        <f>ROUND(289.4/9509,3)</f>
        <v>0.03</v>
      </c>
      <c r="D33" s="18">
        <f t="shared" si="0"/>
        <v>0.48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1179</v>
      </c>
      <c r="C35" s="74">
        <f>ROUND(20.68/9509,3)</f>
        <v>2E-3</v>
      </c>
      <c r="D35" s="18">
        <f t="shared" si="0"/>
        <v>3.2000000000000001E-2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1180</v>
      </c>
      <c r="C37" s="74">
        <f>ROUND(58.15/9509,3)</f>
        <v>6.0000000000000001E-3</v>
      </c>
      <c r="D37" s="18">
        <f t="shared" si="0"/>
        <v>9.6000000000000002E-2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1202</v>
      </c>
      <c r="C39" s="74">
        <f>ROUND(524.45/9509,3)</f>
        <v>5.5E-2</v>
      </c>
      <c r="D39" s="18">
        <f t="shared" si="0"/>
        <v>0.88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1181</v>
      </c>
      <c r="C41" s="74">
        <f>ROUND(131.923/9509,4)</f>
        <v>1.3899999999999999E-2</v>
      </c>
      <c r="D41" s="18">
        <f t="shared" si="0"/>
        <v>0.22239999999999999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1182</v>
      </c>
      <c r="C43" s="18">
        <f>ROUND(360.94/9509,4)</f>
        <v>3.7999999999999999E-2</v>
      </c>
      <c r="D43" s="18">
        <f t="shared" si="0"/>
        <v>0.60799999999999998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1183</v>
      </c>
      <c r="C45" s="18">
        <f>ROUND(272.76/9509,4)</f>
        <v>2.87E-2</v>
      </c>
      <c r="D45" s="18">
        <f t="shared" si="0"/>
        <v>0.4592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1185</v>
      </c>
      <c r="C47" s="74">
        <f>ROUND(12.06/9509,4)</f>
        <v>1.2999999999999999E-3</v>
      </c>
      <c r="D47" s="18">
        <f t="shared" si="0"/>
        <v>2.0799999999999999E-2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1184</v>
      </c>
      <c r="C49" s="74">
        <f>ROUND(23.35/9509,3)</f>
        <v>2E-3</v>
      </c>
      <c r="D49" s="18">
        <f t="shared" si="0"/>
        <v>3.2000000000000001E-2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1186</v>
      </c>
      <c r="C51" s="18">
        <f>ROUND(750.97/9509,3)</f>
        <v>7.9000000000000001E-2</v>
      </c>
      <c r="D51" s="18">
        <f t="shared" si="0"/>
        <v>1.264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1187</v>
      </c>
      <c r="C53" s="18">
        <f>ROUND(2620.34/9509,3)</f>
        <v>0.27600000000000002</v>
      </c>
      <c r="D53" s="18">
        <f t="shared" si="0"/>
        <v>4.4160000000000004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589</v>
      </c>
      <c r="C55" s="74">
        <f>ROUND(9.91/9509,3)</f>
        <v>1E-3</v>
      </c>
      <c r="D55" s="18">
        <f t="shared" si="0"/>
        <v>1.6E-2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1201</v>
      </c>
      <c r="C57" s="18">
        <f>ROUND(132.32/9509,4)</f>
        <v>1.3899999999999999E-2</v>
      </c>
      <c r="D57" s="18">
        <f t="shared" si="0"/>
        <v>0.22239999999999999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1188</v>
      </c>
      <c r="C59" s="74">
        <f>ROUND(72.76/9509,4)</f>
        <v>7.7000000000000002E-3</v>
      </c>
      <c r="D59" s="18">
        <f t="shared" si="0"/>
        <v>0.1232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1189</v>
      </c>
      <c r="C61" s="18">
        <f>ROUND(484.21/9509,4)</f>
        <v>5.0900000000000001E-2</v>
      </c>
      <c r="D61" s="18">
        <f t="shared" si="0"/>
        <v>0.81440000000000001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1190</v>
      </c>
      <c r="C63" s="18">
        <f>ROUND(224.14/9509,3)</f>
        <v>2.4E-2</v>
      </c>
      <c r="D63" s="18">
        <f t="shared" si="0"/>
        <v>0.38400000000000001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1191</v>
      </c>
      <c r="C65" s="18">
        <f>ROUND(103.21/9509,3)</f>
        <v>1.0999999999999999E-2</v>
      </c>
      <c r="D65" s="18">
        <f t="shared" si="0"/>
        <v>0.17599999999999999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1192</v>
      </c>
      <c r="C67" s="18">
        <f>ROUND(241.97/9509,4)</f>
        <v>2.5399999999999999E-2</v>
      </c>
      <c r="D67" s="18">
        <f t="shared" si="0"/>
        <v>0.40639999999999998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1193</v>
      </c>
      <c r="C69" s="18">
        <f>ROUND(87.42/9509,4)</f>
        <v>9.1999999999999998E-3</v>
      </c>
      <c r="D69" s="18">
        <f t="shared" si="0"/>
        <v>0.1472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1194</v>
      </c>
      <c r="C71" s="74">
        <f>ROUND(28.69/9509,5)</f>
        <v>3.0200000000000001E-3</v>
      </c>
      <c r="D71" s="18">
        <f t="shared" si="0"/>
        <v>4.8320000000000002E-2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1200</v>
      </c>
      <c r="C73" s="74">
        <f>ROUND(8.56/9509,3)</f>
        <v>1E-3</v>
      </c>
      <c r="D73" s="18">
        <f t="shared" si="0"/>
        <v>1.6E-2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1195</v>
      </c>
      <c r="C75" s="74">
        <f>ROUND(58.04/9509,4)</f>
        <v>6.1000000000000004E-3</v>
      </c>
      <c r="D75" s="18">
        <f t="shared" si="0"/>
        <v>9.7600000000000006E-2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1196</v>
      </c>
      <c r="C77" s="74">
        <f>ROUND(249.88/9509,5)</f>
        <v>2.6280000000000001E-2</v>
      </c>
      <c r="D77" s="18">
        <f t="shared" si="0"/>
        <v>0.42048000000000002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48" x14ac:dyDescent="0.25">
      <c r="A79" s="35"/>
      <c r="B79" s="40" t="s">
        <v>623</v>
      </c>
      <c r="C79" s="147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1197</v>
      </c>
      <c r="C81" s="74">
        <f>ROUND(61.55/9509,5)</f>
        <v>6.4700000000000001E-3</v>
      </c>
      <c r="D81" s="18">
        <f>C81*16+0.01</f>
        <v>0.11352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1198</v>
      </c>
      <c r="C83" s="74">
        <f>ROUND(88.34/9509,5)</f>
        <v>9.2899999999999996E-3</v>
      </c>
      <c r="D83" s="18">
        <f t="shared" si="0"/>
        <v>0.14863999999999999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1199</v>
      </c>
      <c r="C85" s="74">
        <f>ROUND(151.09/9509,5)</f>
        <v>1.5890000000000001E-2</v>
      </c>
      <c r="D85" s="18">
        <f t="shared" si="0"/>
        <v>0.25424000000000002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14.88</v>
      </c>
    </row>
    <row r="87" spans="1:4" x14ac:dyDescent="0.25">
      <c r="A87" s="83"/>
      <c r="B87" s="84" t="s">
        <v>95</v>
      </c>
      <c r="C87" s="82">
        <f>ROUND(C86+C18,4)</f>
        <v>28.85</v>
      </c>
      <c r="D87" s="82">
        <f>ROUND(D86+D18,4)</f>
        <v>461.6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16</v>
      </c>
      <c r="D89" s="89"/>
    </row>
    <row r="90" spans="1:4" ht="30.75" customHeight="1" x14ac:dyDescent="0.25">
      <c r="A90" s="313" t="s">
        <v>113</v>
      </c>
      <c r="B90" s="314"/>
      <c r="C90" s="22">
        <f>D87/C89</f>
        <v>28.85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AF62-1870-4A60-90A5-62B7DCA02317}">
  <dimension ref="A1:E91"/>
  <sheetViews>
    <sheetView topLeftCell="A77" workbookViewId="0">
      <selection activeCell="B85" sqref="B85"/>
    </sheetView>
  </sheetViews>
  <sheetFormatPr defaultRowHeight="15" x14ac:dyDescent="0.25"/>
  <cols>
    <col min="1" max="1" width="9.85546875" customWidth="1"/>
    <col min="2" max="2" width="54.5703125" customWidth="1"/>
    <col min="3" max="3" width="11.28515625" customWidth="1"/>
    <col min="4" max="4" width="11.1406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24.75" customHeight="1" x14ac:dyDescent="0.25">
      <c r="A5" s="307" t="s">
        <v>300</v>
      </c>
      <c r="B5" s="307"/>
      <c r="C5" s="307"/>
      <c r="D5" s="307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192</v>
      </c>
      <c r="B9" s="318"/>
      <c r="C9" s="100"/>
      <c r="D9" s="96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3.5" customHeight="1" x14ac:dyDescent="0.25">
      <c r="A14" s="35"/>
      <c r="B14" s="90" t="s">
        <v>344</v>
      </c>
      <c r="C14" s="18">
        <f>0.17*20</f>
        <v>3.4000000000000004</v>
      </c>
      <c r="D14" s="18">
        <f>C14*1970</f>
        <v>6698.0000000000009</v>
      </c>
    </row>
    <row r="15" spans="1:5" ht="24" x14ac:dyDescent="0.25">
      <c r="A15" s="35">
        <v>1200</v>
      </c>
      <c r="B15" s="40" t="s">
        <v>326</v>
      </c>
      <c r="C15" s="18">
        <f>ROUND(C14*0.2359,2)</f>
        <v>0.8</v>
      </c>
      <c r="D15" s="18">
        <f>C15*1970</f>
        <v>1576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5" ht="96" x14ac:dyDescent="0.25">
      <c r="A17" s="35"/>
      <c r="B17" s="40" t="s">
        <v>413</v>
      </c>
      <c r="C17" s="18">
        <v>2.0099999999999998</v>
      </c>
      <c r="D17" s="18">
        <f>C17*1970</f>
        <v>3959.6999999999994</v>
      </c>
    </row>
    <row r="18" spans="1:5" x14ac:dyDescent="0.25">
      <c r="A18" s="84"/>
      <c r="B18" s="92" t="s">
        <v>87</v>
      </c>
      <c r="C18" s="82">
        <f>SUM(C13:C17)</f>
        <v>6.21</v>
      </c>
      <c r="D18" s="82">
        <f>SUM(D13:D17)</f>
        <v>12233.699999999999</v>
      </c>
      <c r="E18" s="183"/>
    </row>
    <row r="19" spans="1:5" x14ac:dyDescent="0.25">
      <c r="A19" s="77"/>
      <c r="B19" s="175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1203</v>
      </c>
      <c r="C21" s="74">
        <f>ROUND(31.85/9509,3)</f>
        <v>3.0000000000000001E-3</v>
      </c>
      <c r="D21" s="18">
        <f>C21*1970</f>
        <v>5.91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1204</v>
      </c>
      <c r="C23" s="18">
        <f>ROUND(228.88/9509,3)</f>
        <v>2.4E-2</v>
      </c>
      <c r="D23" s="18">
        <f t="shared" ref="D23:D85" si="0">C23*1970</f>
        <v>47.28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1205</v>
      </c>
      <c r="C25" s="18">
        <f>ROUND(382.73/9509,3)</f>
        <v>0.04</v>
      </c>
      <c r="D25" s="18">
        <f t="shared" si="0"/>
        <v>78.8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1206</v>
      </c>
      <c r="C27" s="74">
        <f>ROUND(38.69/9509,3)</f>
        <v>4.0000000000000001E-3</v>
      </c>
      <c r="D27" s="18">
        <f t="shared" si="0"/>
        <v>7.88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1207</v>
      </c>
      <c r="C29" s="18">
        <f>ROUND(1004.28/9509,3)</f>
        <v>0.106</v>
      </c>
      <c r="D29" s="18">
        <f t="shared" si="0"/>
        <v>208.82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1208</v>
      </c>
      <c r="C31" s="18">
        <f>ROUND(82.8/9509,3)</f>
        <v>8.9999999999999993E-3</v>
      </c>
      <c r="D31" s="18">
        <f t="shared" si="0"/>
        <v>17.73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1209</v>
      </c>
      <c r="C33" s="18">
        <f>ROUND(289.4/9509,3)</f>
        <v>0.03</v>
      </c>
      <c r="D33" s="18">
        <f t="shared" si="0"/>
        <v>59.099999999999994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1210</v>
      </c>
      <c r="C35" s="74">
        <f>ROUND(20.68/9509,3)</f>
        <v>2E-3</v>
      </c>
      <c r="D35" s="18">
        <f t="shared" si="0"/>
        <v>3.94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1211</v>
      </c>
      <c r="C37" s="74">
        <f>ROUND(58.15/9509,3)</f>
        <v>6.0000000000000001E-3</v>
      </c>
      <c r="D37" s="18">
        <f t="shared" si="0"/>
        <v>11.82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1212</v>
      </c>
      <c r="C39" s="74">
        <f>ROUND(524.45/9509,3)</f>
        <v>5.5E-2</v>
      </c>
      <c r="D39" s="18">
        <f t="shared" si="0"/>
        <v>108.35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1213</v>
      </c>
      <c r="C41" s="74">
        <f>ROUND(131.923/9509,3)</f>
        <v>1.4E-2</v>
      </c>
      <c r="D41" s="18">
        <f t="shared" si="0"/>
        <v>27.580000000000002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1214</v>
      </c>
      <c r="C43" s="18">
        <f>ROUND(360.94/9509,3)</f>
        <v>3.7999999999999999E-2</v>
      </c>
      <c r="D43" s="18">
        <f t="shared" si="0"/>
        <v>74.86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1215</v>
      </c>
      <c r="C45" s="18">
        <f>ROUND(272.76/9509,3)</f>
        <v>2.9000000000000001E-2</v>
      </c>
      <c r="D45" s="18">
        <f t="shared" si="0"/>
        <v>57.13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1216</v>
      </c>
      <c r="C47" s="74">
        <f>ROUND(12.06/9509,5)</f>
        <v>1.2700000000000001E-3</v>
      </c>
      <c r="D47" s="18">
        <f t="shared" si="0"/>
        <v>2.5019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1217</v>
      </c>
      <c r="C49" s="74">
        <f>ROUND(23.35/9509,5)</f>
        <v>2.4599999999999999E-3</v>
      </c>
      <c r="D49" s="18">
        <f t="shared" si="0"/>
        <v>4.8461999999999996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1218</v>
      </c>
      <c r="C51" s="74">
        <f>ROUND(750.97/9509,5)</f>
        <v>7.8969999999999999E-2</v>
      </c>
      <c r="D51" s="18">
        <f t="shared" si="0"/>
        <v>155.57089999999999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1219</v>
      </c>
      <c r="C53" s="18">
        <f>ROUND(2620.34/9509,5)</f>
        <v>0.27556000000000003</v>
      </c>
      <c r="D53" s="18">
        <f t="shared" si="0"/>
        <v>542.85320000000002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1220</v>
      </c>
      <c r="C55" s="74">
        <f>ROUND(9.91/9509,5)</f>
        <v>1.0399999999999999E-3</v>
      </c>
      <c r="D55" s="18">
        <f t="shared" si="0"/>
        <v>2.0488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1221</v>
      </c>
      <c r="C57" s="18">
        <f>ROUND(132.32/9509,3)</f>
        <v>1.4E-2</v>
      </c>
      <c r="D57" s="18">
        <f t="shared" si="0"/>
        <v>27.580000000000002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1222</v>
      </c>
      <c r="C59" s="74">
        <f>ROUND(72.76/9509,3)</f>
        <v>8.0000000000000002E-3</v>
      </c>
      <c r="D59" s="18">
        <f t="shared" si="0"/>
        <v>15.76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1223</v>
      </c>
      <c r="C61" s="18">
        <f>ROUND(484.21/9509,3)</f>
        <v>5.0999999999999997E-2</v>
      </c>
      <c r="D61" s="18">
        <f t="shared" si="0"/>
        <v>100.47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1224</v>
      </c>
      <c r="C63" s="18">
        <f>ROUND(224.14/9509,3)</f>
        <v>2.4E-2</v>
      </c>
      <c r="D63" s="18">
        <f t="shared" si="0"/>
        <v>47.28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590</v>
      </c>
      <c r="C65" s="18">
        <f>ROUND(103.21/9509,3)</f>
        <v>1.0999999999999999E-2</v>
      </c>
      <c r="D65" s="18">
        <f t="shared" si="0"/>
        <v>21.669999999999998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1225</v>
      </c>
      <c r="C67" s="74">
        <f>ROUND(241.97/9509,5)</f>
        <v>2.545E-2</v>
      </c>
      <c r="D67" s="18">
        <f t="shared" si="0"/>
        <v>50.136499999999998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1226</v>
      </c>
      <c r="C69" s="74">
        <f>ROUND(87.42/9509,5)</f>
        <v>9.1900000000000003E-3</v>
      </c>
      <c r="D69" s="18">
        <f t="shared" si="0"/>
        <v>18.104300000000002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1227</v>
      </c>
      <c r="C71" s="74">
        <f>ROUND(28.69/9509,5)</f>
        <v>3.0200000000000001E-3</v>
      </c>
      <c r="D71" s="18">
        <f t="shared" si="0"/>
        <v>5.9493999999999998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1228</v>
      </c>
      <c r="C73" s="74">
        <f>ROUND(8.56/9509,3)</f>
        <v>1E-3</v>
      </c>
      <c r="D73" s="18">
        <f t="shared" si="0"/>
        <v>1.97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1229</v>
      </c>
      <c r="C75" s="74">
        <f>ROUND(58.04/9509,5)</f>
        <v>6.1000000000000004E-3</v>
      </c>
      <c r="D75" s="18">
        <f t="shared" si="0"/>
        <v>12.017000000000001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1230</v>
      </c>
      <c r="C77" s="74">
        <f>ROUND(249.88/9509,5)</f>
        <v>2.6280000000000001E-2</v>
      </c>
      <c r="D77" s="18">
        <f t="shared" si="0"/>
        <v>51.771599999999999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713</v>
      </c>
      <c r="C81" s="74">
        <f>ROUND(61.55/9509,5)</f>
        <v>6.4700000000000001E-3</v>
      </c>
      <c r="D81" s="18">
        <f t="shared" si="0"/>
        <v>12.745900000000001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1231</v>
      </c>
      <c r="C83" s="74">
        <f>ROUND(88.34/9509,5)</f>
        <v>9.2899999999999996E-3</v>
      </c>
      <c r="D83" s="18">
        <f t="shared" si="0"/>
        <v>18.301299999999998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1232</v>
      </c>
      <c r="C85" s="74">
        <f>ROUND(151.09/9509,4)</f>
        <v>1.5900000000000001E-2</v>
      </c>
      <c r="D85" s="18">
        <f t="shared" si="0"/>
        <v>31.323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1832.1</v>
      </c>
    </row>
    <row r="87" spans="1:4" x14ac:dyDescent="0.25">
      <c r="A87" s="83"/>
      <c r="B87" s="84" t="s">
        <v>95</v>
      </c>
      <c r="C87" s="82">
        <f>ROUND(C86+C18,4)</f>
        <v>7.14</v>
      </c>
      <c r="D87" s="82">
        <f>ROUND(D86+D18,4)</f>
        <v>14065.8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1970</v>
      </c>
      <c r="D89" s="89"/>
    </row>
    <row r="90" spans="1:4" ht="24.75" customHeight="1" x14ac:dyDescent="0.25">
      <c r="A90" s="313" t="s">
        <v>113</v>
      </c>
      <c r="B90" s="314"/>
      <c r="C90" s="22">
        <f>D87/C89</f>
        <v>7.14</v>
      </c>
      <c r="D90" s="89"/>
    </row>
    <row r="91" spans="1:4" ht="12.7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0969D-D415-472A-A65A-4E00EA8CACBA}">
  <dimension ref="A1:E91"/>
  <sheetViews>
    <sheetView topLeftCell="A76" workbookViewId="0">
      <selection activeCell="B55" sqref="B55"/>
    </sheetView>
  </sheetViews>
  <sheetFormatPr defaultRowHeight="15" x14ac:dyDescent="0.25"/>
  <cols>
    <col min="1" max="1" width="9.85546875" customWidth="1"/>
    <col min="2" max="2" width="53.5703125" customWidth="1"/>
    <col min="3" max="4" width="11.28515625" customWidth="1"/>
  </cols>
  <sheetData>
    <row r="1" spans="1:5" x14ac:dyDescent="0.25">
      <c r="A1" s="322" t="s">
        <v>78</v>
      </c>
      <c r="B1" s="322"/>
      <c r="C1" s="322"/>
      <c r="D1" s="322"/>
    </row>
    <row r="2" spans="1:5" x14ac:dyDescent="0.25">
      <c r="A2" s="97"/>
      <c r="B2" s="97"/>
      <c r="C2" s="316"/>
      <c r="D2" s="316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60"/>
    </row>
    <row r="5" spans="1:5" x14ac:dyDescent="0.25">
      <c r="A5" s="308" t="s">
        <v>322</v>
      </c>
      <c r="B5" s="308"/>
      <c r="C5" s="308"/>
      <c r="D5" s="308"/>
    </row>
    <row r="6" spans="1:5" x14ac:dyDescent="0.25">
      <c r="A6" s="240"/>
      <c r="B6" s="60"/>
      <c r="C6" s="60"/>
      <c r="D6" s="60"/>
    </row>
    <row r="7" spans="1:5" x14ac:dyDescent="0.25">
      <c r="A7" s="308" t="s">
        <v>112</v>
      </c>
      <c r="B7" s="310"/>
      <c r="C7" s="60"/>
      <c r="D7" s="60"/>
    </row>
    <row r="8" spans="1:5" x14ac:dyDescent="0.25">
      <c r="A8" s="240"/>
      <c r="B8" s="241"/>
      <c r="C8" s="60"/>
      <c r="D8" s="60"/>
    </row>
    <row r="9" spans="1:5" x14ac:dyDescent="0.25">
      <c r="A9" s="318" t="s">
        <v>193</v>
      </c>
      <c r="B9" s="318"/>
      <c r="C9" s="100"/>
      <c r="D9" s="100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85.5" customHeight="1" x14ac:dyDescent="0.25">
      <c r="A14" s="35"/>
      <c r="B14" s="90" t="s">
        <v>345</v>
      </c>
      <c r="C14" s="18">
        <f>0.17*10</f>
        <v>1.7000000000000002</v>
      </c>
      <c r="D14" s="18">
        <f>C14*34</f>
        <v>57.800000000000004</v>
      </c>
    </row>
    <row r="15" spans="1:5" ht="24" x14ac:dyDescent="0.25">
      <c r="A15" s="35">
        <v>1200</v>
      </c>
      <c r="B15" s="40" t="s">
        <v>332</v>
      </c>
      <c r="C15" s="18">
        <f>ROUND(C14*0.2359,2)</f>
        <v>0.4</v>
      </c>
      <c r="D15" s="18">
        <f>C15*34</f>
        <v>13.600000000000001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5" ht="96" x14ac:dyDescent="0.25">
      <c r="A17" s="35"/>
      <c r="B17" s="40" t="s">
        <v>412</v>
      </c>
      <c r="C17" s="18">
        <v>1.43</v>
      </c>
      <c r="D17" s="18">
        <f>C17*34</f>
        <v>48.62</v>
      </c>
    </row>
    <row r="18" spans="1:5" x14ac:dyDescent="0.25">
      <c r="A18" s="35"/>
      <c r="B18" s="92" t="s">
        <v>87</v>
      </c>
      <c r="C18" s="82">
        <f>SUM(C13:C17)</f>
        <v>3.5300000000000002</v>
      </c>
      <c r="D18" s="82">
        <f>SUM(D13:D17)</f>
        <v>120.02000000000001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1233</v>
      </c>
      <c r="C21" s="74">
        <f>ROUND(31.85/9509,5)</f>
        <v>3.3500000000000001E-3</v>
      </c>
      <c r="D21" s="18">
        <f>C21*34</f>
        <v>0.1139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1234</v>
      </c>
      <c r="C23" s="18">
        <f>ROUND(228.88/9509,3)</f>
        <v>2.4E-2</v>
      </c>
      <c r="D23" s="18">
        <f t="shared" ref="D23:D85" si="0">C23*34</f>
        <v>0.81600000000000006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1235</v>
      </c>
      <c r="C25" s="18">
        <f>ROUND(382.73/9509,3)</f>
        <v>0.04</v>
      </c>
      <c r="D25" s="18">
        <f t="shared" si="0"/>
        <v>1.36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1236</v>
      </c>
      <c r="C27" s="74">
        <f>ROUND(38.69/9509,5)</f>
        <v>4.0699999999999998E-3</v>
      </c>
      <c r="D27" s="18">
        <f t="shared" si="0"/>
        <v>0.13838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1237</v>
      </c>
      <c r="C29" s="18">
        <f>ROUND(1004.28/9509,3)</f>
        <v>0.106</v>
      </c>
      <c r="D29" s="18">
        <f t="shared" si="0"/>
        <v>3.6040000000000001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1238</v>
      </c>
      <c r="C31" s="18">
        <f>ROUND(82.8/9509,3)</f>
        <v>8.9999999999999993E-3</v>
      </c>
      <c r="D31" s="18">
        <f t="shared" si="0"/>
        <v>0.30599999999999999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58.5" customHeight="1" x14ac:dyDescent="0.25">
      <c r="A33" s="35"/>
      <c r="B33" s="40" t="s">
        <v>1239</v>
      </c>
      <c r="C33" s="18">
        <f>ROUND(289.4/9509,3)</f>
        <v>0.03</v>
      </c>
      <c r="D33" s="18">
        <f t="shared" si="0"/>
        <v>1.02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1240</v>
      </c>
      <c r="C35" s="74">
        <f>ROUND(20.68/9509,3)</f>
        <v>2E-3</v>
      </c>
      <c r="D35" s="18">
        <f t="shared" si="0"/>
        <v>6.8000000000000005E-2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1241</v>
      </c>
      <c r="C37" s="74">
        <f>ROUND(58.15/9509,3)</f>
        <v>6.0000000000000001E-3</v>
      </c>
      <c r="D37" s="18">
        <f t="shared" si="0"/>
        <v>0.20400000000000001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1242</v>
      </c>
      <c r="C39" s="74">
        <f>ROUND(524.45/9509,3)</f>
        <v>5.5E-2</v>
      </c>
      <c r="D39" s="18">
        <f t="shared" si="0"/>
        <v>1.87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1243</v>
      </c>
      <c r="C41" s="74">
        <f>ROUND(131.923/9509,3)</f>
        <v>1.4E-2</v>
      </c>
      <c r="D41" s="18">
        <f t="shared" si="0"/>
        <v>0.47600000000000003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1244</v>
      </c>
      <c r="C43" s="18">
        <f>ROUND(360.94/9509,3)</f>
        <v>3.7999999999999999E-2</v>
      </c>
      <c r="D43" s="18">
        <f t="shared" si="0"/>
        <v>1.292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1245</v>
      </c>
      <c r="C45" s="18">
        <f>ROUND(272.76/9509,3)</f>
        <v>2.9000000000000001E-2</v>
      </c>
      <c r="D45" s="18">
        <f t="shared" si="0"/>
        <v>0.9860000000000001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1246</v>
      </c>
      <c r="C47" s="74">
        <f>ROUND(12.06/9509,5)</f>
        <v>1.2700000000000001E-3</v>
      </c>
      <c r="D47" s="18">
        <f t="shared" si="0"/>
        <v>4.3180000000000003E-2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1247</v>
      </c>
      <c r="C49" s="74">
        <f>ROUND(23.35/9509,3)</f>
        <v>2E-3</v>
      </c>
      <c r="D49" s="18">
        <f t="shared" si="0"/>
        <v>6.8000000000000005E-2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1248</v>
      </c>
      <c r="C51" s="18">
        <f>ROUND(750.97/9509,3)</f>
        <v>7.9000000000000001E-2</v>
      </c>
      <c r="D51" s="18">
        <f t="shared" si="0"/>
        <v>2.6859999999999999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1263</v>
      </c>
      <c r="C53" s="18">
        <f>ROUND(2620.34/9509,3)</f>
        <v>0.27600000000000002</v>
      </c>
      <c r="D53" s="18">
        <f t="shared" si="0"/>
        <v>9.3840000000000003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1249</v>
      </c>
      <c r="C55" s="74">
        <f>ROUND(9.91/9509,5)</f>
        <v>1.0399999999999999E-3</v>
      </c>
      <c r="D55" s="18">
        <f t="shared" si="0"/>
        <v>3.5359999999999996E-2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1250</v>
      </c>
      <c r="C57" s="74">
        <f>ROUND(132.32/9509,5)</f>
        <v>1.392E-2</v>
      </c>
      <c r="D57" s="18">
        <f t="shared" si="0"/>
        <v>0.47327999999999998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1251</v>
      </c>
      <c r="C59" s="74">
        <f>ROUND(72.76/9509,3)</f>
        <v>8.0000000000000002E-3</v>
      </c>
      <c r="D59" s="18">
        <f t="shared" si="0"/>
        <v>0.27200000000000002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1252</v>
      </c>
      <c r="C61" s="18">
        <f>ROUND(484.21/9509,4)</f>
        <v>5.0900000000000001E-2</v>
      </c>
      <c r="D61" s="18">
        <f t="shared" si="0"/>
        <v>1.7305999999999999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1254</v>
      </c>
      <c r="C63" s="18">
        <f>ROUND(224.14/9509,3)</f>
        <v>2.4E-2</v>
      </c>
      <c r="D63" s="18">
        <f t="shared" si="0"/>
        <v>0.81600000000000006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1253</v>
      </c>
      <c r="C65" s="18">
        <f>ROUND(103.21/9509,5)</f>
        <v>1.085E-2</v>
      </c>
      <c r="D65" s="18">
        <f t="shared" si="0"/>
        <v>0.36890000000000001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1255</v>
      </c>
      <c r="C67" s="74">
        <f>ROUND(241.97/9509,4)</f>
        <v>2.5399999999999999E-2</v>
      </c>
      <c r="D67" s="18">
        <f t="shared" si="0"/>
        <v>0.86359999999999992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1256</v>
      </c>
      <c r="C69" s="18">
        <f>ROUND(87.42/9509,5)</f>
        <v>9.1900000000000003E-3</v>
      </c>
      <c r="D69" s="18">
        <f t="shared" si="0"/>
        <v>0.31246000000000002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1257</v>
      </c>
      <c r="C71" s="74">
        <f>ROUND(28.69/9509,5)</f>
        <v>3.0200000000000001E-3</v>
      </c>
      <c r="D71" s="18">
        <f t="shared" si="0"/>
        <v>0.10268000000000001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591</v>
      </c>
      <c r="C73" s="74">
        <f>ROUND(8.56/9509,4)</f>
        <v>8.9999999999999998E-4</v>
      </c>
      <c r="D73" s="18">
        <f t="shared" si="0"/>
        <v>3.0599999999999999E-2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1258</v>
      </c>
      <c r="C75" s="74">
        <f>ROUND(58.04/9509,5)</f>
        <v>6.1000000000000004E-3</v>
      </c>
      <c r="D75" s="18">
        <f t="shared" si="0"/>
        <v>0.2074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1259</v>
      </c>
      <c r="C77" s="74">
        <f>ROUND(249.88/9509,5)</f>
        <v>2.6280000000000001E-2</v>
      </c>
      <c r="D77" s="18">
        <f t="shared" si="0"/>
        <v>0.89352000000000009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48" x14ac:dyDescent="0.25">
      <c r="A79" s="35"/>
      <c r="B79" s="40" t="s">
        <v>623</v>
      </c>
      <c r="C79" s="147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1260</v>
      </c>
      <c r="C81" s="74">
        <f>ROUND(61.55/9509,4)</f>
        <v>6.4999999999999997E-3</v>
      </c>
      <c r="D81" s="18">
        <f t="shared" si="0"/>
        <v>0.221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1261</v>
      </c>
      <c r="C83" s="253">
        <f>ROUND(88.34/9509,5)</f>
        <v>9.2899999999999996E-3</v>
      </c>
      <c r="D83" s="18">
        <f t="shared" si="0"/>
        <v>0.31585999999999997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1262</v>
      </c>
      <c r="C85" s="74">
        <f>ROUND(151.09/9509,3)</f>
        <v>1.6E-2</v>
      </c>
      <c r="D85" s="18">
        <f t="shared" si="0"/>
        <v>0.54400000000000004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31.62</v>
      </c>
    </row>
    <row r="87" spans="1:4" x14ac:dyDescent="0.25">
      <c r="A87" s="83"/>
      <c r="B87" s="84" t="s">
        <v>95</v>
      </c>
      <c r="C87" s="82">
        <f>ROUND(C86+C18,3)</f>
        <v>4.46</v>
      </c>
      <c r="D87" s="82">
        <f>ROUND(D86+D18,3)</f>
        <v>151.63999999999999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34</v>
      </c>
      <c r="D89" s="89"/>
    </row>
    <row r="90" spans="1:4" ht="27.75" customHeight="1" x14ac:dyDescent="0.25">
      <c r="A90" s="313" t="s">
        <v>113</v>
      </c>
      <c r="B90" s="314"/>
      <c r="C90" s="22">
        <f>D87/C89</f>
        <v>4.46</v>
      </c>
      <c r="D90" s="89"/>
    </row>
    <row r="91" spans="1:4" hidden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D4C4-A1C0-45D2-B279-E2749EDB030D}">
  <dimension ref="A1:E91"/>
  <sheetViews>
    <sheetView topLeftCell="A78" workbookViewId="0">
      <selection activeCell="B86" sqref="B86"/>
    </sheetView>
  </sheetViews>
  <sheetFormatPr defaultRowHeight="15" x14ac:dyDescent="0.25"/>
  <cols>
    <col min="1" max="1" width="9.42578125" customWidth="1"/>
    <col min="2" max="2" width="52.7109375" customWidth="1"/>
    <col min="3" max="3" width="11" customWidth="1"/>
    <col min="4" max="4" width="11.57031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x14ac:dyDescent="0.25">
      <c r="A5" s="307" t="s">
        <v>299</v>
      </c>
      <c r="B5" s="307"/>
      <c r="C5" s="307"/>
      <c r="D5" s="307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194</v>
      </c>
      <c r="B9" s="318"/>
      <c r="C9" s="60"/>
      <c r="D9" s="96"/>
    </row>
    <row r="10" spans="1:5" x14ac:dyDescent="0.25">
      <c r="A10" s="97"/>
      <c r="B10" s="101"/>
      <c r="C10" s="100"/>
      <c r="D10" s="96"/>
    </row>
    <row r="11" spans="1:5" ht="108" x14ac:dyDescent="0.25">
      <c r="A11" s="63" t="s">
        <v>80</v>
      </c>
      <c r="B11" s="63" t="s">
        <v>81</v>
      </c>
      <c r="C11" s="63" t="s">
        <v>82</v>
      </c>
      <c r="D11" s="63" t="s">
        <v>83</v>
      </c>
    </row>
    <row r="12" spans="1:5" x14ac:dyDescent="0.25">
      <c r="A12" s="64">
        <v>1</v>
      </c>
      <c r="B12" s="65">
        <v>2</v>
      </c>
      <c r="C12" s="64">
        <v>3</v>
      </c>
      <c r="D12" s="64">
        <v>4</v>
      </c>
    </row>
    <row r="13" spans="1:5" x14ac:dyDescent="0.25">
      <c r="A13" s="64"/>
      <c r="B13" s="81" t="s">
        <v>84</v>
      </c>
      <c r="C13" s="68"/>
      <c r="D13" s="68"/>
    </row>
    <row r="14" spans="1:5" x14ac:dyDescent="0.25">
      <c r="A14" s="94">
        <v>1100</v>
      </c>
      <c r="B14" s="95" t="s">
        <v>85</v>
      </c>
      <c r="C14" s="71"/>
      <c r="D14" s="71"/>
    </row>
    <row r="15" spans="1:5" ht="85.5" customHeight="1" x14ac:dyDescent="0.25">
      <c r="A15" s="35"/>
      <c r="B15" s="90" t="s">
        <v>334</v>
      </c>
      <c r="C15" s="18">
        <f>0.17*15</f>
        <v>2.5500000000000003</v>
      </c>
      <c r="D15" s="18">
        <f>C15*71</f>
        <v>181.05</v>
      </c>
    </row>
    <row r="16" spans="1:5" ht="24" x14ac:dyDescent="0.25">
      <c r="A16" s="35">
        <v>1200</v>
      </c>
      <c r="B16" s="40" t="s">
        <v>333</v>
      </c>
      <c r="C16" s="18">
        <f>ROUND(C15*0.2359,2)</f>
        <v>0.6</v>
      </c>
      <c r="D16" s="18">
        <f>C16*71</f>
        <v>42.6</v>
      </c>
      <c r="E16" s="181"/>
    </row>
    <row r="17" spans="1:5" x14ac:dyDescent="0.25">
      <c r="A17" s="35">
        <v>2341</v>
      </c>
      <c r="B17" s="35" t="s">
        <v>107</v>
      </c>
      <c r="C17" s="74"/>
      <c r="D17" s="74"/>
    </row>
    <row r="18" spans="1:5" ht="96" x14ac:dyDescent="0.25">
      <c r="A18" s="35"/>
      <c r="B18" s="40" t="s">
        <v>416</v>
      </c>
      <c r="C18" s="18">
        <v>5.24</v>
      </c>
      <c r="D18" s="18">
        <f>C18*71</f>
        <v>372.04</v>
      </c>
      <c r="E18" s="181"/>
    </row>
    <row r="19" spans="1:5" x14ac:dyDescent="0.25">
      <c r="A19" s="35"/>
      <c r="B19" s="92" t="s">
        <v>87</v>
      </c>
      <c r="C19" s="82">
        <f>SUM(C14:C18)</f>
        <v>8.39</v>
      </c>
      <c r="D19" s="82">
        <f>SUM(D14:D18)</f>
        <v>595.69000000000005</v>
      </c>
      <c r="E19" s="183"/>
    </row>
    <row r="20" spans="1:5" x14ac:dyDescent="0.25">
      <c r="A20" s="77"/>
      <c r="B20" s="176" t="s">
        <v>88</v>
      </c>
      <c r="C20" s="78"/>
      <c r="D20" s="78"/>
    </row>
    <row r="21" spans="1:5" x14ac:dyDescent="0.25">
      <c r="A21" s="35">
        <v>2100</v>
      </c>
      <c r="B21" s="244" t="s">
        <v>584</v>
      </c>
      <c r="C21" s="78"/>
      <c r="D21" s="78"/>
    </row>
    <row r="22" spans="1:5" ht="60" x14ac:dyDescent="0.25">
      <c r="A22" s="77"/>
      <c r="B22" s="40" t="s">
        <v>1264</v>
      </c>
      <c r="C22" s="74">
        <f>ROUND(31.85/9509,5)</f>
        <v>3.3500000000000001E-3</v>
      </c>
      <c r="D22" s="18">
        <f>C22*71</f>
        <v>0.23785000000000001</v>
      </c>
    </row>
    <row r="23" spans="1:5" x14ac:dyDescent="0.25">
      <c r="A23" s="35">
        <v>2210</v>
      </c>
      <c r="B23" s="40" t="s">
        <v>568</v>
      </c>
      <c r="C23" s="74"/>
      <c r="D23" s="74"/>
    </row>
    <row r="24" spans="1:5" ht="60" x14ac:dyDescent="0.25">
      <c r="A24" s="35"/>
      <c r="B24" s="40" t="s">
        <v>1265</v>
      </c>
      <c r="C24" s="74">
        <f>ROUND(228.88/9509,4)</f>
        <v>2.41E-2</v>
      </c>
      <c r="D24" s="18">
        <f t="shared" ref="D24:D86" si="0">C24*71</f>
        <v>1.7111000000000001</v>
      </c>
    </row>
    <row r="25" spans="1:5" x14ac:dyDescent="0.25">
      <c r="A25" s="35">
        <v>2221</v>
      </c>
      <c r="B25" s="40" t="s">
        <v>89</v>
      </c>
      <c r="C25" s="18"/>
      <c r="D25" s="18"/>
    </row>
    <row r="26" spans="1:5" ht="60" x14ac:dyDescent="0.25">
      <c r="A26" s="35"/>
      <c r="B26" s="40" t="s">
        <v>1266</v>
      </c>
      <c r="C26" s="74">
        <f>ROUND(382.73/9509,5)</f>
        <v>4.0250000000000001E-2</v>
      </c>
      <c r="D26" s="18">
        <f t="shared" si="0"/>
        <v>2.8577500000000002</v>
      </c>
    </row>
    <row r="27" spans="1:5" x14ac:dyDescent="0.25">
      <c r="A27" s="35">
        <v>2222</v>
      </c>
      <c r="B27" s="242" t="s">
        <v>90</v>
      </c>
      <c r="C27" s="18"/>
      <c r="D27" s="18"/>
    </row>
    <row r="28" spans="1:5" ht="60" x14ac:dyDescent="0.25">
      <c r="A28" s="35"/>
      <c r="B28" s="40" t="s">
        <v>1267</v>
      </c>
      <c r="C28" s="74">
        <f>ROUND(38.69/9509,5)</f>
        <v>4.0699999999999998E-3</v>
      </c>
      <c r="D28" s="18">
        <f t="shared" si="0"/>
        <v>0.28897</v>
      </c>
    </row>
    <row r="29" spans="1:5" x14ac:dyDescent="0.25">
      <c r="A29" s="35">
        <v>2223</v>
      </c>
      <c r="B29" s="35" t="s">
        <v>91</v>
      </c>
      <c r="C29" s="74"/>
      <c r="D29" s="18"/>
    </row>
    <row r="30" spans="1:5" ht="60" x14ac:dyDescent="0.25">
      <c r="A30" s="35"/>
      <c r="B30" s="40" t="s">
        <v>1268</v>
      </c>
      <c r="C30" s="18">
        <f>ROUND(1004.28/9509,3)</f>
        <v>0.106</v>
      </c>
      <c r="D30" s="18">
        <f t="shared" si="0"/>
        <v>7.5259999999999998</v>
      </c>
    </row>
    <row r="31" spans="1:5" ht="24" x14ac:dyDescent="0.25">
      <c r="A31" s="35">
        <v>2224</v>
      </c>
      <c r="B31" s="40" t="s">
        <v>115</v>
      </c>
      <c r="C31" s="74"/>
      <c r="D31" s="18"/>
    </row>
    <row r="32" spans="1:5" ht="60" x14ac:dyDescent="0.25">
      <c r="A32" s="34"/>
      <c r="B32" s="40" t="s">
        <v>1269</v>
      </c>
      <c r="C32" s="18">
        <f>ROUND(82.8/9509,3)</f>
        <v>8.9999999999999993E-3</v>
      </c>
      <c r="D32" s="18">
        <f t="shared" si="0"/>
        <v>0.6389999999999999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60" x14ac:dyDescent="0.25">
      <c r="A34" s="35"/>
      <c r="B34" s="40" t="s">
        <v>1270</v>
      </c>
      <c r="C34" s="18">
        <f>ROUND(289.4/9509,3)</f>
        <v>0.03</v>
      </c>
      <c r="D34" s="18">
        <f t="shared" si="0"/>
        <v>2.13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60" x14ac:dyDescent="0.25">
      <c r="A36" s="35"/>
      <c r="B36" s="40" t="s">
        <v>1271</v>
      </c>
      <c r="C36" s="74">
        <f>ROUND(20.68/9509,3)</f>
        <v>2E-3</v>
      </c>
      <c r="D36" s="18">
        <f t="shared" si="0"/>
        <v>0.14200000000000002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60" x14ac:dyDescent="0.25">
      <c r="A38" s="35"/>
      <c r="B38" s="40" t="s">
        <v>1272</v>
      </c>
      <c r="C38" s="74">
        <f>ROUND(58.15/9509,3)</f>
        <v>6.0000000000000001E-3</v>
      </c>
      <c r="D38" s="18">
        <f t="shared" si="0"/>
        <v>0.42599999999999999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60" x14ac:dyDescent="0.25">
      <c r="A40" s="35"/>
      <c r="B40" s="40" t="s">
        <v>1273</v>
      </c>
      <c r="C40" s="74">
        <f>ROUND(524.45/9509,3)</f>
        <v>5.5E-2</v>
      </c>
      <c r="D40" s="18">
        <f t="shared" si="0"/>
        <v>3.9049999999999998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60" x14ac:dyDescent="0.25">
      <c r="A42" s="35"/>
      <c r="B42" s="40" t="s">
        <v>1274</v>
      </c>
      <c r="C42" s="74">
        <f>ROUND(131.923/9509,3)</f>
        <v>1.4E-2</v>
      </c>
      <c r="D42" s="18">
        <f t="shared" si="0"/>
        <v>0.99399999999999999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60" x14ac:dyDescent="0.25">
      <c r="A44" s="35"/>
      <c r="B44" s="40" t="s">
        <v>1275</v>
      </c>
      <c r="C44" s="18">
        <f>ROUND(360.94/9509,3)</f>
        <v>3.7999999999999999E-2</v>
      </c>
      <c r="D44" s="18">
        <f t="shared" si="0"/>
        <v>2.698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60" x14ac:dyDescent="0.25">
      <c r="A46" s="79"/>
      <c r="B46" s="40" t="s">
        <v>1276</v>
      </c>
      <c r="C46" s="18">
        <f>ROUND(272.76/9509,3)</f>
        <v>2.9000000000000001E-2</v>
      </c>
      <c r="D46" s="18">
        <f t="shared" si="0"/>
        <v>2.0590000000000002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60" x14ac:dyDescent="0.25">
      <c r="A48" s="79"/>
      <c r="B48" s="40" t="s">
        <v>1277</v>
      </c>
      <c r="C48" s="74">
        <f>ROUND(12.06/9509,4)</f>
        <v>1.2999999999999999E-3</v>
      </c>
      <c r="D48" s="18">
        <f t="shared" si="0"/>
        <v>9.2299999999999993E-2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60" x14ac:dyDescent="0.25">
      <c r="A50" s="79"/>
      <c r="B50" s="40" t="s">
        <v>1278</v>
      </c>
      <c r="C50" s="74">
        <f>ROUND(23.35/9509,3)</f>
        <v>2E-3</v>
      </c>
      <c r="D50" s="18">
        <f t="shared" si="0"/>
        <v>0.14200000000000002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60" x14ac:dyDescent="0.25">
      <c r="A52" s="35"/>
      <c r="B52" s="40" t="s">
        <v>1279</v>
      </c>
      <c r="C52" s="18">
        <f>ROUND(750.97/9509,4)</f>
        <v>7.9000000000000001E-2</v>
      </c>
      <c r="D52" s="18">
        <f t="shared" si="0"/>
        <v>5.609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60" x14ac:dyDescent="0.25">
      <c r="A54" s="35"/>
      <c r="B54" s="40" t="s">
        <v>1280</v>
      </c>
      <c r="C54" s="18">
        <f>ROUND(2620.34/9509,3)</f>
        <v>0.27600000000000002</v>
      </c>
      <c r="D54" s="18">
        <f t="shared" si="0"/>
        <v>19.596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60" x14ac:dyDescent="0.25">
      <c r="A56" s="35"/>
      <c r="B56" s="40" t="s">
        <v>1281</v>
      </c>
      <c r="C56" s="74">
        <f>ROUND(9.91/9509,3)</f>
        <v>1E-3</v>
      </c>
      <c r="D56" s="18">
        <f t="shared" si="0"/>
        <v>7.1000000000000008E-2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60" x14ac:dyDescent="0.25">
      <c r="A58" s="35"/>
      <c r="B58" s="40" t="s">
        <v>1282</v>
      </c>
      <c r="C58" s="18">
        <f>ROUND(132.32/9509,3)</f>
        <v>1.4E-2</v>
      </c>
      <c r="D58" s="18">
        <f t="shared" si="0"/>
        <v>0.99399999999999999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60" x14ac:dyDescent="0.25">
      <c r="A60" s="35"/>
      <c r="B60" s="40" t="s">
        <v>1283</v>
      </c>
      <c r="C60" s="74">
        <f>ROUND(72.76/9509,3)</f>
        <v>8.0000000000000002E-3</v>
      </c>
      <c r="D60" s="18">
        <f t="shared" si="0"/>
        <v>0.56800000000000006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60" x14ac:dyDescent="0.25">
      <c r="A62" s="35"/>
      <c r="B62" s="40" t="s">
        <v>1284</v>
      </c>
      <c r="C62" s="18">
        <f>ROUND(484.21/9509,5)</f>
        <v>5.092E-2</v>
      </c>
      <c r="D62" s="18">
        <f t="shared" si="0"/>
        <v>3.6153200000000001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60" x14ac:dyDescent="0.25">
      <c r="A64" s="35"/>
      <c r="B64" s="40" t="s">
        <v>1285</v>
      </c>
      <c r="C64" s="74">
        <f>ROUND(224.14/9509,5)</f>
        <v>2.3570000000000001E-2</v>
      </c>
      <c r="D64" s="18">
        <f t="shared" si="0"/>
        <v>1.67347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60" x14ac:dyDescent="0.25">
      <c r="A66" s="35"/>
      <c r="B66" s="40" t="s">
        <v>1286</v>
      </c>
      <c r="C66" s="74">
        <f>ROUND(103.21/9509,5)</f>
        <v>1.085E-2</v>
      </c>
      <c r="D66" s="18">
        <f t="shared" si="0"/>
        <v>0.77034999999999998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60" x14ac:dyDescent="0.25">
      <c r="A68" s="35"/>
      <c r="B68" s="40" t="s">
        <v>1287</v>
      </c>
      <c r="C68" s="74">
        <f>ROUND(241.97/9509,5)</f>
        <v>2.545E-2</v>
      </c>
      <c r="D68" s="18">
        <f t="shared" si="0"/>
        <v>1.8069500000000001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60" x14ac:dyDescent="0.25">
      <c r="A70" s="35"/>
      <c r="B70" s="40" t="s">
        <v>1288</v>
      </c>
      <c r="C70" s="18">
        <f>ROUND(87.42/9509,3)</f>
        <v>8.9999999999999993E-3</v>
      </c>
      <c r="D70" s="18">
        <f t="shared" si="0"/>
        <v>0.6389999999999999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60" x14ac:dyDescent="0.25">
      <c r="A72" s="35"/>
      <c r="B72" s="40" t="s">
        <v>1289</v>
      </c>
      <c r="C72" s="74">
        <f>ROUND(28.69/9509,5)</f>
        <v>3.0200000000000001E-3</v>
      </c>
      <c r="D72" s="18">
        <f t="shared" si="0"/>
        <v>0.21442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60" x14ac:dyDescent="0.25">
      <c r="A74" s="35"/>
      <c r="B74" s="40" t="s">
        <v>1290</v>
      </c>
      <c r="C74" s="74">
        <f>ROUND(8.56/9509,5)</f>
        <v>8.9999999999999998E-4</v>
      </c>
      <c r="D74" s="18">
        <f t="shared" si="0"/>
        <v>6.3899999999999998E-2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60" x14ac:dyDescent="0.25">
      <c r="A76" s="35"/>
      <c r="B76" s="40" t="s">
        <v>1291</v>
      </c>
      <c r="C76" s="74">
        <f>ROUND(58.04/9509,5)</f>
        <v>6.1000000000000004E-3</v>
      </c>
      <c r="D76" s="18">
        <f t="shared" si="0"/>
        <v>0.43310000000000004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60" x14ac:dyDescent="0.25">
      <c r="A78" s="35"/>
      <c r="B78" s="40" t="s">
        <v>1292</v>
      </c>
      <c r="C78" s="74">
        <f>ROUND(249.88/9509,5)</f>
        <v>2.6280000000000001E-2</v>
      </c>
      <c r="D78" s="18">
        <f t="shared" si="0"/>
        <v>1.86588</v>
      </c>
    </row>
    <row r="79" spans="1:4" x14ac:dyDescent="0.25">
      <c r="A79" s="35">
        <v>5220</v>
      </c>
      <c r="B79" s="40" t="s">
        <v>116</v>
      </c>
      <c r="C79" s="18"/>
      <c r="D79" s="18"/>
    </row>
    <row r="80" spans="1:4" ht="48" x14ac:dyDescent="0.25">
      <c r="A80" s="35"/>
      <c r="B80" s="40" t="s">
        <v>623</v>
      </c>
      <c r="C80" s="147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60" x14ac:dyDescent="0.25">
      <c r="A82" s="35"/>
      <c r="B82" s="40" t="s">
        <v>1293</v>
      </c>
      <c r="C82" s="74">
        <f>ROUND(61.55/9509,4)</f>
        <v>6.4999999999999997E-3</v>
      </c>
      <c r="D82" s="18">
        <f t="shared" si="0"/>
        <v>0.46149999999999997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60" x14ac:dyDescent="0.25">
      <c r="A84" s="35"/>
      <c r="B84" s="40" t="s">
        <v>1294</v>
      </c>
      <c r="C84" s="253">
        <f>ROUND(88.34/9509,5)</f>
        <v>9.2899999999999996E-3</v>
      </c>
      <c r="D84" s="18">
        <f t="shared" si="0"/>
        <v>0.65959000000000001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60" x14ac:dyDescent="0.25">
      <c r="A86" s="35"/>
      <c r="B86" s="40" t="s">
        <v>1295</v>
      </c>
      <c r="C86" s="74">
        <f>ROUND(151.09/9509,3)</f>
        <v>1.6E-2</v>
      </c>
      <c r="D86" s="18">
        <f t="shared" si="0"/>
        <v>1.1360000000000001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66.03</v>
      </c>
    </row>
    <row r="88" spans="1:4" x14ac:dyDescent="0.25">
      <c r="A88" s="83"/>
      <c r="B88" s="84" t="s">
        <v>95</v>
      </c>
      <c r="C88" s="82">
        <f>ROUND(C87+C19,3)</f>
        <v>9.32</v>
      </c>
      <c r="D88" s="82">
        <f>ROUND(D87+D19,3)</f>
        <v>661.72</v>
      </c>
    </row>
    <row r="89" spans="1:4" x14ac:dyDescent="0.25">
      <c r="A89" s="85"/>
      <c r="B89" s="86"/>
      <c r="C89" s="87"/>
      <c r="D89" s="87"/>
    </row>
    <row r="90" spans="1:4" x14ac:dyDescent="0.25">
      <c r="A90" s="311" t="s">
        <v>96</v>
      </c>
      <c r="B90" s="312"/>
      <c r="C90" s="88">
        <v>71</v>
      </c>
      <c r="D90" s="89"/>
    </row>
    <row r="91" spans="1:4" ht="27" customHeight="1" x14ac:dyDescent="0.25">
      <c r="A91" s="313" t="s">
        <v>113</v>
      </c>
      <c r="B91" s="314"/>
      <c r="C91" s="22">
        <f>D88/C90</f>
        <v>9.32</v>
      </c>
      <c r="D91" s="89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B20C-EFA4-4ED5-A7BF-5F969EFDF894}">
  <dimension ref="A1:G90"/>
  <sheetViews>
    <sheetView topLeftCell="A77" workbookViewId="0">
      <selection activeCell="B53" sqref="B53"/>
    </sheetView>
  </sheetViews>
  <sheetFormatPr defaultRowHeight="15" x14ac:dyDescent="0.25"/>
  <cols>
    <col min="1" max="1" width="10" customWidth="1"/>
    <col min="2" max="2" width="53.85546875" customWidth="1"/>
    <col min="3" max="3" width="10.7109375" customWidth="1"/>
    <col min="4" max="4" width="12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x14ac:dyDescent="0.25">
      <c r="A5" s="308" t="s">
        <v>323</v>
      </c>
      <c r="B5" s="308"/>
      <c r="C5" s="308"/>
      <c r="D5" s="308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195</v>
      </c>
      <c r="B9" s="318"/>
      <c r="C9" s="60"/>
      <c r="D9" s="96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68"/>
    </row>
    <row r="14" spans="1:5" ht="78.75" customHeight="1" x14ac:dyDescent="0.25">
      <c r="A14" s="35"/>
      <c r="B14" s="90" t="s">
        <v>346</v>
      </c>
      <c r="C14" s="18">
        <f>0.17*10</f>
        <v>1.7000000000000002</v>
      </c>
      <c r="D14" s="18">
        <f>C14*43</f>
        <v>73.100000000000009</v>
      </c>
    </row>
    <row r="15" spans="1:5" ht="24" x14ac:dyDescent="0.25">
      <c r="A15" s="35">
        <v>1200</v>
      </c>
      <c r="B15" s="40" t="s">
        <v>332</v>
      </c>
      <c r="C15" s="18">
        <f>ROUND(C14*0.2359,2)</f>
        <v>0.4</v>
      </c>
      <c r="D15" s="18">
        <f>C15*43</f>
        <v>17.2</v>
      </c>
      <c r="E15" s="181"/>
    </row>
    <row r="16" spans="1:5" x14ac:dyDescent="0.25">
      <c r="A16" s="35">
        <v>2341</v>
      </c>
      <c r="B16" s="35" t="s">
        <v>97</v>
      </c>
      <c r="C16" s="74"/>
      <c r="D16" s="74"/>
    </row>
    <row r="17" spans="1:7" ht="78" customHeight="1" x14ac:dyDescent="0.25">
      <c r="A17" s="35"/>
      <c r="B17" s="40" t="s">
        <v>347</v>
      </c>
      <c r="C17" s="18">
        <v>5.66</v>
      </c>
      <c r="D17" s="18">
        <f>C17*43</f>
        <v>243.38</v>
      </c>
      <c r="E17" s="325"/>
      <c r="F17" s="326"/>
      <c r="G17" s="326"/>
    </row>
    <row r="18" spans="1:7" x14ac:dyDescent="0.25">
      <c r="A18" s="84"/>
      <c r="B18" s="92" t="s">
        <v>87</v>
      </c>
      <c r="C18" s="82">
        <f>SUM(C13:C17)</f>
        <v>7.76</v>
      </c>
      <c r="D18" s="82">
        <f>SUM(D13:D17)</f>
        <v>333.68</v>
      </c>
      <c r="E18" s="183"/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4" t="s">
        <v>584</v>
      </c>
      <c r="C20" s="78"/>
      <c r="D20" s="78"/>
    </row>
    <row r="21" spans="1:7" ht="60" x14ac:dyDescent="0.25">
      <c r="A21" s="77"/>
      <c r="B21" s="40" t="s">
        <v>1296</v>
      </c>
      <c r="C21" s="74">
        <f>ROUND(31.85/9509,5)</f>
        <v>3.3500000000000001E-3</v>
      </c>
      <c r="D21" s="18">
        <f>C21*43</f>
        <v>0.14405000000000001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1297</v>
      </c>
      <c r="C23" s="74">
        <f>ROUND(228.88/9509,5)</f>
        <v>2.4070000000000001E-2</v>
      </c>
      <c r="D23" s="18">
        <f t="shared" ref="D23:D85" si="0">C23*43</f>
        <v>1.03501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1298</v>
      </c>
      <c r="C25" s="74">
        <f>ROUND(382.73/9509,5)</f>
        <v>4.0250000000000001E-2</v>
      </c>
      <c r="D25" s="18">
        <f t="shared" si="0"/>
        <v>1.73075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1299</v>
      </c>
      <c r="C27" s="74">
        <f>ROUND(38.69/9509,5)</f>
        <v>4.0699999999999998E-3</v>
      </c>
      <c r="D27" s="18">
        <f t="shared" si="0"/>
        <v>0.17501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1300</v>
      </c>
      <c r="C29" s="18">
        <f>ROUND(1004.28/9509,3)</f>
        <v>0.106</v>
      </c>
      <c r="D29" s="18">
        <f t="shared" si="0"/>
        <v>4.5579999999999998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1301</v>
      </c>
      <c r="C31" s="18">
        <f>ROUND(82.8/9509,3)</f>
        <v>8.9999999999999993E-3</v>
      </c>
      <c r="D31" s="18">
        <f t="shared" si="0"/>
        <v>0.38699999999999996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1302</v>
      </c>
      <c r="C33" s="18">
        <f>ROUND(289.4/9509,3)</f>
        <v>0.03</v>
      </c>
      <c r="D33" s="18">
        <f t="shared" si="0"/>
        <v>1.29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1303</v>
      </c>
      <c r="C35" s="74">
        <f>ROUND(20.68/9509,3)</f>
        <v>2E-3</v>
      </c>
      <c r="D35" s="18">
        <f t="shared" si="0"/>
        <v>8.6000000000000007E-2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1304</v>
      </c>
      <c r="C37" s="74">
        <f>ROUND(58.15/9509,3)</f>
        <v>6.0000000000000001E-3</v>
      </c>
      <c r="D37" s="18">
        <f t="shared" si="0"/>
        <v>0.25800000000000001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1326</v>
      </c>
      <c r="C39" s="74">
        <f>ROUND(524.45/9509,5)</f>
        <v>5.5149999999999998E-2</v>
      </c>
      <c r="D39" s="18">
        <f t="shared" si="0"/>
        <v>2.3714499999999998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1305</v>
      </c>
      <c r="C41" s="74">
        <f>ROUND(131.923/9509,3)</f>
        <v>1.4E-2</v>
      </c>
      <c r="D41" s="18">
        <f t="shared" si="0"/>
        <v>0.60199999999999998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1306</v>
      </c>
      <c r="C43" s="18">
        <f>ROUND(360.94/9509,3)</f>
        <v>3.7999999999999999E-2</v>
      </c>
      <c r="D43" s="18">
        <f t="shared" si="0"/>
        <v>1.6339999999999999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1307</v>
      </c>
      <c r="C45" s="18">
        <f>ROUND(272.76/9509,3)</f>
        <v>2.9000000000000001E-2</v>
      </c>
      <c r="D45" s="18">
        <f t="shared" si="0"/>
        <v>1.2470000000000001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1308</v>
      </c>
      <c r="C47" s="74">
        <f>ROUND(12.06/9509,3)</f>
        <v>1E-3</v>
      </c>
      <c r="D47" s="18">
        <f t="shared" si="0"/>
        <v>4.3000000000000003E-2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1309</v>
      </c>
      <c r="C49" s="74">
        <f>ROUND(23.35/9509,3)</f>
        <v>2E-3</v>
      </c>
      <c r="D49" s="18">
        <f t="shared" si="0"/>
        <v>8.6000000000000007E-2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1310</v>
      </c>
      <c r="C51" s="18">
        <f>ROUND(750.97/9509,5)</f>
        <v>7.8969999999999999E-2</v>
      </c>
      <c r="D51" s="18">
        <f t="shared" si="0"/>
        <v>3.3957099999999998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1327</v>
      </c>
      <c r="C53" s="18">
        <f>ROUND(2620.34/9509,3)</f>
        <v>0.27600000000000002</v>
      </c>
      <c r="D53" s="18">
        <f t="shared" si="0"/>
        <v>11.868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1311</v>
      </c>
      <c r="C55" s="74">
        <f>ROUND(9.91/9509,5)</f>
        <v>1.0399999999999999E-3</v>
      </c>
      <c r="D55" s="18">
        <f t="shared" si="0"/>
        <v>4.4719999999999996E-2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1312</v>
      </c>
      <c r="C57" s="18">
        <f>ROUND(132.32/9509,3)</f>
        <v>1.4E-2</v>
      </c>
      <c r="D57" s="18">
        <f t="shared" si="0"/>
        <v>0.60199999999999998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1313</v>
      </c>
      <c r="C59" s="74">
        <f>ROUND(72.76/9509,3)</f>
        <v>8.0000000000000002E-3</v>
      </c>
      <c r="D59" s="18">
        <f t="shared" si="0"/>
        <v>0.34400000000000003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1314</v>
      </c>
      <c r="C61" s="18">
        <f>ROUND(484.21/9509,5)</f>
        <v>5.092E-2</v>
      </c>
      <c r="D61" s="18">
        <f t="shared" si="0"/>
        <v>2.1895600000000002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1315</v>
      </c>
      <c r="C63" s="18">
        <f>ROUND(224.14/9509,3)</f>
        <v>2.4E-2</v>
      </c>
      <c r="D63" s="18">
        <f t="shared" si="0"/>
        <v>1.032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1316</v>
      </c>
      <c r="C65" s="18">
        <f>ROUND(103.21/9509,3)</f>
        <v>1.0999999999999999E-2</v>
      </c>
      <c r="D65" s="18">
        <f t="shared" si="0"/>
        <v>0.47299999999999998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1317</v>
      </c>
      <c r="C67" s="18">
        <f>ROUND(241.97/9509,3)</f>
        <v>2.5000000000000001E-2</v>
      </c>
      <c r="D67" s="18">
        <f t="shared" si="0"/>
        <v>1.075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1318</v>
      </c>
      <c r="C69" s="74">
        <f>ROUND(87.42/9509,5)</f>
        <v>9.1900000000000003E-3</v>
      </c>
      <c r="D69" s="18">
        <f t="shared" si="0"/>
        <v>0.39517000000000002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1319</v>
      </c>
      <c r="C71" s="74">
        <f>ROUND(28.69/9509,5)</f>
        <v>3.0200000000000001E-3</v>
      </c>
      <c r="D71" s="18">
        <f t="shared" si="0"/>
        <v>0.12986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1320</v>
      </c>
      <c r="C73" s="74">
        <f>ROUND(8.56/9509,5)</f>
        <v>8.9999999999999998E-4</v>
      </c>
      <c r="D73" s="18">
        <f t="shared" si="0"/>
        <v>3.8699999999999998E-2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1321</v>
      </c>
      <c r="C75" s="74">
        <f>ROUND(58.04/9509,5)</f>
        <v>6.1000000000000004E-3</v>
      </c>
      <c r="D75" s="18">
        <f t="shared" si="0"/>
        <v>0.26230000000000003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1322</v>
      </c>
      <c r="C77" s="74">
        <f>ROUND(249.88/9509,5)</f>
        <v>2.6280000000000001E-2</v>
      </c>
      <c r="D77" s="18">
        <f t="shared" si="0"/>
        <v>1.1300400000000002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60" x14ac:dyDescent="0.25">
      <c r="A79" s="35"/>
      <c r="B79" s="40" t="s">
        <v>624</v>
      </c>
      <c r="C79" s="147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1323</v>
      </c>
      <c r="C81" s="74">
        <f>ROUND(61.55/9509,5)</f>
        <v>6.4700000000000001E-3</v>
      </c>
      <c r="D81" s="18">
        <f t="shared" si="0"/>
        <v>0.27821000000000001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1324</v>
      </c>
      <c r="C83" s="74">
        <f>ROUND(88.34/9509,5)</f>
        <v>9.2899999999999996E-3</v>
      </c>
      <c r="D83" s="18">
        <f t="shared" si="0"/>
        <v>0.39946999999999999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1325</v>
      </c>
      <c r="C85" s="74">
        <f>ROUND(151.09/9509,5)</f>
        <v>1.5890000000000001E-2</v>
      </c>
      <c r="D85" s="18">
        <f t="shared" si="0"/>
        <v>0.68327000000000004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39.99</v>
      </c>
    </row>
    <row r="87" spans="1:4" x14ac:dyDescent="0.25">
      <c r="A87" s="83"/>
      <c r="B87" s="84" t="s">
        <v>95</v>
      </c>
      <c r="C87" s="82">
        <f>ROUND(C86+C18,3)</f>
        <v>8.69</v>
      </c>
      <c r="D87" s="82">
        <f>ROUND(D86+D18,3)</f>
        <v>373.67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43</v>
      </c>
      <c r="D89" s="89"/>
    </row>
    <row r="90" spans="1:4" ht="21.75" customHeight="1" x14ac:dyDescent="0.25">
      <c r="A90" s="313" t="s">
        <v>113</v>
      </c>
      <c r="B90" s="314"/>
      <c r="C90" s="22">
        <f>D87/C89</f>
        <v>8.69</v>
      </c>
      <c r="D90" s="89"/>
    </row>
  </sheetData>
  <mergeCells count="8">
    <mergeCell ref="E17:G17"/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16B4-0AE9-494E-95EB-34153978C71F}">
  <dimension ref="A1:E89"/>
  <sheetViews>
    <sheetView topLeftCell="A77" zoomScaleNormal="100" workbookViewId="0">
      <selection activeCell="B18" sqref="B18"/>
    </sheetView>
  </sheetViews>
  <sheetFormatPr defaultRowHeight="15" x14ac:dyDescent="0.25"/>
  <cols>
    <col min="1" max="1" width="9.85546875" customWidth="1"/>
    <col min="2" max="2" width="56" customWidth="1"/>
    <col min="3" max="3" width="10.28515625" customWidth="1"/>
    <col min="4" max="4" width="12.140625" customWidth="1"/>
    <col min="11" max="11" width="14.7109375" customWidth="1"/>
  </cols>
  <sheetData>
    <row r="1" spans="1:5" x14ac:dyDescent="0.25">
      <c r="A1" s="327" t="s">
        <v>78</v>
      </c>
      <c r="B1" s="327"/>
      <c r="C1" s="327"/>
      <c r="D1" s="327"/>
    </row>
    <row r="2" spans="1:5" ht="8.2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9" customHeight="1" x14ac:dyDescent="0.25">
      <c r="A4" s="55"/>
      <c r="B4" s="58"/>
      <c r="C4" s="58"/>
      <c r="D4" s="59"/>
    </row>
    <row r="5" spans="1:5" ht="24" customHeight="1" x14ac:dyDescent="0.25">
      <c r="A5" s="307" t="s">
        <v>165</v>
      </c>
      <c r="B5" s="307"/>
      <c r="C5" s="307"/>
      <c r="D5" s="307"/>
    </row>
    <row r="6" spans="1:5" ht="6.7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5.25" customHeight="1" x14ac:dyDescent="0.25">
      <c r="A8" s="55"/>
      <c r="B8" s="61"/>
      <c r="C8" s="62"/>
      <c r="D8" s="59"/>
    </row>
    <row r="9" spans="1:5" x14ac:dyDescent="0.25">
      <c r="A9" s="318" t="s">
        <v>102</v>
      </c>
      <c r="B9" s="318"/>
      <c r="C9" s="100"/>
      <c r="D9" s="96"/>
    </row>
    <row r="10" spans="1:5" ht="93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ht="14.25" customHeight="1" x14ac:dyDescent="0.25">
      <c r="A13" s="94">
        <v>1100</v>
      </c>
      <c r="B13" s="95" t="s">
        <v>85</v>
      </c>
      <c r="C13" s="71"/>
      <c r="D13" s="71"/>
    </row>
    <row r="14" spans="1:5" ht="96" customHeight="1" x14ac:dyDescent="0.25">
      <c r="A14" s="35"/>
      <c r="B14" s="72" t="s">
        <v>348</v>
      </c>
      <c r="C14" s="18">
        <f>0.17*5</f>
        <v>0.85000000000000009</v>
      </c>
      <c r="D14" s="18">
        <f>C14*100</f>
        <v>85.000000000000014</v>
      </c>
    </row>
    <row r="15" spans="1:5" ht="24.75" customHeight="1" x14ac:dyDescent="0.25">
      <c r="A15" s="35">
        <v>1200</v>
      </c>
      <c r="B15" s="40" t="s">
        <v>349</v>
      </c>
      <c r="C15" s="18">
        <f>ROUND(C14*0.2359,2)</f>
        <v>0.2</v>
      </c>
      <c r="D15" s="18">
        <f>C15*100</f>
        <v>20</v>
      </c>
      <c r="E15" s="181"/>
    </row>
    <row r="16" spans="1:5" ht="12.75" customHeight="1" x14ac:dyDescent="0.25">
      <c r="A16" s="35">
        <v>2341</v>
      </c>
      <c r="B16" s="35" t="s">
        <v>86</v>
      </c>
      <c r="C16" s="74"/>
      <c r="D16" s="74"/>
    </row>
    <row r="17" spans="1:5" ht="147.75" customHeight="1" x14ac:dyDescent="0.25">
      <c r="A17" s="35"/>
      <c r="B17" s="73" t="s">
        <v>350</v>
      </c>
      <c r="C17" s="18">
        <v>0.64</v>
      </c>
      <c r="D17" s="18">
        <f>C17*100</f>
        <v>64</v>
      </c>
    </row>
    <row r="18" spans="1:5" ht="12.75" customHeight="1" x14ac:dyDescent="0.25">
      <c r="A18" s="35"/>
      <c r="B18" s="92" t="s">
        <v>87</v>
      </c>
      <c r="C18" s="82">
        <f>C14+C15+C17</f>
        <v>1.69</v>
      </c>
      <c r="D18" s="82">
        <f>D14+D15+D17</f>
        <v>169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1328</v>
      </c>
      <c r="C21" s="80">
        <f>ROUND(31.85/9509,5)</f>
        <v>3.3500000000000001E-3</v>
      </c>
      <c r="D21" s="18">
        <f>C21*100</f>
        <v>0.33500000000000002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1329</v>
      </c>
      <c r="C23" s="74">
        <f>ROUND(228.88/9509,3)</f>
        <v>2.4E-2</v>
      </c>
      <c r="D23" s="18">
        <f t="shared" ref="D23:D84" si="0">C23*100</f>
        <v>2.4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1330</v>
      </c>
      <c r="C25" s="18">
        <f>ROUND(382.73/9509,3)</f>
        <v>0.04</v>
      </c>
      <c r="D25" s="18">
        <f t="shared" si="0"/>
        <v>4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1332</v>
      </c>
      <c r="C29" s="74">
        <f>ROUND(1004.28/9509,3)</f>
        <v>0.106</v>
      </c>
      <c r="D29" s="18">
        <f t="shared" si="0"/>
        <v>10.6</v>
      </c>
    </row>
    <row r="30" spans="1:5" ht="26.25" customHeight="1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1335</v>
      </c>
      <c r="C35" s="80">
        <f>ROUND(20.68/9509,5)</f>
        <v>2.1700000000000001E-3</v>
      </c>
      <c r="D35" s="18">
        <f t="shared" si="0"/>
        <v>0.217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1336</v>
      </c>
      <c r="C37" s="80">
        <f>ROUND(58.15/9509,5)</f>
        <v>6.1199999999999996E-3</v>
      </c>
      <c r="D37" s="18">
        <f t="shared" si="0"/>
        <v>0.61199999999999999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1341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1342</v>
      </c>
      <c r="C49" s="253">
        <f>ROUND(23.35/9509,5)</f>
        <v>2.4599999999999999E-3</v>
      </c>
      <c r="D49" s="18">
        <f t="shared" si="0"/>
        <v>0.246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1343</v>
      </c>
      <c r="C51" s="74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5.25" customHeight="1" x14ac:dyDescent="0.25">
      <c r="A55" s="35"/>
      <c r="B55" s="40" t="s">
        <v>1345</v>
      </c>
      <c r="C55" s="74">
        <f>ROUND(9.91/9509,3)</f>
        <v>1E-3</v>
      </c>
      <c r="D55" s="18">
        <f t="shared" si="0"/>
        <v>0.1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1350</v>
      </c>
      <c r="C65" s="80">
        <f>ROUND(103.21/9509,5)</f>
        <v>1.085E-2</v>
      </c>
      <c r="D65" s="18">
        <f t="shared" si="0"/>
        <v>1.085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1351</v>
      </c>
      <c r="C67" s="80">
        <f>ROUND(241.97/9509,5)</f>
        <v>2.545E-2</v>
      </c>
      <c r="D67" s="18">
        <f t="shared" si="0"/>
        <v>2.5449999999999999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1352</v>
      </c>
      <c r="C69" s="18">
        <f>ROUND(87.42/9509,3)</f>
        <v>8.9999999999999993E-3</v>
      </c>
      <c r="D69" s="18">
        <f t="shared" si="0"/>
        <v>0.89999999999999991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1353</v>
      </c>
      <c r="C71" s="74">
        <f>ROUND(28.69/9509,3)</f>
        <v>3.0000000000000001E-3</v>
      </c>
      <c r="D71" s="18">
        <f t="shared" si="0"/>
        <v>0.3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1354</v>
      </c>
      <c r="C73" s="74">
        <f>ROUND(8.56/9509,4)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3.75" customHeight="1" x14ac:dyDescent="0.25">
      <c r="A75" s="35"/>
      <c r="B75" s="40" t="s">
        <v>1355</v>
      </c>
      <c r="C75" s="74">
        <f>ROUND(58.04/9509,3)</f>
        <v>6.0000000000000001E-3</v>
      </c>
      <c r="D75" s="18">
        <f t="shared" si="0"/>
        <v>0.6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1357</v>
      </c>
      <c r="C77" s="74">
        <f>ROUND(249.88/9509,3)</f>
        <v>2.5999999999999999E-2</v>
      </c>
      <c r="D77" s="18">
        <f t="shared" si="0"/>
        <v>2.6</v>
      </c>
    </row>
    <row r="78" spans="1:4" ht="18.75" customHeight="1" x14ac:dyDescent="0.25">
      <c r="A78" s="35">
        <v>5220</v>
      </c>
      <c r="B78" s="40" t="s">
        <v>116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4.5" customHeight="1" x14ac:dyDescent="0.25">
      <c r="A80" s="35"/>
      <c r="B80" s="40" t="s">
        <v>1356</v>
      </c>
      <c r="C80" s="80">
        <f>ROUND(61.55/9509,4)</f>
        <v>6.4999999999999997E-3</v>
      </c>
      <c r="D80" s="18">
        <f t="shared" si="0"/>
        <v>0.65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1358</v>
      </c>
      <c r="C82" s="74">
        <f>ROUND(88.34/9509,4)</f>
        <v>9.2999999999999992E-3</v>
      </c>
      <c r="D82" s="18">
        <f t="shared" si="0"/>
        <v>0.92999999999999994</v>
      </c>
    </row>
    <row r="83" spans="1:4" ht="18" customHeight="1" x14ac:dyDescent="0.25">
      <c r="A83" s="35">
        <v>5239</v>
      </c>
      <c r="B83" s="243" t="s">
        <v>583</v>
      </c>
      <c r="C83" s="74"/>
      <c r="D83" s="18"/>
    </row>
    <row r="84" spans="1:4" ht="63" customHeight="1" x14ac:dyDescent="0.25">
      <c r="A84" s="35"/>
      <c r="B84" s="40" t="s">
        <v>1359</v>
      </c>
      <c r="C84" s="80">
        <f>ROUND(151.09/9509,4)</f>
        <v>1.5900000000000001E-2</v>
      </c>
      <c r="D84" s="18">
        <f t="shared" si="0"/>
        <v>1.59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93</v>
      </c>
    </row>
    <row r="86" spans="1:4" x14ac:dyDescent="0.25">
      <c r="A86" s="83"/>
      <c r="B86" s="84" t="s">
        <v>95</v>
      </c>
      <c r="C86" s="82">
        <f>ROUND(C85+C18,3)</f>
        <v>2.62</v>
      </c>
      <c r="D86" s="82">
        <f>ROUND(D85+D18,3)</f>
        <v>262</v>
      </c>
    </row>
    <row r="87" spans="1:4" x14ac:dyDescent="0.25">
      <c r="A87" s="85"/>
      <c r="B87" s="86"/>
      <c r="C87" s="87"/>
      <c r="D87" s="87"/>
    </row>
    <row r="88" spans="1:4" ht="21" customHeight="1" x14ac:dyDescent="0.25">
      <c r="A88" s="302" t="s">
        <v>96</v>
      </c>
      <c r="B88" s="303"/>
      <c r="C88" s="93">
        <v>100</v>
      </c>
      <c r="D88" s="89"/>
    </row>
    <row r="89" spans="1:4" ht="31.5" customHeight="1" x14ac:dyDescent="0.25">
      <c r="A89" s="302" t="s">
        <v>113</v>
      </c>
      <c r="B89" s="303"/>
      <c r="C89" s="22">
        <f>D86/C88</f>
        <v>2.62</v>
      </c>
      <c r="D89" s="89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1A3E4-B4E4-44D2-8CF6-3883A99DB910}">
  <dimension ref="A1:F89"/>
  <sheetViews>
    <sheetView topLeftCell="A80" workbookViewId="0">
      <selection activeCell="B73" sqref="B73"/>
    </sheetView>
  </sheetViews>
  <sheetFormatPr defaultRowHeight="15" x14ac:dyDescent="0.25"/>
  <cols>
    <col min="1" max="1" width="9.7109375" customWidth="1"/>
    <col min="2" max="2" width="57.7109375" customWidth="1"/>
    <col min="3" max="3" width="12.28515625" customWidth="1"/>
    <col min="4" max="4" width="14.140625" customWidth="1"/>
  </cols>
  <sheetData>
    <row r="1" spans="1:5" ht="15.75" customHeight="1" x14ac:dyDescent="0.25">
      <c r="A1" s="304" t="s">
        <v>78</v>
      </c>
      <c r="B1" s="304"/>
      <c r="C1" s="304"/>
      <c r="D1" s="304"/>
    </row>
    <row r="2" spans="1:5" ht="15" customHeight="1" x14ac:dyDescent="0.25">
      <c r="A2" s="104"/>
      <c r="B2" s="104"/>
      <c r="C2" s="328"/>
      <c r="D2" s="329"/>
    </row>
    <row r="3" spans="1:5" x14ac:dyDescent="0.25">
      <c r="A3" s="56" t="s">
        <v>111</v>
      </c>
      <c r="B3" s="105"/>
      <c r="C3" s="105"/>
      <c r="D3" s="105"/>
    </row>
    <row r="4" spans="1:5" x14ac:dyDescent="0.25">
      <c r="A4" s="106"/>
      <c r="B4" s="107"/>
      <c r="C4" s="107"/>
      <c r="D4" s="108"/>
    </row>
    <row r="5" spans="1:5" x14ac:dyDescent="0.25">
      <c r="A5" s="307" t="s">
        <v>298</v>
      </c>
      <c r="B5" s="307"/>
      <c r="C5" s="307"/>
      <c r="D5" s="307"/>
    </row>
    <row r="6" spans="1:5" ht="9" customHeight="1" x14ac:dyDescent="0.25">
      <c r="A6" s="109"/>
      <c r="B6" s="110"/>
      <c r="C6" s="110"/>
      <c r="D6" s="108"/>
    </row>
    <row r="7" spans="1:5" x14ac:dyDescent="0.25">
      <c r="A7" s="308" t="s">
        <v>112</v>
      </c>
      <c r="B7" s="310"/>
      <c r="C7" s="110"/>
      <c r="D7" s="108"/>
    </row>
    <row r="8" spans="1:5" ht="12.75" customHeight="1" x14ac:dyDescent="0.25">
      <c r="A8" s="106"/>
      <c r="B8" s="111"/>
      <c r="C8" s="112"/>
      <c r="D8" s="108"/>
    </row>
    <row r="9" spans="1:5" x14ac:dyDescent="0.25">
      <c r="A9" s="309" t="s">
        <v>79</v>
      </c>
      <c r="B9" s="309"/>
      <c r="C9" s="112"/>
      <c r="D9" s="108"/>
    </row>
    <row r="10" spans="1:5" ht="93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113">
        <v>1</v>
      </c>
      <c r="B11" s="114">
        <v>2</v>
      </c>
      <c r="C11" s="113">
        <v>3</v>
      </c>
      <c r="D11" s="113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2.75" customHeight="1" x14ac:dyDescent="0.25">
      <c r="A14" s="50"/>
      <c r="B14" s="90" t="s">
        <v>352</v>
      </c>
      <c r="C14" s="18">
        <f>0.17*10</f>
        <v>1.7000000000000002</v>
      </c>
      <c r="D14" s="18">
        <f>C14*200</f>
        <v>340.00000000000006</v>
      </c>
    </row>
    <row r="15" spans="1:5" ht="26.25" customHeight="1" x14ac:dyDescent="0.25">
      <c r="A15" s="50">
        <v>1200</v>
      </c>
      <c r="B15" s="73" t="s">
        <v>332</v>
      </c>
      <c r="C15" s="18">
        <f>ROUND(C14*0.2359,2)</f>
        <v>0.4</v>
      </c>
      <c r="D15" s="18">
        <f>C15*200</f>
        <v>80</v>
      </c>
      <c r="E15" s="181"/>
    </row>
    <row r="16" spans="1:5" x14ac:dyDescent="0.25">
      <c r="A16" s="50">
        <v>2341</v>
      </c>
      <c r="B16" s="50" t="s">
        <v>118</v>
      </c>
      <c r="C16" s="91"/>
      <c r="D16" s="91"/>
    </row>
    <row r="17" spans="1:6" ht="108.75" customHeight="1" x14ac:dyDescent="0.25">
      <c r="A17" s="50"/>
      <c r="B17" s="73" t="s">
        <v>351</v>
      </c>
      <c r="C17" s="18">
        <v>0.76</v>
      </c>
      <c r="D17" s="18">
        <f>C17*200</f>
        <v>152</v>
      </c>
      <c r="E17" s="2"/>
      <c r="F17" s="2"/>
    </row>
    <row r="18" spans="1:6" x14ac:dyDescent="0.25">
      <c r="A18" s="84"/>
      <c r="B18" s="92" t="s">
        <v>87</v>
      </c>
      <c r="C18" s="82">
        <f>C17+C14+C15</f>
        <v>2.86</v>
      </c>
      <c r="D18" s="82">
        <f>D15+D13+D17+D14</f>
        <v>572</v>
      </c>
      <c r="E18" s="183"/>
    </row>
    <row r="19" spans="1:6" x14ac:dyDescent="0.25">
      <c r="A19" s="77"/>
      <c r="B19" s="176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60" x14ac:dyDescent="0.25">
      <c r="A21" s="77"/>
      <c r="B21" s="40" t="s">
        <v>1360</v>
      </c>
      <c r="C21" s="74">
        <f>ROUND(31.85/9509,5)</f>
        <v>3.3500000000000001E-3</v>
      </c>
      <c r="D21" s="18">
        <f>C21*200</f>
        <v>0.67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60" x14ac:dyDescent="0.25">
      <c r="A23" s="35"/>
      <c r="B23" s="40" t="s">
        <v>1361</v>
      </c>
      <c r="C23" s="18">
        <f>ROUND(228.88/9509,3)</f>
        <v>2.4E-2</v>
      </c>
      <c r="D23" s="18">
        <f t="shared" ref="D23:D84" si="0">C23*200</f>
        <v>4.8</v>
      </c>
    </row>
    <row r="24" spans="1:6" x14ac:dyDescent="0.25">
      <c r="A24" s="35">
        <v>2221</v>
      </c>
      <c r="B24" s="40" t="s">
        <v>89</v>
      </c>
      <c r="C24" s="18"/>
      <c r="D24" s="18"/>
    </row>
    <row r="25" spans="1:6" ht="60" x14ac:dyDescent="0.25">
      <c r="A25" s="35"/>
      <c r="B25" s="40" t="s">
        <v>1362</v>
      </c>
      <c r="C25" s="18">
        <f>ROUND(382.73/9509,3)</f>
        <v>0.04</v>
      </c>
      <c r="D25" s="18">
        <f t="shared" si="0"/>
        <v>8</v>
      </c>
    </row>
    <row r="26" spans="1:6" x14ac:dyDescent="0.25">
      <c r="A26" s="35">
        <v>2222</v>
      </c>
      <c r="B26" s="242" t="s">
        <v>90</v>
      </c>
      <c r="C26" s="18"/>
      <c r="D26" s="18"/>
    </row>
    <row r="27" spans="1:6" ht="60" x14ac:dyDescent="0.25">
      <c r="A27" s="35"/>
      <c r="B27" s="40" t="s">
        <v>1363</v>
      </c>
      <c r="C27" s="74">
        <f>ROUND(38.69/9509,5)</f>
        <v>4.0699999999999998E-3</v>
      </c>
      <c r="D27" s="18">
        <f t="shared" si="0"/>
        <v>0.81399999999999995</v>
      </c>
    </row>
    <row r="28" spans="1:6" x14ac:dyDescent="0.25">
      <c r="A28" s="35">
        <v>2223</v>
      </c>
      <c r="B28" s="35" t="s">
        <v>91</v>
      </c>
      <c r="C28" s="74"/>
      <c r="D28" s="18"/>
    </row>
    <row r="29" spans="1:6" ht="60" x14ac:dyDescent="0.25">
      <c r="A29" s="35"/>
      <c r="B29" s="40" t="s">
        <v>1364</v>
      </c>
      <c r="C29" s="74">
        <f>ROUND(1004.28/9509,3)</f>
        <v>0.106</v>
      </c>
      <c r="D29" s="18">
        <f t="shared" si="0"/>
        <v>21.2</v>
      </c>
    </row>
    <row r="30" spans="1:6" ht="24" x14ac:dyDescent="0.25">
      <c r="A30" s="35">
        <v>2224</v>
      </c>
      <c r="B30" s="40" t="s">
        <v>115</v>
      </c>
      <c r="C30" s="74"/>
      <c r="D30" s="18"/>
    </row>
    <row r="31" spans="1:6" ht="60" x14ac:dyDescent="0.25">
      <c r="A31" s="34"/>
      <c r="B31" s="40" t="s">
        <v>1365</v>
      </c>
      <c r="C31" s="18">
        <f>ROUND(82.8/9509,3)</f>
        <v>8.9999999999999993E-3</v>
      </c>
      <c r="D31" s="18">
        <f t="shared" si="0"/>
        <v>1.7999999999999998</v>
      </c>
    </row>
    <row r="32" spans="1:6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1366</v>
      </c>
      <c r="C33" s="18">
        <f>ROUND(289.4/9509,3)</f>
        <v>0.03</v>
      </c>
      <c r="D33" s="18">
        <f t="shared" si="0"/>
        <v>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1367</v>
      </c>
      <c r="C35" s="74">
        <f>ROUND(20.68/9509,3)</f>
        <v>2E-3</v>
      </c>
      <c r="D35" s="18">
        <f t="shared" si="0"/>
        <v>0.4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1368</v>
      </c>
      <c r="C37" s="74">
        <f>ROUND(58.15/9509,3)</f>
        <v>6.0000000000000001E-3</v>
      </c>
      <c r="D37" s="18">
        <f t="shared" si="0"/>
        <v>1.2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1369</v>
      </c>
      <c r="C39" s="74">
        <f>ROUND(524.45/9509,3)</f>
        <v>5.5E-2</v>
      </c>
      <c r="D39" s="18">
        <f t="shared" si="0"/>
        <v>11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1370</v>
      </c>
      <c r="C41" s="74">
        <f>ROUND(131.923/9509,3)</f>
        <v>1.4E-2</v>
      </c>
      <c r="D41" s="18">
        <f t="shared" si="0"/>
        <v>2.8000000000000003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1371</v>
      </c>
      <c r="C43" s="18">
        <f>ROUND(360.94/9509,3)</f>
        <v>3.7999999999999999E-2</v>
      </c>
      <c r="D43" s="18">
        <f t="shared" si="0"/>
        <v>7.6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1372</v>
      </c>
      <c r="C45" s="18">
        <f>ROUND(272.76/9509,3)</f>
        <v>2.9000000000000001E-2</v>
      </c>
      <c r="D45" s="18">
        <f t="shared" si="0"/>
        <v>5.8000000000000007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1373</v>
      </c>
      <c r="C47" s="74">
        <f>ROUND(12.06/9509,3)</f>
        <v>1E-3</v>
      </c>
      <c r="D47" s="18">
        <f t="shared" si="0"/>
        <v>0.2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1374</v>
      </c>
      <c r="C49" s="74">
        <f>ROUND(23.35/9509,3)</f>
        <v>2E-3</v>
      </c>
      <c r="D49" s="18">
        <f t="shared" si="0"/>
        <v>0.4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1375</v>
      </c>
      <c r="C51" s="18">
        <f>ROUND(750.97/9509,3)</f>
        <v>7.9000000000000001E-2</v>
      </c>
      <c r="D51" s="18">
        <f t="shared" si="0"/>
        <v>15.8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1376</v>
      </c>
      <c r="C53" s="18">
        <f>ROUND(2620.34/9509,3)</f>
        <v>0.27600000000000002</v>
      </c>
      <c r="D53" s="18">
        <f t="shared" si="0"/>
        <v>55.2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1377</v>
      </c>
      <c r="C55" s="74">
        <f>ROUND(9.91/9509,3)</f>
        <v>1E-3</v>
      </c>
      <c r="D55" s="18">
        <f t="shared" si="0"/>
        <v>0.2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1378</v>
      </c>
      <c r="C57" s="18">
        <f>ROUND(132.32/9509,3)</f>
        <v>1.4E-2</v>
      </c>
      <c r="D57" s="18">
        <f t="shared" si="0"/>
        <v>2.8000000000000003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1379</v>
      </c>
      <c r="C59" s="74">
        <f>ROUND(72.76/9509,3)</f>
        <v>8.0000000000000002E-3</v>
      </c>
      <c r="D59" s="18">
        <f t="shared" si="0"/>
        <v>1.6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1380</v>
      </c>
      <c r="C61" s="18">
        <f>ROUND(484.21/9509,3)</f>
        <v>5.0999999999999997E-2</v>
      </c>
      <c r="D61" s="18">
        <f t="shared" si="0"/>
        <v>10.199999999999999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1381</v>
      </c>
      <c r="C63" s="18">
        <f>ROUND(224.14/9509,3)</f>
        <v>2.4E-2</v>
      </c>
      <c r="D63" s="18">
        <f t="shared" si="0"/>
        <v>4.8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1382</v>
      </c>
      <c r="C65" s="18">
        <f>ROUND(103.21/9509,3)</f>
        <v>1.0999999999999999E-2</v>
      </c>
      <c r="D65" s="18">
        <f t="shared" si="0"/>
        <v>2.1999999999999997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1383</v>
      </c>
      <c r="C67" s="253">
        <f>ROUND(241.97/9509,5)</f>
        <v>2.545E-2</v>
      </c>
      <c r="D67" s="18">
        <f t="shared" si="0"/>
        <v>5.09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1384</v>
      </c>
      <c r="C69" s="18">
        <f>ROUND(87.42/9509,3)</f>
        <v>8.9999999999999993E-3</v>
      </c>
      <c r="D69" s="18">
        <f t="shared" si="0"/>
        <v>1.7999999999999998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1385</v>
      </c>
      <c r="C71" s="74">
        <f>ROUND(28.69/9509,5)</f>
        <v>3.0200000000000001E-3</v>
      </c>
      <c r="D71" s="18">
        <f t="shared" si="0"/>
        <v>0.60399999999999998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1391</v>
      </c>
      <c r="C73" s="80">
        <f>ROUND(8.56/9509,4)</f>
        <v>8.9999999999999998E-4</v>
      </c>
      <c r="D73" s="18">
        <f t="shared" si="0"/>
        <v>0.18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1386</v>
      </c>
      <c r="C75" s="80">
        <f>ROUND(58.04/9509,4)</f>
        <v>6.1000000000000004E-3</v>
      </c>
      <c r="D75" s="18">
        <f>C75*200+0.01</f>
        <v>1.23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1387</v>
      </c>
      <c r="C77" s="74">
        <f>ROUND(249.88/9509,4)</f>
        <v>2.63E-2</v>
      </c>
      <c r="D77" s="18">
        <f t="shared" si="0"/>
        <v>5.26</v>
      </c>
    </row>
    <row r="78" spans="1:4" x14ac:dyDescent="0.25">
      <c r="A78" s="35">
        <v>5220</v>
      </c>
      <c r="B78" s="40" t="s">
        <v>116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0" x14ac:dyDescent="0.25">
      <c r="A80" s="35"/>
      <c r="B80" s="40" t="s">
        <v>1388</v>
      </c>
      <c r="C80" s="74">
        <f>ROUND(61.55/9509,5)</f>
        <v>6.4700000000000001E-3</v>
      </c>
      <c r="D80" s="18">
        <f t="shared" si="0"/>
        <v>1.294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1389</v>
      </c>
      <c r="C82" s="253">
        <f>ROUND(88.34/9509,5)</f>
        <v>9.2899999999999996E-3</v>
      </c>
      <c r="D82" s="18">
        <f t="shared" si="0"/>
        <v>1.8579999999999999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1390</v>
      </c>
      <c r="C84" s="74">
        <f>ROUND(151.09/9509,3)</f>
        <v>1.6E-2</v>
      </c>
      <c r="D84" s="18">
        <f t="shared" si="0"/>
        <v>3.2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186</v>
      </c>
    </row>
    <row r="86" spans="1:4" x14ac:dyDescent="0.25">
      <c r="A86" s="83"/>
      <c r="B86" s="84" t="s">
        <v>95</v>
      </c>
      <c r="C86" s="82">
        <f>ROUND(C85+C18,3)</f>
        <v>3.79</v>
      </c>
      <c r="D86" s="82">
        <f>ROUND(D85+D18,3)</f>
        <v>758</v>
      </c>
    </row>
    <row r="87" spans="1:4" x14ac:dyDescent="0.25">
      <c r="A87" s="85"/>
      <c r="B87" s="86"/>
      <c r="C87" s="87"/>
      <c r="D87" s="87"/>
    </row>
    <row r="88" spans="1:4" x14ac:dyDescent="0.25">
      <c r="A88" s="311" t="s">
        <v>96</v>
      </c>
      <c r="B88" s="312"/>
      <c r="C88" s="88">
        <v>200</v>
      </c>
      <c r="D88" s="89"/>
    </row>
    <row r="89" spans="1:4" ht="27.75" customHeight="1" x14ac:dyDescent="0.25">
      <c r="A89" s="313" t="s">
        <v>113</v>
      </c>
      <c r="B89" s="314"/>
      <c r="C89" s="22">
        <f>D86/C88</f>
        <v>3.79</v>
      </c>
      <c r="D89" s="89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C775-C619-4CC0-8898-C9F1332CBF6D}">
  <dimension ref="A1:D89"/>
  <sheetViews>
    <sheetView topLeftCell="A76" workbookViewId="0">
      <selection activeCell="B84" sqref="B84"/>
    </sheetView>
  </sheetViews>
  <sheetFormatPr defaultRowHeight="15" x14ac:dyDescent="0.25"/>
  <cols>
    <col min="1" max="1" width="9.42578125" customWidth="1"/>
    <col min="2" max="2" width="59.28515625" customWidth="1"/>
    <col min="3" max="3" width="10.5703125" customWidth="1"/>
    <col min="4" max="4" width="11.140625" customWidth="1"/>
  </cols>
  <sheetData>
    <row r="1" spans="1:4" ht="15.75" customHeight="1" x14ac:dyDescent="0.25">
      <c r="A1" s="304" t="s">
        <v>78</v>
      </c>
      <c r="B1" s="304"/>
      <c r="C1" s="304"/>
      <c r="D1" s="304"/>
    </row>
    <row r="2" spans="1:4" ht="15" customHeight="1" x14ac:dyDescent="0.25">
      <c r="A2" s="55"/>
      <c r="B2" s="55"/>
      <c r="C2" s="305"/>
      <c r="D2" s="306"/>
    </row>
    <row r="3" spans="1:4" x14ac:dyDescent="0.25">
      <c r="A3" s="56" t="s">
        <v>111</v>
      </c>
      <c r="B3" s="57"/>
      <c r="C3" s="57"/>
      <c r="D3" s="57"/>
    </row>
    <row r="4" spans="1:4" x14ac:dyDescent="0.25">
      <c r="A4" s="55"/>
      <c r="B4" s="58"/>
      <c r="C4" s="58"/>
      <c r="D4" s="59"/>
    </row>
    <row r="5" spans="1:4" x14ac:dyDescent="0.25">
      <c r="A5" s="307" t="s">
        <v>166</v>
      </c>
      <c r="B5" s="307"/>
      <c r="C5" s="307"/>
      <c r="D5" s="307"/>
    </row>
    <row r="6" spans="1:4" x14ac:dyDescent="0.25">
      <c r="A6" s="240"/>
      <c r="B6" s="60"/>
      <c r="C6" s="60"/>
      <c r="D6" s="59"/>
    </row>
    <row r="7" spans="1:4" x14ac:dyDescent="0.25">
      <c r="A7" s="308" t="s">
        <v>112</v>
      </c>
      <c r="B7" s="310"/>
      <c r="C7" s="60"/>
      <c r="D7" s="59"/>
    </row>
    <row r="8" spans="1:4" ht="15" customHeight="1" x14ac:dyDescent="0.25">
      <c r="A8" s="55"/>
      <c r="B8" s="61"/>
      <c r="C8" s="62"/>
      <c r="D8" s="59"/>
    </row>
    <row r="9" spans="1:4" x14ac:dyDescent="0.25">
      <c r="A9" s="309" t="s">
        <v>102</v>
      </c>
      <c r="B9" s="309"/>
      <c r="C9" s="62"/>
      <c r="D9" s="59"/>
    </row>
    <row r="10" spans="1:4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6"/>
      <c r="B12" s="67" t="s">
        <v>84</v>
      </c>
      <c r="C12" s="68"/>
      <c r="D12" s="68"/>
    </row>
    <row r="13" spans="1:4" x14ac:dyDescent="0.25">
      <c r="A13" s="69">
        <v>1100</v>
      </c>
      <c r="B13" s="70" t="s">
        <v>85</v>
      </c>
      <c r="C13" s="71"/>
      <c r="D13" s="71"/>
    </row>
    <row r="14" spans="1:4" ht="73.5" customHeight="1" x14ac:dyDescent="0.25">
      <c r="A14" s="50"/>
      <c r="B14" s="90" t="s">
        <v>353</v>
      </c>
      <c r="C14" s="18">
        <f>0.17 *10</f>
        <v>1.7000000000000002</v>
      </c>
      <c r="D14" s="18">
        <f>C14*100</f>
        <v>170.00000000000003</v>
      </c>
    </row>
    <row r="15" spans="1:4" ht="24.75" customHeight="1" x14ac:dyDescent="0.25">
      <c r="A15" s="50">
        <v>1200</v>
      </c>
      <c r="B15" s="40" t="s">
        <v>332</v>
      </c>
      <c r="C15" s="18">
        <f>ROUND(C14*0.2359,2)</f>
        <v>0.4</v>
      </c>
      <c r="D15" s="18">
        <f>C15*100</f>
        <v>40</v>
      </c>
    </row>
    <row r="16" spans="1:4" x14ac:dyDescent="0.25">
      <c r="A16" s="50">
        <v>2341</v>
      </c>
      <c r="B16" s="35" t="s">
        <v>97</v>
      </c>
      <c r="C16" s="91"/>
      <c r="D16" s="91"/>
    </row>
    <row r="17" spans="1:4" ht="98.25" customHeight="1" x14ac:dyDescent="0.25">
      <c r="A17" s="50"/>
      <c r="B17" s="40" t="s">
        <v>354</v>
      </c>
      <c r="C17" s="18">
        <v>0.94</v>
      </c>
      <c r="D17" s="18">
        <f>C17*100</f>
        <v>94</v>
      </c>
    </row>
    <row r="18" spans="1:4" x14ac:dyDescent="0.25">
      <c r="A18" s="77"/>
      <c r="B18" s="92" t="s">
        <v>87</v>
      </c>
      <c r="C18" s="252">
        <f>SUM(C13:C17)</f>
        <v>3.04</v>
      </c>
      <c r="D18" s="252">
        <f>D17+D15+D13+D14</f>
        <v>304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1328</v>
      </c>
      <c r="C21" s="80">
        <f>ROUND(31.85/9509,5)</f>
        <v>3.3500000000000001E-3</v>
      </c>
      <c r="D21" s="18">
        <f>C21*100</f>
        <v>0.33500000000000002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1392</v>
      </c>
      <c r="C23" s="80">
        <f>ROUND(228.88/9509,5)</f>
        <v>2.4070000000000001E-2</v>
      </c>
      <c r="D23" s="18">
        <f t="shared" ref="D23:D84" si="0">C23*100</f>
        <v>2.407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1393</v>
      </c>
      <c r="C25" s="80">
        <f>ROUND(382.73/9509,4)</f>
        <v>4.02E-2</v>
      </c>
      <c r="D25" s="18">
        <f t="shared" si="0"/>
        <v>4.0199999999999996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1394</v>
      </c>
      <c r="C29" s="74">
        <f>ROUND(1004.28/9509,3)</f>
        <v>0.106</v>
      </c>
      <c r="D29" s="18">
        <f t="shared" si="0"/>
        <v>10.6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1395</v>
      </c>
      <c r="C35" s="74">
        <f>ROUND(20.68/9509,3)</f>
        <v>2E-3</v>
      </c>
      <c r="D35" s="18">
        <f t="shared" si="0"/>
        <v>0.2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1396</v>
      </c>
      <c r="C37" s="74">
        <f>ROUND(58.15/9509,3)</f>
        <v>6.0000000000000001E-3</v>
      </c>
      <c r="D37" s="18">
        <f t="shared" si="0"/>
        <v>0.6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1341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1397</v>
      </c>
      <c r="C49" s="74">
        <f>ROUND(23.35/9509,3)</f>
        <v>2E-3</v>
      </c>
      <c r="D49" s="18">
        <f t="shared" si="0"/>
        <v>0.2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1343</v>
      </c>
      <c r="C51" s="18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1345</v>
      </c>
      <c r="C55" s="74">
        <f>ROUND(9.91/9509,3)</f>
        <v>1E-3</v>
      </c>
      <c r="D55" s="18">
        <f t="shared" si="0"/>
        <v>0.1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1398</v>
      </c>
      <c r="C65" s="18">
        <f>ROUND(103.21/9509,3)</f>
        <v>1.0999999999999999E-2</v>
      </c>
      <c r="D65" s="18">
        <f t="shared" si="0"/>
        <v>1.0999999999999999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1399</v>
      </c>
      <c r="C67" s="80">
        <f>ROUND(241.97/9509,4)</f>
        <v>2.5399999999999999E-2</v>
      </c>
      <c r="D67" s="18">
        <f t="shared" si="0"/>
        <v>2.54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1400</v>
      </c>
      <c r="C69" s="80">
        <f>ROUND(87.42/9509,5)</f>
        <v>9.1900000000000003E-3</v>
      </c>
      <c r="D69" s="18">
        <f t="shared" si="0"/>
        <v>0.91900000000000004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1353</v>
      </c>
      <c r="C71" s="74">
        <f>ROUND(28.69/9509,4)</f>
        <v>3.0000000000000001E-3</v>
      </c>
      <c r="D71" s="18">
        <f t="shared" si="0"/>
        <v>0.3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1354</v>
      </c>
      <c r="C73" s="80">
        <f>ROUND(8.56/9509,4)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1401</v>
      </c>
      <c r="C75" s="80">
        <f>ROUND(58.04/9509,4)</f>
        <v>6.1000000000000004E-3</v>
      </c>
      <c r="D75" s="18">
        <f t="shared" si="0"/>
        <v>0.61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1357</v>
      </c>
      <c r="C77" s="74">
        <f>ROUND(249.88/9509,3)</f>
        <v>2.5999999999999999E-2</v>
      </c>
      <c r="D77" s="18">
        <f t="shared" si="0"/>
        <v>2.6</v>
      </c>
    </row>
    <row r="78" spans="1:4" x14ac:dyDescent="0.25">
      <c r="A78" s="35">
        <v>5220</v>
      </c>
      <c r="B78" s="40" t="s">
        <v>116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48" x14ac:dyDescent="0.25">
      <c r="A80" s="35"/>
      <c r="B80" s="40" t="s">
        <v>1402</v>
      </c>
      <c r="C80" s="74">
        <f>ROUND(61.55/9509,5)</f>
        <v>6.4700000000000001E-3</v>
      </c>
      <c r="D80" s="18">
        <f t="shared" si="0"/>
        <v>0.64700000000000002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48" x14ac:dyDescent="0.25">
      <c r="A82" s="35"/>
      <c r="B82" s="40" t="s">
        <v>1403</v>
      </c>
      <c r="C82" s="253">
        <f>ROUND(88.34/9509,5)</f>
        <v>9.2899999999999996E-3</v>
      </c>
      <c r="D82" s="18">
        <f t="shared" si="0"/>
        <v>0.92899999999999994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48" x14ac:dyDescent="0.25">
      <c r="A84" s="35"/>
      <c r="B84" s="40" t="s">
        <v>1404</v>
      </c>
      <c r="C84" s="74">
        <f>ROUND(151.09/9509,3)</f>
        <v>1.6E-2</v>
      </c>
      <c r="D84" s="18">
        <f t="shared" si="0"/>
        <v>1.6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93</v>
      </c>
    </row>
    <row r="86" spans="1:4" x14ac:dyDescent="0.25">
      <c r="A86" s="83"/>
      <c r="B86" s="84" t="s">
        <v>95</v>
      </c>
      <c r="C86" s="82">
        <f>ROUND(C85+C18,3)</f>
        <v>3.97</v>
      </c>
      <c r="D86" s="82">
        <f>ROUND(D85+D18,3)</f>
        <v>397</v>
      </c>
    </row>
    <row r="87" spans="1:4" x14ac:dyDescent="0.25">
      <c r="A87" s="85"/>
      <c r="B87" s="86"/>
      <c r="C87" s="87"/>
      <c r="D87" s="87"/>
    </row>
    <row r="88" spans="1:4" x14ac:dyDescent="0.25">
      <c r="A88" s="311" t="s">
        <v>96</v>
      </c>
      <c r="B88" s="312"/>
      <c r="C88" s="88">
        <v>100</v>
      </c>
      <c r="D88" s="89"/>
    </row>
    <row r="89" spans="1:4" ht="27.75" customHeight="1" x14ac:dyDescent="0.25">
      <c r="A89" s="313" t="s">
        <v>113</v>
      </c>
      <c r="B89" s="314"/>
      <c r="C89" s="22">
        <f>D86/C88</f>
        <v>3.97</v>
      </c>
      <c r="D89" s="89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0537-F1BB-482D-95DE-67549C55A6CC}">
  <dimension ref="A1:E90"/>
  <sheetViews>
    <sheetView topLeftCell="A78" workbookViewId="0">
      <selection activeCell="B65" sqref="B65"/>
    </sheetView>
  </sheetViews>
  <sheetFormatPr defaultRowHeight="15" x14ac:dyDescent="0.25"/>
  <cols>
    <col min="1" max="1" width="6.140625" customWidth="1"/>
    <col min="2" max="2" width="54.7109375" customWidth="1"/>
    <col min="3" max="3" width="12.28515625" customWidth="1"/>
    <col min="4" max="4" width="14.85546875" customWidth="1"/>
    <col min="5" max="5" width="15.8554687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6" customHeight="1" x14ac:dyDescent="0.25">
      <c r="A4" s="55"/>
      <c r="B4" s="58"/>
      <c r="C4" s="58"/>
      <c r="D4" s="59"/>
    </row>
    <row r="5" spans="1:5" ht="19.5" customHeight="1" x14ac:dyDescent="0.25">
      <c r="A5" s="307" t="s">
        <v>167</v>
      </c>
      <c r="B5" s="307"/>
      <c r="C5" s="307"/>
      <c r="D5" s="307"/>
    </row>
    <row r="6" spans="1:5" ht="6.7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6" customHeight="1" x14ac:dyDescent="0.25">
      <c r="A8" s="55"/>
      <c r="B8" s="61"/>
      <c r="C8" s="62"/>
      <c r="D8" s="59"/>
    </row>
    <row r="9" spans="1:5" x14ac:dyDescent="0.25">
      <c r="A9" s="309" t="s">
        <v>103</v>
      </c>
      <c r="B9" s="309"/>
      <c r="C9" s="62"/>
      <c r="D9" s="59"/>
    </row>
    <row r="10" spans="1:5" ht="83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6.5" customHeight="1" x14ac:dyDescent="0.25">
      <c r="A14" s="50"/>
      <c r="B14" s="90" t="s">
        <v>355</v>
      </c>
      <c r="C14" s="18">
        <f>0.17*5</f>
        <v>0.85000000000000009</v>
      </c>
      <c r="D14" s="18">
        <f>C14*20</f>
        <v>17</v>
      </c>
    </row>
    <row r="15" spans="1:5" ht="24" x14ac:dyDescent="0.25">
      <c r="A15" s="50">
        <v>1200</v>
      </c>
      <c r="B15" s="73" t="s">
        <v>356</v>
      </c>
      <c r="C15" s="18">
        <f>ROUND(C14*0.2359,2)</f>
        <v>0.2</v>
      </c>
      <c r="D15" s="18">
        <f>C15*20</f>
        <v>4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5" ht="84" x14ac:dyDescent="0.25">
      <c r="A17" s="50"/>
      <c r="B17" s="73" t="s">
        <v>357</v>
      </c>
      <c r="C17" s="18">
        <v>0.66</v>
      </c>
      <c r="D17" s="18">
        <f>C17*20</f>
        <v>13.200000000000001</v>
      </c>
      <c r="E17" s="188"/>
    </row>
    <row r="18" spans="1:5" x14ac:dyDescent="0.25">
      <c r="A18" s="115"/>
      <c r="B18" s="92" t="s">
        <v>87</v>
      </c>
      <c r="C18" s="82">
        <f>SUM(C13:C17)</f>
        <v>1.71</v>
      </c>
      <c r="D18" s="82">
        <f>SUM(D13:D17)</f>
        <v>34.200000000000003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1405</v>
      </c>
      <c r="C21" s="80">
        <f>ROUND(31.85/9509,5)</f>
        <v>3.3500000000000001E-3</v>
      </c>
      <c r="D21" s="18">
        <f>C21*20</f>
        <v>6.7000000000000004E-2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1406</v>
      </c>
      <c r="C23" s="18">
        <f>ROUND(228.88/9509,3)</f>
        <v>2.4E-2</v>
      </c>
      <c r="D23" s="18">
        <f t="shared" ref="D23:D85" si="0">C23*20</f>
        <v>0.48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1407</v>
      </c>
      <c r="C25" s="18">
        <f>ROUND(382.73/9509,3)</f>
        <v>0.04</v>
      </c>
      <c r="D25" s="18">
        <f t="shared" si="0"/>
        <v>0.8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1413</v>
      </c>
      <c r="C37" s="74">
        <f>ROUND(58.15/9509,5)</f>
        <v>6.1199999999999996E-3</v>
      </c>
      <c r="D37" s="18">
        <f t="shared" si="0"/>
        <v>0.12239999999999999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1418</v>
      </c>
      <c r="C47" s="80">
        <f>ROUND(12.06/9509,5)</f>
        <v>1.2700000000000001E-3</v>
      </c>
      <c r="D47" s="18">
        <f t="shared" si="0"/>
        <v>2.5400000000000002E-2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1435</v>
      </c>
      <c r="C57" s="18">
        <f>ROUND(132.32/9509,3)</f>
        <v>1.4E-2</v>
      </c>
      <c r="D57" s="18">
        <f t="shared" si="0"/>
        <v>0.28000000000000003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1423</v>
      </c>
      <c r="C59" s="74">
        <f>ROUND(72.76/9509,3)</f>
        <v>8.0000000000000002E-3</v>
      </c>
      <c r="D59" s="18">
        <f t="shared" si="0"/>
        <v>0.16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1424</v>
      </c>
      <c r="C61" s="18">
        <f>ROUND(484.21/9509,3)</f>
        <v>5.0999999999999997E-2</v>
      </c>
      <c r="D61" s="18">
        <f t="shared" si="0"/>
        <v>1.02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1436</v>
      </c>
      <c r="C65" s="18">
        <f>ROUND(103.21/9509,3)</f>
        <v>1.0999999999999999E-2</v>
      </c>
      <c r="D65" s="18">
        <f t="shared" si="0"/>
        <v>0.21999999999999997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1426</v>
      </c>
      <c r="C67" s="18">
        <f>ROUND(241.97/9509,3)</f>
        <v>2.5000000000000001E-2</v>
      </c>
      <c r="D67" s="18">
        <f t="shared" si="0"/>
        <v>0.5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1427</v>
      </c>
      <c r="C69" s="18">
        <f>ROUND(87.42/9509,3)</f>
        <v>8.9999999999999993E-3</v>
      </c>
      <c r="D69" s="18">
        <f t="shared" si="0"/>
        <v>0.18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1431</v>
      </c>
      <c r="C77" s="253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625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1432</v>
      </c>
      <c r="C81" s="80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1433</v>
      </c>
      <c r="C83" s="253">
        <f>ROUND(88.34/9509,5)</f>
        <v>9.2899999999999996E-3</v>
      </c>
      <c r="D83" s="18">
        <f t="shared" si="0"/>
        <v>0.18579999999999999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2.64</v>
      </c>
      <c r="D87" s="82">
        <f>ROUND(D86+D18,3)</f>
        <v>52.8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20</v>
      </c>
      <c r="D89" s="89"/>
    </row>
    <row r="90" spans="1:4" ht="33" customHeight="1" x14ac:dyDescent="0.25">
      <c r="A90" s="313" t="s">
        <v>113</v>
      </c>
      <c r="B90" s="314"/>
      <c r="C90" s="22">
        <f>D87/C89</f>
        <v>2.6399999999999997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B70A-4060-45BA-AE1D-7D5CF83C4B23}">
  <dimension ref="A1:E90"/>
  <sheetViews>
    <sheetView topLeftCell="A78" workbookViewId="0">
      <selection activeCell="B87" sqref="B87"/>
    </sheetView>
  </sheetViews>
  <sheetFormatPr defaultRowHeight="15" x14ac:dyDescent="0.25"/>
  <cols>
    <col min="1" max="1" width="9.5703125" customWidth="1"/>
    <col min="2" max="2" width="49.7109375" customWidth="1"/>
    <col min="3" max="3" width="12.28515625" customWidth="1"/>
    <col min="4" max="4" width="13.140625" customWidth="1"/>
  </cols>
  <sheetData>
    <row r="1" spans="1:5" x14ac:dyDescent="0.25">
      <c r="A1" s="304" t="s">
        <v>78</v>
      </c>
      <c r="B1" s="304"/>
      <c r="C1" s="304"/>
      <c r="D1" s="304"/>
    </row>
    <row r="2" spans="1:5" ht="12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6.75" customHeight="1" x14ac:dyDescent="0.25">
      <c r="A4" s="55"/>
      <c r="B4" s="58"/>
      <c r="C4" s="58"/>
      <c r="D4" s="59"/>
    </row>
    <row r="5" spans="1:5" ht="24" customHeight="1" x14ac:dyDescent="0.25">
      <c r="A5" s="307" t="s">
        <v>358</v>
      </c>
      <c r="B5" s="307"/>
      <c r="C5" s="307"/>
      <c r="D5" s="307"/>
    </row>
    <row r="6" spans="1:5" ht="6.7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2" customHeight="1" x14ac:dyDescent="0.25">
      <c r="A8" s="240"/>
      <c r="B8" s="241"/>
      <c r="C8" s="60"/>
      <c r="D8" s="59"/>
    </row>
    <row r="9" spans="1:5" x14ac:dyDescent="0.25">
      <c r="A9" s="309" t="s">
        <v>125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91.5" customHeight="1" x14ac:dyDescent="0.25">
      <c r="A14" s="50"/>
      <c r="B14" s="90" t="s">
        <v>359</v>
      </c>
      <c r="C14" s="18">
        <f>0.17*20</f>
        <v>3.4000000000000004</v>
      </c>
      <c r="D14" s="18">
        <f>C14*50</f>
        <v>170.00000000000003</v>
      </c>
    </row>
    <row r="15" spans="1:5" ht="24" x14ac:dyDescent="0.25">
      <c r="A15" s="50">
        <v>1200</v>
      </c>
      <c r="B15" s="73" t="s">
        <v>326</v>
      </c>
      <c r="C15" s="18">
        <f>ROUND(C14*0.2359,2)</f>
        <v>0.8</v>
      </c>
      <c r="D15" s="18">
        <f>C15*50</f>
        <v>40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5" ht="99.75" customHeight="1" x14ac:dyDescent="0.25">
      <c r="A17" s="50"/>
      <c r="B17" s="73" t="s">
        <v>417</v>
      </c>
      <c r="C17" s="18">
        <v>4.3600000000000003</v>
      </c>
      <c r="D17" s="18">
        <f>C17*50</f>
        <v>218.00000000000003</v>
      </c>
      <c r="E17" s="201"/>
    </row>
    <row r="18" spans="1:5" x14ac:dyDescent="0.25">
      <c r="A18" s="116"/>
      <c r="B18" s="92" t="s">
        <v>87</v>
      </c>
      <c r="C18" s="82">
        <f>SUM(C13:C17)</f>
        <v>8.56</v>
      </c>
      <c r="D18" s="82">
        <f>SUM(D13:D17)</f>
        <v>428.00000000000006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592</v>
      </c>
      <c r="C21" s="74">
        <f>ROUND(31.85/9509,5)</f>
        <v>3.3500000000000001E-3</v>
      </c>
      <c r="D21" s="18">
        <f>C21*50</f>
        <v>0.16750000000000001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593</v>
      </c>
      <c r="C23" s="18">
        <f>ROUND(228.88/9509,3)</f>
        <v>2.4E-2</v>
      </c>
      <c r="D23" s="18">
        <f t="shared" ref="D23:D85" si="0">C23*50</f>
        <v>1.2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594</v>
      </c>
      <c r="C25" s="18">
        <f>ROUND(382.73/9509,3)</f>
        <v>0.04</v>
      </c>
      <c r="D25" s="18">
        <f t="shared" si="0"/>
        <v>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595</v>
      </c>
      <c r="C27" s="74">
        <f>ROUND(38.69/9509,3)</f>
        <v>4.0000000000000001E-3</v>
      </c>
      <c r="D27" s="18">
        <f t="shared" si="0"/>
        <v>0.2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596</v>
      </c>
      <c r="C29" s="74">
        <f>ROUND(1004.28/9509,3)</f>
        <v>0.106</v>
      </c>
      <c r="D29" s="18">
        <f t="shared" si="0"/>
        <v>5.3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597</v>
      </c>
      <c r="C31" s="18">
        <f>ROUND(82.8/9509,3)</f>
        <v>8.9999999999999993E-3</v>
      </c>
      <c r="D31" s="18">
        <f t="shared" si="0"/>
        <v>0.44999999999999996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598</v>
      </c>
      <c r="C33" s="18">
        <f>ROUND(289.4/9509,3)</f>
        <v>0.03</v>
      </c>
      <c r="D33" s="18">
        <f t="shared" si="0"/>
        <v>1.5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599</v>
      </c>
      <c r="C35" s="74">
        <f>ROUND(20.68/9509,3)</f>
        <v>2E-3</v>
      </c>
      <c r="D35" s="18">
        <f t="shared" si="0"/>
        <v>0.1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600</v>
      </c>
      <c r="C37" s="74">
        <f>ROUND(58.15/9509,3)</f>
        <v>6.0000000000000001E-3</v>
      </c>
      <c r="D37" s="18">
        <f t="shared" si="0"/>
        <v>0.3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601</v>
      </c>
      <c r="C39" s="74">
        <f>ROUND(524.45/9509,3)</f>
        <v>5.5E-2</v>
      </c>
      <c r="D39" s="18">
        <f t="shared" si="0"/>
        <v>2.75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602</v>
      </c>
      <c r="C41" s="74">
        <f>ROUND(131.923/9509,3)</f>
        <v>1.4E-2</v>
      </c>
      <c r="D41" s="18">
        <f t="shared" si="0"/>
        <v>0.70000000000000007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603</v>
      </c>
      <c r="C43" s="18">
        <f>ROUND(360.94/9509,3)</f>
        <v>3.7999999999999999E-2</v>
      </c>
      <c r="D43" s="18">
        <f t="shared" si="0"/>
        <v>1.9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604</v>
      </c>
      <c r="C45" s="18">
        <f>ROUND(272.76/9509,3)</f>
        <v>2.9000000000000001E-2</v>
      </c>
      <c r="D45" s="18">
        <f t="shared" si="0"/>
        <v>1.4500000000000002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605</v>
      </c>
      <c r="C47" s="74">
        <f>ROUND(12.06/9509,3)</f>
        <v>1E-3</v>
      </c>
      <c r="D47" s="18">
        <f t="shared" si="0"/>
        <v>0.05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714</v>
      </c>
      <c r="C49" s="253">
        <f>ROUND(23.35/9509,5)</f>
        <v>2.4599999999999999E-3</v>
      </c>
      <c r="D49" s="18">
        <f t="shared" si="0"/>
        <v>0.123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606</v>
      </c>
      <c r="C51" s="18">
        <f>ROUND(750.97/9509,3)</f>
        <v>7.9000000000000001E-2</v>
      </c>
      <c r="D51" s="18">
        <f t="shared" si="0"/>
        <v>3.95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607</v>
      </c>
      <c r="C53" s="18">
        <f>ROUND(2620.34/9509,3)</f>
        <v>0.27600000000000002</v>
      </c>
      <c r="D53" s="18">
        <f t="shared" si="0"/>
        <v>13.8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608</v>
      </c>
      <c r="C55" s="74">
        <f>ROUND(9.91/9509,3)</f>
        <v>1E-3</v>
      </c>
      <c r="D55" s="18">
        <f t="shared" si="0"/>
        <v>0.05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609</v>
      </c>
      <c r="C57" s="18">
        <f>ROUND(132.32/9509,3)</f>
        <v>1.4E-2</v>
      </c>
      <c r="D57" s="18">
        <f t="shared" si="0"/>
        <v>0.70000000000000007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610</v>
      </c>
      <c r="C59" s="74">
        <f>ROUND(72.76/9509,3)</f>
        <v>8.0000000000000002E-3</v>
      </c>
      <c r="D59" s="18">
        <f t="shared" si="0"/>
        <v>0.4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611</v>
      </c>
      <c r="C61" s="18">
        <f>ROUND(484.21/9509,3)</f>
        <v>5.0999999999999997E-2</v>
      </c>
      <c r="D61" s="18">
        <f t="shared" si="0"/>
        <v>2.5499999999999998</v>
      </c>
    </row>
    <row r="62" spans="1:4" ht="18.75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612</v>
      </c>
      <c r="C63" s="18">
        <f>ROUND(224.14/9509,3)</f>
        <v>2.4E-2</v>
      </c>
      <c r="D63" s="18">
        <f t="shared" si="0"/>
        <v>1.2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613</v>
      </c>
      <c r="C65" s="18">
        <f>ROUND(103.21/9509,3)</f>
        <v>1.0999999999999999E-2</v>
      </c>
      <c r="D65" s="18">
        <f t="shared" si="0"/>
        <v>0.54999999999999993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614</v>
      </c>
      <c r="C67" s="18">
        <f>ROUND(241.97/9509,3)</f>
        <v>2.5000000000000001E-2</v>
      </c>
      <c r="D67" s="18">
        <f t="shared" si="0"/>
        <v>1.25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715</v>
      </c>
      <c r="C69" s="74">
        <f>ROUND(87.42/9509,5)</f>
        <v>9.1900000000000003E-3</v>
      </c>
      <c r="D69" s="18">
        <f t="shared" si="0"/>
        <v>0.45950000000000002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615</v>
      </c>
      <c r="C71" s="74">
        <f>ROUND(28.69/9509,5)</f>
        <v>3.0200000000000001E-3</v>
      </c>
      <c r="D71" s="18">
        <f t="shared" si="0"/>
        <v>0.151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616</v>
      </c>
      <c r="C73" s="74">
        <f>ROUND(8.56/9509,5)</f>
        <v>8.9999999999999998E-4</v>
      </c>
      <c r="D73" s="18">
        <f t="shared" si="0"/>
        <v>4.4999999999999998E-2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716</v>
      </c>
      <c r="C75" s="74">
        <f>ROUND(58.04/9509,5)</f>
        <v>6.1000000000000004E-3</v>
      </c>
      <c r="D75" s="18">
        <f t="shared" si="0"/>
        <v>0.30499999999999999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717</v>
      </c>
      <c r="C77" s="74">
        <f>ROUND(249.88/9509,5)</f>
        <v>2.6280000000000001E-2</v>
      </c>
      <c r="D77" s="18">
        <f t="shared" si="0"/>
        <v>1.3140000000000001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718</v>
      </c>
      <c r="C81" s="80">
        <f>ROUND(61.55/9509,5)</f>
        <v>6.4700000000000001E-3</v>
      </c>
      <c r="D81" s="18">
        <f t="shared" si="0"/>
        <v>0.32350000000000001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4.5" customHeight="1" x14ac:dyDescent="0.25">
      <c r="A83" s="35"/>
      <c r="B83" s="40" t="s">
        <v>719</v>
      </c>
      <c r="C83" s="74">
        <f>ROUND(88.34/9509,5)</f>
        <v>9.2899999999999996E-3</v>
      </c>
      <c r="D83" s="18">
        <f t="shared" si="0"/>
        <v>0.46449999999999997</v>
      </c>
    </row>
    <row r="84" spans="1:4" ht="25.5" x14ac:dyDescent="0.25">
      <c r="A84" s="35">
        <v>5239</v>
      </c>
      <c r="B84" s="243" t="s">
        <v>583</v>
      </c>
      <c r="C84" s="74"/>
      <c r="D84" s="18"/>
    </row>
    <row r="85" spans="1:4" ht="60" customHeight="1" x14ac:dyDescent="0.25">
      <c r="A85" s="35"/>
      <c r="B85" s="40" t="s">
        <v>617</v>
      </c>
      <c r="C85" s="74">
        <f>ROUND(151.09/9509,3)</f>
        <v>1.6E-2</v>
      </c>
      <c r="D85" s="18">
        <f t="shared" si="0"/>
        <v>0.8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46.5</v>
      </c>
    </row>
    <row r="87" spans="1:4" x14ac:dyDescent="0.25">
      <c r="A87" s="83"/>
      <c r="B87" s="84" t="s">
        <v>95</v>
      </c>
      <c r="C87" s="82">
        <f>ROUND(C86+C18,3)</f>
        <v>9.49</v>
      </c>
      <c r="D87" s="82">
        <f>ROUND(D86+D18,3)</f>
        <v>474.5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50</v>
      </c>
      <c r="D89" s="89"/>
    </row>
    <row r="90" spans="1:4" ht="24.75" customHeight="1" x14ac:dyDescent="0.25">
      <c r="A90" s="313" t="s">
        <v>113</v>
      </c>
      <c r="B90" s="314"/>
      <c r="C90" s="22">
        <f>D87/C89</f>
        <v>9.49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8198-60E3-4731-B8DC-70154C3EEA32}">
  <dimension ref="A1:E90"/>
  <sheetViews>
    <sheetView topLeftCell="A79" workbookViewId="0">
      <selection activeCell="B85" sqref="B85"/>
    </sheetView>
  </sheetViews>
  <sheetFormatPr defaultRowHeight="15" x14ac:dyDescent="0.25"/>
  <cols>
    <col min="1" max="1" width="10.5703125" customWidth="1"/>
    <col min="2" max="2" width="54.85546875" customWidth="1"/>
    <col min="3" max="4" width="10.8554687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21" customHeight="1" x14ac:dyDescent="0.25">
      <c r="A5" s="307" t="s">
        <v>168</v>
      </c>
      <c r="B5" s="307"/>
      <c r="C5" s="307"/>
      <c r="D5" s="307"/>
    </row>
    <row r="6" spans="1:5" ht="7.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9.75" customHeight="1" x14ac:dyDescent="0.25">
      <c r="A8" s="240"/>
      <c r="B8" s="241"/>
      <c r="C8" s="60"/>
      <c r="D8" s="59"/>
    </row>
    <row r="9" spans="1:5" x14ac:dyDescent="0.25">
      <c r="A9" s="309" t="s">
        <v>361</v>
      </c>
      <c r="B9" s="309"/>
      <c r="C9" s="62"/>
      <c r="D9" s="59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5.75" customHeight="1" x14ac:dyDescent="0.25">
      <c r="A14" s="50"/>
      <c r="B14" s="90" t="s">
        <v>360</v>
      </c>
      <c r="C14" s="18">
        <f>0.17*20</f>
        <v>3.4000000000000004</v>
      </c>
      <c r="D14" s="18">
        <f>C14*50</f>
        <v>170.00000000000003</v>
      </c>
    </row>
    <row r="15" spans="1:5" ht="24" x14ac:dyDescent="0.25">
      <c r="A15" s="50">
        <v>1200</v>
      </c>
      <c r="B15" s="73" t="s">
        <v>326</v>
      </c>
      <c r="C15" s="18">
        <f>ROUND(C14*0.2359,2)</f>
        <v>0.8</v>
      </c>
      <c r="D15" s="18">
        <f>C15*50</f>
        <v>40</v>
      </c>
      <c r="E15" s="181"/>
    </row>
    <row r="16" spans="1:5" x14ac:dyDescent="0.25">
      <c r="A16" s="35">
        <v>2341</v>
      </c>
      <c r="B16" s="35" t="s">
        <v>97</v>
      </c>
      <c r="C16" s="74"/>
      <c r="D16" s="74"/>
    </row>
    <row r="17" spans="1:5" ht="96" x14ac:dyDescent="0.25">
      <c r="A17" s="50"/>
      <c r="B17" s="73" t="s">
        <v>418</v>
      </c>
      <c r="C17" s="18">
        <v>4.51</v>
      </c>
      <c r="D17" s="18">
        <f>C17*50</f>
        <v>225.5</v>
      </c>
    </row>
    <row r="18" spans="1:5" x14ac:dyDescent="0.25">
      <c r="A18" s="115"/>
      <c r="B18" s="92" t="s">
        <v>87</v>
      </c>
      <c r="C18" s="82">
        <f>SUM(C13:C17)</f>
        <v>8.7100000000000009</v>
      </c>
      <c r="D18" s="82">
        <f>SUM(D13:D17)</f>
        <v>435.5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1437</v>
      </c>
      <c r="C21" s="74">
        <f>ROUND(31.85/9509,3)</f>
        <v>3.0000000000000001E-3</v>
      </c>
      <c r="D21" s="18">
        <f>C21*50</f>
        <v>0.15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1438</v>
      </c>
      <c r="C23" s="18">
        <f>ROUND(228.88/9509,3)</f>
        <v>2.4E-2</v>
      </c>
      <c r="D23" s="18">
        <f t="shared" ref="D23:D85" si="0">C23*50</f>
        <v>1.2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1439</v>
      </c>
      <c r="C25" s="18">
        <f>ROUND(382.73/9509,3)</f>
        <v>0.04</v>
      </c>
      <c r="D25" s="18">
        <f t="shared" si="0"/>
        <v>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1440</v>
      </c>
      <c r="C27" s="74">
        <f>ROUND(38.69/9509,3)</f>
        <v>4.0000000000000001E-3</v>
      </c>
      <c r="D27" s="18">
        <f t="shared" si="0"/>
        <v>0.2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1441</v>
      </c>
      <c r="C29" s="74">
        <f>ROUND(1004.28/9509,3)</f>
        <v>0.106</v>
      </c>
      <c r="D29" s="18">
        <f t="shared" si="0"/>
        <v>5.3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1442</v>
      </c>
      <c r="C31" s="18">
        <f>ROUND(82.8/9509,3)</f>
        <v>8.9999999999999993E-3</v>
      </c>
      <c r="D31" s="18">
        <f t="shared" si="0"/>
        <v>0.44999999999999996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1443</v>
      </c>
      <c r="C33" s="18">
        <f>ROUND(289.4/9509,3)</f>
        <v>0.03</v>
      </c>
      <c r="D33" s="18">
        <f t="shared" si="0"/>
        <v>1.5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1444</v>
      </c>
      <c r="C35" s="74">
        <f>ROUND(20.68/9509,3)</f>
        <v>2E-3</v>
      </c>
      <c r="D35" s="18">
        <f t="shared" si="0"/>
        <v>0.1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1445</v>
      </c>
      <c r="C37" s="74">
        <f>ROUND(58.15/9509,5)</f>
        <v>6.1199999999999996E-3</v>
      </c>
      <c r="D37" s="18">
        <f t="shared" si="0"/>
        <v>0.30599999999999999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1446</v>
      </c>
      <c r="C39" s="74">
        <f>ROUND(524.45/9509,3)</f>
        <v>5.5E-2</v>
      </c>
      <c r="D39" s="18">
        <f t="shared" si="0"/>
        <v>2.75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1447</v>
      </c>
      <c r="C41" s="74">
        <f>ROUND(131.923/9509,3)</f>
        <v>1.4E-2</v>
      </c>
      <c r="D41" s="18">
        <f t="shared" si="0"/>
        <v>0.70000000000000007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1448</v>
      </c>
      <c r="C43" s="18">
        <f>ROUND(360.94/9509,3)</f>
        <v>3.7999999999999999E-2</v>
      </c>
      <c r="D43" s="18">
        <f t="shared" si="0"/>
        <v>1.9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1449</v>
      </c>
      <c r="C45" s="18">
        <f>ROUND(272.76/9509,3)</f>
        <v>2.9000000000000001E-2</v>
      </c>
      <c r="D45" s="18">
        <f t="shared" si="0"/>
        <v>1.4500000000000002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1450</v>
      </c>
      <c r="C47" s="74">
        <f>ROUND(12.06/9509,3)</f>
        <v>1E-3</v>
      </c>
      <c r="D47" s="18">
        <f t="shared" si="0"/>
        <v>0.05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1451</v>
      </c>
      <c r="C49" s="80">
        <f>ROUND(23.35/9509,5)</f>
        <v>2.4599999999999999E-3</v>
      </c>
      <c r="D49" s="18">
        <f t="shared" si="0"/>
        <v>0.123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1452</v>
      </c>
      <c r="C51" s="18">
        <f>ROUND(750.97/9509,3)</f>
        <v>7.9000000000000001E-2</v>
      </c>
      <c r="D51" s="18">
        <f t="shared" si="0"/>
        <v>3.95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1453</v>
      </c>
      <c r="C53" s="18">
        <f>ROUND(2620.34/9509,3)</f>
        <v>0.27600000000000002</v>
      </c>
      <c r="D53" s="18">
        <f t="shared" si="0"/>
        <v>13.8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1468</v>
      </c>
      <c r="C55" s="74">
        <f>ROUND(9.91/9509,3)</f>
        <v>1E-3</v>
      </c>
      <c r="D55" s="18">
        <f t="shared" si="0"/>
        <v>0.05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1454</v>
      </c>
      <c r="C57" s="18">
        <f>ROUND(132.32/9509,3)</f>
        <v>1.4E-2</v>
      </c>
      <c r="D57" s="18">
        <f t="shared" si="0"/>
        <v>0.70000000000000007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1455</v>
      </c>
      <c r="C59" s="74">
        <f>ROUND(72.76/9509,3)</f>
        <v>8.0000000000000002E-3</v>
      </c>
      <c r="D59" s="18">
        <f t="shared" si="0"/>
        <v>0.4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1456</v>
      </c>
      <c r="C61" s="18">
        <f>ROUND(484.21/9509,3)</f>
        <v>5.0999999999999997E-2</v>
      </c>
      <c r="D61" s="18">
        <f t="shared" si="0"/>
        <v>2.5499999999999998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1457</v>
      </c>
      <c r="C63" s="18">
        <f>ROUND(224.14/9509,3)</f>
        <v>2.4E-2</v>
      </c>
      <c r="D63" s="18">
        <f t="shared" si="0"/>
        <v>1.2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1458</v>
      </c>
      <c r="C65" s="18">
        <f>ROUND(103.21/9509,3)</f>
        <v>1.0999999999999999E-2</v>
      </c>
      <c r="D65" s="18">
        <f t="shared" si="0"/>
        <v>0.54999999999999993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1459</v>
      </c>
      <c r="C67" s="74">
        <f>ROUND(241.97/9509,5)</f>
        <v>2.545E-2</v>
      </c>
      <c r="D67" s="18">
        <f t="shared" si="0"/>
        <v>1.2725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1460</v>
      </c>
      <c r="C69" s="18">
        <f>ROUND(87.42/9509,3)</f>
        <v>8.9999999999999993E-3</v>
      </c>
      <c r="D69" s="18">
        <f t="shared" si="0"/>
        <v>0.44999999999999996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1461</v>
      </c>
      <c r="C71" s="74">
        <f>ROUND(28.69/9509,5)</f>
        <v>3.0200000000000001E-3</v>
      </c>
      <c r="D71" s="18">
        <f t="shared" si="0"/>
        <v>0.151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1462</v>
      </c>
      <c r="C73" s="74">
        <f>ROUND(8.56/9509,3)</f>
        <v>1E-3</v>
      </c>
      <c r="D73" s="18">
        <f t="shared" si="0"/>
        <v>0.05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1463</v>
      </c>
      <c r="C75" s="80">
        <f>ROUND(58.04/9509,5)</f>
        <v>6.1000000000000004E-3</v>
      </c>
      <c r="D75" s="18">
        <f t="shared" si="0"/>
        <v>0.30499999999999999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1464</v>
      </c>
      <c r="C77" s="74">
        <f>ROUND(249.88/9509,3)</f>
        <v>2.5999999999999999E-2</v>
      </c>
      <c r="D77" s="18">
        <f t="shared" si="0"/>
        <v>1.3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1465</v>
      </c>
      <c r="C81" s="80">
        <f>ROUND(61.55/9509,5)</f>
        <v>6.4700000000000001E-3</v>
      </c>
      <c r="D81" s="18">
        <f t="shared" si="0"/>
        <v>0.32350000000000001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1466</v>
      </c>
      <c r="C83" s="80">
        <f>ROUND(88.34/9509,5)</f>
        <v>9.2899999999999996E-3</v>
      </c>
      <c r="D83" s="18">
        <f t="shared" si="0"/>
        <v>0.46449999999999997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1467</v>
      </c>
      <c r="C85" s="74">
        <f>ROUND(151.09/9509,3)</f>
        <v>1.6E-2</v>
      </c>
      <c r="D85" s="18">
        <f t="shared" si="0"/>
        <v>0.8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46.5</v>
      </c>
    </row>
    <row r="87" spans="1:4" x14ac:dyDescent="0.25">
      <c r="A87" s="83"/>
      <c r="B87" s="84" t="s">
        <v>95</v>
      </c>
      <c r="C87" s="82">
        <f>ROUND(C86+C18,3)</f>
        <v>9.64</v>
      </c>
      <c r="D87" s="82">
        <f>ROUND(D86+D18,3)</f>
        <v>482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50</v>
      </c>
      <c r="D89" s="89"/>
    </row>
    <row r="90" spans="1:4" ht="24" customHeight="1" x14ac:dyDescent="0.25">
      <c r="A90" s="313" t="s">
        <v>113</v>
      </c>
      <c r="B90" s="314"/>
      <c r="C90" s="22">
        <f>D87/C89</f>
        <v>9.64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F4733-A28E-472B-A23D-C8A5AF27AD3B}">
  <dimension ref="A1:E90"/>
  <sheetViews>
    <sheetView topLeftCell="A75" workbookViewId="0">
      <selection activeCell="B61" sqref="B61"/>
    </sheetView>
  </sheetViews>
  <sheetFormatPr defaultRowHeight="15" x14ac:dyDescent="0.25"/>
  <cols>
    <col min="1" max="1" width="10" customWidth="1"/>
    <col min="2" max="2" width="56.140625" customWidth="1"/>
    <col min="3" max="3" width="12.42578125" customWidth="1"/>
    <col min="4" max="4" width="15.710937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x14ac:dyDescent="0.25">
      <c r="A5" s="307" t="s">
        <v>169</v>
      </c>
      <c r="B5" s="307"/>
      <c r="C5" s="307"/>
      <c r="D5" s="307"/>
    </row>
    <row r="6" spans="1:5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x14ac:dyDescent="0.25">
      <c r="A8" s="240"/>
      <c r="B8" s="241"/>
      <c r="C8" s="60"/>
      <c r="D8" s="59"/>
    </row>
    <row r="9" spans="1:5" x14ac:dyDescent="0.25">
      <c r="A9" s="309" t="s">
        <v>104</v>
      </c>
      <c r="B9" s="309"/>
      <c r="C9" s="62"/>
      <c r="D9" s="59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2" x14ac:dyDescent="0.25">
      <c r="A14" s="50"/>
      <c r="B14" s="90" t="s">
        <v>362</v>
      </c>
      <c r="C14" s="18">
        <f>0.17*20</f>
        <v>3.4000000000000004</v>
      </c>
      <c r="D14" s="18">
        <f>C14*700</f>
        <v>2380.0000000000005</v>
      </c>
    </row>
    <row r="15" spans="1:5" ht="24" x14ac:dyDescent="0.25">
      <c r="A15" s="50">
        <v>1200</v>
      </c>
      <c r="B15" s="73" t="s">
        <v>326</v>
      </c>
      <c r="C15" s="18">
        <f>ROUND(C14*0.2359,2)</f>
        <v>0.8</v>
      </c>
      <c r="D15" s="18">
        <f>C15*700</f>
        <v>560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5" ht="98.25" customHeight="1" x14ac:dyDescent="0.25">
      <c r="A17" s="50"/>
      <c r="B17" s="73" t="s">
        <v>419</v>
      </c>
      <c r="C17" s="18">
        <v>3.79</v>
      </c>
      <c r="D17" s="18">
        <f>C17*700</f>
        <v>2653</v>
      </c>
    </row>
    <row r="18" spans="1:5" x14ac:dyDescent="0.25">
      <c r="A18" s="116"/>
      <c r="B18" s="92" t="s">
        <v>87</v>
      </c>
      <c r="C18" s="82">
        <f>SUM(C13:C17)</f>
        <v>7.99</v>
      </c>
      <c r="D18" s="82">
        <f>SUM(D13:D17)</f>
        <v>5593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1469</v>
      </c>
      <c r="C21" s="74">
        <f>ROUND(31.85/9509,3)</f>
        <v>3.0000000000000001E-3</v>
      </c>
      <c r="D21" s="18">
        <f>C21*700</f>
        <v>2.1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1470</v>
      </c>
      <c r="C23" s="18">
        <f>ROUND(228.88/9509,3)</f>
        <v>2.4E-2</v>
      </c>
      <c r="D23" s="18">
        <f>C23*700</f>
        <v>16.8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1471</v>
      </c>
      <c r="C25" s="18">
        <f>ROUND(382.73/9509,3)</f>
        <v>0.04</v>
      </c>
      <c r="D25" s="18">
        <f t="shared" ref="D25:D85" si="0">C25*700</f>
        <v>28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1472</v>
      </c>
      <c r="C27" s="74">
        <f>ROUND(38.69/9509,3)</f>
        <v>4.0000000000000001E-3</v>
      </c>
      <c r="D27" s="18">
        <f t="shared" si="0"/>
        <v>2.8000000000000003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1473</v>
      </c>
      <c r="C29" s="74">
        <f>ROUND(1004.28/9509,3)</f>
        <v>0.106</v>
      </c>
      <c r="D29" s="18">
        <f t="shared" si="0"/>
        <v>74.2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1474</v>
      </c>
      <c r="C31" s="18">
        <f>ROUND(82.8/9509,3)</f>
        <v>8.9999999999999993E-3</v>
      </c>
      <c r="D31" s="18">
        <f t="shared" si="0"/>
        <v>6.3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1475</v>
      </c>
      <c r="C33" s="18">
        <f>ROUND(289.4/9509,3)</f>
        <v>0.03</v>
      </c>
      <c r="D33" s="18">
        <f t="shared" si="0"/>
        <v>21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1476</v>
      </c>
      <c r="C35" s="74">
        <f>ROUND(20.68/9509,3)</f>
        <v>2E-3</v>
      </c>
      <c r="D35" s="18">
        <f t="shared" si="0"/>
        <v>1.4000000000000001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1477</v>
      </c>
      <c r="C37" s="74">
        <f>ROUND(58.15/9509,3)</f>
        <v>6.0000000000000001E-3</v>
      </c>
      <c r="D37" s="18">
        <f t="shared" si="0"/>
        <v>4.2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1478</v>
      </c>
      <c r="C39" s="74">
        <f>ROUND(524.45/9509,3)</f>
        <v>5.5E-2</v>
      </c>
      <c r="D39" s="18">
        <f t="shared" si="0"/>
        <v>38.5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1479</v>
      </c>
      <c r="C41" s="74">
        <f>ROUND(131.923/9509,3)</f>
        <v>1.4E-2</v>
      </c>
      <c r="D41" s="18">
        <f t="shared" si="0"/>
        <v>9.8000000000000007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1480</v>
      </c>
      <c r="C43" s="18">
        <f>ROUND(360.94/9509,3)</f>
        <v>3.7999999999999999E-2</v>
      </c>
      <c r="D43" s="18">
        <f t="shared" si="0"/>
        <v>26.599999999999998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1481</v>
      </c>
      <c r="C45" s="18">
        <f>ROUND(272.76/9509,3)</f>
        <v>2.9000000000000001E-2</v>
      </c>
      <c r="D45" s="18">
        <f t="shared" si="0"/>
        <v>20.3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1482</v>
      </c>
      <c r="C47" s="74">
        <f>ROUND(12.06/9509,5)</f>
        <v>1.2700000000000001E-3</v>
      </c>
      <c r="D47" s="18">
        <f t="shared" si="0"/>
        <v>0.88900000000000001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1483</v>
      </c>
      <c r="C49" s="74">
        <f>ROUND(23.35/9509,3)</f>
        <v>2E-3</v>
      </c>
      <c r="D49" s="18">
        <f t="shared" si="0"/>
        <v>1.4000000000000001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1484</v>
      </c>
      <c r="C51" s="18">
        <f>ROUND(750.97/9509,3)</f>
        <v>7.9000000000000001E-2</v>
      </c>
      <c r="D51" s="18">
        <f t="shared" si="0"/>
        <v>55.3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1485</v>
      </c>
      <c r="C53" s="18">
        <f>ROUND(2620.34/9509,3)</f>
        <v>0.27600000000000002</v>
      </c>
      <c r="D53" s="18">
        <f t="shared" si="0"/>
        <v>193.20000000000002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1487</v>
      </c>
      <c r="C55" s="74">
        <f>ROUND(9.91/9509,5)</f>
        <v>1.0399999999999999E-3</v>
      </c>
      <c r="D55" s="18">
        <f t="shared" si="0"/>
        <v>0.72799999999999998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1486</v>
      </c>
      <c r="C57" s="18">
        <f>ROUND(132.32/9509,3)</f>
        <v>1.4E-2</v>
      </c>
      <c r="D57" s="18">
        <f t="shared" si="0"/>
        <v>9.8000000000000007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1488</v>
      </c>
      <c r="C59" s="74">
        <f>ROUND(72.76/9509,3)</f>
        <v>8.0000000000000002E-3</v>
      </c>
      <c r="D59" s="18">
        <f t="shared" si="0"/>
        <v>5.6000000000000005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1489</v>
      </c>
      <c r="C61" s="18">
        <f>ROUND(484.21/9509,3)</f>
        <v>5.0999999999999997E-2</v>
      </c>
      <c r="D61" s="18">
        <f t="shared" si="0"/>
        <v>35.699999999999996</v>
      </c>
    </row>
    <row r="62" spans="1:4" ht="14.25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1490</v>
      </c>
      <c r="C63" s="18">
        <f>ROUND(224.14/9509,3)</f>
        <v>2.4E-2</v>
      </c>
      <c r="D63" s="18">
        <f t="shared" si="0"/>
        <v>16.8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1491</v>
      </c>
      <c r="C65" s="18">
        <f>ROUND(103.21/9509,3)</f>
        <v>1.0999999999999999E-2</v>
      </c>
      <c r="D65" s="18">
        <f t="shared" si="0"/>
        <v>7.6999999999999993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1492</v>
      </c>
      <c r="C67" s="74">
        <f>ROUND(241.97/9509,5)</f>
        <v>2.545E-2</v>
      </c>
      <c r="D67" s="18">
        <f t="shared" si="0"/>
        <v>17.815000000000001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1493</v>
      </c>
      <c r="C69" s="253">
        <f>ROUND(87.42/9509,5)</f>
        <v>9.1900000000000003E-3</v>
      </c>
      <c r="D69" s="18">
        <f t="shared" si="0"/>
        <v>6.4329999999999998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1494</v>
      </c>
      <c r="C71" s="74">
        <f>ROUND(28.69/9509,4)</f>
        <v>3.0000000000000001E-3</v>
      </c>
      <c r="D71" s="18">
        <f t="shared" si="0"/>
        <v>2.1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1495</v>
      </c>
      <c r="C73" s="74">
        <f>ROUND(8.56/9509,5)</f>
        <v>8.9999999999999998E-4</v>
      </c>
      <c r="D73" s="18">
        <f t="shared" si="0"/>
        <v>0.63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1496</v>
      </c>
      <c r="C75" s="74">
        <f>ROUND(58.04/9509,5)</f>
        <v>6.1000000000000004E-3</v>
      </c>
      <c r="D75" s="18">
        <f t="shared" si="0"/>
        <v>4.2700000000000005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1497</v>
      </c>
      <c r="C77" s="74">
        <f>ROUND(249.88/9509,5)</f>
        <v>2.6280000000000001E-2</v>
      </c>
      <c r="D77" s="18">
        <f t="shared" si="0"/>
        <v>18.396000000000001</v>
      </c>
    </row>
    <row r="78" spans="1:4" ht="14.25" customHeight="1" x14ac:dyDescent="0.25">
      <c r="A78" s="35">
        <v>5220</v>
      </c>
      <c r="B78" s="40" t="s">
        <v>119</v>
      </c>
      <c r="C78" s="18"/>
      <c r="D78" s="18"/>
    </row>
    <row r="79" spans="1:4" ht="33.75" customHeight="1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1498</v>
      </c>
      <c r="C81" s="74">
        <f>ROUND(61.55/9509,5)</f>
        <v>6.4700000000000001E-3</v>
      </c>
      <c r="D81" s="18">
        <f t="shared" si="0"/>
        <v>4.5289999999999999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57" customHeight="1" x14ac:dyDescent="0.25">
      <c r="A83" s="35"/>
      <c r="B83" s="40" t="s">
        <v>1499</v>
      </c>
      <c r="C83" s="74">
        <f>ROUND(88.34/9509,4)</f>
        <v>9.2999999999999992E-3</v>
      </c>
      <c r="D83" s="18">
        <f t="shared" si="0"/>
        <v>6.51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1500</v>
      </c>
      <c r="C85" s="74">
        <f>ROUND(151.09/9509,3)</f>
        <v>1.6E-2</v>
      </c>
      <c r="D85" s="18">
        <f t="shared" si="0"/>
        <v>11.200000000000001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651</v>
      </c>
    </row>
    <row r="87" spans="1:4" x14ac:dyDescent="0.25">
      <c r="A87" s="83"/>
      <c r="B87" s="84" t="s">
        <v>95</v>
      </c>
      <c r="C87" s="82">
        <f>ROUND(C86+C18,3)</f>
        <v>8.92</v>
      </c>
      <c r="D87" s="82">
        <f>ROUND(D86+D18,3)</f>
        <v>6244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700</v>
      </c>
      <c r="D89" s="89"/>
    </row>
    <row r="90" spans="1:4" ht="27" customHeight="1" x14ac:dyDescent="0.25">
      <c r="A90" s="313" t="s">
        <v>113</v>
      </c>
      <c r="B90" s="314"/>
      <c r="C90" s="22">
        <f>D87/C89</f>
        <v>8.92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F42E-F893-4DAE-916A-4BEE213EF4EA}">
  <dimension ref="A1:E90"/>
  <sheetViews>
    <sheetView topLeftCell="A81" workbookViewId="0">
      <selection activeCell="F83" sqref="F83:F84"/>
    </sheetView>
  </sheetViews>
  <sheetFormatPr defaultRowHeight="15" x14ac:dyDescent="0.25"/>
  <cols>
    <col min="1" max="1" width="9.85546875" customWidth="1"/>
    <col min="2" max="2" width="56.7109375" customWidth="1"/>
    <col min="3" max="3" width="11.28515625" customWidth="1"/>
    <col min="4" max="4" width="13.2851562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7.5" customHeight="1" x14ac:dyDescent="0.25">
      <c r="A4" s="55"/>
      <c r="B4" s="58"/>
      <c r="C4" s="58"/>
      <c r="D4" s="59"/>
    </row>
    <row r="5" spans="1:5" ht="28.5" customHeight="1" x14ac:dyDescent="0.25">
      <c r="A5" s="307" t="s">
        <v>170</v>
      </c>
      <c r="B5" s="307"/>
      <c r="C5" s="307"/>
      <c r="D5" s="307"/>
    </row>
    <row r="6" spans="1:5" ht="6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240"/>
      <c r="B8" s="241"/>
      <c r="C8" s="60"/>
      <c r="D8" s="59"/>
    </row>
    <row r="9" spans="1:5" x14ac:dyDescent="0.25">
      <c r="A9" s="309" t="s">
        <v>105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72" x14ac:dyDescent="0.25">
      <c r="A14" s="50"/>
      <c r="B14" s="90" t="s">
        <v>363</v>
      </c>
      <c r="C14" s="18">
        <f>0.17*20</f>
        <v>3.4000000000000004</v>
      </c>
      <c r="D14" s="18">
        <f>C14*30</f>
        <v>102.00000000000001</v>
      </c>
    </row>
    <row r="15" spans="1:5" ht="24" x14ac:dyDescent="0.25">
      <c r="A15" s="50">
        <v>1200</v>
      </c>
      <c r="B15" s="73" t="s">
        <v>326</v>
      </c>
      <c r="C15" s="18">
        <f>ROUND(C14*0.2359,2)</f>
        <v>0.8</v>
      </c>
      <c r="D15" s="18">
        <f>C15*30</f>
        <v>24</v>
      </c>
      <c r="E15" s="181"/>
    </row>
    <row r="16" spans="1:5" x14ac:dyDescent="0.25">
      <c r="A16" s="50">
        <v>2341</v>
      </c>
      <c r="B16" s="50" t="s">
        <v>118</v>
      </c>
      <c r="C16" s="91"/>
      <c r="D16" s="91"/>
    </row>
    <row r="17" spans="1:5" ht="96" x14ac:dyDescent="0.25">
      <c r="A17" s="50"/>
      <c r="B17" s="73" t="s">
        <v>398</v>
      </c>
      <c r="C17" s="18">
        <v>16.55</v>
      </c>
      <c r="D17" s="18">
        <f>C17*30</f>
        <v>496.5</v>
      </c>
    </row>
    <row r="18" spans="1:5" x14ac:dyDescent="0.25">
      <c r="A18" s="50"/>
      <c r="B18" s="92" t="s">
        <v>87</v>
      </c>
      <c r="C18" s="82">
        <f>SUM(C13:C17)</f>
        <v>20.75</v>
      </c>
      <c r="D18" s="82">
        <f>SUM(D13:D17)</f>
        <v>622.5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1501</v>
      </c>
      <c r="C21" s="253">
        <f>ROUND(31.85/9509,5)</f>
        <v>3.3500000000000001E-3</v>
      </c>
      <c r="D21" s="18">
        <f>C21*30</f>
        <v>0.10050000000000001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1502</v>
      </c>
      <c r="C23" s="18">
        <f>ROUND(228.88/9509,3)</f>
        <v>2.4E-2</v>
      </c>
      <c r="D23" s="18">
        <f t="shared" ref="D23:D85" si="0">C23*30</f>
        <v>0.72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1503</v>
      </c>
      <c r="C25" s="18">
        <f>ROUND(382.73/9509,3)</f>
        <v>0.04</v>
      </c>
      <c r="D25" s="18">
        <f t="shared" si="0"/>
        <v>1.2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1504</v>
      </c>
      <c r="C27" s="74">
        <f>ROUND(38.69/9509,3)</f>
        <v>4.0000000000000001E-3</v>
      </c>
      <c r="D27" s="18">
        <f t="shared" si="0"/>
        <v>0.12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1505</v>
      </c>
      <c r="C29" s="74">
        <f>ROUND(1004.28/9509,3)</f>
        <v>0.106</v>
      </c>
      <c r="D29" s="18">
        <f t="shared" si="0"/>
        <v>3.1799999999999997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1506</v>
      </c>
      <c r="C31" s="18">
        <f>ROUND(82.8/9509,3)</f>
        <v>8.9999999999999993E-3</v>
      </c>
      <c r="D31" s="18">
        <f t="shared" si="0"/>
        <v>0.26999999999999996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1507</v>
      </c>
      <c r="C33" s="18">
        <f>ROUND(289.4/9509,3)</f>
        <v>0.03</v>
      </c>
      <c r="D33" s="18">
        <f t="shared" si="0"/>
        <v>0.89999999999999991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1508</v>
      </c>
      <c r="C35" s="74">
        <f>ROUND(20.68/9509,3)</f>
        <v>2E-3</v>
      </c>
      <c r="D35" s="18">
        <f t="shared" si="0"/>
        <v>0.06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1509</v>
      </c>
      <c r="C37" s="74">
        <f>ROUND(58.15/9509,3)</f>
        <v>6.0000000000000001E-3</v>
      </c>
      <c r="D37" s="18">
        <f t="shared" si="0"/>
        <v>0.18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1510</v>
      </c>
      <c r="C39" s="74">
        <f>ROUND(524.45/9509,3)</f>
        <v>5.5E-2</v>
      </c>
      <c r="D39" s="18">
        <f t="shared" si="0"/>
        <v>1.65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1511</v>
      </c>
      <c r="C41" s="74">
        <f>ROUND(131.923/9509,3)</f>
        <v>1.4E-2</v>
      </c>
      <c r="D41" s="18">
        <f t="shared" si="0"/>
        <v>0.42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1512</v>
      </c>
      <c r="C43" s="18">
        <f>ROUND(360.94/9509,3)</f>
        <v>3.7999999999999999E-2</v>
      </c>
      <c r="D43" s="18">
        <f t="shared" si="0"/>
        <v>1.1399999999999999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1513</v>
      </c>
      <c r="C45" s="18">
        <f>ROUND(272.76/9509,3)</f>
        <v>2.9000000000000001E-2</v>
      </c>
      <c r="D45" s="18">
        <f t="shared" si="0"/>
        <v>0.87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1514</v>
      </c>
      <c r="C47" s="74">
        <f>ROUND(12.06/9509,3)</f>
        <v>1E-3</v>
      </c>
      <c r="D47" s="18">
        <f t="shared" si="0"/>
        <v>0.03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1515</v>
      </c>
      <c r="C49" s="74">
        <f>ROUND(23.35/9509,3)</f>
        <v>2E-3</v>
      </c>
      <c r="D49" s="18">
        <f t="shared" si="0"/>
        <v>0.06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1516</v>
      </c>
      <c r="C51" s="18">
        <f>ROUND(750.97/9509,3)</f>
        <v>7.9000000000000001E-2</v>
      </c>
      <c r="D51" s="18">
        <f t="shared" si="0"/>
        <v>2.37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1517</v>
      </c>
      <c r="C53" s="18">
        <f>ROUND(2620.34/9509,3)</f>
        <v>0.27600000000000002</v>
      </c>
      <c r="D53" s="18">
        <f t="shared" si="0"/>
        <v>8.2800000000000011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1518</v>
      </c>
      <c r="C55" s="74">
        <f>ROUND(9.91/9509,3)</f>
        <v>1E-3</v>
      </c>
      <c r="D55" s="18">
        <f t="shared" si="0"/>
        <v>0.03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1519</v>
      </c>
      <c r="C57" s="18">
        <f>ROUND(132.32/9509,3)</f>
        <v>1.4E-2</v>
      </c>
      <c r="D57" s="18">
        <f t="shared" si="0"/>
        <v>0.42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1520</v>
      </c>
      <c r="C59" s="74">
        <f>ROUND(72.76/9509,3)</f>
        <v>8.0000000000000002E-3</v>
      </c>
      <c r="D59" s="18">
        <f t="shared" si="0"/>
        <v>0.24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1521</v>
      </c>
      <c r="C61" s="18">
        <f>ROUND(484.21/9509,3)</f>
        <v>5.0999999999999997E-2</v>
      </c>
      <c r="D61" s="18">
        <f t="shared" si="0"/>
        <v>1.5299999999999998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1522</v>
      </c>
      <c r="C63" s="18">
        <f>ROUND(224.14/9509,3)</f>
        <v>2.4E-2</v>
      </c>
      <c r="D63" s="18">
        <f t="shared" si="0"/>
        <v>0.72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1523</v>
      </c>
      <c r="C65" s="18">
        <f>ROUND(103.21/9509,4)</f>
        <v>1.09E-2</v>
      </c>
      <c r="D65" s="18">
        <f t="shared" si="0"/>
        <v>0.32700000000000001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720</v>
      </c>
      <c r="C67" s="74">
        <f>ROUND(241.97/9509,5)</f>
        <v>2.545E-2</v>
      </c>
      <c r="D67" s="18">
        <f t="shared" si="0"/>
        <v>0.76350000000000007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1524</v>
      </c>
      <c r="C69" s="74">
        <f>ROUND(87.42/9509,4)</f>
        <v>9.1999999999999998E-3</v>
      </c>
      <c r="D69" s="18">
        <f t="shared" si="0"/>
        <v>0.27600000000000002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1525</v>
      </c>
      <c r="C71" s="74">
        <f>ROUND(28.69/9509,3)</f>
        <v>3.0000000000000001E-3</v>
      </c>
      <c r="D71" s="18">
        <f t="shared" si="0"/>
        <v>0.09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1526</v>
      </c>
      <c r="C73" s="74">
        <f>ROUND(8.56/9509,5)</f>
        <v>8.9999999999999998E-4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1527</v>
      </c>
      <c r="C75" s="74">
        <f>ROUND(58.04/9509,5)</f>
        <v>6.1000000000000004E-3</v>
      </c>
      <c r="D75" s="18">
        <f t="shared" si="0"/>
        <v>0.18300000000000002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1528</v>
      </c>
      <c r="C77" s="74">
        <f>ROUND(249.88/9509,5)</f>
        <v>2.6280000000000001E-2</v>
      </c>
      <c r="D77" s="18">
        <f t="shared" si="0"/>
        <v>0.78839999999999999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6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1529</v>
      </c>
      <c r="C81" s="80">
        <f>ROUND(61.55/9509,4)</f>
        <v>6.4999999999999997E-3</v>
      </c>
      <c r="D81" s="18">
        <f t="shared" si="0"/>
        <v>0.19499999999999998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1530</v>
      </c>
      <c r="C83" s="74">
        <f>ROUND(88.34/9509,5)</f>
        <v>9.2899999999999996E-3</v>
      </c>
      <c r="D83" s="18">
        <f t="shared" si="0"/>
        <v>0.2787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1531</v>
      </c>
      <c r="C85" s="74">
        <f>ROUND(151.09/9509,5)</f>
        <v>1.5890000000000001E-2</v>
      </c>
      <c r="D85" s="18">
        <f t="shared" si="0"/>
        <v>0.47670000000000001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27.9</v>
      </c>
    </row>
    <row r="87" spans="1:4" x14ac:dyDescent="0.25">
      <c r="A87" s="83"/>
      <c r="B87" s="84" t="s">
        <v>95</v>
      </c>
      <c r="C87" s="82">
        <f>ROUND(C86+C18,3)</f>
        <v>21.68</v>
      </c>
      <c r="D87" s="82">
        <f>ROUND(D86+D18,3)</f>
        <v>650.4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30</v>
      </c>
      <c r="D89" s="89"/>
    </row>
    <row r="90" spans="1:4" ht="30.75" customHeight="1" x14ac:dyDescent="0.25">
      <c r="A90" s="313" t="s">
        <v>113</v>
      </c>
      <c r="B90" s="314"/>
      <c r="C90" s="22">
        <f>D87/C89</f>
        <v>21.68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6814-7A95-465D-8EC5-760FA6E7AE85}">
  <dimension ref="A1:F90"/>
  <sheetViews>
    <sheetView topLeftCell="A75" workbookViewId="0">
      <selection activeCell="B88" sqref="B88"/>
    </sheetView>
  </sheetViews>
  <sheetFormatPr defaultRowHeight="15" x14ac:dyDescent="0.25"/>
  <cols>
    <col min="1" max="1" width="7.140625" customWidth="1"/>
    <col min="2" max="2" width="57.28515625" customWidth="1"/>
    <col min="3" max="3" width="11.140625" customWidth="1"/>
    <col min="4" max="4" width="15.28515625" customWidth="1"/>
    <col min="5" max="5" width="17.7109375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21" customHeight="1" x14ac:dyDescent="0.25">
      <c r="A5" s="307" t="s">
        <v>171</v>
      </c>
      <c r="B5" s="307"/>
      <c r="C5" s="307"/>
      <c r="D5" s="307"/>
    </row>
    <row r="6" spans="1:5" ht="11.2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5.25" customHeight="1" x14ac:dyDescent="0.25">
      <c r="A8" s="240"/>
      <c r="B8" s="241"/>
      <c r="C8" s="60"/>
      <c r="D8" s="59"/>
    </row>
    <row r="9" spans="1:5" x14ac:dyDescent="0.25">
      <c r="A9" s="309" t="s">
        <v>105</v>
      </c>
      <c r="B9" s="309"/>
      <c r="C9" s="62"/>
      <c r="D9" s="59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91.5" customHeight="1" x14ac:dyDescent="0.25">
      <c r="A14" s="50"/>
      <c r="B14" s="90" t="s">
        <v>364</v>
      </c>
      <c r="C14" s="18">
        <f>0.17*20</f>
        <v>3.4000000000000004</v>
      </c>
      <c r="D14" s="18">
        <f>C14*30</f>
        <v>102.00000000000001</v>
      </c>
    </row>
    <row r="15" spans="1:5" ht="27" customHeight="1" x14ac:dyDescent="0.25">
      <c r="A15" s="50">
        <v>1200</v>
      </c>
      <c r="B15" s="73" t="s">
        <v>326</v>
      </c>
      <c r="C15" s="18">
        <f>ROUND(C14*0.2359,2)</f>
        <v>0.8</v>
      </c>
      <c r="D15" s="18">
        <f>C15*30</f>
        <v>24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6" ht="96" x14ac:dyDescent="0.25">
      <c r="A17" s="50"/>
      <c r="B17" s="73" t="s">
        <v>420</v>
      </c>
      <c r="C17" s="18">
        <v>14.54</v>
      </c>
      <c r="D17" s="18">
        <f>C17*30</f>
        <v>436.2</v>
      </c>
      <c r="E17" s="202"/>
      <c r="F17" s="203"/>
    </row>
    <row r="18" spans="1:6" x14ac:dyDescent="0.25">
      <c r="A18" s="50"/>
      <c r="B18" s="92" t="s">
        <v>87</v>
      </c>
      <c r="C18" s="82">
        <f>SUM(C13:C17)</f>
        <v>18.739999999999998</v>
      </c>
      <c r="D18" s="82">
        <f>SUM(D13:D17)</f>
        <v>562.20000000000005</v>
      </c>
      <c r="E18" s="183"/>
    </row>
    <row r="19" spans="1:6" x14ac:dyDescent="0.25">
      <c r="A19" s="77"/>
      <c r="B19" s="176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60" x14ac:dyDescent="0.25">
      <c r="A21" s="77"/>
      <c r="B21" s="40" t="s">
        <v>1501</v>
      </c>
      <c r="C21" s="74">
        <f>ROUND(31.85/9509,5)</f>
        <v>3.3500000000000001E-3</v>
      </c>
      <c r="D21" s="18">
        <f>C21*30</f>
        <v>0.10050000000000001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60" x14ac:dyDescent="0.25">
      <c r="A23" s="35"/>
      <c r="B23" s="40" t="s">
        <v>1502</v>
      </c>
      <c r="C23" s="18">
        <f>ROUND(228.88/9509,5)</f>
        <v>2.4070000000000001E-2</v>
      </c>
      <c r="D23" s="18">
        <f t="shared" ref="D23:D85" si="0">C23*30</f>
        <v>0.72210000000000008</v>
      </c>
    </row>
    <row r="24" spans="1:6" x14ac:dyDescent="0.25">
      <c r="A24" s="35">
        <v>2221</v>
      </c>
      <c r="B24" s="40" t="s">
        <v>89</v>
      </c>
      <c r="C24" s="18"/>
      <c r="D24" s="18"/>
    </row>
    <row r="25" spans="1:6" ht="60" x14ac:dyDescent="0.25">
      <c r="A25" s="35"/>
      <c r="B25" s="40" t="s">
        <v>1503</v>
      </c>
      <c r="C25" s="18">
        <f>ROUND(382.73/9509,3)</f>
        <v>0.04</v>
      </c>
      <c r="D25" s="18">
        <f t="shared" si="0"/>
        <v>1.2</v>
      </c>
    </row>
    <row r="26" spans="1:6" x14ac:dyDescent="0.25">
      <c r="A26" s="35">
        <v>2222</v>
      </c>
      <c r="B26" s="242" t="s">
        <v>90</v>
      </c>
      <c r="C26" s="18"/>
      <c r="D26" s="18"/>
    </row>
    <row r="27" spans="1:6" ht="60" x14ac:dyDescent="0.25">
      <c r="A27" s="35"/>
      <c r="B27" s="40" t="s">
        <v>1504</v>
      </c>
      <c r="C27" s="74">
        <f>ROUND(38.69/9509,3)</f>
        <v>4.0000000000000001E-3</v>
      </c>
      <c r="D27" s="18">
        <f t="shared" si="0"/>
        <v>0.12</v>
      </c>
    </row>
    <row r="28" spans="1:6" x14ac:dyDescent="0.25">
      <c r="A28" s="35">
        <v>2223</v>
      </c>
      <c r="B28" s="35" t="s">
        <v>91</v>
      </c>
      <c r="C28" s="74"/>
      <c r="D28" s="18"/>
    </row>
    <row r="29" spans="1:6" ht="60" x14ac:dyDescent="0.25">
      <c r="A29" s="35"/>
      <c r="B29" s="40" t="s">
        <v>1505</v>
      </c>
      <c r="C29" s="74">
        <f>ROUND(1004.28/9509,3)</f>
        <v>0.106</v>
      </c>
      <c r="D29" s="18">
        <f t="shared" si="0"/>
        <v>3.1799999999999997</v>
      </c>
    </row>
    <row r="30" spans="1:6" ht="24" x14ac:dyDescent="0.25">
      <c r="A30" s="35">
        <v>2224</v>
      </c>
      <c r="B30" s="40" t="s">
        <v>115</v>
      </c>
      <c r="C30" s="74"/>
      <c r="D30" s="18"/>
    </row>
    <row r="31" spans="1:6" ht="60" x14ac:dyDescent="0.25">
      <c r="A31" s="34"/>
      <c r="B31" s="40" t="s">
        <v>1506</v>
      </c>
      <c r="C31" s="18">
        <f>ROUND(82.8/9509,3)</f>
        <v>8.9999999999999993E-3</v>
      </c>
      <c r="D31" s="18">
        <f t="shared" si="0"/>
        <v>0.26999999999999996</v>
      </c>
    </row>
    <row r="32" spans="1:6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1507</v>
      </c>
      <c r="C33" s="18">
        <f>ROUND(289.4/9509,3)</f>
        <v>0.03</v>
      </c>
      <c r="D33" s="18">
        <f t="shared" si="0"/>
        <v>0.89999999999999991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1532</v>
      </c>
      <c r="C35" s="74">
        <f>ROUND(20.68/9509,5)</f>
        <v>2.1700000000000001E-3</v>
      </c>
      <c r="D35" s="18">
        <f t="shared" si="0"/>
        <v>6.5100000000000005E-2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1509</v>
      </c>
      <c r="C37" s="74">
        <f>ROUND(58.15/9509,5)</f>
        <v>6.1199999999999996E-3</v>
      </c>
      <c r="D37" s="18">
        <f t="shared" si="0"/>
        <v>0.18359999999999999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1510</v>
      </c>
      <c r="C39" s="74">
        <f>ROUND(524.45/9509,3)</f>
        <v>5.5E-2</v>
      </c>
      <c r="D39" s="18">
        <f t="shared" si="0"/>
        <v>1.65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1533</v>
      </c>
      <c r="C41" s="74">
        <f>ROUND(131.923/9509,3)</f>
        <v>1.4E-2</v>
      </c>
      <c r="D41" s="18">
        <f t="shared" si="0"/>
        <v>0.42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1512</v>
      </c>
      <c r="C43" s="18">
        <f>ROUND(360.94/9509,3)</f>
        <v>3.7999999999999999E-2</v>
      </c>
      <c r="D43" s="18">
        <f t="shared" si="0"/>
        <v>1.1399999999999999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1513</v>
      </c>
      <c r="C45" s="18">
        <f>ROUND(272.76/9509,3)</f>
        <v>2.9000000000000001E-2</v>
      </c>
      <c r="D45" s="18">
        <f t="shared" si="0"/>
        <v>0.87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1514</v>
      </c>
      <c r="C47" s="74">
        <f>ROUND(12.06/9509,3)</f>
        <v>1E-3</v>
      </c>
      <c r="D47" s="18">
        <f t="shared" si="0"/>
        <v>0.03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1515</v>
      </c>
      <c r="C49" s="74">
        <f>ROUND(23.35/9509,3)</f>
        <v>2E-3</v>
      </c>
      <c r="D49" s="18">
        <f t="shared" si="0"/>
        <v>0.06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1516</v>
      </c>
      <c r="C51" s="18">
        <f>ROUND(750.97/9509,3)</f>
        <v>7.9000000000000001E-2</v>
      </c>
      <c r="D51" s="18">
        <f t="shared" si="0"/>
        <v>2.37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1517</v>
      </c>
      <c r="C53" s="18">
        <f>ROUND(2620.34/9509,3)</f>
        <v>0.27600000000000002</v>
      </c>
      <c r="D53" s="18">
        <f t="shared" si="0"/>
        <v>8.2800000000000011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1518</v>
      </c>
      <c r="C55" s="74">
        <f>ROUND(9.91/9509,3)</f>
        <v>1E-3</v>
      </c>
      <c r="D55" s="18">
        <f t="shared" si="0"/>
        <v>0.03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1519</v>
      </c>
      <c r="C57" s="18">
        <f>ROUND(132.32/9509,3)</f>
        <v>1.4E-2</v>
      </c>
      <c r="D57" s="18">
        <f t="shared" si="0"/>
        <v>0.42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1520</v>
      </c>
      <c r="C59" s="74">
        <f>ROUND(72.76/9509,3)</f>
        <v>8.0000000000000002E-3</v>
      </c>
      <c r="D59" s="18">
        <f t="shared" si="0"/>
        <v>0.24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1521</v>
      </c>
      <c r="C61" s="18">
        <f>ROUND(484.21/9509,3)</f>
        <v>5.0999999999999997E-2</v>
      </c>
      <c r="D61" s="18">
        <f t="shared" si="0"/>
        <v>1.5299999999999998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1522</v>
      </c>
      <c r="C63" s="18">
        <f>ROUND(224.14/9509,3)</f>
        <v>2.4E-2</v>
      </c>
      <c r="D63" s="18">
        <f t="shared" si="0"/>
        <v>0.72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1523</v>
      </c>
      <c r="C65" s="18">
        <f>ROUND(103.21/9509,3)</f>
        <v>1.0999999999999999E-2</v>
      </c>
      <c r="D65" s="18">
        <f t="shared" si="0"/>
        <v>0.32999999999999996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1534</v>
      </c>
      <c r="C67" s="18">
        <f>ROUND(241.97/9509,3)</f>
        <v>2.5000000000000001E-2</v>
      </c>
      <c r="D67" s="18">
        <f t="shared" si="0"/>
        <v>0.75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1535</v>
      </c>
      <c r="C69" s="80">
        <f>ROUND(87.42/9509,5)</f>
        <v>9.1900000000000003E-3</v>
      </c>
      <c r="D69" s="18">
        <f t="shared" si="0"/>
        <v>0.2757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1525</v>
      </c>
      <c r="C71" s="74">
        <f>ROUND(28.69/9509,3)</f>
        <v>3.0000000000000001E-3</v>
      </c>
      <c r="D71" s="18">
        <f t="shared" si="0"/>
        <v>0.09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1526</v>
      </c>
      <c r="C73" s="74">
        <f>ROUND(8.56/9509,5)</f>
        <v>8.9999999999999998E-4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1527</v>
      </c>
      <c r="C75" s="74">
        <f>ROUND(58.04/9509,5)</f>
        <v>6.1000000000000004E-3</v>
      </c>
      <c r="D75" s="18">
        <f t="shared" si="0"/>
        <v>0.18300000000000002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1528</v>
      </c>
      <c r="C77" s="74">
        <f>ROUND(249.88/9509,5)</f>
        <v>2.6280000000000001E-2</v>
      </c>
      <c r="D77" s="18">
        <f t="shared" si="0"/>
        <v>0.78839999999999999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1536</v>
      </c>
      <c r="C81" s="74">
        <f>ROUND(61.55/9509,5)</f>
        <v>6.4700000000000001E-3</v>
      </c>
      <c r="D81" s="18">
        <f t="shared" si="0"/>
        <v>0.19409999999999999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1530</v>
      </c>
      <c r="C83" s="74">
        <f>ROUND(88.34/9509,5)</f>
        <v>9.2899999999999996E-3</v>
      </c>
      <c r="D83" s="18">
        <f t="shared" si="0"/>
        <v>0.2787</v>
      </c>
    </row>
    <row r="84" spans="1:4" ht="18.7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1531</v>
      </c>
      <c r="C85" s="74">
        <f>ROUND(151.09/9509,3)</f>
        <v>1.6E-2</v>
      </c>
      <c r="D85" s="18">
        <f t="shared" si="0"/>
        <v>0.48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27.9</v>
      </c>
    </row>
    <row r="87" spans="1:4" x14ac:dyDescent="0.25">
      <c r="A87" s="83"/>
      <c r="B87" s="84" t="s">
        <v>95</v>
      </c>
      <c r="C87" s="82">
        <f>ROUND(C86+C18,3)</f>
        <v>19.670000000000002</v>
      </c>
      <c r="D87" s="82">
        <f>ROUND(D86+D18,3)</f>
        <v>590.1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30</v>
      </c>
      <c r="D89" s="89"/>
    </row>
    <row r="90" spans="1:4" ht="32.25" customHeight="1" x14ac:dyDescent="0.25">
      <c r="A90" s="313" t="s">
        <v>113</v>
      </c>
      <c r="B90" s="314"/>
      <c r="C90" s="22">
        <f>D87/C89</f>
        <v>19.670000000000002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70F6-FA4D-4249-957B-E41BDDDF8488}">
  <dimension ref="A1:F90"/>
  <sheetViews>
    <sheetView topLeftCell="A80" workbookViewId="0">
      <selection activeCell="B25" sqref="B25"/>
    </sheetView>
  </sheetViews>
  <sheetFormatPr defaultRowHeight="15" x14ac:dyDescent="0.25"/>
  <cols>
    <col min="1" max="1" width="10" customWidth="1"/>
    <col min="2" max="2" width="58.85546875" customWidth="1"/>
    <col min="3" max="3" width="11.42578125" customWidth="1"/>
    <col min="4" max="4" width="12" customWidth="1"/>
  </cols>
  <sheetData>
    <row r="1" spans="1:5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26.25" customHeight="1" x14ac:dyDescent="0.25">
      <c r="A5" s="307" t="s">
        <v>172</v>
      </c>
      <c r="B5" s="307"/>
      <c r="C5" s="307"/>
      <c r="D5" s="307"/>
    </row>
    <row r="6" spans="1:5" ht="8.25" customHeight="1" x14ac:dyDescent="0.25">
      <c r="A6" s="240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7.5" customHeight="1" x14ac:dyDescent="0.25">
      <c r="A8" s="240"/>
      <c r="B8" s="241"/>
      <c r="C8" s="60"/>
      <c r="D8" s="59"/>
    </row>
    <row r="9" spans="1:5" x14ac:dyDescent="0.25">
      <c r="A9" s="309" t="s">
        <v>274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82.5" customHeight="1" x14ac:dyDescent="0.25">
      <c r="A14" s="50"/>
      <c r="B14" s="90" t="s">
        <v>365</v>
      </c>
      <c r="C14" s="18">
        <f>0.17*45</f>
        <v>7.65</v>
      </c>
      <c r="D14" s="18">
        <f>C14*20</f>
        <v>153</v>
      </c>
    </row>
    <row r="15" spans="1:5" ht="24" x14ac:dyDescent="0.25">
      <c r="A15" s="50">
        <v>1200</v>
      </c>
      <c r="B15" s="73" t="s">
        <v>366</v>
      </c>
      <c r="C15" s="18">
        <f>ROUND(C14*0.2359,2)</f>
        <v>1.8</v>
      </c>
      <c r="D15" s="18">
        <f>C15*20</f>
        <v>36</v>
      </c>
      <c r="E15" s="181"/>
    </row>
    <row r="16" spans="1:5" x14ac:dyDescent="0.25">
      <c r="A16" s="50">
        <v>2341</v>
      </c>
      <c r="B16" s="50" t="s">
        <v>118</v>
      </c>
      <c r="C16" s="91"/>
      <c r="D16" s="91"/>
    </row>
    <row r="17" spans="1:6" ht="99" customHeight="1" x14ac:dyDescent="0.25">
      <c r="A17" s="50"/>
      <c r="B17" s="234" t="s">
        <v>561</v>
      </c>
      <c r="C17" s="18">
        <v>70.400000000000006</v>
      </c>
      <c r="D17" s="18">
        <f>C17*20</f>
        <v>1408</v>
      </c>
      <c r="E17" s="201"/>
      <c r="F17" s="2"/>
    </row>
    <row r="18" spans="1:6" ht="20.25" customHeight="1" x14ac:dyDescent="0.25">
      <c r="A18" s="50"/>
      <c r="B18" s="92" t="s">
        <v>87</v>
      </c>
      <c r="C18" s="82">
        <f>SUM(C13:C17)</f>
        <v>79.850000000000009</v>
      </c>
      <c r="D18" s="82">
        <f>SUM(D13:D17)</f>
        <v>1597</v>
      </c>
      <c r="E18" s="183"/>
    </row>
    <row r="19" spans="1:6" x14ac:dyDescent="0.25">
      <c r="A19" s="77"/>
      <c r="B19" s="176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60" x14ac:dyDescent="0.25">
      <c r="A21" s="77"/>
      <c r="B21" s="40" t="s">
        <v>1405</v>
      </c>
      <c r="C21" s="74">
        <f>ROUND(31.85/9509,5)</f>
        <v>3.3500000000000001E-3</v>
      </c>
      <c r="D21" s="18">
        <f>C21*20</f>
        <v>6.7000000000000004E-2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60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5" si="0">C23*20</f>
        <v>0.48140000000000005</v>
      </c>
    </row>
    <row r="24" spans="1:6" x14ac:dyDescent="0.25">
      <c r="A24" s="35">
        <v>2221</v>
      </c>
      <c r="B24" s="40" t="s">
        <v>89</v>
      </c>
      <c r="C24" s="18"/>
      <c r="D24" s="18"/>
    </row>
    <row r="25" spans="1:6" ht="60" x14ac:dyDescent="0.25">
      <c r="A25" s="35"/>
      <c r="B25" s="40" t="s">
        <v>1407</v>
      </c>
      <c r="C25" s="18">
        <f>ROUND(382.73/9509,3)</f>
        <v>0.04</v>
      </c>
      <c r="D25" s="18">
        <f t="shared" si="0"/>
        <v>0.8</v>
      </c>
    </row>
    <row r="26" spans="1:6" x14ac:dyDescent="0.25">
      <c r="A26" s="35">
        <v>2222</v>
      </c>
      <c r="B26" s="242" t="s">
        <v>90</v>
      </c>
      <c r="C26" s="18"/>
      <c r="D26" s="18"/>
    </row>
    <row r="27" spans="1:6" ht="48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6" x14ac:dyDescent="0.25">
      <c r="A28" s="35">
        <v>2223</v>
      </c>
      <c r="B28" s="35" t="s">
        <v>91</v>
      </c>
      <c r="C28" s="74"/>
      <c r="D28" s="18"/>
    </row>
    <row r="29" spans="1:6" ht="60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6" ht="24" x14ac:dyDescent="0.25">
      <c r="A30" s="35">
        <v>2224</v>
      </c>
      <c r="B30" s="40" t="s">
        <v>115</v>
      </c>
      <c r="C30" s="74"/>
      <c r="D30" s="18"/>
    </row>
    <row r="31" spans="1:6" ht="48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6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1537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1539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1435</v>
      </c>
      <c r="C57" s="18">
        <f>ROUND(132.32/9509,3)</f>
        <v>1.4E-2</v>
      </c>
      <c r="D57" s="18">
        <f t="shared" si="0"/>
        <v>0.28000000000000003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1423</v>
      </c>
      <c r="C59" s="74">
        <f>ROUND(72.76/9509,3)</f>
        <v>8.0000000000000002E-3</v>
      </c>
      <c r="D59" s="18">
        <f t="shared" si="0"/>
        <v>0.16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1424</v>
      </c>
      <c r="C61" s="18">
        <f>ROUND(484.21/9509,3)</f>
        <v>5.0999999999999997E-2</v>
      </c>
      <c r="D61" s="18">
        <f t="shared" si="0"/>
        <v>1.02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1540</v>
      </c>
      <c r="C67" s="74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1431</v>
      </c>
      <c r="C77" s="74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1432</v>
      </c>
      <c r="C81" s="74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1433</v>
      </c>
      <c r="C83" s="74">
        <f>ROUND(88.34/9509,5)</f>
        <v>9.2899999999999996E-3</v>
      </c>
      <c r="D83" s="18">
        <f t="shared" si="0"/>
        <v>0.18579999999999999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80.78</v>
      </c>
      <c r="D87" s="82">
        <f>ROUND(D86+D18,3)</f>
        <v>1615.6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20</v>
      </c>
      <c r="D89" s="89"/>
    </row>
    <row r="90" spans="1:4" ht="28.5" customHeight="1" x14ac:dyDescent="0.25">
      <c r="A90" s="313" t="s">
        <v>113</v>
      </c>
      <c r="B90" s="314"/>
      <c r="C90" s="22">
        <f>D87/C89</f>
        <v>80.78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84786-7632-4B2D-A4A4-391CA7484A03}">
  <dimension ref="A1:J90"/>
  <sheetViews>
    <sheetView topLeftCell="A83" workbookViewId="0">
      <selection activeCell="B47" sqref="B47"/>
    </sheetView>
  </sheetViews>
  <sheetFormatPr defaultRowHeight="15" x14ac:dyDescent="0.25"/>
  <cols>
    <col min="1" max="1" width="9.5703125" customWidth="1"/>
    <col min="2" max="2" width="54.5703125" customWidth="1"/>
    <col min="3" max="3" width="14" customWidth="1"/>
    <col min="4" max="4" width="13.5703125" customWidth="1"/>
  </cols>
  <sheetData>
    <row r="1" spans="1:5" x14ac:dyDescent="0.25">
      <c r="A1" s="330" t="s">
        <v>78</v>
      </c>
      <c r="B1" s="330"/>
      <c r="C1" s="330"/>
      <c r="D1" s="330"/>
    </row>
    <row r="2" spans="1:5" x14ac:dyDescent="0.25">
      <c r="A2" s="41"/>
      <c r="B2" s="41"/>
      <c r="C2" s="331"/>
      <c r="D2" s="331"/>
    </row>
    <row r="3" spans="1:5" x14ac:dyDescent="0.25">
      <c r="A3" s="42" t="s">
        <v>111</v>
      </c>
      <c r="B3" s="43"/>
      <c r="C3" s="43"/>
      <c r="D3" s="43"/>
    </row>
    <row r="4" spans="1:5" x14ac:dyDescent="0.25">
      <c r="A4" s="41"/>
      <c r="B4" s="7"/>
      <c r="C4" s="7"/>
      <c r="D4" s="7"/>
    </row>
    <row r="5" spans="1:5" ht="31.5" customHeight="1" x14ac:dyDescent="0.25">
      <c r="A5" s="332" t="s">
        <v>173</v>
      </c>
      <c r="B5" s="332"/>
      <c r="C5" s="332"/>
      <c r="D5" s="332"/>
    </row>
    <row r="6" spans="1:5" x14ac:dyDescent="0.25">
      <c r="A6" s="6"/>
      <c r="B6" s="7"/>
      <c r="C6" s="7"/>
      <c r="D6" s="7"/>
    </row>
    <row r="7" spans="1:5" x14ac:dyDescent="0.25">
      <c r="A7" s="333" t="s">
        <v>112</v>
      </c>
      <c r="B7" s="334"/>
      <c r="C7" s="7"/>
      <c r="D7" s="7"/>
    </row>
    <row r="8" spans="1:5" x14ac:dyDescent="0.25">
      <c r="A8" s="238"/>
      <c r="B8" s="239"/>
      <c r="C8" s="7"/>
      <c r="D8" s="7"/>
    </row>
    <row r="9" spans="1:5" x14ac:dyDescent="0.25">
      <c r="A9" s="335" t="s">
        <v>102</v>
      </c>
      <c r="B9" s="335"/>
      <c r="C9" s="25"/>
      <c r="D9" s="25"/>
    </row>
    <row r="10" spans="1:5" ht="96" x14ac:dyDescent="0.25">
      <c r="A10" s="10" t="s">
        <v>80</v>
      </c>
      <c r="B10" s="10" t="s">
        <v>81</v>
      </c>
      <c r="C10" s="10" t="s">
        <v>82</v>
      </c>
      <c r="D10" s="10" t="s">
        <v>83</v>
      </c>
    </row>
    <row r="11" spans="1:5" x14ac:dyDescent="0.25">
      <c r="A11" s="11">
        <v>1</v>
      </c>
      <c r="B11" s="12">
        <v>2</v>
      </c>
      <c r="C11" s="11">
        <v>3</v>
      </c>
      <c r="D11" s="11">
        <v>4</v>
      </c>
    </row>
    <row r="12" spans="1:5" x14ac:dyDescent="0.25">
      <c r="A12" s="11"/>
      <c r="B12" s="27" t="s">
        <v>84</v>
      </c>
      <c r="C12" s="13"/>
      <c r="D12" s="13"/>
    </row>
    <row r="13" spans="1:5" x14ac:dyDescent="0.25">
      <c r="A13" s="28">
        <v>1100</v>
      </c>
      <c r="B13" s="29" t="s">
        <v>85</v>
      </c>
      <c r="C13" s="14"/>
      <c r="D13" s="14"/>
    </row>
    <row r="14" spans="1:5" ht="84" x14ac:dyDescent="0.25">
      <c r="A14" s="30"/>
      <c r="B14" s="15" t="s">
        <v>367</v>
      </c>
      <c r="C14" s="16">
        <f>0.17*20</f>
        <v>3.4000000000000004</v>
      </c>
      <c r="D14" s="16">
        <f>C14*100</f>
        <v>340.00000000000006</v>
      </c>
    </row>
    <row r="15" spans="1:5" ht="29.25" customHeight="1" x14ac:dyDescent="0.25">
      <c r="A15" s="30">
        <v>1200</v>
      </c>
      <c r="B15" s="17" t="s">
        <v>326</v>
      </c>
      <c r="C15" s="16">
        <f>ROUND(C14*0.2359,2)</f>
        <v>0.8</v>
      </c>
      <c r="D15" s="16">
        <f>C15*100</f>
        <v>80</v>
      </c>
      <c r="E15" s="181"/>
    </row>
    <row r="16" spans="1:5" x14ac:dyDescent="0.25">
      <c r="A16" s="30">
        <v>2341</v>
      </c>
      <c r="B16" s="30" t="s">
        <v>118</v>
      </c>
      <c r="C16" s="19"/>
      <c r="D16" s="19"/>
    </row>
    <row r="17" spans="1:10" ht="96" x14ac:dyDescent="0.25">
      <c r="A17" s="30"/>
      <c r="B17" s="31" t="s">
        <v>368</v>
      </c>
      <c r="C17" s="16">
        <v>3.42</v>
      </c>
      <c r="D17" s="16">
        <f>C17*100</f>
        <v>342</v>
      </c>
      <c r="E17" s="2"/>
      <c r="F17" s="190"/>
      <c r="G17" s="190"/>
      <c r="H17" s="190"/>
      <c r="I17" s="190"/>
      <c r="J17" s="190"/>
    </row>
    <row r="18" spans="1:10" x14ac:dyDescent="0.25">
      <c r="A18" s="34"/>
      <c r="B18" s="136" t="s">
        <v>87</v>
      </c>
      <c r="C18" s="137">
        <f>SUM(C13:C17)</f>
        <v>7.62</v>
      </c>
      <c r="D18" s="137">
        <f>SUM(D13:D17)</f>
        <v>762</v>
      </c>
      <c r="E18" s="183"/>
    </row>
    <row r="19" spans="1:10" x14ac:dyDescent="0.25">
      <c r="A19" s="77"/>
      <c r="B19" s="176" t="s">
        <v>88</v>
      </c>
      <c r="C19" s="78"/>
      <c r="D19" s="78"/>
    </row>
    <row r="20" spans="1:10" ht="16.5" customHeight="1" x14ac:dyDescent="0.25">
      <c r="A20" s="35">
        <v>2100</v>
      </c>
      <c r="B20" s="246" t="s">
        <v>584</v>
      </c>
      <c r="C20" s="78"/>
      <c r="D20" s="78"/>
    </row>
    <row r="21" spans="1:10" ht="60" x14ac:dyDescent="0.25">
      <c r="A21" s="77"/>
      <c r="B21" s="40" t="s">
        <v>1328</v>
      </c>
      <c r="C21" s="80">
        <f>ROUND(31.85/9509,5)</f>
        <v>3.3500000000000001E-3</v>
      </c>
      <c r="D21" s="18">
        <f>C21*100</f>
        <v>0.33500000000000002</v>
      </c>
    </row>
    <row r="22" spans="1:10" x14ac:dyDescent="0.25">
      <c r="A22" s="35">
        <v>2210</v>
      </c>
      <c r="B22" s="40" t="s">
        <v>568</v>
      </c>
      <c r="C22" s="74"/>
      <c r="D22" s="74"/>
    </row>
    <row r="23" spans="1:10" ht="60" x14ac:dyDescent="0.25">
      <c r="A23" s="35"/>
      <c r="B23" s="40" t="s">
        <v>1392</v>
      </c>
      <c r="C23" s="80">
        <f>ROUND(228.88/9509,5)</f>
        <v>2.4070000000000001E-2</v>
      </c>
      <c r="D23" s="18">
        <f t="shared" ref="D23:D85" si="0">C23*100</f>
        <v>2.407</v>
      </c>
    </row>
    <row r="24" spans="1:10" x14ac:dyDescent="0.25">
      <c r="A24" s="35">
        <v>2221</v>
      </c>
      <c r="B24" s="40" t="s">
        <v>89</v>
      </c>
      <c r="C24" s="18"/>
      <c r="D24" s="18"/>
    </row>
    <row r="25" spans="1:10" ht="60" x14ac:dyDescent="0.25">
      <c r="A25" s="35"/>
      <c r="B25" s="40" t="s">
        <v>1541</v>
      </c>
      <c r="C25" s="74">
        <f>ROUND(382.73/9509,5)</f>
        <v>4.0250000000000001E-2</v>
      </c>
      <c r="D25" s="18">
        <f t="shared" si="0"/>
        <v>4.0250000000000004</v>
      </c>
    </row>
    <row r="26" spans="1:10" x14ac:dyDescent="0.25">
      <c r="A26" s="35">
        <v>2222</v>
      </c>
      <c r="B26" s="242" t="s">
        <v>90</v>
      </c>
      <c r="C26" s="18"/>
      <c r="D26" s="18"/>
    </row>
    <row r="27" spans="1:10" ht="60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10" x14ac:dyDescent="0.25">
      <c r="A28" s="35">
        <v>2223</v>
      </c>
      <c r="B28" s="35" t="s">
        <v>91</v>
      </c>
      <c r="C28" s="74"/>
      <c r="D28" s="18"/>
    </row>
    <row r="29" spans="1:10" ht="60" x14ac:dyDescent="0.25">
      <c r="A29" s="35"/>
      <c r="B29" s="40" t="s">
        <v>1394</v>
      </c>
      <c r="C29" s="74">
        <f>ROUND(1004.28/9509,3)</f>
        <v>0.106</v>
      </c>
      <c r="D29" s="18">
        <f t="shared" si="0"/>
        <v>10.6</v>
      </c>
    </row>
    <row r="30" spans="1:10" ht="29.25" customHeight="1" x14ac:dyDescent="0.25">
      <c r="A30" s="35">
        <v>2224</v>
      </c>
      <c r="B30" s="40" t="s">
        <v>115</v>
      </c>
      <c r="C30" s="74"/>
      <c r="D30" s="18"/>
    </row>
    <row r="31" spans="1:10" ht="60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10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1395</v>
      </c>
      <c r="C35" s="74">
        <f>ROUND(20.68/9509,3)</f>
        <v>2E-3</v>
      </c>
      <c r="D35" s="18">
        <f t="shared" si="0"/>
        <v>0.2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1396</v>
      </c>
      <c r="C37" s="74">
        <f>ROUND(58.15/9509,3)</f>
        <v>6.0000000000000001E-3</v>
      </c>
      <c r="D37" s="18">
        <f t="shared" si="0"/>
        <v>0.6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1341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1397</v>
      </c>
      <c r="C49" s="74">
        <f>ROUND(23.35/9509,3)</f>
        <v>2E-3</v>
      </c>
      <c r="D49" s="18">
        <f t="shared" si="0"/>
        <v>0.2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1343</v>
      </c>
      <c r="C51" s="18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1345</v>
      </c>
      <c r="C55" s="74">
        <f>ROUND(9.91/9509,5)</f>
        <v>1.0399999999999999E-3</v>
      </c>
      <c r="D55" s="18">
        <f t="shared" si="0"/>
        <v>0.104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1398</v>
      </c>
      <c r="C65" s="18">
        <f>ROUND(103.21/9509,3)</f>
        <v>1.0999999999999999E-2</v>
      </c>
      <c r="D65" s="18">
        <f t="shared" si="0"/>
        <v>1.0999999999999999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1542</v>
      </c>
      <c r="C67" s="18">
        <f>ROUND(241.97/9509,3)</f>
        <v>2.5000000000000001E-2</v>
      </c>
      <c r="D67" s="18">
        <f t="shared" si="0"/>
        <v>2.5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1543</v>
      </c>
      <c r="C69" s="80">
        <f>ROUND(87.42/9509,5)</f>
        <v>9.1900000000000003E-3</v>
      </c>
      <c r="D69" s="18">
        <f t="shared" si="0"/>
        <v>0.91900000000000004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1353</v>
      </c>
      <c r="C71" s="74">
        <f>ROUND(28.69/9509,5)</f>
        <v>3.0200000000000001E-3</v>
      </c>
      <c r="D71" s="18">
        <f t="shared" si="0"/>
        <v>0.30199999999999999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1354</v>
      </c>
      <c r="C73" s="80">
        <f>ROUND(8.56/9509,5)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1401</v>
      </c>
      <c r="C75" s="80">
        <f>ROUND(58.04/9509,5)</f>
        <v>6.1000000000000004E-3</v>
      </c>
      <c r="D75" s="18">
        <f t="shared" si="0"/>
        <v>0.61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1544</v>
      </c>
      <c r="C77" s="80">
        <f>ROUND(249.88/9509,5)</f>
        <v>2.6280000000000001E-2</v>
      </c>
      <c r="D77" s="18">
        <f t="shared" si="0"/>
        <v>2.6280000000000001</v>
      </c>
    </row>
    <row r="78" spans="1:4" ht="14.25" customHeight="1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1545</v>
      </c>
      <c r="C81" s="253">
        <f>ROUND(61.55/9509,5)</f>
        <v>6.4700000000000001E-3</v>
      </c>
      <c r="D81" s="18">
        <f t="shared" si="0"/>
        <v>0.64700000000000002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1403</v>
      </c>
      <c r="C83" s="80">
        <f>ROUND(88.34/9509,5)</f>
        <v>9.2899999999999996E-3</v>
      </c>
      <c r="D83" s="18">
        <f t="shared" si="0"/>
        <v>0.92899999999999994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1404</v>
      </c>
      <c r="C85" s="74">
        <f>ROUND(151.09/9509,3)</f>
        <v>1.6E-2</v>
      </c>
      <c r="D85" s="18">
        <f t="shared" si="0"/>
        <v>1.6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93</v>
      </c>
    </row>
    <row r="87" spans="1:4" x14ac:dyDescent="0.25">
      <c r="A87" s="83"/>
      <c r="B87" s="84" t="s">
        <v>95</v>
      </c>
      <c r="C87" s="82">
        <f>ROUND(C86+C18,3)</f>
        <v>8.5500000000000007</v>
      </c>
      <c r="D87" s="82">
        <f>ROUND(D86+D18,3)</f>
        <v>855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100</v>
      </c>
      <c r="D89" s="89"/>
    </row>
    <row r="90" spans="1:4" ht="27.75" customHeight="1" x14ac:dyDescent="0.25">
      <c r="A90" s="313" t="s">
        <v>113</v>
      </c>
      <c r="B90" s="314"/>
      <c r="C90" s="22">
        <f>D87/C89</f>
        <v>8.5500000000000007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DDDB-AB31-4536-9B86-E226A10ED70B}">
  <dimension ref="A1:I90"/>
  <sheetViews>
    <sheetView topLeftCell="A78" workbookViewId="0">
      <selection activeCell="B23" sqref="B23"/>
    </sheetView>
  </sheetViews>
  <sheetFormatPr defaultRowHeight="15" x14ac:dyDescent="0.25"/>
  <cols>
    <col min="1" max="1" width="9.5703125" customWidth="1"/>
    <col min="2" max="2" width="56.140625" customWidth="1"/>
    <col min="3" max="3" width="15" customWidth="1"/>
    <col min="4" max="4" width="14.57031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36" customHeight="1" x14ac:dyDescent="0.25">
      <c r="A5" s="307" t="s">
        <v>174</v>
      </c>
      <c r="B5" s="307"/>
      <c r="C5" s="307"/>
      <c r="D5" s="307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79</v>
      </c>
      <c r="B9" s="318"/>
      <c r="C9" s="100"/>
      <c r="D9" s="96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2" x14ac:dyDescent="0.25">
      <c r="A14" s="35"/>
      <c r="B14" s="90" t="s">
        <v>369</v>
      </c>
      <c r="C14" s="18">
        <f>0.17*30</f>
        <v>5.1000000000000005</v>
      </c>
      <c r="D14" s="18">
        <f>C14*200</f>
        <v>1020.0000000000001</v>
      </c>
    </row>
    <row r="15" spans="1:5" ht="24" x14ac:dyDescent="0.25">
      <c r="A15" s="35">
        <v>1200</v>
      </c>
      <c r="B15" s="40" t="s">
        <v>370</v>
      </c>
      <c r="C15" s="18">
        <f>ROUND(C14*0.2359,2)</f>
        <v>1.2</v>
      </c>
      <c r="D15" s="18">
        <f>C15*200</f>
        <v>240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9" ht="123" customHeight="1" x14ac:dyDescent="0.25">
      <c r="A17" s="35"/>
      <c r="B17" s="40" t="s">
        <v>618</v>
      </c>
      <c r="C17" s="18">
        <v>17.13</v>
      </c>
      <c r="D17" s="18">
        <f>C17*200</f>
        <v>3426</v>
      </c>
      <c r="E17" s="189"/>
      <c r="G17" s="190"/>
      <c r="H17" s="190"/>
      <c r="I17" s="2"/>
    </row>
    <row r="18" spans="1:9" x14ac:dyDescent="0.25">
      <c r="A18" s="35"/>
      <c r="B18" s="92" t="s">
        <v>87</v>
      </c>
      <c r="C18" s="82">
        <f>SUM(C13:C17)</f>
        <v>23.43</v>
      </c>
      <c r="D18" s="82">
        <f>SUM(D13:D17)</f>
        <v>4686</v>
      </c>
      <c r="E18" s="183"/>
    </row>
    <row r="19" spans="1:9" x14ac:dyDescent="0.25">
      <c r="A19" s="77"/>
      <c r="B19" s="176" t="s">
        <v>88</v>
      </c>
      <c r="C19" s="78"/>
      <c r="D19" s="78"/>
    </row>
    <row r="20" spans="1:9" x14ac:dyDescent="0.25">
      <c r="A20" s="35">
        <v>2100</v>
      </c>
      <c r="B20" s="244" t="s">
        <v>584</v>
      </c>
      <c r="C20" s="78"/>
      <c r="D20" s="78"/>
    </row>
    <row r="21" spans="1:9" ht="60" x14ac:dyDescent="0.25">
      <c r="A21" s="77"/>
      <c r="B21" s="40" t="s">
        <v>1360</v>
      </c>
      <c r="C21" s="80">
        <f>ROUND(31.85/9509,5)</f>
        <v>3.3500000000000001E-3</v>
      </c>
      <c r="D21" s="18">
        <f>C21*200</f>
        <v>0.67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60" x14ac:dyDescent="0.25">
      <c r="A23" s="35"/>
      <c r="B23" s="40" t="s">
        <v>1546</v>
      </c>
      <c r="C23" s="74">
        <f>ROUND(228.88/9509,5)</f>
        <v>2.4070000000000001E-2</v>
      </c>
      <c r="D23" s="18">
        <f t="shared" ref="D23:D85" si="0">C23*200</f>
        <v>4.8140000000000001</v>
      </c>
    </row>
    <row r="24" spans="1:9" x14ac:dyDescent="0.25">
      <c r="A24" s="35">
        <v>2221</v>
      </c>
      <c r="B24" s="40" t="s">
        <v>89</v>
      </c>
      <c r="C24" s="18"/>
      <c r="D24" s="18"/>
    </row>
    <row r="25" spans="1:9" ht="60" x14ac:dyDescent="0.25">
      <c r="A25" s="35"/>
      <c r="B25" s="40" t="s">
        <v>1547</v>
      </c>
      <c r="C25" s="74">
        <f>ROUND(382.73/9509,5)</f>
        <v>4.0250000000000001E-2</v>
      </c>
      <c r="D25" s="18">
        <f t="shared" si="0"/>
        <v>8.0500000000000007</v>
      </c>
    </row>
    <row r="26" spans="1:9" x14ac:dyDescent="0.25">
      <c r="A26" s="35">
        <v>2222</v>
      </c>
      <c r="B26" s="242" t="s">
        <v>90</v>
      </c>
      <c r="C26" s="18"/>
      <c r="D26" s="18"/>
    </row>
    <row r="27" spans="1:9" ht="60" x14ac:dyDescent="0.25">
      <c r="A27" s="35"/>
      <c r="B27" s="40" t="s">
        <v>1548</v>
      </c>
      <c r="C27" s="74">
        <f>ROUND(38.69/9509,3)</f>
        <v>4.0000000000000001E-3</v>
      </c>
      <c r="D27" s="18">
        <f t="shared" si="0"/>
        <v>0.8</v>
      </c>
    </row>
    <row r="28" spans="1:9" x14ac:dyDescent="0.25">
      <c r="A28" s="35">
        <v>2223</v>
      </c>
      <c r="B28" s="35" t="s">
        <v>91</v>
      </c>
      <c r="C28" s="74"/>
      <c r="D28" s="18"/>
    </row>
    <row r="29" spans="1:9" ht="60" x14ac:dyDescent="0.25">
      <c r="A29" s="35"/>
      <c r="B29" s="40" t="s">
        <v>1364</v>
      </c>
      <c r="C29" s="74">
        <f>ROUND(1004.28/9509,3)</f>
        <v>0.106</v>
      </c>
      <c r="D29" s="18">
        <f t="shared" si="0"/>
        <v>21.2</v>
      </c>
    </row>
    <row r="30" spans="1:9" ht="24" x14ac:dyDescent="0.25">
      <c r="A30" s="35">
        <v>2224</v>
      </c>
      <c r="B30" s="40" t="s">
        <v>115</v>
      </c>
      <c r="C30" s="74"/>
      <c r="D30" s="18"/>
    </row>
    <row r="31" spans="1:9" ht="60" x14ac:dyDescent="0.25">
      <c r="A31" s="34"/>
      <c r="B31" s="40" t="s">
        <v>1365</v>
      </c>
      <c r="C31" s="18">
        <f>ROUND(82.8/9509,3)</f>
        <v>8.9999999999999993E-3</v>
      </c>
      <c r="D31" s="18">
        <f t="shared" si="0"/>
        <v>1.7999999999999998</v>
      </c>
    </row>
    <row r="32" spans="1:9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1366</v>
      </c>
      <c r="C33" s="18">
        <f>ROUND(289.4/9509,3)</f>
        <v>0.03</v>
      </c>
      <c r="D33" s="18">
        <f t="shared" si="0"/>
        <v>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1367</v>
      </c>
      <c r="C35" s="74">
        <f>ROUND(20.68/9509,3)</f>
        <v>2E-3</v>
      </c>
      <c r="D35" s="18">
        <f t="shared" si="0"/>
        <v>0.4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1368</v>
      </c>
      <c r="C37" s="74">
        <f>ROUND(58.15/9509,3)</f>
        <v>6.0000000000000001E-3</v>
      </c>
      <c r="D37" s="18">
        <f t="shared" si="0"/>
        <v>1.2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1369</v>
      </c>
      <c r="C39" s="74">
        <f>ROUND(524.45/9509,3)</f>
        <v>5.5E-2</v>
      </c>
      <c r="D39" s="18">
        <f t="shared" si="0"/>
        <v>11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1370</v>
      </c>
      <c r="C41" s="74">
        <f>ROUND(131.923/9509,3)</f>
        <v>1.4E-2</v>
      </c>
      <c r="D41" s="18">
        <f t="shared" si="0"/>
        <v>2.8000000000000003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1371</v>
      </c>
      <c r="C43" s="18">
        <f>ROUND(360.94/9509,3)</f>
        <v>3.7999999999999999E-2</v>
      </c>
      <c r="D43" s="18">
        <f t="shared" si="0"/>
        <v>7.6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1372</v>
      </c>
      <c r="C45" s="18">
        <f>ROUND(272.76/9509,3)</f>
        <v>2.9000000000000001E-2</v>
      </c>
      <c r="D45" s="18">
        <f t="shared" si="0"/>
        <v>5.8000000000000007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1373</v>
      </c>
      <c r="C47" s="74">
        <f>ROUND(12.06/9509,3)</f>
        <v>1E-3</v>
      </c>
      <c r="D47" s="18">
        <f t="shared" si="0"/>
        <v>0.2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1374</v>
      </c>
      <c r="C49" s="74">
        <f>ROUND(23.35/9509,3)</f>
        <v>2E-3</v>
      </c>
      <c r="D49" s="18">
        <f t="shared" si="0"/>
        <v>0.4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1375</v>
      </c>
      <c r="C51" s="18">
        <f>ROUND(750.97/9509,3)</f>
        <v>7.9000000000000001E-2</v>
      </c>
      <c r="D51" s="18">
        <f t="shared" si="0"/>
        <v>15.8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1376</v>
      </c>
      <c r="C53" s="18">
        <f>ROUND(2620.34/9509,3)</f>
        <v>0.27600000000000002</v>
      </c>
      <c r="D53" s="18">
        <f t="shared" si="0"/>
        <v>55.2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1549</v>
      </c>
      <c r="C55" s="74">
        <f>ROUND(9.91/9509,5)</f>
        <v>1.0399999999999999E-3</v>
      </c>
      <c r="D55" s="18">
        <f t="shared" si="0"/>
        <v>0.20799999999999999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1378</v>
      </c>
      <c r="C57" s="18">
        <f>ROUND(132.32/9509,3)</f>
        <v>1.4E-2</v>
      </c>
      <c r="D57" s="18">
        <f t="shared" si="0"/>
        <v>2.8000000000000003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1379</v>
      </c>
      <c r="C59" s="74">
        <f>ROUND(72.76/9509,3)</f>
        <v>8.0000000000000002E-3</v>
      </c>
      <c r="D59" s="18">
        <f t="shared" si="0"/>
        <v>1.6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1380</v>
      </c>
      <c r="C61" s="18">
        <f>ROUND(484.21/9509,3)</f>
        <v>5.0999999999999997E-2</v>
      </c>
      <c r="D61" s="18">
        <f t="shared" si="0"/>
        <v>10.199999999999999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1381</v>
      </c>
      <c r="C63" s="18">
        <f>ROUND(224.14/9509,3)</f>
        <v>2.4E-2</v>
      </c>
      <c r="D63" s="18">
        <f t="shared" si="0"/>
        <v>4.8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1382</v>
      </c>
      <c r="C65" s="18">
        <f>ROUND(103.21/9509,3)</f>
        <v>1.0999999999999999E-2</v>
      </c>
      <c r="D65" s="18">
        <f t="shared" si="0"/>
        <v>2.1999999999999997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1.5" customHeight="1" x14ac:dyDescent="0.25">
      <c r="A67" s="35"/>
      <c r="B67" s="40" t="s">
        <v>1550</v>
      </c>
      <c r="C67" s="18">
        <f>ROUND(241.97/9509,3)</f>
        <v>2.5000000000000001E-2</v>
      </c>
      <c r="D67" s="18">
        <f t="shared" si="0"/>
        <v>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1551</v>
      </c>
      <c r="C69" s="74">
        <f>ROUND(87.42/9509,5)</f>
        <v>9.1900000000000003E-3</v>
      </c>
      <c r="D69" s="18">
        <f t="shared" si="0"/>
        <v>1.8380000000000001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1385</v>
      </c>
      <c r="C71" s="74">
        <f>ROUND(28.69/9509,5)</f>
        <v>3.0200000000000001E-3</v>
      </c>
      <c r="D71" s="18">
        <f t="shared" si="0"/>
        <v>0.60399999999999998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1391</v>
      </c>
      <c r="C73" s="80">
        <f>ROUND(8.56/9509,5)</f>
        <v>8.9999999999999998E-4</v>
      </c>
      <c r="D73" s="18">
        <f t="shared" si="0"/>
        <v>0.18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4.5" customHeight="1" x14ac:dyDescent="0.25">
      <c r="A75" s="35"/>
      <c r="B75" s="40" t="s">
        <v>1552</v>
      </c>
      <c r="C75" s="80">
        <f>ROUND(58.04/9509,5)</f>
        <v>6.1000000000000004E-3</v>
      </c>
      <c r="D75" s="18">
        <f t="shared" si="0"/>
        <v>1.22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1387</v>
      </c>
      <c r="C77" s="74">
        <f>ROUND(249.88/9509,4)</f>
        <v>2.63E-2</v>
      </c>
      <c r="D77" s="18">
        <f t="shared" si="0"/>
        <v>5.26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1388</v>
      </c>
      <c r="C81" s="74">
        <f>ROUND(61.55/9509,5)</f>
        <v>6.4700000000000001E-3</v>
      </c>
      <c r="D81" s="18">
        <f t="shared" si="0"/>
        <v>1.294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1553</v>
      </c>
      <c r="C83" s="74">
        <f>ROUND(88.34/9509,5)</f>
        <v>9.2899999999999996E-3</v>
      </c>
      <c r="D83" s="18">
        <f t="shared" si="0"/>
        <v>1.8579999999999999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2.25" customHeight="1" x14ac:dyDescent="0.25">
      <c r="A85" s="35"/>
      <c r="B85" s="40" t="s">
        <v>1554</v>
      </c>
      <c r="C85" s="74">
        <f>ROUND(151.09/9509,3)</f>
        <v>1.6E-2</v>
      </c>
      <c r="D85" s="18">
        <f t="shared" si="0"/>
        <v>3.2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186</v>
      </c>
    </row>
    <row r="87" spans="1:4" x14ac:dyDescent="0.25">
      <c r="A87" s="83"/>
      <c r="B87" s="84" t="s">
        <v>95</v>
      </c>
      <c r="C87" s="82">
        <f>ROUND(C86+C18,3)</f>
        <v>24.36</v>
      </c>
      <c r="D87" s="82">
        <f>ROUND(D86+D18,3)</f>
        <v>4872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200</v>
      </c>
      <c r="D89" s="89"/>
    </row>
    <row r="90" spans="1:4" ht="25.5" customHeight="1" x14ac:dyDescent="0.25">
      <c r="A90" s="313" t="s">
        <v>113</v>
      </c>
      <c r="B90" s="314"/>
      <c r="C90" s="22">
        <f>D87/C89</f>
        <v>24.36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9F71-9C17-4E6D-89F6-F25806E8A191}">
  <dimension ref="A1:G90"/>
  <sheetViews>
    <sheetView topLeftCell="A79" workbookViewId="0">
      <selection activeCell="E85" sqref="E85"/>
    </sheetView>
  </sheetViews>
  <sheetFormatPr defaultRowHeight="15" x14ac:dyDescent="0.25"/>
  <cols>
    <col min="2" max="2" width="57.7109375" customWidth="1"/>
    <col min="3" max="3" width="11" customWidth="1"/>
    <col min="4" max="4" width="12.85546875" customWidth="1"/>
    <col min="5" max="5" width="20.85546875" customWidth="1"/>
  </cols>
  <sheetData>
    <row r="1" spans="1:4" x14ac:dyDescent="0.25">
      <c r="A1" s="315" t="s">
        <v>78</v>
      </c>
      <c r="B1" s="315"/>
      <c r="C1" s="315"/>
      <c r="D1" s="315"/>
    </row>
    <row r="2" spans="1:4" ht="8.25" customHeight="1" x14ac:dyDescent="0.25">
      <c r="A2" s="97"/>
      <c r="B2" s="97"/>
      <c r="C2" s="316"/>
      <c r="D2" s="317"/>
    </row>
    <row r="3" spans="1:4" x14ac:dyDescent="0.25">
      <c r="A3" s="98" t="s">
        <v>111</v>
      </c>
      <c r="B3" s="99"/>
      <c r="C3" s="99"/>
      <c r="D3" s="99"/>
    </row>
    <row r="4" spans="1:4" ht="11.25" customHeight="1" x14ac:dyDescent="0.25">
      <c r="A4" s="97"/>
      <c r="B4" s="60"/>
      <c r="C4" s="60"/>
      <c r="D4" s="96"/>
    </row>
    <row r="5" spans="1:4" ht="26.25" customHeight="1" x14ac:dyDescent="0.25">
      <c r="A5" s="307" t="s">
        <v>175</v>
      </c>
      <c r="B5" s="307"/>
      <c r="C5" s="307"/>
      <c r="D5" s="307"/>
    </row>
    <row r="6" spans="1:4" ht="12" customHeight="1" x14ac:dyDescent="0.25">
      <c r="A6" s="240"/>
      <c r="B6" s="60"/>
      <c r="C6" s="60"/>
      <c r="D6" s="96"/>
    </row>
    <row r="7" spans="1:4" x14ac:dyDescent="0.25">
      <c r="A7" s="308" t="s">
        <v>112</v>
      </c>
      <c r="B7" s="310"/>
      <c r="C7" s="60"/>
      <c r="D7" s="96"/>
    </row>
    <row r="8" spans="1:4" ht="9.75" customHeight="1" x14ac:dyDescent="0.25">
      <c r="A8" s="240"/>
      <c r="B8" s="241"/>
      <c r="C8" s="60"/>
      <c r="D8" s="96"/>
    </row>
    <row r="9" spans="1:4" x14ac:dyDescent="0.25">
      <c r="A9" s="318" t="s">
        <v>102</v>
      </c>
      <c r="B9" s="318"/>
      <c r="C9" s="100"/>
      <c r="D9" s="96"/>
    </row>
    <row r="10" spans="1:4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72" x14ac:dyDescent="0.25">
      <c r="A14" s="35"/>
      <c r="B14" s="90" t="s">
        <v>371</v>
      </c>
      <c r="C14" s="18">
        <f>0.17*30</f>
        <v>5.1000000000000005</v>
      </c>
      <c r="D14" s="18">
        <f>C14*100</f>
        <v>510.00000000000006</v>
      </c>
    </row>
    <row r="15" spans="1:4" ht="24" x14ac:dyDescent="0.25">
      <c r="A15" s="35">
        <v>1200</v>
      </c>
      <c r="B15" s="40" t="s">
        <v>370</v>
      </c>
      <c r="C15" s="18">
        <f>ROUND(C14*0.2359,2)</f>
        <v>1.2</v>
      </c>
      <c r="D15" s="18">
        <f>C15*100</f>
        <v>120</v>
      </c>
    </row>
    <row r="16" spans="1:4" x14ac:dyDescent="0.25">
      <c r="A16" s="35">
        <v>2341</v>
      </c>
      <c r="B16" s="35" t="s">
        <v>97</v>
      </c>
      <c r="C16" s="74"/>
      <c r="D16" s="74"/>
    </row>
    <row r="17" spans="1:7" ht="96" x14ac:dyDescent="0.25">
      <c r="A17" s="35"/>
      <c r="B17" s="235" t="s">
        <v>563</v>
      </c>
      <c r="C17" s="18">
        <v>8.61</v>
      </c>
      <c r="D17" s="18">
        <f>C17*100</f>
        <v>861</v>
      </c>
      <c r="E17" s="189"/>
      <c r="F17" s="190"/>
      <c r="G17" s="190"/>
    </row>
    <row r="18" spans="1:7" x14ac:dyDescent="0.25">
      <c r="A18" s="35"/>
      <c r="B18" s="92" t="s">
        <v>87</v>
      </c>
      <c r="C18" s="82">
        <f>SUM(C13:C17)</f>
        <v>14.91</v>
      </c>
      <c r="D18" s="82">
        <f>SUM(D13:D17)</f>
        <v>1491</v>
      </c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6" t="s">
        <v>584</v>
      </c>
      <c r="C20" s="78"/>
      <c r="D20" s="78"/>
    </row>
    <row r="21" spans="1:7" ht="60" x14ac:dyDescent="0.25">
      <c r="A21" s="77"/>
      <c r="B21" s="40" t="s">
        <v>1328</v>
      </c>
      <c r="C21" s="80">
        <f>ROUND(31.85/9509,5)</f>
        <v>3.3500000000000001E-3</v>
      </c>
      <c r="D21" s="18">
        <f>C21*100</f>
        <v>0.33500000000000002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1392</v>
      </c>
      <c r="C23" s="80">
        <f>ROUND(228.88/9509,5)</f>
        <v>2.4070000000000001E-2</v>
      </c>
      <c r="D23" s="18">
        <f t="shared" ref="D23:D85" si="0">C23*100</f>
        <v>2.407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1330</v>
      </c>
      <c r="C25" s="18">
        <f>ROUND(382.73/9509,3)</f>
        <v>0.04</v>
      </c>
      <c r="D25" s="18">
        <f t="shared" si="0"/>
        <v>4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1394</v>
      </c>
      <c r="C29" s="74">
        <f>ROUND(1004.28/9509,3)</f>
        <v>0.106</v>
      </c>
      <c r="D29" s="18">
        <f t="shared" si="0"/>
        <v>10.6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1395</v>
      </c>
      <c r="C35" s="74">
        <f>ROUND(20.68/9509,3)</f>
        <v>2E-3</v>
      </c>
      <c r="D35" s="18">
        <f t="shared" si="0"/>
        <v>0.2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1396</v>
      </c>
      <c r="C37" s="74">
        <f>ROUND(58.15/9509,3)</f>
        <v>6.0000000000000001E-3</v>
      </c>
      <c r="D37" s="18">
        <f t="shared" si="0"/>
        <v>0.6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1555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1342</v>
      </c>
      <c r="C49" s="80">
        <f>ROUND(23.35/9509,5)</f>
        <v>2.4599999999999999E-3</v>
      </c>
      <c r="D49" s="18">
        <f t="shared" si="0"/>
        <v>0.246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1343</v>
      </c>
      <c r="C51" s="74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1345</v>
      </c>
      <c r="C55" s="74">
        <f>ROUND(9.91/9509,5)</f>
        <v>1.0399999999999999E-3</v>
      </c>
      <c r="D55" s="18">
        <f t="shared" si="0"/>
        <v>0.104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1398</v>
      </c>
      <c r="C65" s="18">
        <f>ROUND(103.21/9509,3)</f>
        <v>1.0999999999999999E-2</v>
      </c>
      <c r="D65" s="18">
        <f t="shared" si="0"/>
        <v>1.0999999999999999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1542</v>
      </c>
      <c r="C67" s="18">
        <f>ROUND(241.97/9509,3)</f>
        <v>2.5000000000000001E-2</v>
      </c>
      <c r="D67" s="18">
        <f t="shared" si="0"/>
        <v>2.5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1352</v>
      </c>
      <c r="C69" s="18">
        <f>ROUND(87.42/9509,3)</f>
        <v>8.9999999999999993E-3</v>
      </c>
      <c r="D69" s="18">
        <f t="shared" si="0"/>
        <v>0.89999999999999991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1353</v>
      </c>
      <c r="C71" s="74">
        <f>ROUND(28.69/9509,5)</f>
        <v>3.0200000000000001E-3</v>
      </c>
      <c r="D71" s="18">
        <f t="shared" si="0"/>
        <v>0.30199999999999999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1354</v>
      </c>
      <c r="C73" s="80">
        <f>ROUND(8.56/9509,5)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1355</v>
      </c>
      <c r="C75" s="74">
        <f>ROUND(58.04/9509,5)</f>
        <v>6.1000000000000004E-3</v>
      </c>
      <c r="D75" s="18">
        <f t="shared" si="0"/>
        <v>0.61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1556</v>
      </c>
      <c r="C77" s="80">
        <f>ROUND(249.88/9509,4)</f>
        <v>2.63E-2</v>
      </c>
      <c r="D77" s="18">
        <f t="shared" si="0"/>
        <v>2.63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626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1545</v>
      </c>
      <c r="C81" s="80">
        <f>ROUND(61.55/9509,5)</f>
        <v>6.4700000000000001E-3</v>
      </c>
      <c r="D81" s="18">
        <f t="shared" si="0"/>
        <v>0.64700000000000002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1403</v>
      </c>
      <c r="C83" s="80">
        <f>ROUND(88.34/9509,5)</f>
        <v>9.2899999999999996E-3</v>
      </c>
      <c r="D83" s="18">
        <f t="shared" si="0"/>
        <v>0.92899999999999994</v>
      </c>
    </row>
    <row r="84" spans="1:4" ht="15.7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1404</v>
      </c>
      <c r="C85" s="74">
        <f>ROUND(151.09/9509,3)</f>
        <v>1.6E-2</v>
      </c>
      <c r="D85" s="18">
        <f t="shared" si="0"/>
        <v>1.6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93</v>
      </c>
    </row>
    <row r="87" spans="1:4" x14ac:dyDescent="0.25">
      <c r="A87" s="83"/>
      <c r="B87" s="84" t="s">
        <v>95</v>
      </c>
      <c r="C87" s="82">
        <f>ROUND(C86+C18,3)</f>
        <v>15.84</v>
      </c>
      <c r="D87" s="82">
        <f>ROUND(D86+D18,3)</f>
        <v>1584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100</v>
      </c>
      <c r="D89" s="89"/>
    </row>
    <row r="90" spans="1:4" ht="27.75" customHeight="1" x14ac:dyDescent="0.25">
      <c r="A90" s="313" t="s">
        <v>113</v>
      </c>
      <c r="B90" s="314"/>
      <c r="C90" s="22">
        <f>D87/C89</f>
        <v>15.84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4E1E-85C4-479A-9F56-160DD9829C32}">
  <dimension ref="A1:I90"/>
  <sheetViews>
    <sheetView topLeftCell="A79" workbookViewId="0">
      <selection activeCell="B35" sqref="B35"/>
    </sheetView>
  </sheetViews>
  <sheetFormatPr defaultRowHeight="15" x14ac:dyDescent="0.25"/>
  <cols>
    <col min="1" max="1" width="10" customWidth="1"/>
    <col min="2" max="2" width="56.85546875" customWidth="1"/>
    <col min="3" max="3" width="12.85546875" customWidth="1"/>
    <col min="4" max="4" width="14.42578125" customWidth="1"/>
  </cols>
  <sheetData>
    <row r="1" spans="1:4" x14ac:dyDescent="0.25">
      <c r="A1" s="315" t="s">
        <v>78</v>
      </c>
      <c r="B1" s="315"/>
      <c r="C1" s="315"/>
      <c r="D1" s="315"/>
    </row>
    <row r="2" spans="1:4" ht="13.5" customHeight="1" x14ac:dyDescent="0.25">
      <c r="A2" s="97"/>
      <c r="B2" s="97"/>
      <c r="C2" s="120"/>
      <c r="D2" s="120"/>
    </row>
    <row r="3" spans="1:4" x14ac:dyDescent="0.25">
      <c r="A3" s="98" t="s">
        <v>111</v>
      </c>
      <c r="B3" s="99"/>
      <c r="C3" s="99"/>
      <c r="D3" s="99"/>
    </row>
    <row r="4" spans="1:4" ht="12" customHeight="1" x14ac:dyDescent="0.25">
      <c r="A4" s="97"/>
      <c r="B4" s="60"/>
      <c r="C4" s="60"/>
      <c r="D4" s="60"/>
    </row>
    <row r="5" spans="1:4" ht="24.75" customHeight="1" x14ac:dyDescent="0.25">
      <c r="A5" s="307" t="s">
        <v>176</v>
      </c>
      <c r="B5" s="307"/>
      <c r="C5" s="307"/>
      <c r="D5" s="307"/>
    </row>
    <row r="6" spans="1:4" ht="12.75" customHeight="1" x14ac:dyDescent="0.25">
      <c r="A6" s="240"/>
      <c r="B6" s="60"/>
      <c r="C6" s="60"/>
      <c r="D6" s="60"/>
    </row>
    <row r="7" spans="1:4" x14ac:dyDescent="0.25">
      <c r="A7" s="308" t="s">
        <v>112</v>
      </c>
      <c r="B7" s="310"/>
      <c r="C7" s="60"/>
      <c r="D7" s="60"/>
    </row>
    <row r="8" spans="1:4" ht="9" customHeight="1" x14ac:dyDescent="0.25">
      <c r="A8" s="240"/>
      <c r="B8" s="241"/>
      <c r="C8" s="60"/>
      <c r="D8" s="60"/>
    </row>
    <row r="9" spans="1:4" x14ac:dyDescent="0.25">
      <c r="A9" s="318" t="s">
        <v>106</v>
      </c>
      <c r="B9" s="318"/>
      <c r="C9" s="100"/>
      <c r="D9" s="96"/>
    </row>
    <row r="10" spans="1:4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68"/>
    </row>
    <row r="14" spans="1:4" ht="88.5" customHeight="1" x14ac:dyDescent="0.25">
      <c r="A14" s="35"/>
      <c r="B14" s="90" t="s">
        <v>564</v>
      </c>
      <c r="C14" s="18">
        <f>0.17*80</f>
        <v>13.600000000000001</v>
      </c>
      <c r="D14" s="18">
        <f>C14*10</f>
        <v>136</v>
      </c>
    </row>
    <row r="15" spans="1:4" ht="24" x14ac:dyDescent="0.25">
      <c r="A15" s="35">
        <v>1200</v>
      </c>
      <c r="B15" s="40" t="s">
        <v>372</v>
      </c>
      <c r="C15" s="18">
        <f>ROUND(C14*0.2359,2)</f>
        <v>3.21</v>
      </c>
      <c r="D15" s="18">
        <f>C15*10</f>
        <v>32.1</v>
      </c>
    </row>
    <row r="16" spans="1:4" x14ac:dyDescent="0.25">
      <c r="A16" s="35">
        <v>2341</v>
      </c>
      <c r="B16" s="35" t="s">
        <v>86</v>
      </c>
      <c r="C16" s="74"/>
      <c r="D16" s="74"/>
    </row>
    <row r="17" spans="1:9" ht="72" x14ac:dyDescent="0.25">
      <c r="A17" s="35"/>
      <c r="B17" s="235" t="s">
        <v>565</v>
      </c>
      <c r="C17" s="18">
        <v>0.27</v>
      </c>
      <c r="D17" s="18">
        <f>C17*10</f>
        <v>2.7</v>
      </c>
      <c r="E17" s="189"/>
      <c r="F17" s="190"/>
      <c r="G17" s="190"/>
      <c r="H17" s="190"/>
      <c r="I17" s="190"/>
    </row>
    <row r="18" spans="1:9" x14ac:dyDescent="0.25">
      <c r="A18" s="35"/>
      <c r="B18" s="92" t="s">
        <v>87</v>
      </c>
      <c r="C18" s="82">
        <f>SUM(C13:C17)</f>
        <v>17.080000000000002</v>
      </c>
      <c r="D18" s="82">
        <f>SUM(D13:D17)</f>
        <v>170.79999999999998</v>
      </c>
    </row>
    <row r="19" spans="1:9" x14ac:dyDescent="0.25">
      <c r="A19" s="77"/>
      <c r="B19" s="176" t="s">
        <v>88</v>
      </c>
      <c r="C19" s="78"/>
      <c r="D19" s="78"/>
    </row>
    <row r="20" spans="1:9" ht="15.75" customHeight="1" x14ac:dyDescent="0.25">
      <c r="A20" s="35">
        <v>2100</v>
      </c>
      <c r="B20" s="246" t="s">
        <v>584</v>
      </c>
      <c r="C20" s="78"/>
      <c r="D20" s="78"/>
    </row>
    <row r="21" spans="1:9" ht="60" x14ac:dyDescent="0.25">
      <c r="A21" s="77"/>
      <c r="B21" s="40" t="s">
        <v>1557</v>
      </c>
      <c r="C21" s="74">
        <f>ROUND(31.85/9509,5)</f>
        <v>3.3500000000000001E-3</v>
      </c>
      <c r="D21" s="18">
        <f>C21*10</f>
        <v>3.3500000000000002E-2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60" x14ac:dyDescent="0.25">
      <c r="A23" s="35"/>
      <c r="B23" s="40" t="s">
        <v>1558</v>
      </c>
      <c r="C23" s="18">
        <f>ROUND(228.88/9509,5)</f>
        <v>2.4070000000000001E-2</v>
      </c>
      <c r="D23" s="18">
        <f t="shared" ref="D23:D85" si="0">C23*10</f>
        <v>0.24070000000000003</v>
      </c>
    </row>
    <row r="24" spans="1:9" x14ac:dyDescent="0.25">
      <c r="A24" s="35">
        <v>2221</v>
      </c>
      <c r="B24" s="40" t="s">
        <v>89</v>
      </c>
      <c r="C24" s="18"/>
      <c r="D24" s="18"/>
    </row>
    <row r="25" spans="1:9" ht="60" x14ac:dyDescent="0.25">
      <c r="A25" s="35"/>
      <c r="B25" s="40" t="s">
        <v>1559</v>
      </c>
      <c r="C25" s="18">
        <f>ROUND(382.73/9509,5)</f>
        <v>4.0250000000000001E-2</v>
      </c>
      <c r="D25" s="18">
        <f t="shared" si="0"/>
        <v>0.40250000000000002</v>
      </c>
    </row>
    <row r="26" spans="1:9" x14ac:dyDescent="0.25">
      <c r="A26" s="35">
        <v>2222</v>
      </c>
      <c r="B26" s="242" t="s">
        <v>90</v>
      </c>
      <c r="C26" s="18"/>
      <c r="D26" s="18"/>
    </row>
    <row r="27" spans="1:9" ht="60" x14ac:dyDescent="0.25">
      <c r="A27" s="35"/>
      <c r="B27" s="40" t="s">
        <v>1560</v>
      </c>
      <c r="C27" s="74">
        <f>ROUND(38.69/9509,5)</f>
        <v>4.0699999999999998E-3</v>
      </c>
      <c r="D27" s="18">
        <f t="shared" si="0"/>
        <v>4.07E-2</v>
      </c>
    </row>
    <row r="28" spans="1:9" x14ac:dyDescent="0.25">
      <c r="A28" s="35">
        <v>2223</v>
      </c>
      <c r="B28" s="35" t="s">
        <v>91</v>
      </c>
      <c r="C28" s="74"/>
      <c r="D28" s="18"/>
    </row>
    <row r="29" spans="1:9" ht="60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9" ht="24" x14ac:dyDescent="0.25">
      <c r="A30" s="35">
        <v>2224</v>
      </c>
      <c r="B30" s="40" t="s">
        <v>115</v>
      </c>
      <c r="C30" s="74"/>
      <c r="D30" s="18"/>
    </row>
    <row r="31" spans="1:9" ht="60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9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1565</v>
      </c>
      <c r="C39" s="74">
        <f>ROUND(524.45/9509,5)</f>
        <v>5.5149999999999998E-2</v>
      </c>
      <c r="D39" s="18">
        <f t="shared" si="0"/>
        <v>0.55149999999999999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1572</v>
      </c>
      <c r="C55" s="74">
        <f>ROUND(9.91/9509,5)</f>
        <v>1.0399999999999999E-3</v>
      </c>
      <c r="D55" s="18">
        <f t="shared" si="0"/>
        <v>1.04E-2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1575</v>
      </c>
      <c r="C59" s="74">
        <f>ROUND(72.76/9509,5)</f>
        <v>7.6499999999999997E-3</v>
      </c>
      <c r="D59" s="18">
        <f t="shared" si="0"/>
        <v>7.6499999999999999E-2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1578</v>
      </c>
      <c r="C63" s="18">
        <f>ROUND(224.14/9509,5)</f>
        <v>2.3570000000000001E-2</v>
      </c>
      <c r="D63" s="18">
        <f t="shared" si="0"/>
        <v>0.23570000000000002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1577</v>
      </c>
      <c r="C65" s="18">
        <f>ROUND(103.21/9509,5)</f>
        <v>1.085E-2</v>
      </c>
      <c r="D65" s="18">
        <f t="shared" si="0"/>
        <v>0.1085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1580</v>
      </c>
      <c r="C69" s="18">
        <f>ROUND(87.42/9509,5)</f>
        <v>9.1900000000000003E-3</v>
      </c>
      <c r="D69" s="18">
        <f t="shared" si="0"/>
        <v>9.1900000000000009E-2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ht="16.5" customHeight="1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ht="15" customHeight="1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1.5" customHeight="1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59.25" customHeight="1" x14ac:dyDescent="0.25">
      <c r="A85" s="35"/>
      <c r="B85" s="40" t="s">
        <v>1587</v>
      </c>
      <c r="C85" s="74">
        <f>ROUND(151.09/9509,4)</f>
        <v>1.5900000000000001E-2</v>
      </c>
      <c r="D85" s="18">
        <f t="shared" si="0"/>
        <v>0.159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18.010000000000002</v>
      </c>
      <c r="D87" s="82">
        <f>ROUND(D86+D18,3)</f>
        <v>180.1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10</v>
      </c>
      <c r="D89" s="89"/>
    </row>
    <row r="90" spans="1:4" ht="30.75" customHeight="1" x14ac:dyDescent="0.25">
      <c r="A90" s="313" t="s">
        <v>113</v>
      </c>
      <c r="B90" s="314"/>
      <c r="C90" s="22">
        <f>D87/C89</f>
        <v>18.009999999999998</v>
      </c>
      <c r="D90" s="89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3D4D2-8E1F-47EB-9CF3-F56E7A8872E4}">
  <dimension ref="A1:D90"/>
  <sheetViews>
    <sheetView topLeftCell="A81" workbookViewId="0">
      <selection activeCell="B81" sqref="B81"/>
    </sheetView>
  </sheetViews>
  <sheetFormatPr defaultRowHeight="15" x14ac:dyDescent="0.25"/>
  <cols>
    <col min="1" max="1" width="9.5703125" customWidth="1"/>
    <col min="2" max="2" width="57.28515625" customWidth="1"/>
    <col min="3" max="3" width="11" customWidth="1"/>
    <col min="4" max="4" width="13.5703125" customWidth="1"/>
  </cols>
  <sheetData>
    <row r="1" spans="1:4" x14ac:dyDescent="0.25">
      <c r="A1" s="315" t="s">
        <v>78</v>
      </c>
      <c r="B1" s="315"/>
      <c r="C1" s="315"/>
      <c r="D1" s="315"/>
    </row>
    <row r="2" spans="1:4" ht="11.25" customHeight="1" x14ac:dyDescent="0.25">
      <c r="A2" s="97"/>
      <c r="B2" s="97"/>
      <c r="C2" s="316"/>
      <c r="D2" s="317"/>
    </row>
    <row r="3" spans="1:4" x14ac:dyDescent="0.25">
      <c r="A3" s="98" t="s">
        <v>111</v>
      </c>
      <c r="B3" s="99"/>
      <c r="C3" s="99"/>
      <c r="D3" s="99"/>
    </row>
    <row r="4" spans="1:4" ht="10.5" customHeight="1" x14ac:dyDescent="0.25">
      <c r="A4" s="97"/>
      <c r="B4" s="60"/>
      <c r="C4" s="60"/>
      <c r="D4" s="96"/>
    </row>
    <row r="5" spans="1:4" ht="28.5" customHeight="1" x14ac:dyDescent="0.25">
      <c r="A5" s="307" t="s">
        <v>177</v>
      </c>
      <c r="B5" s="307"/>
      <c r="C5" s="307"/>
      <c r="D5" s="307"/>
    </row>
    <row r="6" spans="1:4" ht="12" customHeight="1" x14ac:dyDescent="0.25">
      <c r="A6" s="240"/>
      <c r="B6" s="60"/>
      <c r="C6" s="60"/>
      <c r="D6" s="96"/>
    </row>
    <row r="7" spans="1:4" x14ac:dyDescent="0.25">
      <c r="A7" s="308" t="s">
        <v>112</v>
      </c>
      <c r="B7" s="310"/>
      <c r="C7" s="60"/>
      <c r="D7" s="96"/>
    </row>
    <row r="8" spans="1:4" ht="11.25" customHeight="1" x14ac:dyDescent="0.25">
      <c r="A8" s="240"/>
      <c r="B8" s="241"/>
      <c r="C8" s="60"/>
      <c r="D8" s="96"/>
    </row>
    <row r="9" spans="1:4" x14ac:dyDescent="0.25">
      <c r="A9" s="318" t="s">
        <v>127</v>
      </c>
      <c r="B9" s="318"/>
      <c r="C9" s="100"/>
      <c r="D9" s="96"/>
    </row>
    <row r="10" spans="1:4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72" x14ac:dyDescent="0.25">
      <c r="A14" s="35"/>
      <c r="B14" s="90" t="s">
        <v>373</v>
      </c>
      <c r="C14" s="18">
        <f>0.17*15</f>
        <v>2.5500000000000003</v>
      </c>
      <c r="D14" s="18">
        <f>C14*80</f>
        <v>204.00000000000003</v>
      </c>
    </row>
    <row r="15" spans="1:4" ht="24" x14ac:dyDescent="0.25">
      <c r="A15" s="35">
        <v>1200</v>
      </c>
      <c r="B15" s="40" t="s">
        <v>333</v>
      </c>
      <c r="C15" s="18">
        <f>ROUND(C14*0.2359,2)</f>
        <v>0.6</v>
      </c>
      <c r="D15" s="18">
        <f>C15*80</f>
        <v>48</v>
      </c>
    </row>
    <row r="16" spans="1:4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421</v>
      </c>
      <c r="C17" s="18">
        <v>10.7</v>
      </c>
      <c r="D17" s="18">
        <f>C17*80</f>
        <v>856</v>
      </c>
    </row>
    <row r="18" spans="1:4" x14ac:dyDescent="0.25">
      <c r="A18" s="35"/>
      <c r="B18" s="92" t="s">
        <v>87</v>
      </c>
      <c r="C18" s="82">
        <f>SUM(C13:C17)</f>
        <v>13.85</v>
      </c>
      <c r="D18" s="82">
        <f>SUM(D13:D17)</f>
        <v>1108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2.25" customHeight="1" x14ac:dyDescent="0.25">
      <c r="A21" s="77"/>
      <c r="B21" s="40" t="s">
        <v>1589</v>
      </c>
      <c r="C21" s="74">
        <f>ROUND(31.85/9509,3)</f>
        <v>3.0000000000000001E-3</v>
      </c>
      <c r="D21" s="18">
        <f>C21*80</f>
        <v>0.24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1590</v>
      </c>
      <c r="C23" s="74">
        <f>ROUND(228.88/9509,5)</f>
        <v>2.4070000000000001E-2</v>
      </c>
      <c r="D23" s="18">
        <f t="shared" ref="D23:D85" si="0">C23*80</f>
        <v>1.9256000000000002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60" x14ac:dyDescent="0.25">
      <c r="A25" s="35"/>
      <c r="B25" s="40" t="s">
        <v>1591</v>
      </c>
      <c r="C25" s="74">
        <f>ROUND(382.73/9509,5)</f>
        <v>4.0250000000000001E-2</v>
      </c>
      <c r="D25" s="18">
        <f t="shared" si="0"/>
        <v>3.22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60" x14ac:dyDescent="0.25">
      <c r="A27" s="35"/>
      <c r="B27" s="40" t="s">
        <v>1592</v>
      </c>
      <c r="C27" s="74">
        <f>ROUND(38.69/9509,3)</f>
        <v>4.0000000000000001E-3</v>
      </c>
      <c r="D27" s="18">
        <f t="shared" si="0"/>
        <v>0.32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60" x14ac:dyDescent="0.25">
      <c r="A29" s="35"/>
      <c r="B29" s="40" t="s">
        <v>1593</v>
      </c>
      <c r="C29" s="74">
        <f>ROUND(1004.28/9509,3)</f>
        <v>0.106</v>
      </c>
      <c r="D29" s="18">
        <f t="shared" si="0"/>
        <v>8.48</v>
      </c>
    </row>
    <row r="30" spans="1:4" ht="27" customHeight="1" x14ac:dyDescent="0.25">
      <c r="A30" s="35">
        <v>2224</v>
      </c>
      <c r="B30" s="40" t="s">
        <v>115</v>
      </c>
      <c r="C30" s="74"/>
      <c r="D30" s="18"/>
    </row>
    <row r="31" spans="1:4" ht="54.75" customHeight="1" x14ac:dyDescent="0.25">
      <c r="A31" s="34"/>
      <c r="B31" s="40" t="s">
        <v>1594</v>
      </c>
      <c r="C31" s="18">
        <f>ROUND(82.8/9509,3)</f>
        <v>8.9999999999999993E-3</v>
      </c>
      <c r="D31" s="18">
        <f t="shared" si="0"/>
        <v>0.72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1595</v>
      </c>
      <c r="C33" s="18">
        <f>ROUND(289.4/9509,3)</f>
        <v>0.03</v>
      </c>
      <c r="D33" s="18">
        <f t="shared" si="0"/>
        <v>2.4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6" customHeight="1" x14ac:dyDescent="0.25">
      <c r="A35" s="35"/>
      <c r="B35" s="40" t="s">
        <v>1596</v>
      </c>
      <c r="C35" s="74">
        <f>ROUND(20.68/9509,3)</f>
        <v>2E-3</v>
      </c>
      <c r="D35" s="18">
        <f t="shared" si="0"/>
        <v>0.16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1597</v>
      </c>
      <c r="C37" s="74">
        <f>ROUND(58.15/9509,3)</f>
        <v>6.0000000000000001E-3</v>
      </c>
      <c r="D37" s="18">
        <f t="shared" si="0"/>
        <v>0.48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1598</v>
      </c>
      <c r="C39" s="74">
        <f>ROUND(524.45/9509,3)</f>
        <v>5.5E-2</v>
      </c>
      <c r="D39" s="18">
        <f t="shared" si="0"/>
        <v>4.4000000000000004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1599</v>
      </c>
      <c r="C41" s="74">
        <f>ROUND(131.923/9509,3)</f>
        <v>1.4E-2</v>
      </c>
      <c r="D41" s="18">
        <f t="shared" si="0"/>
        <v>1.1200000000000001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1600</v>
      </c>
      <c r="C43" s="18">
        <f>ROUND(360.94/9509,3)</f>
        <v>3.7999999999999999E-2</v>
      </c>
      <c r="D43" s="18">
        <f t="shared" si="0"/>
        <v>3.04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1601</v>
      </c>
      <c r="C45" s="18">
        <f>ROUND(272.76/9509,3)</f>
        <v>2.9000000000000001E-2</v>
      </c>
      <c r="D45" s="18">
        <f t="shared" si="0"/>
        <v>2.3200000000000003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1602</v>
      </c>
      <c r="C47" s="74">
        <f>ROUND(12.06/9509,3)</f>
        <v>1E-3</v>
      </c>
      <c r="D47" s="18">
        <f t="shared" si="0"/>
        <v>0.08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1603</v>
      </c>
      <c r="C49" s="80">
        <f>ROUND(23.35/9509,5)</f>
        <v>2.4599999999999999E-3</v>
      </c>
      <c r="D49" s="18">
        <f t="shared" si="0"/>
        <v>0.1968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1604</v>
      </c>
      <c r="C51" s="18">
        <f>ROUND(750.97/9509,3)</f>
        <v>7.9000000000000001E-2</v>
      </c>
      <c r="D51" s="18">
        <f t="shared" si="0"/>
        <v>6.32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1619</v>
      </c>
      <c r="C53" s="18">
        <f>ROUND(2620.34/9509,3)</f>
        <v>0.27600000000000002</v>
      </c>
      <c r="D53" s="18">
        <f t="shared" si="0"/>
        <v>22.080000000000002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1605</v>
      </c>
      <c r="C55" s="74">
        <f>ROUND(9.91/9509,3)</f>
        <v>1E-3</v>
      </c>
      <c r="D55" s="18">
        <f t="shared" si="0"/>
        <v>0.08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1606</v>
      </c>
      <c r="C57" s="18">
        <f>ROUND(132.32/9509,3)</f>
        <v>1.4E-2</v>
      </c>
      <c r="D57" s="18">
        <f t="shared" si="0"/>
        <v>1.1200000000000001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1607</v>
      </c>
      <c r="C59" s="74">
        <f>ROUND(72.76/9509,3)</f>
        <v>8.0000000000000002E-3</v>
      </c>
      <c r="D59" s="18">
        <f t="shared" si="0"/>
        <v>0.64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1608</v>
      </c>
      <c r="C61" s="18">
        <f>ROUND(484.21/9509,3)</f>
        <v>5.0999999999999997E-2</v>
      </c>
      <c r="D61" s="18">
        <f t="shared" si="0"/>
        <v>4.08</v>
      </c>
    </row>
    <row r="62" spans="1:4" ht="23.25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1609</v>
      </c>
      <c r="C63" s="18">
        <f>ROUND(224.14/9509,3)</f>
        <v>2.4E-2</v>
      </c>
      <c r="D63" s="18">
        <f t="shared" si="0"/>
        <v>1.92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1610</v>
      </c>
      <c r="C65" s="18">
        <f>ROUND(103.21/9509,3)</f>
        <v>1.0999999999999999E-2</v>
      </c>
      <c r="D65" s="18">
        <f t="shared" si="0"/>
        <v>0.87999999999999989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1611</v>
      </c>
      <c r="C67" s="18">
        <f>ROUND(241.97/9509,3)</f>
        <v>2.5000000000000001E-2</v>
      </c>
      <c r="D67" s="18">
        <f t="shared" si="0"/>
        <v>2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1612</v>
      </c>
      <c r="C69" s="18">
        <f>ROUND(87.42/9509,3)</f>
        <v>8.9999999999999993E-3</v>
      </c>
      <c r="D69" s="18">
        <f t="shared" si="0"/>
        <v>0.72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1613</v>
      </c>
      <c r="C71" s="74">
        <f>ROUND(28.69/9509,3)</f>
        <v>3.0000000000000001E-3</v>
      </c>
      <c r="D71" s="18">
        <f t="shared" si="0"/>
        <v>0.24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1614</v>
      </c>
      <c r="C73" s="74">
        <f>ROUND(8.56/9509,3)</f>
        <v>1E-3</v>
      </c>
      <c r="D73" s="18">
        <f t="shared" si="0"/>
        <v>0.08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1615</v>
      </c>
      <c r="C75" s="80">
        <f>ROUND(58.04/9509,4)</f>
        <v>6.1000000000000004E-3</v>
      </c>
      <c r="D75" s="18">
        <f t="shared" si="0"/>
        <v>0.48800000000000004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1616</v>
      </c>
      <c r="C77" s="74">
        <f>ROUND(249.88/9509,4)</f>
        <v>2.63E-2</v>
      </c>
      <c r="D77" s="18">
        <f t="shared" si="0"/>
        <v>2.1040000000000001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1620</v>
      </c>
      <c r="C81" s="74">
        <f>ROUND(61.55/9509,4)</f>
        <v>6.4999999999999997E-3</v>
      </c>
      <c r="D81" s="18">
        <f>C81*80+0.01</f>
        <v>0.53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1617</v>
      </c>
      <c r="C83" s="74">
        <f>ROUND(88.34/9509,4)</f>
        <v>9.2999999999999992E-3</v>
      </c>
      <c r="D83" s="18">
        <f t="shared" si="0"/>
        <v>0.74399999999999999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2.25" customHeight="1" x14ac:dyDescent="0.25">
      <c r="A85" s="35"/>
      <c r="B85" s="40" t="s">
        <v>1618</v>
      </c>
      <c r="C85" s="74">
        <f>ROUND(151.09/9509,5)</f>
        <v>1.5890000000000001E-2</v>
      </c>
      <c r="D85" s="18">
        <f t="shared" si="0"/>
        <v>1.2712000000000001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74.400000000000006</v>
      </c>
    </row>
    <row r="87" spans="1:4" x14ac:dyDescent="0.25">
      <c r="A87" s="83"/>
      <c r="B87" s="84" t="s">
        <v>95</v>
      </c>
      <c r="C87" s="82">
        <f>ROUND(C86+C18,3)</f>
        <v>14.78</v>
      </c>
      <c r="D87" s="82">
        <f>ROUND(D86+D18,3)</f>
        <v>1182.4000000000001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80</v>
      </c>
      <c r="D89" s="89"/>
    </row>
    <row r="90" spans="1:4" ht="27" customHeight="1" x14ac:dyDescent="0.25">
      <c r="A90" s="313" t="s">
        <v>113</v>
      </c>
      <c r="B90" s="314"/>
      <c r="C90" s="22">
        <f>D87/C89</f>
        <v>14.780000000000001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4C65-3519-471D-A498-4310365E6851}">
  <dimension ref="A1:I90"/>
  <sheetViews>
    <sheetView topLeftCell="A81" workbookViewId="0">
      <selection activeCell="B47" sqref="B47"/>
    </sheetView>
  </sheetViews>
  <sheetFormatPr defaultRowHeight="15" x14ac:dyDescent="0.25"/>
  <cols>
    <col min="1" max="1" width="9.5703125" customWidth="1"/>
    <col min="2" max="2" width="55.28515625" customWidth="1"/>
    <col min="3" max="3" width="11" customWidth="1"/>
    <col min="4" max="4" width="14.8554687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x14ac:dyDescent="0.25">
      <c r="A5" s="307" t="s">
        <v>178</v>
      </c>
      <c r="B5" s="307"/>
      <c r="C5" s="307"/>
      <c r="D5" s="307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109</v>
      </c>
      <c r="B9" s="318"/>
      <c r="C9" s="60"/>
      <c r="D9" s="96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93" customHeight="1" x14ac:dyDescent="0.25">
      <c r="A14" s="35"/>
      <c r="B14" s="90" t="s">
        <v>374</v>
      </c>
      <c r="C14" s="18">
        <f>0.17*30</f>
        <v>5.1000000000000005</v>
      </c>
      <c r="D14" s="18">
        <f>C14*4</f>
        <v>20.400000000000002</v>
      </c>
    </row>
    <row r="15" spans="1:5" ht="24" x14ac:dyDescent="0.25">
      <c r="A15" s="35">
        <v>1200</v>
      </c>
      <c r="B15" s="40" t="s">
        <v>375</v>
      </c>
      <c r="C15" s="18">
        <f>ROUND(C14*0.2359,2)</f>
        <v>1.2</v>
      </c>
      <c r="D15" s="18">
        <f>C15*4</f>
        <v>4.8</v>
      </c>
      <c r="E15" s="181"/>
    </row>
    <row r="16" spans="1:5" x14ac:dyDescent="0.25">
      <c r="A16" s="35">
        <v>2341</v>
      </c>
      <c r="B16" s="35" t="s">
        <v>97</v>
      </c>
      <c r="C16" s="74"/>
      <c r="D16" s="74"/>
    </row>
    <row r="17" spans="1:9" ht="84" x14ac:dyDescent="0.25">
      <c r="A17" s="35"/>
      <c r="B17" s="235" t="s">
        <v>562</v>
      </c>
      <c r="C17" s="18">
        <v>1.07</v>
      </c>
      <c r="D17" s="18">
        <f>C17*4</f>
        <v>4.28</v>
      </c>
      <c r="E17" s="191"/>
      <c r="F17" s="190"/>
      <c r="G17" s="190"/>
      <c r="H17" s="190"/>
      <c r="I17" s="190"/>
    </row>
    <row r="18" spans="1:9" x14ac:dyDescent="0.25">
      <c r="A18" s="84"/>
      <c r="B18" s="92" t="s">
        <v>87</v>
      </c>
      <c r="C18" s="82">
        <f>SUM(C13:C17)</f>
        <v>7.370000000000001</v>
      </c>
      <c r="D18" s="82">
        <f>SUM(D13:D17)</f>
        <v>29.480000000000004</v>
      </c>
      <c r="E18" s="183"/>
    </row>
    <row r="19" spans="1:9" x14ac:dyDescent="0.25">
      <c r="A19" s="77"/>
      <c r="B19" s="176" t="s">
        <v>88</v>
      </c>
      <c r="C19" s="78"/>
      <c r="D19" s="78"/>
    </row>
    <row r="20" spans="1:9" x14ac:dyDescent="0.25">
      <c r="A20" s="35">
        <v>2100</v>
      </c>
      <c r="B20" s="244" t="s">
        <v>584</v>
      </c>
      <c r="C20" s="78"/>
      <c r="D20" s="78"/>
    </row>
    <row r="21" spans="1:9" ht="60" x14ac:dyDescent="0.25">
      <c r="A21" s="77"/>
      <c r="B21" s="40" t="s">
        <v>1621</v>
      </c>
      <c r="C21" s="74">
        <f>ROUND(31.85/9509,3)</f>
        <v>3.0000000000000001E-3</v>
      </c>
      <c r="D21" s="18">
        <f>C21*4</f>
        <v>1.2E-2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60" x14ac:dyDescent="0.25">
      <c r="A23" s="35"/>
      <c r="B23" s="40" t="s">
        <v>1622</v>
      </c>
      <c r="C23" s="18">
        <f>ROUND(228.88/9509,3)</f>
        <v>2.4E-2</v>
      </c>
      <c r="D23" s="18">
        <f t="shared" ref="D23:D85" si="0">C23*4</f>
        <v>9.6000000000000002E-2</v>
      </c>
    </row>
    <row r="24" spans="1:9" x14ac:dyDescent="0.25">
      <c r="A24" s="35">
        <v>2221</v>
      </c>
      <c r="B24" s="40" t="s">
        <v>89</v>
      </c>
      <c r="C24" s="18"/>
      <c r="D24" s="18"/>
    </row>
    <row r="25" spans="1:9" ht="60" x14ac:dyDescent="0.25">
      <c r="A25" s="35"/>
      <c r="B25" s="40" t="s">
        <v>1623</v>
      </c>
      <c r="C25" s="18">
        <f>ROUND(382.73/9509,3)</f>
        <v>0.04</v>
      </c>
      <c r="D25" s="18">
        <f t="shared" si="0"/>
        <v>0.16</v>
      </c>
    </row>
    <row r="26" spans="1:9" x14ac:dyDescent="0.25">
      <c r="A26" s="35">
        <v>2222</v>
      </c>
      <c r="B26" s="242" t="s">
        <v>90</v>
      </c>
      <c r="C26" s="18"/>
      <c r="D26" s="18"/>
    </row>
    <row r="27" spans="1:9" ht="60" x14ac:dyDescent="0.25">
      <c r="A27" s="35"/>
      <c r="B27" s="40" t="s">
        <v>1624</v>
      </c>
      <c r="C27" s="74">
        <f>ROUND(38.69/9509,3)</f>
        <v>4.0000000000000001E-3</v>
      </c>
      <c r="D27" s="18">
        <f t="shared" si="0"/>
        <v>1.6E-2</v>
      </c>
    </row>
    <row r="28" spans="1:9" x14ac:dyDescent="0.25">
      <c r="A28" s="35">
        <v>2223</v>
      </c>
      <c r="B28" s="35" t="s">
        <v>91</v>
      </c>
      <c r="C28" s="74"/>
      <c r="D28" s="18"/>
    </row>
    <row r="29" spans="1:9" ht="60" x14ac:dyDescent="0.25">
      <c r="A29" s="35"/>
      <c r="B29" s="40" t="s">
        <v>1650</v>
      </c>
      <c r="C29" s="74">
        <f>ROUND(1004.28/9509,3)</f>
        <v>0.106</v>
      </c>
      <c r="D29" s="18">
        <f t="shared" si="0"/>
        <v>0.42399999999999999</v>
      </c>
    </row>
    <row r="30" spans="1:9" ht="24" x14ac:dyDescent="0.25">
      <c r="A30" s="35">
        <v>2224</v>
      </c>
      <c r="B30" s="40" t="s">
        <v>115</v>
      </c>
      <c r="C30" s="74"/>
      <c r="D30" s="18"/>
    </row>
    <row r="31" spans="1:9" ht="60" x14ac:dyDescent="0.25">
      <c r="A31" s="34"/>
      <c r="B31" s="40" t="s">
        <v>1625</v>
      </c>
      <c r="C31" s="18">
        <f>ROUND(82.8/9509,3)</f>
        <v>8.9999999999999993E-3</v>
      </c>
      <c r="D31" s="18">
        <f t="shared" si="0"/>
        <v>3.5999999999999997E-2</v>
      </c>
    </row>
    <row r="32" spans="1:9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1626</v>
      </c>
      <c r="C33" s="18">
        <f>ROUND(289.4/9509,3)</f>
        <v>0.03</v>
      </c>
      <c r="D33" s="18">
        <f t="shared" si="0"/>
        <v>0.12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1627</v>
      </c>
      <c r="C35" s="74">
        <f>ROUND(20.68/9509,3)</f>
        <v>2E-3</v>
      </c>
      <c r="D35" s="18">
        <f t="shared" si="0"/>
        <v>8.0000000000000002E-3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1628</v>
      </c>
      <c r="C37" s="74">
        <f>ROUND(58.15/9509,3)</f>
        <v>6.0000000000000001E-3</v>
      </c>
      <c r="D37" s="18">
        <f t="shared" si="0"/>
        <v>2.4E-2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1629</v>
      </c>
      <c r="C39" s="74">
        <f>ROUND(524.45/9509,3)</f>
        <v>5.5E-2</v>
      </c>
      <c r="D39" s="18">
        <f t="shared" si="0"/>
        <v>0.22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1630</v>
      </c>
      <c r="C41" s="74">
        <f>ROUND(131.923/9509,3)</f>
        <v>1.4E-2</v>
      </c>
      <c r="D41" s="18">
        <f t="shared" si="0"/>
        <v>5.6000000000000001E-2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1631</v>
      </c>
      <c r="C43" s="18">
        <f>ROUND(360.94/9509,3)</f>
        <v>3.7999999999999999E-2</v>
      </c>
      <c r="D43" s="18">
        <f t="shared" si="0"/>
        <v>0.152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1632</v>
      </c>
      <c r="C45" s="18">
        <f>ROUND(272.76/9509,3)</f>
        <v>2.9000000000000001E-2</v>
      </c>
      <c r="D45" s="18">
        <f t="shared" si="0"/>
        <v>0.11600000000000001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1651</v>
      </c>
      <c r="C47" s="74">
        <f>ROUND(12.06/9509,3)</f>
        <v>1E-3</v>
      </c>
      <c r="D47" s="74">
        <f t="shared" si="0"/>
        <v>4.0000000000000001E-3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1633</v>
      </c>
      <c r="C49" s="74">
        <f>ROUND(23.35/9509,3)</f>
        <v>2E-3</v>
      </c>
      <c r="D49" s="18">
        <f t="shared" si="0"/>
        <v>8.0000000000000002E-3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1634</v>
      </c>
      <c r="C51" s="18">
        <f>ROUND(750.97/9509,3)</f>
        <v>7.9000000000000001E-2</v>
      </c>
      <c r="D51" s="18">
        <f t="shared" si="0"/>
        <v>0.316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1635</v>
      </c>
      <c r="C53" s="18">
        <f>ROUND(2620.34/9509,3)</f>
        <v>0.27600000000000002</v>
      </c>
      <c r="D53" s="18">
        <f t="shared" si="0"/>
        <v>1.1040000000000001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1636</v>
      </c>
      <c r="C55" s="74">
        <f>ROUND(9.91/9509,3)</f>
        <v>1E-3</v>
      </c>
      <c r="D55" s="74">
        <f t="shared" si="0"/>
        <v>4.0000000000000001E-3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1637</v>
      </c>
      <c r="C57" s="18">
        <f>ROUND(132.32/9509,3)</f>
        <v>1.4E-2</v>
      </c>
      <c r="D57" s="18">
        <f t="shared" si="0"/>
        <v>5.6000000000000001E-2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1638</v>
      </c>
      <c r="C59" s="74">
        <f>ROUND(72.76/9509,3)</f>
        <v>8.0000000000000002E-3</v>
      </c>
      <c r="D59" s="18">
        <f t="shared" si="0"/>
        <v>3.2000000000000001E-2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1639</v>
      </c>
      <c r="C61" s="18">
        <f>ROUND(484.21/9509,3)</f>
        <v>5.0999999999999997E-2</v>
      </c>
      <c r="D61" s="18">
        <f t="shared" si="0"/>
        <v>0.20399999999999999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1640</v>
      </c>
      <c r="C63" s="18">
        <f>ROUND(224.14/9509,3)</f>
        <v>2.4E-2</v>
      </c>
      <c r="D63" s="18">
        <f t="shared" si="0"/>
        <v>9.6000000000000002E-2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619</v>
      </c>
      <c r="C65" s="18">
        <f>ROUND(103.21/9509,3)</f>
        <v>1.0999999999999999E-2</v>
      </c>
      <c r="D65" s="18">
        <f t="shared" si="0"/>
        <v>4.3999999999999997E-2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1641</v>
      </c>
      <c r="C67" s="18">
        <f>ROUND(241.97/9509,3)</f>
        <v>2.5000000000000001E-2</v>
      </c>
      <c r="D67" s="18">
        <f t="shared" si="0"/>
        <v>0.1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1642</v>
      </c>
      <c r="C69" s="18">
        <f>ROUND(87.42/9509,3)</f>
        <v>8.9999999999999993E-3</v>
      </c>
      <c r="D69" s="18">
        <f t="shared" si="0"/>
        <v>3.5999999999999997E-2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1643</v>
      </c>
      <c r="C71" s="74">
        <f>ROUND(28.69/9509,3)</f>
        <v>3.0000000000000001E-3</v>
      </c>
      <c r="D71" s="18">
        <f t="shared" si="0"/>
        <v>1.2E-2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1644</v>
      </c>
      <c r="C73" s="74">
        <f>ROUND(8.56/9509,3)</f>
        <v>1E-3</v>
      </c>
      <c r="D73" s="74">
        <f t="shared" si="0"/>
        <v>4.0000000000000001E-3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1645</v>
      </c>
      <c r="C75" s="74">
        <f>ROUND(58.04/9509,3)</f>
        <v>6.0000000000000001E-3</v>
      </c>
      <c r="D75" s="18">
        <f t="shared" si="0"/>
        <v>2.4E-2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1646</v>
      </c>
      <c r="C77" s="74">
        <f>ROUND(249.88/9509,3)</f>
        <v>2.5999999999999999E-2</v>
      </c>
      <c r="D77" s="18">
        <f t="shared" si="0"/>
        <v>0.104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60" x14ac:dyDescent="0.25">
      <c r="A79" s="35"/>
      <c r="B79" s="40" t="s">
        <v>627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1647</v>
      </c>
      <c r="C81" s="253">
        <f>ROUND(61.55/9509,5)</f>
        <v>6.4700000000000001E-3</v>
      </c>
      <c r="D81" s="18">
        <f t="shared" si="0"/>
        <v>2.588E-2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1648</v>
      </c>
      <c r="C83" s="74">
        <f>ROUND(88.34/9509,5)</f>
        <v>9.2899999999999996E-3</v>
      </c>
      <c r="D83" s="18">
        <f t="shared" si="0"/>
        <v>3.7159999999999999E-2</v>
      </c>
    </row>
    <row r="84" spans="1:4" ht="18.7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1649</v>
      </c>
      <c r="C85" s="74">
        <f>ROUND(151.09/9509,3)</f>
        <v>1.6E-2</v>
      </c>
      <c r="D85" s="18">
        <f t="shared" si="0"/>
        <v>6.4000000000000001E-2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3.72</v>
      </c>
    </row>
    <row r="87" spans="1:4" x14ac:dyDescent="0.25">
      <c r="A87" s="83"/>
      <c r="B87" s="84" t="s">
        <v>95</v>
      </c>
      <c r="C87" s="82">
        <f>ROUND(C86+C18,3)</f>
        <v>8.3000000000000007</v>
      </c>
      <c r="D87" s="82">
        <f>ROUND(D86+D18,3)</f>
        <v>33.200000000000003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4</v>
      </c>
      <c r="D89" s="89"/>
    </row>
    <row r="90" spans="1:4" ht="30" customHeight="1" x14ac:dyDescent="0.25">
      <c r="A90" s="313" t="s">
        <v>113</v>
      </c>
      <c r="B90" s="314"/>
      <c r="C90" s="22">
        <f>D87/C89</f>
        <v>8.3000000000000007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07E0-6832-4D74-9A73-28DFCFEB00AF}">
  <dimension ref="A1:I90"/>
  <sheetViews>
    <sheetView topLeftCell="A76" workbookViewId="0">
      <selection activeCell="B83" sqref="B83"/>
    </sheetView>
  </sheetViews>
  <sheetFormatPr defaultRowHeight="15" x14ac:dyDescent="0.25"/>
  <cols>
    <col min="1" max="1" width="9.5703125" customWidth="1"/>
    <col min="2" max="2" width="56.7109375" customWidth="1"/>
    <col min="3" max="3" width="11.42578125" customWidth="1"/>
    <col min="4" max="4" width="12.42578125" customWidth="1"/>
    <col min="9" max="9" width="9.5703125" customWidth="1"/>
  </cols>
  <sheetData>
    <row r="1" spans="1:5" x14ac:dyDescent="0.25">
      <c r="A1" s="336" t="s">
        <v>78</v>
      </c>
      <c r="B1" s="336"/>
      <c r="C1" s="336"/>
      <c r="D1" s="336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x14ac:dyDescent="0.25">
      <c r="A5" s="307" t="s">
        <v>179</v>
      </c>
      <c r="B5" s="307"/>
      <c r="C5" s="307"/>
      <c r="D5" s="307"/>
    </row>
    <row r="6" spans="1:5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240"/>
      <c r="B8" s="241"/>
      <c r="C8" s="60"/>
      <c r="D8" s="96"/>
    </row>
    <row r="9" spans="1:5" x14ac:dyDescent="0.25">
      <c r="A9" s="318" t="s">
        <v>110</v>
      </c>
      <c r="B9" s="318"/>
      <c r="C9" s="60"/>
      <c r="D9" s="96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89.25" customHeight="1" x14ac:dyDescent="0.25">
      <c r="A14" s="35"/>
      <c r="B14" s="90" t="s">
        <v>377</v>
      </c>
      <c r="C14" s="18">
        <f>0.17*110</f>
        <v>18.700000000000003</v>
      </c>
      <c r="D14" s="18">
        <f>C14*5</f>
        <v>93.500000000000014</v>
      </c>
    </row>
    <row r="15" spans="1:5" ht="24" x14ac:dyDescent="0.25">
      <c r="A15" s="35">
        <v>1200</v>
      </c>
      <c r="B15" s="40" t="s">
        <v>376</v>
      </c>
      <c r="C15" s="18">
        <f>ROUND(C14*0.2359,2)</f>
        <v>4.41</v>
      </c>
      <c r="D15" s="18">
        <f>C15*5</f>
        <v>22.05</v>
      </c>
      <c r="E15" s="181"/>
    </row>
    <row r="16" spans="1:5" x14ac:dyDescent="0.25">
      <c r="A16" s="35">
        <v>2341</v>
      </c>
      <c r="B16" s="35" t="s">
        <v>97</v>
      </c>
      <c r="C16" s="74"/>
      <c r="D16" s="74"/>
    </row>
    <row r="17" spans="1:9" ht="99.75" customHeight="1" x14ac:dyDescent="0.25">
      <c r="A17" s="35"/>
      <c r="B17" s="40" t="s">
        <v>378</v>
      </c>
      <c r="C17" s="18">
        <v>3.52</v>
      </c>
      <c r="D17" s="18">
        <f>C17*5</f>
        <v>17.600000000000001</v>
      </c>
      <c r="E17" s="189"/>
      <c r="F17" s="190"/>
      <c r="G17" s="190"/>
      <c r="H17" s="190"/>
      <c r="I17" s="190"/>
    </row>
    <row r="18" spans="1:9" x14ac:dyDescent="0.25">
      <c r="A18" s="84"/>
      <c r="B18" s="92" t="s">
        <v>87</v>
      </c>
      <c r="C18" s="82">
        <f>SUM(C13:C17)</f>
        <v>26.630000000000003</v>
      </c>
      <c r="D18" s="82">
        <f>SUM(D13:D17)</f>
        <v>133.15</v>
      </c>
      <c r="E18" s="183"/>
    </row>
    <row r="19" spans="1:9" x14ac:dyDescent="0.25">
      <c r="A19" s="77"/>
      <c r="B19" s="176" t="s">
        <v>88</v>
      </c>
      <c r="C19" s="78"/>
      <c r="D19" s="78"/>
    </row>
    <row r="20" spans="1:9" x14ac:dyDescent="0.25">
      <c r="A20" s="35">
        <v>2100</v>
      </c>
      <c r="B20" s="244" t="s">
        <v>584</v>
      </c>
      <c r="C20" s="78"/>
      <c r="D20" s="78"/>
    </row>
    <row r="21" spans="1:9" ht="60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60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9" x14ac:dyDescent="0.25">
      <c r="A24" s="35">
        <v>2221</v>
      </c>
      <c r="B24" s="40" t="s">
        <v>89</v>
      </c>
      <c r="C24" s="18"/>
      <c r="D24" s="18"/>
    </row>
    <row r="25" spans="1:9" ht="60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9" x14ac:dyDescent="0.25">
      <c r="A26" s="35">
        <v>2222</v>
      </c>
      <c r="B26" s="242" t="s">
        <v>90</v>
      </c>
      <c r="C26" s="18"/>
      <c r="D26" s="18"/>
    </row>
    <row r="27" spans="1:9" ht="60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9" x14ac:dyDescent="0.25">
      <c r="A28" s="35">
        <v>2223</v>
      </c>
      <c r="B28" s="35" t="s">
        <v>91</v>
      </c>
      <c r="C28" s="74"/>
      <c r="D28" s="18"/>
    </row>
    <row r="29" spans="1:9" ht="60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9" ht="24" x14ac:dyDescent="0.25">
      <c r="A30" s="35">
        <v>2224</v>
      </c>
      <c r="B30" s="40" t="s">
        <v>115</v>
      </c>
      <c r="C30" s="74"/>
      <c r="D30" s="18"/>
    </row>
    <row r="31" spans="1:9" ht="60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9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1658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1662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ht="17.25" customHeight="1" x14ac:dyDescent="0.25">
      <c r="A78" s="35">
        <v>5220</v>
      </c>
      <c r="B78" s="40" t="s">
        <v>119</v>
      </c>
      <c r="C78" s="18"/>
      <c r="D78" s="18"/>
    </row>
    <row r="79" spans="1:4" ht="60" x14ac:dyDescent="0.25">
      <c r="A79" s="35"/>
      <c r="B79" s="40" t="s">
        <v>627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ht="22.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27.56</v>
      </c>
      <c r="D87" s="82">
        <f>ROUND(D86+D18,3)</f>
        <v>137.80000000000001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5</v>
      </c>
      <c r="D89" s="89"/>
    </row>
    <row r="90" spans="1:4" ht="30" customHeight="1" x14ac:dyDescent="0.25">
      <c r="A90" s="313" t="s">
        <v>113</v>
      </c>
      <c r="B90" s="314"/>
      <c r="C90" s="22">
        <f>D87/C89</f>
        <v>27.560000000000002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FA3CB-0BE8-4F3C-85AA-9537DE15DD57}">
  <dimension ref="A1:H90"/>
  <sheetViews>
    <sheetView topLeftCell="A79" workbookViewId="0">
      <selection activeCell="B49" sqref="B49"/>
    </sheetView>
  </sheetViews>
  <sheetFormatPr defaultRowHeight="15" x14ac:dyDescent="0.25"/>
  <cols>
    <col min="1" max="1" width="9.7109375" customWidth="1"/>
    <col min="2" max="2" width="56" customWidth="1"/>
    <col min="3" max="3" width="11" customWidth="1"/>
    <col min="4" max="4" width="13.7109375" customWidth="1"/>
  </cols>
  <sheetData>
    <row r="1" spans="1:4" x14ac:dyDescent="0.25">
      <c r="A1" s="315" t="s">
        <v>78</v>
      </c>
      <c r="B1" s="315"/>
      <c r="C1" s="315"/>
      <c r="D1" s="315"/>
    </row>
    <row r="2" spans="1:4" ht="12.75" customHeight="1" x14ac:dyDescent="0.25">
      <c r="A2" s="97"/>
      <c r="B2" s="97"/>
      <c r="C2" s="316"/>
      <c r="D2" s="317"/>
    </row>
    <row r="3" spans="1:4" x14ac:dyDescent="0.25">
      <c r="A3" s="98" t="s">
        <v>111</v>
      </c>
      <c r="B3" s="99"/>
      <c r="C3" s="99"/>
      <c r="D3" s="99"/>
    </row>
    <row r="4" spans="1:4" ht="11.25" customHeight="1" x14ac:dyDescent="0.25">
      <c r="A4" s="97"/>
      <c r="B4" s="60"/>
      <c r="C4" s="60"/>
      <c r="D4" s="96"/>
    </row>
    <row r="5" spans="1:4" ht="27.75" customHeight="1" x14ac:dyDescent="0.25">
      <c r="A5" s="307" t="s">
        <v>181</v>
      </c>
      <c r="B5" s="307"/>
      <c r="C5" s="307"/>
      <c r="D5" s="307"/>
    </row>
    <row r="6" spans="1:4" ht="10.5" customHeight="1" x14ac:dyDescent="0.25">
      <c r="A6" s="240"/>
      <c r="B6" s="60"/>
      <c r="C6" s="60"/>
      <c r="D6" s="96"/>
    </row>
    <row r="7" spans="1:4" x14ac:dyDescent="0.25">
      <c r="A7" s="308" t="s">
        <v>112</v>
      </c>
      <c r="B7" s="310"/>
      <c r="C7" s="60"/>
      <c r="D7" s="96"/>
    </row>
    <row r="8" spans="1:4" ht="12" customHeight="1" x14ac:dyDescent="0.25">
      <c r="A8" s="240"/>
      <c r="B8" s="241"/>
      <c r="C8" s="60"/>
      <c r="D8" s="96"/>
    </row>
    <row r="9" spans="1:4" x14ac:dyDescent="0.25">
      <c r="A9" s="318" t="s">
        <v>109</v>
      </c>
      <c r="B9" s="318"/>
      <c r="C9" s="60"/>
      <c r="D9" s="96"/>
    </row>
    <row r="10" spans="1:4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87" customHeight="1" x14ac:dyDescent="0.25">
      <c r="A14" s="35"/>
      <c r="B14" s="90" t="s">
        <v>721</v>
      </c>
      <c r="C14" s="18">
        <f>0.17*195</f>
        <v>33.150000000000006</v>
      </c>
      <c r="D14" s="18">
        <f>C14*4</f>
        <v>132.60000000000002</v>
      </c>
    </row>
    <row r="15" spans="1:4" ht="24" x14ac:dyDescent="0.25">
      <c r="A15" s="35">
        <v>1200</v>
      </c>
      <c r="B15" s="40" t="s">
        <v>379</v>
      </c>
      <c r="C15" s="18">
        <f>ROUND(C14*0.2359,2)</f>
        <v>7.82</v>
      </c>
      <c r="D15" s="18">
        <f>C15*4</f>
        <v>31.28</v>
      </c>
    </row>
    <row r="16" spans="1:4" x14ac:dyDescent="0.25">
      <c r="A16" s="35">
        <v>2341</v>
      </c>
      <c r="B16" s="35" t="s">
        <v>86</v>
      </c>
      <c r="C16" s="74"/>
      <c r="D16" s="74"/>
    </row>
    <row r="17" spans="1:8" ht="84" x14ac:dyDescent="0.25">
      <c r="A17" s="35"/>
      <c r="B17" s="40" t="s">
        <v>422</v>
      </c>
      <c r="C17" s="18">
        <v>23.21</v>
      </c>
      <c r="D17" s="18">
        <f>C17*4</f>
        <v>92.84</v>
      </c>
      <c r="E17" s="189"/>
      <c r="F17" s="190"/>
      <c r="G17" s="190"/>
      <c r="H17" s="190"/>
    </row>
    <row r="18" spans="1:8" x14ac:dyDescent="0.25">
      <c r="A18" s="35"/>
      <c r="B18" s="92" t="s">
        <v>87</v>
      </c>
      <c r="C18" s="82">
        <f>SUM(C13:C17)</f>
        <v>64.180000000000007</v>
      </c>
      <c r="D18" s="82">
        <f>SUM(D13:D17)</f>
        <v>256.72000000000003</v>
      </c>
    </row>
    <row r="19" spans="1:8" x14ac:dyDescent="0.25">
      <c r="A19" s="77"/>
      <c r="B19" s="176" t="s">
        <v>88</v>
      </c>
      <c r="C19" s="78"/>
      <c r="D19" s="78"/>
    </row>
    <row r="20" spans="1:8" x14ac:dyDescent="0.25">
      <c r="A20" s="35">
        <v>2100</v>
      </c>
      <c r="B20" s="244" t="s">
        <v>584</v>
      </c>
      <c r="C20" s="78"/>
      <c r="D20" s="78"/>
    </row>
    <row r="21" spans="1:8" ht="60" x14ac:dyDescent="0.25">
      <c r="A21" s="77"/>
      <c r="B21" s="40" t="s">
        <v>1621</v>
      </c>
      <c r="C21" s="74">
        <f>ROUND(31.85/9509,3)</f>
        <v>3.0000000000000001E-3</v>
      </c>
      <c r="D21" s="18">
        <f>C21*4</f>
        <v>1.2E-2</v>
      </c>
    </row>
    <row r="22" spans="1:8" x14ac:dyDescent="0.25">
      <c r="A22" s="35">
        <v>2210</v>
      </c>
      <c r="B22" s="40" t="s">
        <v>568</v>
      </c>
      <c r="C22" s="74"/>
      <c r="D22" s="74"/>
    </row>
    <row r="23" spans="1:8" ht="60" x14ac:dyDescent="0.25">
      <c r="A23" s="35"/>
      <c r="B23" s="40" t="s">
        <v>1622</v>
      </c>
      <c r="C23" s="18">
        <f>ROUND(228.88/9509,3)</f>
        <v>2.4E-2</v>
      </c>
      <c r="D23" s="18">
        <f t="shared" ref="D23:D85" si="0">C23*4</f>
        <v>9.6000000000000002E-2</v>
      </c>
    </row>
    <row r="24" spans="1:8" x14ac:dyDescent="0.25">
      <c r="A24" s="35">
        <v>2221</v>
      </c>
      <c r="B24" s="40" t="s">
        <v>89</v>
      </c>
      <c r="C24" s="18"/>
      <c r="D24" s="18"/>
    </row>
    <row r="25" spans="1:8" ht="60" x14ac:dyDescent="0.25">
      <c r="A25" s="35"/>
      <c r="B25" s="40" t="s">
        <v>1623</v>
      </c>
      <c r="C25" s="18">
        <f>ROUND(382.73/9509,3)</f>
        <v>0.04</v>
      </c>
      <c r="D25" s="18">
        <f t="shared" si="0"/>
        <v>0.16</v>
      </c>
    </row>
    <row r="26" spans="1:8" x14ac:dyDescent="0.25">
      <c r="A26" s="35">
        <v>2222</v>
      </c>
      <c r="B26" s="242" t="s">
        <v>90</v>
      </c>
      <c r="C26" s="18"/>
      <c r="D26" s="18"/>
    </row>
    <row r="27" spans="1:8" ht="60" x14ac:dyDescent="0.25">
      <c r="A27" s="35"/>
      <c r="B27" s="40" t="s">
        <v>1624</v>
      </c>
      <c r="C27" s="74">
        <f>ROUND(38.69/9509,3)</f>
        <v>4.0000000000000001E-3</v>
      </c>
      <c r="D27" s="18">
        <f t="shared" si="0"/>
        <v>1.6E-2</v>
      </c>
    </row>
    <row r="28" spans="1:8" x14ac:dyDescent="0.25">
      <c r="A28" s="35">
        <v>2223</v>
      </c>
      <c r="B28" s="35" t="s">
        <v>91</v>
      </c>
      <c r="C28" s="74"/>
      <c r="D28" s="18"/>
    </row>
    <row r="29" spans="1:8" ht="60" x14ac:dyDescent="0.25">
      <c r="A29" s="35"/>
      <c r="B29" s="40" t="s">
        <v>1650</v>
      </c>
      <c r="C29" s="74">
        <f>ROUND(1004.28/9509,3)</f>
        <v>0.106</v>
      </c>
      <c r="D29" s="18">
        <f t="shared" si="0"/>
        <v>0.42399999999999999</v>
      </c>
    </row>
    <row r="30" spans="1:8" ht="24" x14ac:dyDescent="0.25">
      <c r="A30" s="35">
        <v>2224</v>
      </c>
      <c r="B30" s="40" t="s">
        <v>115</v>
      </c>
      <c r="C30" s="74"/>
      <c r="D30" s="18"/>
    </row>
    <row r="31" spans="1:8" ht="60" x14ac:dyDescent="0.25">
      <c r="A31" s="34"/>
      <c r="B31" s="40" t="s">
        <v>1625</v>
      </c>
      <c r="C31" s="18">
        <f>ROUND(82.8/9509,3)</f>
        <v>8.9999999999999993E-3</v>
      </c>
      <c r="D31" s="18">
        <f t="shared" si="0"/>
        <v>3.5999999999999997E-2</v>
      </c>
    </row>
    <row r="32" spans="1:8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1626</v>
      </c>
      <c r="C33" s="18">
        <f>ROUND(289.4/9509,3)</f>
        <v>0.03</v>
      </c>
      <c r="D33" s="18">
        <f t="shared" si="0"/>
        <v>0.12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1627</v>
      </c>
      <c r="C35" s="74">
        <f>ROUND(20.68/9509,3)</f>
        <v>2E-3</v>
      </c>
      <c r="D35" s="18">
        <f t="shared" si="0"/>
        <v>8.0000000000000002E-3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1628</v>
      </c>
      <c r="C37" s="74">
        <f>ROUND(58.15/9509,3)</f>
        <v>6.0000000000000001E-3</v>
      </c>
      <c r="D37" s="18">
        <f t="shared" si="0"/>
        <v>2.4E-2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1629</v>
      </c>
      <c r="C39" s="74">
        <f>ROUND(524.45/9509,3)</f>
        <v>5.5E-2</v>
      </c>
      <c r="D39" s="18">
        <f t="shared" si="0"/>
        <v>0.22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1630</v>
      </c>
      <c r="C41" s="74">
        <f>ROUND(131.923/9509,3)</f>
        <v>1.4E-2</v>
      </c>
      <c r="D41" s="18">
        <f t="shared" si="0"/>
        <v>5.6000000000000001E-2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1631</v>
      </c>
      <c r="C43" s="18">
        <f>ROUND(360.94/9509,3)</f>
        <v>3.7999999999999999E-2</v>
      </c>
      <c r="D43" s="18">
        <f t="shared" si="0"/>
        <v>0.152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1632</v>
      </c>
      <c r="C45" s="18">
        <f>ROUND(272.76/9509,3)</f>
        <v>2.9000000000000001E-2</v>
      </c>
      <c r="D45" s="18">
        <f t="shared" si="0"/>
        <v>0.11600000000000001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1684</v>
      </c>
      <c r="C47" s="74">
        <f>ROUND(12.06/9509,3)</f>
        <v>1E-3</v>
      </c>
      <c r="D47" s="74">
        <f t="shared" si="0"/>
        <v>4.0000000000000001E-3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1633</v>
      </c>
      <c r="C49" s="74">
        <f>ROUND(23.35/9509,3)</f>
        <v>2E-3</v>
      </c>
      <c r="D49" s="18">
        <f t="shared" si="0"/>
        <v>8.0000000000000002E-3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1634</v>
      </c>
      <c r="C51" s="18">
        <f>ROUND(750.97/9509,3)</f>
        <v>7.9000000000000001E-2</v>
      </c>
      <c r="D51" s="18">
        <f t="shared" si="0"/>
        <v>0.316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1635</v>
      </c>
      <c r="C53" s="18">
        <f>ROUND(2620.34/9509,3)</f>
        <v>0.27600000000000002</v>
      </c>
      <c r="D53" s="18">
        <f t="shared" si="0"/>
        <v>1.1040000000000001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1636</v>
      </c>
      <c r="C55" s="74">
        <f>ROUND(9.91/9509,3)</f>
        <v>1E-3</v>
      </c>
      <c r="D55" s="74">
        <f t="shared" si="0"/>
        <v>4.0000000000000001E-3</v>
      </c>
    </row>
    <row r="56" spans="1:4" x14ac:dyDescent="0.25">
      <c r="A56" s="35">
        <v>2264</v>
      </c>
      <c r="B56" s="242" t="s">
        <v>575</v>
      </c>
      <c r="C56" s="18"/>
      <c r="D56" s="18">
        <f t="shared" si="0"/>
        <v>0</v>
      </c>
    </row>
    <row r="57" spans="1:4" ht="60" x14ac:dyDescent="0.25">
      <c r="A57" s="35"/>
      <c r="B57" s="40" t="s">
        <v>1637</v>
      </c>
      <c r="C57" s="18">
        <f>ROUND(132.32/9509,3)</f>
        <v>1.4E-2</v>
      </c>
      <c r="D57" s="18">
        <f t="shared" si="0"/>
        <v>5.6000000000000001E-2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1638</v>
      </c>
      <c r="C59" s="74">
        <f>ROUND(72.76/9509,3)</f>
        <v>8.0000000000000002E-3</v>
      </c>
      <c r="D59" s="18">
        <f t="shared" si="0"/>
        <v>3.2000000000000001E-2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3" customHeight="1" x14ac:dyDescent="0.25">
      <c r="A61" s="35"/>
      <c r="B61" s="40" t="s">
        <v>1639</v>
      </c>
      <c r="C61" s="18">
        <f>ROUND(484.21/9509,3)</f>
        <v>5.0999999999999997E-2</v>
      </c>
      <c r="D61" s="18">
        <f t="shared" si="0"/>
        <v>0.20399999999999999</v>
      </c>
    </row>
    <row r="62" spans="1:4" ht="12.75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1640</v>
      </c>
      <c r="C63" s="18">
        <f>ROUND(224.14/9509,3)</f>
        <v>2.4E-2</v>
      </c>
      <c r="D63" s="18">
        <f t="shared" si="0"/>
        <v>9.6000000000000002E-2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1685</v>
      </c>
      <c r="C65" s="18">
        <f>ROUND(103.21/9509,3)</f>
        <v>1.0999999999999999E-2</v>
      </c>
      <c r="D65" s="18">
        <f t="shared" si="0"/>
        <v>4.3999999999999997E-2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1641</v>
      </c>
      <c r="C67" s="18">
        <f>ROUND(241.97/9509,3)</f>
        <v>2.5000000000000001E-2</v>
      </c>
      <c r="D67" s="18">
        <f t="shared" si="0"/>
        <v>0.1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1642</v>
      </c>
      <c r="C69" s="18">
        <f>ROUND(87.42/9509,3)</f>
        <v>8.9999999999999993E-3</v>
      </c>
      <c r="D69" s="18">
        <f t="shared" si="0"/>
        <v>3.5999999999999997E-2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1643</v>
      </c>
      <c r="C71" s="74">
        <f>ROUND(28.69/9509,3)</f>
        <v>3.0000000000000001E-3</v>
      </c>
      <c r="D71" s="18">
        <f t="shared" si="0"/>
        <v>1.2E-2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1644</v>
      </c>
      <c r="C73" s="74">
        <f>ROUND(8.56/9509,3)</f>
        <v>1E-3</v>
      </c>
      <c r="D73" s="74">
        <f t="shared" si="0"/>
        <v>4.0000000000000001E-3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1686</v>
      </c>
      <c r="C75" s="74">
        <f>ROUND(58.04/9509,3)</f>
        <v>6.0000000000000001E-3</v>
      </c>
      <c r="D75" s="18">
        <f t="shared" si="0"/>
        <v>2.4E-2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1646</v>
      </c>
      <c r="C77" s="74">
        <f>ROUND(249.88/9509,3)</f>
        <v>2.5999999999999999E-2</v>
      </c>
      <c r="D77" s="18">
        <f t="shared" si="0"/>
        <v>0.104</v>
      </c>
    </row>
    <row r="78" spans="1:4" ht="16.5" customHeight="1" x14ac:dyDescent="0.25">
      <c r="A78" s="35">
        <v>5220</v>
      </c>
      <c r="B78" s="40" t="s">
        <v>119</v>
      </c>
      <c r="C78" s="18"/>
      <c r="D78" s="18"/>
    </row>
    <row r="79" spans="1:4" ht="60" x14ac:dyDescent="0.25">
      <c r="A79" s="35"/>
      <c r="B79" s="40" t="s">
        <v>627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1647</v>
      </c>
      <c r="C81" s="253">
        <f>ROUND(61.55/9509,5)</f>
        <v>6.4700000000000001E-3</v>
      </c>
      <c r="D81" s="18">
        <f t="shared" si="0"/>
        <v>2.588E-2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1648</v>
      </c>
      <c r="C83" s="74">
        <f>ROUND(88.34/9509,5)</f>
        <v>9.2899999999999996E-3</v>
      </c>
      <c r="D83" s="18">
        <f t="shared" si="0"/>
        <v>3.7159999999999999E-2</v>
      </c>
    </row>
    <row r="84" spans="1:4" ht="14.25" customHeight="1" x14ac:dyDescent="0.25">
      <c r="A84" s="35">
        <v>5239</v>
      </c>
      <c r="B84" s="243" t="s">
        <v>583</v>
      </c>
      <c r="C84" s="74"/>
      <c r="D84" s="18"/>
    </row>
    <row r="85" spans="1:4" ht="64.5" customHeight="1" x14ac:dyDescent="0.25">
      <c r="A85" s="35"/>
      <c r="B85" s="40" t="s">
        <v>1649</v>
      </c>
      <c r="C85" s="74">
        <f>ROUND(151.09/9509,3)</f>
        <v>1.6E-2</v>
      </c>
      <c r="D85" s="18">
        <f t="shared" si="0"/>
        <v>6.4000000000000001E-2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3.72</v>
      </c>
    </row>
    <row r="87" spans="1:4" x14ac:dyDescent="0.25">
      <c r="A87" s="83"/>
      <c r="B87" s="84" t="s">
        <v>95</v>
      </c>
      <c r="C87" s="82">
        <f>ROUND(C86+C18,3)</f>
        <v>65.11</v>
      </c>
      <c r="D87" s="82">
        <f>ROUND(D86+D18,3)</f>
        <v>260.44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4</v>
      </c>
      <c r="D89" s="89"/>
    </row>
    <row r="90" spans="1:4" ht="30" customHeight="1" x14ac:dyDescent="0.25">
      <c r="A90" s="313" t="s">
        <v>113</v>
      </c>
      <c r="B90" s="314"/>
      <c r="C90" s="22">
        <f>D87/C89</f>
        <v>65.11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6A1F-ECC3-4919-ADA1-02ECE252F2DE}">
  <dimension ref="A1:E90"/>
  <sheetViews>
    <sheetView topLeftCell="A79" workbookViewId="0">
      <selection activeCell="B33" sqref="B33"/>
    </sheetView>
  </sheetViews>
  <sheetFormatPr defaultRowHeight="15" x14ac:dyDescent="0.25"/>
  <cols>
    <col min="1" max="1" width="5.5703125" customWidth="1"/>
    <col min="2" max="2" width="57.7109375" customWidth="1"/>
    <col min="3" max="3" width="12.140625" customWidth="1"/>
    <col min="4" max="4" width="14.7109375" customWidth="1"/>
    <col min="5" max="5" width="27.42578125" customWidth="1"/>
  </cols>
  <sheetData>
    <row r="1" spans="1:5" x14ac:dyDescent="0.25">
      <c r="A1" s="315" t="s">
        <v>78</v>
      </c>
      <c r="B1" s="315"/>
      <c r="C1" s="315"/>
      <c r="D1" s="315"/>
    </row>
    <row r="2" spans="1:5" ht="12" customHeight="1" x14ac:dyDescent="0.25">
      <c r="A2" s="41"/>
      <c r="B2" s="41"/>
      <c r="C2" s="331"/>
      <c r="D2" s="337"/>
    </row>
    <row r="3" spans="1:5" x14ac:dyDescent="0.25">
      <c r="A3" s="42" t="s">
        <v>111</v>
      </c>
      <c r="B3" s="43"/>
      <c r="C3" s="43"/>
      <c r="D3" s="43"/>
    </row>
    <row r="4" spans="1:5" ht="12.75" customHeight="1" x14ac:dyDescent="0.25">
      <c r="A4" s="97"/>
      <c r="B4" s="60"/>
      <c r="C4" s="60"/>
      <c r="D4" s="96"/>
    </row>
    <row r="5" spans="1:5" ht="21.75" customHeight="1" x14ac:dyDescent="0.25">
      <c r="A5" s="307" t="s">
        <v>180</v>
      </c>
      <c r="B5" s="307"/>
      <c r="C5" s="307"/>
      <c r="D5" s="307"/>
    </row>
    <row r="6" spans="1:5" ht="9" customHeight="1" x14ac:dyDescent="0.25">
      <c r="A6" s="240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ht="9.75" customHeight="1" x14ac:dyDescent="0.25">
      <c r="A8" s="240"/>
      <c r="B8" s="241"/>
      <c r="C8" s="60"/>
      <c r="D8" s="96"/>
    </row>
    <row r="9" spans="1:5" x14ac:dyDescent="0.25">
      <c r="A9" s="318" t="s">
        <v>105</v>
      </c>
      <c r="B9" s="318"/>
      <c r="C9" s="60"/>
      <c r="D9" s="96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72" x14ac:dyDescent="0.25">
      <c r="A14" s="35"/>
      <c r="B14" s="90" t="s">
        <v>380</v>
      </c>
      <c r="C14" s="18">
        <f>0.17*5</f>
        <v>0.85000000000000009</v>
      </c>
      <c r="D14" s="18">
        <f>C14*30</f>
        <v>25.500000000000004</v>
      </c>
    </row>
    <row r="15" spans="1:5" ht="24" x14ac:dyDescent="0.25">
      <c r="A15" s="35">
        <v>1200</v>
      </c>
      <c r="B15" s="40" t="s">
        <v>356</v>
      </c>
      <c r="C15" s="18">
        <f>ROUND(C14*0.2359,2)</f>
        <v>0.2</v>
      </c>
      <c r="D15" s="18">
        <f>C15*30</f>
        <v>6</v>
      </c>
      <c r="E15" s="208"/>
    </row>
    <row r="16" spans="1:5" x14ac:dyDescent="0.25">
      <c r="A16" s="35">
        <v>2341</v>
      </c>
      <c r="B16" s="35" t="s">
        <v>118</v>
      </c>
      <c r="C16" s="74"/>
      <c r="D16" s="74"/>
      <c r="E16" s="209"/>
    </row>
    <row r="17" spans="1:5" ht="72" x14ac:dyDescent="0.25">
      <c r="A17" s="35"/>
      <c r="B17" s="40" t="s">
        <v>381</v>
      </c>
      <c r="C17" s="18">
        <v>0.17</v>
      </c>
      <c r="D17" s="18">
        <f>C17*30</f>
        <v>5.1000000000000005</v>
      </c>
      <c r="E17" s="210"/>
    </row>
    <row r="18" spans="1:5" x14ac:dyDescent="0.25">
      <c r="A18" s="84"/>
      <c r="B18" s="92" t="s">
        <v>87</v>
      </c>
      <c r="C18" s="82">
        <f>SUM(C13:C17)</f>
        <v>1.22</v>
      </c>
      <c r="D18" s="82">
        <f>SUM(D13:D17)</f>
        <v>36.6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55.5" customHeight="1" x14ac:dyDescent="0.25">
      <c r="A21" s="77"/>
      <c r="B21" s="40" t="s">
        <v>1687</v>
      </c>
      <c r="C21" s="253">
        <f>ROUND(31.85/9509,5)</f>
        <v>3.3500000000000001E-3</v>
      </c>
      <c r="D21" s="18">
        <f>C21*30</f>
        <v>0.10050000000000001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53.25" customHeight="1" x14ac:dyDescent="0.25">
      <c r="A23" s="35"/>
      <c r="B23" s="40" t="s">
        <v>1502</v>
      </c>
      <c r="C23" s="18">
        <f>ROUND(228.88/9509,5)</f>
        <v>2.4070000000000001E-2</v>
      </c>
      <c r="D23" s="18">
        <f t="shared" ref="D23:D85" si="0">C23*30</f>
        <v>0.72210000000000008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1503</v>
      </c>
      <c r="C25" s="18">
        <f>ROUND(382.73/9509,3)</f>
        <v>0.04</v>
      </c>
      <c r="D25" s="18">
        <f t="shared" si="0"/>
        <v>1.2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1504</v>
      </c>
      <c r="C27" s="74">
        <f>ROUND(38.69/9509,3)</f>
        <v>4.0000000000000001E-3</v>
      </c>
      <c r="D27" s="18">
        <f t="shared" si="0"/>
        <v>0.12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1505</v>
      </c>
      <c r="C29" s="74">
        <f>ROUND(1004.28/9509,3)</f>
        <v>0.106</v>
      </c>
      <c r="D29" s="18">
        <f t="shared" si="0"/>
        <v>3.1799999999999997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1506</v>
      </c>
      <c r="C31" s="18">
        <f>ROUND(82.8/9509,3)</f>
        <v>8.9999999999999993E-3</v>
      </c>
      <c r="D31" s="18">
        <f t="shared" si="0"/>
        <v>0.26999999999999996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1507</v>
      </c>
      <c r="C33" s="18">
        <f>ROUND(289.4/9509,3)</f>
        <v>0.03</v>
      </c>
      <c r="D33" s="18">
        <f t="shared" si="0"/>
        <v>0.89999999999999991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1508</v>
      </c>
      <c r="C35" s="74">
        <f>ROUND(20.68/9509,3)</f>
        <v>2E-3</v>
      </c>
      <c r="D35" s="18">
        <f t="shared" si="0"/>
        <v>0.06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1509</v>
      </c>
      <c r="C37" s="74">
        <f>ROUND(58.15/9509,3)</f>
        <v>6.0000000000000001E-3</v>
      </c>
      <c r="D37" s="18">
        <f t="shared" si="0"/>
        <v>0.18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1510</v>
      </c>
      <c r="C39" s="74">
        <f>ROUND(524.45/9509,3)</f>
        <v>5.5E-2</v>
      </c>
      <c r="D39" s="18">
        <f t="shared" si="0"/>
        <v>1.65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1533</v>
      </c>
      <c r="C41" s="74">
        <f>ROUND(131.923/9509,3)</f>
        <v>1.4E-2</v>
      </c>
      <c r="D41" s="18">
        <f t="shared" si="0"/>
        <v>0.42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1512</v>
      </c>
      <c r="C43" s="18">
        <f>ROUND(360.94/9509,3)</f>
        <v>3.7999999999999999E-2</v>
      </c>
      <c r="D43" s="18">
        <f t="shared" si="0"/>
        <v>1.1399999999999999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1513</v>
      </c>
      <c r="C45" s="18">
        <f>ROUND(272.76/9509,3)</f>
        <v>2.9000000000000001E-2</v>
      </c>
      <c r="D45" s="18">
        <f t="shared" si="0"/>
        <v>0.87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1514</v>
      </c>
      <c r="C47" s="74">
        <f>ROUND(12.06/9509,3)</f>
        <v>1E-3</v>
      </c>
      <c r="D47" s="18">
        <f t="shared" si="0"/>
        <v>0.03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54.75" customHeight="1" x14ac:dyDescent="0.25">
      <c r="A49" s="79"/>
      <c r="B49" s="40" t="s">
        <v>1688</v>
      </c>
      <c r="C49" s="80">
        <f>ROUND(23.35/9509,5)</f>
        <v>2.4599999999999999E-3</v>
      </c>
      <c r="D49" s="18">
        <f t="shared" si="0"/>
        <v>7.3800000000000004E-2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1516</v>
      </c>
      <c r="C51" s="18">
        <f>ROUND(750.97/9509,3)</f>
        <v>7.9000000000000001E-2</v>
      </c>
      <c r="D51" s="18">
        <f t="shared" si="0"/>
        <v>2.37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1517</v>
      </c>
      <c r="C53" s="18">
        <f>ROUND(2620.34/9509,3)</f>
        <v>0.27600000000000002</v>
      </c>
      <c r="D53" s="18">
        <f t="shared" si="0"/>
        <v>8.2800000000000011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54.75" customHeight="1" x14ac:dyDescent="0.25">
      <c r="A55" s="35"/>
      <c r="B55" s="40" t="s">
        <v>1518</v>
      </c>
      <c r="C55" s="74">
        <f>ROUND(9.91/9509,5)</f>
        <v>1.0399999999999999E-3</v>
      </c>
      <c r="D55" s="18">
        <f t="shared" si="0"/>
        <v>3.1199999999999999E-2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1519</v>
      </c>
      <c r="C57" s="18">
        <f>ROUND(132.32/9509,3)</f>
        <v>1.4E-2</v>
      </c>
      <c r="D57" s="18">
        <f t="shared" si="0"/>
        <v>0.42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1520</v>
      </c>
      <c r="C59" s="74">
        <f>ROUND(72.76/9509,3)</f>
        <v>8.0000000000000002E-3</v>
      </c>
      <c r="D59" s="18">
        <f t="shared" si="0"/>
        <v>0.24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1521</v>
      </c>
      <c r="C61" s="18">
        <f>ROUND(484.21/9509,3)</f>
        <v>5.0999999999999997E-2</v>
      </c>
      <c r="D61" s="18">
        <f t="shared" si="0"/>
        <v>1.5299999999999998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1522</v>
      </c>
      <c r="C63" s="18">
        <f>ROUND(224.14/9509,3)</f>
        <v>2.4E-2</v>
      </c>
      <c r="D63" s="18">
        <f t="shared" si="0"/>
        <v>0.72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1523</v>
      </c>
      <c r="C65" s="18">
        <f>ROUND(103.21/9509,3)</f>
        <v>1.0999999999999999E-2</v>
      </c>
      <c r="D65" s="18">
        <f t="shared" si="0"/>
        <v>0.32999999999999996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1534</v>
      </c>
      <c r="C67" s="18">
        <f>ROUND(241.97/9509,3)</f>
        <v>2.5000000000000001E-2</v>
      </c>
      <c r="D67" s="18">
        <f t="shared" si="0"/>
        <v>0.75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1689</v>
      </c>
      <c r="C69" s="18">
        <f>ROUND(87.42/9509,3)</f>
        <v>8.9999999999999993E-3</v>
      </c>
      <c r="D69" s="18">
        <f t="shared" si="0"/>
        <v>0.26999999999999996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1525</v>
      </c>
      <c r="C71" s="74">
        <f>ROUND(28.69/9509,5)</f>
        <v>3.0200000000000001E-3</v>
      </c>
      <c r="D71" s="18">
        <f t="shared" si="0"/>
        <v>9.06E-2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1526</v>
      </c>
      <c r="C73" s="74">
        <f>ROUND(8.56/9509,5)</f>
        <v>8.9999999999999998E-4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1527</v>
      </c>
      <c r="C75" s="74">
        <f>ROUND(58.04/9509,4)</f>
        <v>6.1000000000000004E-3</v>
      </c>
      <c r="D75" s="18">
        <f t="shared" si="0"/>
        <v>0.18300000000000002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1690</v>
      </c>
      <c r="C77" s="74">
        <f>ROUND(249.88/9509,4)</f>
        <v>2.63E-2</v>
      </c>
      <c r="D77" s="18">
        <f t="shared" si="0"/>
        <v>0.78900000000000003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53.25" customHeight="1" x14ac:dyDescent="0.25">
      <c r="A79" s="35"/>
      <c r="B79" s="40" t="s">
        <v>627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1536</v>
      </c>
      <c r="C81" s="80">
        <f>ROUND(61.55/9509,5)</f>
        <v>6.4700000000000001E-3</v>
      </c>
      <c r="D81" s="18">
        <f t="shared" si="0"/>
        <v>0.19409999999999999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1530</v>
      </c>
      <c r="C83" s="253">
        <f>ROUND(88.34/9509,5)</f>
        <v>9.2899999999999996E-3</v>
      </c>
      <c r="D83" s="18">
        <f t="shared" si="0"/>
        <v>0.2787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54.75" customHeight="1" x14ac:dyDescent="0.25">
      <c r="A85" s="35"/>
      <c r="B85" s="40" t="s">
        <v>1531</v>
      </c>
      <c r="C85" s="74">
        <f>ROUND(151.09/9509,3)</f>
        <v>1.6E-2</v>
      </c>
      <c r="D85" s="18">
        <f t="shared" si="0"/>
        <v>0.48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27.9</v>
      </c>
    </row>
    <row r="87" spans="1:4" x14ac:dyDescent="0.25">
      <c r="A87" s="83"/>
      <c r="B87" s="84" t="s">
        <v>95</v>
      </c>
      <c r="C87" s="82">
        <f>ROUND(C86+C18,3)</f>
        <v>2.15</v>
      </c>
      <c r="D87" s="82">
        <f>ROUND(D86+D18,3)</f>
        <v>64.5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30</v>
      </c>
      <c r="D89" s="89"/>
    </row>
    <row r="90" spans="1:4" ht="33.75" customHeight="1" x14ac:dyDescent="0.25">
      <c r="A90" s="302" t="s">
        <v>113</v>
      </c>
      <c r="B90" s="303"/>
      <c r="C90" s="22">
        <f>D87/C89</f>
        <v>2.15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89"/>
  <sheetViews>
    <sheetView topLeftCell="A80" workbookViewId="0">
      <selection activeCell="B84" sqref="B84"/>
    </sheetView>
  </sheetViews>
  <sheetFormatPr defaultRowHeight="15" x14ac:dyDescent="0.25"/>
  <cols>
    <col min="1" max="1" width="6.7109375" customWidth="1"/>
    <col min="2" max="2" width="56.28515625" customWidth="1"/>
    <col min="3" max="3" width="10.5703125" customWidth="1"/>
    <col min="4" max="4" width="13" customWidth="1"/>
  </cols>
  <sheetData>
    <row r="1" spans="1:5" x14ac:dyDescent="0.25">
      <c r="A1" s="304" t="s">
        <v>78</v>
      </c>
      <c r="B1" s="304"/>
      <c r="C1" s="304"/>
      <c r="D1" s="304"/>
    </row>
    <row r="2" spans="1:5" ht="12.7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10.5" customHeight="1" x14ac:dyDescent="0.25">
      <c r="A4" s="55"/>
      <c r="B4" s="58"/>
      <c r="C4" s="58"/>
      <c r="D4" s="59"/>
    </row>
    <row r="5" spans="1:5" ht="42" customHeight="1" x14ac:dyDescent="0.25">
      <c r="A5" s="307" t="s">
        <v>297</v>
      </c>
      <c r="B5" s="307"/>
      <c r="C5" s="307"/>
      <c r="D5" s="307"/>
    </row>
    <row r="6" spans="1:5" ht="9" customHeight="1" x14ac:dyDescent="0.25">
      <c r="A6" s="102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8.25" customHeight="1" x14ac:dyDescent="0.25">
      <c r="A8" s="55"/>
      <c r="B8" s="61"/>
      <c r="C8" s="62"/>
      <c r="D8" s="59"/>
    </row>
    <row r="9" spans="1:5" x14ac:dyDescent="0.25">
      <c r="A9" s="309" t="s">
        <v>103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108" x14ac:dyDescent="0.25">
      <c r="A14" s="50"/>
      <c r="B14" s="90" t="s">
        <v>382</v>
      </c>
      <c r="C14" s="18">
        <f>1.02+2.21</f>
        <v>3.23</v>
      </c>
      <c r="D14" s="18">
        <f>C14*20</f>
        <v>64.599999999999994</v>
      </c>
    </row>
    <row r="15" spans="1:5" ht="24" x14ac:dyDescent="0.25">
      <c r="A15" s="50">
        <v>1200</v>
      </c>
      <c r="B15" s="73" t="s">
        <v>383</v>
      </c>
      <c r="C15" s="18">
        <f>ROUND(C14*0.2359,2)</f>
        <v>0.76</v>
      </c>
      <c r="D15" s="18">
        <f>C15*20</f>
        <v>15.2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5" ht="96" x14ac:dyDescent="0.25">
      <c r="A17" s="50"/>
      <c r="B17" s="73" t="s">
        <v>384</v>
      </c>
      <c r="C17" s="18">
        <v>1.08</v>
      </c>
      <c r="D17" s="18">
        <f>C17*20</f>
        <v>21.6</v>
      </c>
    </row>
    <row r="18" spans="1:5" x14ac:dyDescent="0.25">
      <c r="A18" s="115"/>
      <c r="B18" s="75" t="s">
        <v>87</v>
      </c>
      <c r="C18" s="76">
        <f>SUM(C13:C17)</f>
        <v>5.07</v>
      </c>
      <c r="D18" s="76">
        <f>SUM(D13:D17)</f>
        <v>101.4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1405</v>
      </c>
      <c r="C21" s="80">
        <f>ROUND(31.85/9509,5)</f>
        <v>3.3500000000000001E-3</v>
      </c>
      <c r="D21" s="18">
        <f>C21*20</f>
        <v>6.7000000000000004E-2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4" si="0">C23*20</f>
        <v>0.48140000000000005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1407</v>
      </c>
      <c r="C25" s="18">
        <f>ROUND(382.73/9509,3)</f>
        <v>0.04</v>
      </c>
      <c r="D25" s="18">
        <f t="shared" si="0"/>
        <v>0.8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1408</v>
      </c>
      <c r="C27" s="74">
        <f>ROUND(38.69/9509,5)</f>
        <v>4.0699999999999998E-3</v>
      </c>
      <c r="D27" s="18">
        <f t="shared" si="0"/>
        <v>8.14E-2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1435</v>
      </c>
      <c r="C57" s="18">
        <f>ROUND(132.32/9509,5)</f>
        <v>1.392E-2</v>
      </c>
      <c r="D57" s="18">
        <f t="shared" si="0"/>
        <v>0.27839999999999998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1691</v>
      </c>
      <c r="C59" s="80">
        <f>ROUND(72.76/9509,5)</f>
        <v>7.6499999999999997E-3</v>
      </c>
      <c r="D59" s="18">
        <f t="shared" si="0"/>
        <v>0.153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1424</v>
      </c>
      <c r="C61" s="18">
        <f>ROUND(484.21/9509,3)</f>
        <v>5.0999999999999997E-2</v>
      </c>
      <c r="D61" s="18">
        <f t="shared" si="0"/>
        <v>1.02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1540</v>
      </c>
      <c r="C67" s="74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1429</v>
      </c>
      <c r="C73" s="74">
        <f>ROUND(8.56/9509,3)</f>
        <v>1E-3</v>
      </c>
      <c r="D73" s="18">
        <f t="shared" si="0"/>
        <v>0.02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3.75" customHeight="1" x14ac:dyDescent="0.25">
      <c r="A77" s="35"/>
      <c r="B77" s="40" t="s">
        <v>1692</v>
      </c>
      <c r="C77" s="74">
        <f>ROUND(249.88/9509,4)</f>
        <v>2.63E-2</v>
      </c>
      <c r="D77" s="18">
        <f t="shared" si="0"/>
        <v>0.52600000000000002</v>
      </c>
    </row>
    <row r="78" spans="1:4" ht="19.5" customHeight="1" x14ac:dyDescent="0.25">
      <c r="A78" s="35">
        <v>5220</v>
      </c>
      <c r="B78" s="40" t="s">
        <v>116</v>
      </c>
      <c r="C78" s="18"/>
      <c r="D78" s="18"/>
    </row>
    <row r="79" spans="1:4" x14ac:dyDescent="0.25">
      <c r="A79" s="35">
        <v>5231</v>
      </c>
      <c r="B79" s="243" t="s">
        <v>582</v>
      </c>
      <c r="C79" s="18"/>
      <c r="D79" s="18"/>
    </row>
    <row r="80" spans="1:4" ht="64.5" customHeight="1" x14ac:dyDescent="0.25">
      <c r="A80" s="35"/>
      <c r="B80" s="40" t="s">
        <v>1432</v>
      </c>
      <c r="C80" s="80">
        <f>ROUND(61.55/9509,5)</f>
        <v>6.4700000000000001E-3</v>
      </c>
      <c r="D80" s="18">
        <f t="shared" si="0"/>
        <v>0.12940000000000002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3" customHeight="1" x14ac:dyDescent="0.25">
      <c r="A82" s="35"/>
      <c r="B82" s="40" t="s">
        <v>1433</v>
      </c>
      <c r="C82" s="80">
        <f>ROUND(88.34/9509,5)</f>
        <v>9.2899999999999996E-3</v>
      </c>
      <c r="D82" s="18">
        <f t="shared" si="0"/>
        <v>0.18579999999999999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5.25" customHeight="1" x14ac:dyDescent="0.25">
      <c r="A84" s="35"/>
      <c r="B84" s="40" t="s">
        <v>1434</v>
      </c>
      <c r="C84" s="74">
        <f>ROUND(151.09/9509,3)</f>
        <v>1.6E-2</v>
      </c>
      <c r="D84" s="18">
        <f t="shared" si="0"/>
        <v>0.32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18.600000000000001</v>
      </c>
    </row>
    <row r="86" spans="1:4" x14ac:dyDescent="0.25">
      <c r="A86" s="83"/>
      <c r="B86" s="84" t="s">
        <v>95</v>
      </c>
      <c r="C86" s="82">
        <f>ROUND(C85+C18,3)</f>
        <v>6</v>
      </c>
      <c r="D86" s="82">
        <f>ROUND(D85+D18,3)</f>
        <v>120</v>
      </c>
    </row>
    <row r="87" spans="1:4" x14ac:dyDescent="0.25">
      <c r="A87" s="85"/>
      <c r="B87" s="86"/>
      <c r="C87" s="87"/>
      <c r="D87" s="87"/>
    </row>
    <row r="88" spans="1:4" x14ac:dyDescent="0.25">
      <c r="A88" s="311" t="s">
        <v>96</v>
      </c>
      <c r="B88" s="312"/>
      <c r="C88" s="88">
        <v>20</v>
      </c>
      <c r="D88" s="89"/>
    </row>
    <row r="89" spans="1:4" ht="27" customHeight="1" x14ac:dyDescent="0.25">
      <c r="A89" s="313" t="s">
        <v>113</v>
      </c>
      <c r="B89" s="314"/>
      <c r="C89" s="22">
        <f>D86/C88</f>
        <v>6</v>
      </c>
      <c r="D89" s="22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E90"/>
  <sheetViews>
    <sheetView topLeftCell="A76" workbookViewId="0">
      <selection activeCell="B21" sqref="B21"/>
    </sheetView>
  </sheetViews>
  <sheetFormatPr defaultRowHeight="15" x14ac:dyDescent="0.25"/>
  <cols>
    <col min="1" max="1" width="7.140625" customWidth="1"/>
    <col min="2" max="2" width="59" customWidth="1"/>
    <col min="3" max="3" width="10.5703125" customWidth="1"/>
    <col min="4" max="4" width="12" customWidth="1"/>
  </cols>
  <sheetData>
    <row r="1" spans="1:5" x14ac:dyDescent="0.25">
      <c r="A1" s="304" t="s">
        <v>78</v>
      </c>
      <c r="B1" s="304"/>
      <c r="C1" s="304"/>
      <c r="D1" s="304"/>
    </row>
    <row r="2" spans="1:5" ht="12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9.75" customHeight="1" x14ac:dyDescent="0.25">
      <c r="A4" s="55"/>
      <c r="B4" s="58"/>
      <c r="C4" s="58"/>
      <c r="D4" s="59"/>
    </row>
    <row r="5" spans="1:5" ht="39.75" customHeight="1" x14ac:dyDescent="0.25">
      <c r="A5" s="307" t="s">
        <v>296</v>
      </c>
      <c r="B5" s="307"/>
      <c r="C5" s="307"/>
      <c r="D5" s="307"/>
    </row>
    <row r="6" spans="1:5" ht="9" customHeight="1" x14ac:dyDescent="0.25">
      <c r="A6" s="102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102"/>
      <c r="B8" s="103"/>
      <c r="C8" s="60"/>
      <c r="D8" s="59"/>
    </row>
    <row r="9" spans="1:5" x14ac:dyDescent="0.25">
      <c r="A9" s="309" t="s">
        <v>79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112.5" customHeight="1" x14ac:dyDescent="0.25">
      <c r="A14" s="50"/>
      <c r="B14" s="90" t="s">
        <v>385</v>
      </c>
      <c r="C14" s="16">
        <f>0.17*20+0.17*13</f>
        <v>5.61</v>
      </c>
      <c r="D14" s="18">
        <f>C14*200</f>
        <v>1122</v>
      </c>
    </row>
    <row r="15" spans="1:5" ht="24" x14ac:dyDescent="0.25">
      <c r="A15" s="50">
        <v>1200</v>
      </c>
      <c r="B15" s="73" t="s">
        <v>386</v>
      </c>
      <c r="C15" s="18">
        <f>ROUND(C14*0.2359,2)</f>
        <v>1.32</v>
      </c>
      <c r="D15" s="18">
        <f>C15*200</f>
        <v>264</v>
      </c>
      <c r="E15" s="181"/>
    </row>
    <row r="16" spans="1:5" x14ac:dyDescent="0.25">
      <c r="A16" s="50">
        <v>2341</v>
      </c>
      <c r="B16" s="50" t="s">
        <v>86</v>
      </c>
      <c r="C16" s="91"/>
      <c r="D16" s="91"/>
    </row>
    <row r="17" spans="1:5" ht="117" customHeight="1" x14ac:dyDescent="0.25">
      <c r="A17" s="50"/>
      <c r="B17" s="73" t="s">
        <v>423</v>
      </c>
      <c r="C17" s="18">
        <v>4.83</v>
      </c>
      <c r="D17" s="18">
        <f>C17*200</f>
        <v>966</v>
      </c>
    </row>
    <row r="18" spans="1:5" x14ac:dyDescent="0.25">
      <c r="A18" s="115"/>
      <c r="B18" s="92" t="s">
        <v>87</v>
      </c>
      <c r="C18" s="82">
        <f>SUM(C13:C17)</f>
        <v>11.760000000000002</v>
      </c>
      <c r="D18" s="82">
        <f>SUM(D13:D17)</f>
        <v>2352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1360</v>
      </c>
      <c r="C21" s="80">
        <f>ROUND(31.85/9509,5)</f>
        <v>3.3500000000000001E-3</v>
      </c>
      <c r="D21" s="18">
        <f>C21*200</f>
        <v>0.67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6.75" customHeight="1" x14ac:dyDescent="0.25">
      <c r="A23" s="35"/>
      <c r="B23" s="40" t="s">
        <v>1693</v>
      </c>
      <c r="C23" s="80">
        <f>ROUND(228.88/9509,5)</f>
        <v>2.4070000000000001E-2</v>
      </c>
      <c r="D23" s="18">
        <f t="shared" ref="D23:D85" si="0">C23*200</f>
        <v>4.8140000000000001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3.75" customHeight="1" x14ac:dyDescent="0.25">
      <c r="A25" s="35"/>
      <c r="B25" s="40" t="s">
        <v>1547</v>
      </c>
      <c r="C25" s="74">
        <f>ROUND(382.73/9509,5)</f>
        <v>4.0250000000000001E-2</v>
      </c>
      <c r="D25" s="18">
        <f t="shared" si="0"/>
        <v>8.0500000000000007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1363</v>
      </c>
      <c r="C27" s="80">
        <f>ROUND(38.69/9509,5)</f>
        <v>4.0699999999999998E-3</v>
      </c>
      <c r="D27" s="18">
        <f t="shared" si="0"/>
        <v>0.81399999999999995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1364</v>
      </c>
      <c r="C29" s="74">
        <f>ROUND(1004.28/9509,3)</f>
        <v>0.106</v>
      </c>
      <c r="D29" s="18">
        <f t="shared" si="0"/>
        <v>21.2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1365</v>
      </c>
      <c r="C31" s="18">
        <f>ROUND(82.8/9509,3)</f>
        <v>8.9999999999999993E-3</v>
      </c>
      <c r="D31" s="18">
        <f t="shared" si="0"/>
        <v>1.7999999999999998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1694</v>
      </c>
      <c r="C33" s="74">
        <f>ROUND(289.4/9509,5)</f>
        <v>3.0429999999999999E-2</v>
      </c>
      <c r="D33" s="18">
        <f t="shared" si="0"/>
        <v>6.0859999999999994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1367</v>
      </c>
      <c r="C35" s="74">
        <f>ROUND(20.68/9509,3)</f>
        <v>2E-3</v>
      </c>
      <c r="D35" s="18">
        <f t="shared" si="0"/>
        <v>0.4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1368</v>
      </c>
      <c r="C37" s="74">
        <f>ROUND(58.15/9509,3)</f>
        <v>6.0000000000000001E-3</v>
      </c>
      <c r="D37" s="18">
        <f t="shared" si="0"/>
        <v>1.2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1369</v>
      </c>
      <c r="C39" s="74">
        <f>ROUND(524.45/9509,3)</f>
        <v>5.5E-2</v>
      </c>
      <c r="D39" s="18">
        <f t="shared" si="0"/>
        <v>11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1370</v>
      </c>
      <c r="C41" s="74">
        <f>ROUND(131.923/9509,3)</f>
        <v>1.4E-2</v>
      </c>
      <c r="D41" s="18">
        <f t="shared" si="0"/>
        <v>2.8000000000000003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1371</v>
      </c>
      <c r="C43" s="18">
        <f>ROUND(360.94/9509,3)</f>
        <v>3.7999999999999999E-2</v>
      </c>
      <c r="D43" s="18">
        <f t="shared" si="0"/>
        <v>7.6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1695</v>
      </c>
      <c r="C45" s="74">
        <f>ROUND(272.76/9509,5)</f>
        <v>2.8680000000000001E-2</v>
      </c>
      <c r="D45" s="18">
        <f t="shared" si="0"/>
        <v>5.7359999999999998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1696</v>
      </c>
      <c r="C47" s="80">
        <f>ROUND(12.06/9509,5)</f>
        <v>1.2700000000000001E-3</v>
      </c>
      <c r="D47" s="18">
        <f t="shared" si="0"/>
        <v>0.254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1374</v>
      </c>
      <c r="C49" s="74">
        <f>ROUND(23.35/9509,3)</f>
        <v>2E-3</v>
      </c>
      <c r="D49" s="18">
        <f t="shared" si="0"/>
        <v>0.4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1375</v>
      </c>
      <c r="C51" s="18">
        <f>ROUND(750.97/9509,3)</f>
        <v>7.9000000000000001E-2</v>
      </c>
      <c r="D51" s="18">
        <f t="shared" si="0"/>
        <v>15.8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1376</v>
      </c>
      <c r="C53" s="18">
        <f>ROUND(2620.34/9509,3)</f>
        <v>0.27600000000000002</v>
      </c>
      <c r="D53" s="18">
        <f t="shared" si="0"/>
        <v>55.2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1377</v>
      </c>
      <c r="C55" s="74">
        <f>ROUND(9.91/9509,3)</f>
        <v>1E-3</v>
      </c>
      <c r="D55" s="18">
        <f t="shared" si="0"/>
        <v>0.2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1378</v>
      </c>
      <c r="C57" s="18">
        <f>ROUND(132.32/9509,3)</f>
        <v>1.4E-2</v>
      </c>
      <c r="D57" s="18">
        <f t="shared" si="0"/>
        <v>2.8000000000000003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1379</v>
      </c>
      <c r="C59" s="74">
        <f>ROUND(72.76/9509,3)</f>
        <v>8.0000000000000002E-3</v>
      </c>
      <c r="D59" s="18">
        <f t="shared" si="0"/>
        <v>1.6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1702</v>
      </c>
      <c r="C61" s="74">
        <f>ROUND(484.21/9509,5)</f>
        <v>5.092E-2</v>
      </c>
      <c r="D61" s="18">
        <f t="shared" si="0"/>
        <v>10.183999999999999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1701</v>
      </c>
      <c r="C63" s="74">
        <f>ROUND(224.14/9509,5)</f>
        <v>2.3570000000000001E-2</v>
      </c>
      <c r="D63" s="18">
        <f t="shared" si="0"/>
        <v>4.7140000000000004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1700</v>
      </c>
      <c r="C65" s="74">
        <f>ROUND(103.21/9509,5)</f>
        <v>1.085E-2</v>
      </c>
      <c r="D65" s="18">
        <f t="shared" si="0"/>
        <v>2.17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1697</v>
      </c>
      <c r="C67" s="74">
        <f>ROUND(241.97/9509,5)</f>
        <v>2.545E-2</v>
      </c>
      <c r="D67" s="18">
        <f t="shared" si="0"/>
        <v>5.09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1551</v>
      </c>
      <c r="C69" s="253">
        <f>ROUND(87.42/9509,5)</f>
        <v>9.1900000000000003E-3</v>
      </c>
      <c r="D69" s="18">
        <f t="shared" si="0"/>
        <v>1.8380000000000001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1385</v>
      </c>
      <c r="C71" s="74">
        <f>ROUND(28.69/9509,5)</f>
        <v>3.0200000000000001E-3</v>
      </c>
      <c r="D71" s="18">
        <f t="shared" si="0"/>
        <v>0.60399999999999998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1391</v>
      </c>
      <c r="C73" s="74">
        <f>ROUND(8.56/9509,4)</f>
        <v>8.9999999999999998E-4</v>
      </c>
      <c r="D73" s="18">
        <f t="shared" si="0"/>
        <v>0.18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1552</v>
      </c>
      <c r="C75" s="74">
        <f>ROUND(58.04/9509,4)</f>
        <v>6.1000000000000004E-3</v>
      </c>
      <c r="D75" s="18">
        <f t="shared" si="0"/>
        <v>1.22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1387</v>
      </c>
      <c r="C77" s="74">
        <f>ROUND(249.88/9509,4)</f>
        <v>2.63E-2</v>
      </c>
      <c r="D77" s="18">
        <f t="shared" si="0"/>
        <v>5.26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5" ht="48" x14ac:dyDescent="0.25">
      <c r="A81" s="35"/>
      <c r="B81" s="40" t="s">
        <v>1388</v>
      </c>
      <c r="C81" s="80">
        <f>ROUND(61.55/9509,5)</f>
        <v>6.4700000000000001E-3</v>
      </c>
      <c r="D81" s="18">
        <f t="shared" si="0"/>
        <v>1.294</v>
      </c>
    </row>
    <row r="82" spans="1:5" x14ac:dyDescent="0.25">
      <c r="A82" s="35">
        <v>5238</v>
      </c>
      <c r="B82" s="40" t="s">
        <v>117</v>
      </c>
      <c r="C82" s="80"/>
      <c r="D82" s="18"/>
    </row>
    <row r="83" spans="1:5" ht="48" x14ac:dyDescent="0.25">
      <c r="A83" s="35"/>
      <c r="B83" s="40" t="s">
        <v>1698</v>
      </c>
      <c r="C83" s="80">
        <f>ROUND(88.34/9509,5)</f>
        <v>9.2899999999999996E-3</v>
      </c>
      <c r="D83" s="18">
        <f>C83*200-0.01</f>
        <v>1.8479999999999999</v>
      </c>
    </row>
    <row r="84" spans="1:5" x14ac:dyDescent="0.25">
      <c r="A84" s="35">
        <v>5239</v>
      </c>
      <c r="B84" s="243" t="s">
        <v>583</v>
      </c>
      <c r="C84" s="74"/>
      <c r="D84" s="18"/>
    </row>
    <row r="85" spans="1:5" ht="48" x14ac:dyDescent="0.25">
      <c r="A85" s="35"/>
      <c r="B85" s="40" t="s">
        <v>1699</v>
      </c>
      <c r="C85" s="253">
        <f>ROUND(151.09/9509,5)</f>
        <v>1.5890000000000001E-2</v>
      </c>
      <c r="D85" s="18">
        <f t="shared" si="0"/>
        <v>3.1780000000000004</v>
      </c>
    </row>
    <row r="86" spans="1:5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186</v>
      </c>
    </row>
    <row r="87" spans="1:5" ht="15.75" customHeight="1" x14ac:dyDescent="0.25">
      <c r="A87" s="83"/>
      <c r="B87" s="84" t="s">
        <v>95</v>
      </c>
      <c r="C87" s="82">
        <f>ROUND(C86+C18,3)</f>
        <v>12.69</v>
      </c>
      <c r="D87" s="82">
        <f>ROUND(D86+D18,3)</f>
        <v>2538</v>
      </c>
      <c r="E87" s="190"/>
    </row>
    <row r="88" spans="1:5" x14ac:dyDescent="0.25">
      <c r="A88" s="85"/>
      <c r="B88" s="86"/>
      <c r="C88" s="87"/>
      <c r="D88" s="87"/>
    </row>
    <row r="89" spans="1:5" x14ac:dyDescent="0.25">
      <c r="A89" s="311" t="s">
        <v>96</v>
      </c>
      <c r="B89" s="312"/>
      <c r="C89" s="88">
        <v>200</v>
      </c>
      <c r="D89" s="89"/>
    </row>
    <row r="90" spans="1:5" ht="22.5" customHeight="1" x14ac:dyDescent="0.25">
      <c r="A90" s="313" t="s">
        <v>113</v>
      </c>
      <c r="B90" s="314"/>
      <c r="C90" s="22">
        <f>D87/C89</f>
        <v>12.69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90"/>
  <sheetViews>
    <sheetView topLeftCell="A79" workbookViewId="0">
      <selection activeCell="G81" sqref="G81"/>
    </sheetView>
  </sheetViews>
  <sheetFormatPr defaultRowHeight="15" x14ac:dyDescent="0.25"/>
  <cols>
    <col min="1" max="1" width="10" customWidth="1"/>
    <col min="2" max="2" width="57.7109375" customWidth="1"/>
    <col min="3" max="3" width="10.7109375" customWidth="1"/>
    <col min="4" max="4" width="12.42578125" customWidth="1"/>
  </cols>
  <sheetData>
    <row r="1" spans="1:5" x14ac:dyDescent="0.25">
      <c r="A1" s="304" t="s">
        <v>78</v>
      </c>
      <c r="B1" s="304"/>
      <c r="C1" s="304"/>
      <c r="D1" s="304"/>
    </row>
    <row r="2" spans="1:5" ht="13.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9.75" customHeight="1" x14ac:dyDescent="0.25">
      <c r="A4" s="55"/>
      <c r="B4" s="58"/>
      <c r="C4" s="58"/>
      <c r="D4" s="59"/>
    </row>
    <row r="5" spans="1:5" ht="24" customHeight="1" x14ac:dyDescent="0.25">
      <c r="A5" s="307" t="s">
        <v>295</v>
      </c>
      <c r="B5" s="307"/>
      <c r="C5" s="307"/>
      <c r="D5" s="307"/>
    </row>
    <row r="6" spans="1:5" ht="9.75" customHeight="1" x14ac:dyDescent="0.25">
      <c r="A6" s="102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102"/>
      <c r="B8" s="103"/>
      <c r="C8" s="60"/>
      <c r="D8" s="59"/>
    </row>
    <row r="9" spans="1:5" x14ac:dyDescent="0.25">
      <c r="A9" s="309" t="s">
        <v>98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14" customHeight="1" x14ac:dyDescent="0.25">
      <c r="A14" s="35"/>
      <c r="B14" s="90" t="s">
        <v>387</v>
      </c>
      <c r="C14" s="16">
        <f>0.17*20+0.17*13</f>
        <v>5.61</v>
      </c>
      <c r="D14" s="18">
        <f>C14*60</f>
        <v>336.6</v>
      </c>
    </row>
    <row r="15" spans="1:5" ht="24" x14ac:dyDescent="0.25">
      <c r="A15" s="35">
        <v>1200</v>
      </c>
      <c r="B15" s="73" t="s">
        <v>386</v>
      </c>
      <c r="C15" s="18">
        <f>ROUND(C14*0.2359,2)</f>
        <v>1.32</v>
      </c>
      <c r="D15" s="18">
        <f>C15*60</f>
        <v>79.2</v>
      </c>
      <c r="E15" s="181"/>
    </row>
    <row r="16" spans="1:5" x14ac:dyDescent="0.25">
      <c r="A16" s="35">
        <v>2341</v>
      </c>
      <c r="B16" s="50" t="s">
        <v>97</v>
      </c>
      <c r="C16" s="91"/>
      <c r="D16" s="91"/>
    </row>
    <row r="17" spans="1:5" ht="87" customHeight="1" x14ac:dyDescent="0.25">
      <c r="A17" s="35"/>
      <c r="B17" s="73" t="s">
        <v>275</v>
      </c>
      <c r="C17" s="18">
        <v>0.28000000000000003</v>
      </c>
      <c r="D17" s="18">
        <f>C17*60</f>
        <v>16.8</v>
      </c>
    </row>
    <row r="18" spans="1:5" x14ac:dyDescent="0.25">
      <c r="A18" s="50"/>
      <c r="B18" s="92" t="s">
        <v>87</v>
      </c>
      <c r="C18" s="82">
        <f>SUM(C13:C17)</f>
        <v>7.2100000000000009</v>
      </c>
      <c r="D18" s="82">
        <f>SUM(D13:D17)</f>
        <v>432.6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1703</v>
      </c>
      <c r="C21" s="74">
        <f>ROUND(31.85/9509,5)</f>
        <v>3.3500000000000001E-3</v>
      </c>
      <c r="D21" s="18">
        <f>C21*60</f>
        <v>0.20100000000000001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1704</v>
      </c>
      <c r="C23" s="18">
        <f>ROUND(228.88/9509,5)</f>
        <v>2.4070000000000001E-2</v>
      </c>
      <c r="D23" s="18">
        <f t="shared" ref="D23:D85" si="0">C23*60</f>
        <v>1.4442000000000002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1705</v>
      </c>
      <c r="C25" s="18">
        <f>ROUND(382.73/9509,5)</f>
        <v>4.0250000000000001E-2</v>
      </c>
      <c r="D25" s="18">
        <f t="shared" si="0"/>
        <v>2.415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1706</v>
      </c>
      <c r="C27" s="74">
        <f>ROUND(38.69/9509,5)</f>
        <v>4.0699999999999998E-3</v>
      </c>
      <c r="D27" s="18">
        <f t="shared" si="0"/>
        <v>0.2442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1707</v>
      </c>
      <c r="C29" s="74">
        <f>ROUND(1004.28/9509,3)</f>
        <v>0.106</v>
      </c>
      <c r="D29" s="18">
        <f t="shared" si="0"/>
        <v>6.3599999999999994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1708</v>
      </c>
      <c r="C31" s="18">
        <f>ROUND(82.8/9509,3)</f>
        <v>8.9999999999999993E-3</v>
      </c>
      <c r="D31" s="18">
        <f t="shared" si="0"/>
        <v>0.53999999999999992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1709</v>
      </c>
      <c r="C33" s="18">
        <f>ROUND(289.4/9509,3)</f>
        <v>0.03</v>
      </c>
      <c r="D33" s="18">
        <f t="shared" si="0"/>
        <v>1.7999999999999998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1710</v>
      </c>
      <c r="C35" s="74">
        <f>ROUND(20.68/9509,3)</f>
        <v>2E-3</v>
      </c>
      <c r="D35" s="18">
        <f t="shared" si="0"/>
        <v>0.12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1711</v>
      </c>
      <c r="C37" s="74">
        <f>ROUND(58.15/9509,3)</f>
        <v>6.0000000000000001E-3</v>
      </c>
      <c r="D37" s="18">
        <f t="shared" si="0"/>
        <v>0.36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1712</v>
      </c>
      <c r="C39" s="74">
        <f>ROUND(524.45/9509,3)</f>
        <v>5.5E-2</v>
      </c>
      <c r="D39" s="18">
        <f t="shared" si="0"/>
        <v>3.3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1713</v>
      </c>
      <c r="C41" s="74">
        <f>ROUND(131.923/9509,3)</f>
        <v>1.4E-2</v>
      </c>
      <c r="D41" s="18">
        <f t="shared" si="0"/>
        <v>0.84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1714</v>
      </c>
      <c r="C43" s="18">
        <f>ROUND(360.94/9509,3)</f>
        <v>3.7999999999999999E-2</v>
      </c>
      <c r="D43" s="18">
        <f t="shared" si="0"/>
        <v>2.2799999999999998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1715</v>
      </c>
      <c r="C45" s="18">
        <f>ROUND(272.76/9509,3)</f>
        <v>2.9000000000000001E-2</v>
      </c>
      <c r="D45" s="18">
        <f t="shared" si="0"/>
        <v>1.74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1716</v>
      </c>
      <c r="C47" s="74">
        <f>ROUND(12.06/9509,3)</f>
        <v>1E-3</v>
      </c>
      <c r="D47" s="18">
        <f t="shared" si="0"/>
        <v>0.06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1717</v>
      </c>
      <c r="C49" s="74">
        <f>ROUND(23.35/9509,3)</f>
        <v>2E-3</v>
      </c>
      <c r="D49" s="18">
        <f t="shared" si="0"/>
        <v>0.12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1718</v>
      </c>
      <c r="C51" s="18">
        <f>ROUND(750.97/9509,3)</f>
        <v>7.9000000000000001E-2</v>
      </c>
      <c r="D51" s="18">
        <f t="shared" si="0"/>
        <v>4.74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1719</v>
      </c>
      <c r="C53" s="18">
        <f>ROUND(2620.34/9509,3)</f>
        <v>0.27600000000000002</v>
      </c>
      <c r="D53" s="18">
        <f t="shared" si="0"/>
        <v>16.560000000000002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1720</v>
      </c>
      <c r="C55" s="74">
        <f>ROUND(9.91/9509,3)</f>
        <v>1E-3</v>
      </c>
      <c r="D55" s="18">
        <f t="shared" si="0"/>
        <v>0.06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1721</v>
      </c>
      <c r="C57" s="18">
        <f>ROUND(132.32/9509,3)</f>
        <v>1.4E-2</v>
      </c>
      <c r="D57" s="18">
        <f t="shared" si="0"/>
        <v>0.84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1722</v>
      </c>
      <c r="C59" s="74">
        <f>ROUND(72.76/9509,3)</f>
        <v>8.0000000000000002E-3</v>
      </c>
      <c r="D59" s="18">
        <f t="shared" si="0"/>
        <v>0.48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1723</v>
      </c>
      <c r="C61" s="18">
        <f>ROUND(484.21/9509,3)</f>
        <v>5.0999999999999997E-2</v>
      </c>
      <c r="D61" s="18">
        <f t="shared" si="0"/>
        <v>3.0599999999999996</v>
      </c>
    </row>
    <row r="62" spans="1:4" ht="12.75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1724</v>
      </c>
      <c r="C63" s="18">
        <f>ROUND(224.14/9509,3)</f>
        <v>2.4E-2</v>
      </c>
      <c r="D63" s="18">
        <f t="shared" si="0"/>
        <v>1.44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1725</v>
      </c>
      <c r="C65" s="18">
        <f>ROUND(103.21/9509,3)</f>
        <v>1.0999999999999999E-2</v>
      </c>
      <c r="D65" s="18">
        <f t="shared" si="0"/>
        <v>0.65999999999999992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1726</v>
      </c>
      <c r="C67" s="18">
        <f>ROUND(241.97/9509,3)</f>
        <v>2.5000000000000001E-2</v>
      </c>
      <c r="D67" s="18">
        <f t="shared" si="0"/>
        <v>1.5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1727</v>
      </c>
      <c r="C69" s="18">
        <f>ROUND(87.42/9509,5)</f>
        <v>9.1900000000000003E-3</v>
      </c>
      <c r="D69" s="18">
        <f t="shared" si="0"/>
        <v>0.5514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1728</v>
      </c>
      <c r="C71" s="74">
        <f>ROUND(28.69/9509,5)</f>
        <v>3.0200000000000001E-3</v>
      </c>
      <c r="D71" s="18">
        <f t="shared" si="0"/>
        <v>0.1812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1729</v>
      </c>
      <c r="C73" s="74">
        <f>ROUND(8.56/9509,5)</f>
        <v>8.9999999999999998E-4</v>
      </c>
      <c r="D73" s="18">
        <f t="shared" si="0"/>
        <v>5.3999999999999999E-2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1730</v>
      </c>
      <c r="C75" s="74">
        <f>ROUND(58.04/9509,5)</f>
        <v>6.1000000000000004E-3</v>
      </c>
      <c r="D75" s="18">
        <f t="shared" si="0"/>
        <v>0.36600000000000005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1731</v>
      </c>
      <c r="C77" s="74">
        <f>ROUND(249.88/9509,5)</f>
        <v>2.6280000000000001E-2</v>
      </c>
      <c r="D77" s="18">
        <f t="shared" si="0"/>
        <v>1.5768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17.25" customHeight="1" x14ac:dyDescent="0.25">
      <c r="A79" s="35"/>
      <c r="B79" s="40" t="s">
        <v>116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1732</v>
      </c>
      <c r="C81" s="74">
        <f>ROUND(61.55/9509,5)</f>
        <v>6.4700000000000001E-3</v>
      </c>
      <c r="D81" s="18">
        <f t="shared" si="0"/>
        <v>0.38819999999999999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1733</v>
      </c>
      <c r="C83" s="74">
        <f>ROUND(88.34/9509,5)</f>
        <v>9.2899999999999996E-3</v>
      </c>
      <c r="D83" s="18">
        <f t="shared" si="0"/>
        <v>0.55740000000000001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58.5" customHeight="1" x14ac:dyDescent="0.25">
      <c r="A85" s="35"/>
      <c r="B85" s="40" t="s">
        <v>1734</v>
      </c>
      <c r="C85" s="74">
        <f>ROUND(151.09/9509,3)</f>
        <v>1.6E-2</v>
      </c>
      <c r="D85" s="18">
        <f t="shared" si="0"/>
        <v>0.96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55.8</v>
      </c>
    </row>
    <row r="87" spans="1:4" x14ac:dyDescent="0.25">
      <c r="A87" s="83"/>
      <c r="B87" s="84" t="s">
        <v>95</v>
      </c>
      <c r="C87" s="82">
        <f>ROUND(C86+C18,3)</f>
        <v>8.14</v>
      </c>
      <c r="D87" s="82">
        <f>ROUND(D86+D18,3)</f>
        <v>488.4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60</v>
      </c>
      <c r="D89" s="89"/>
    </row>
    <row r="90" spans="1:4" ht="25.5" customHeight="1" x14ac:dyDescent="0.25">
      <c r="A90" s="302" t="s">
        <v>113</v>
      </c>
      <c r="B90" s="303"/>
      <c r="C90" s="22">
        <f>D87/C89</f>
        <v>8.1399999999999988</v>
      </c>
      <c r="D90" s="22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90"/>
  <sheetViews>
    <sheetView topLeftCell="A79" workbookViewId="0">
      <selection activeCell="B21" sqref="B21"/>
    </sheetView>
  </sheetViews>
  <sheetFormatPr defaultRowHeight="15" x14ac:dyDescent="0.25"/>
  <cols>
    <col min="1" max="1" width="9.5703125" customWidth="1"/>
    <col min="2" max="2" width="55" customWidth="1"/>
    <col min="3" max="3" width="11.5703125" customWidth="1"/>
    <col min="4" max="4" width="11.7109375" customWidth="1"/>
    <col min="5" max="5" width="13.140625" customWidth="1"/>
    <col min="6" max="6" width="12.85546875" customWidth="1"/>
  </cols>
  <sheetData>
    <row r="1" spans="1:5" x14ac:dyDescent="0.25">
      <c r="A1" s="304" t="s">
        <v>78</v>
      </c>
      <c r="B1" s="304"/>
      <c r="C1" s="304"/>
      <c r="D1" s="304"/>
    </row>
    <row r="2" spans="1:5" ht="11.2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ht="10.5" customHeight="1" x14ac:dyDescent="0.25">
      <c r="A4" s="55"/>
      <c r="B4" s="58"/>
      <c r="C4" s="58"/>
      <c r="D4" s="59"/>
    </row>
    <row r="5" spans="1:5" ht="28.5" customHeight="1" x14ac:dyDescent="0.25">
      <c r="A5" s="307" t="s">
        <v>294</v>
      </c>
      <c r="B5" s="307"/>
      <c r="C5" s="307"/>
      <c r="D5" s="307"/>
    </row>
    <row r="6" spans="1:5" ht="12" customHeight="1" x14ac:dyDescent="0.25">
      <c r="A6" s="102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10.5" customHeight="1" x14ac:dyDescent="0.25">
      <c r="A8" s="102"/>
      <c r="B8" s="103"/>
      <c r="C8" s="60"/>
      <c r="D8" s="59"/>
    </row>
    <row r="9" spans="1:5" x14ac:dyDescent="0.25">
      <c r="A9" s="309" t="s">
        <v>98</v>
      </c>
      <c r="B9" s="309"/>
      <c r="C9" s="62"/>
      <c r="D9" s="59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108" x14ac:dyDescent="0.25">
      <c r="A14" s="50"/>
      <c r="B14" s="72" t="s">
        <v>388</v>
      </c>
      <c r="C14" s="16">
        <f>0.17*20+0.17*13</f>
        <v>5.61</v>
      </c>
      <c r="D14" s="18">
        <f>C14*60</f>
        <v>336.6</v>
      </c>
    </row>
    <row r="15" spans="1:5" ht="24" x14ac:dyDescent="0.25">
      <c r="A15" s="50">
        <v>1200</v>
      </c>
      <c r="B15" s="73" t="s">
        <v>386</v>
      </c>
      <c r="C15" s="18">
        <f>ROUND(C14*0.2359,2)</f>
        <v>1.32</v>
      </c>
      <c r="D15" s="18">
        <f>C15*60</f>
        <v>79.2</v>
      </c>
      <c r="E15" s="181"/>
    </row>
    <row r="16" spans="1:5" x14ac:dyDescent="0.25">
      <c r="A16" s="50">
        <v>2341</v>
      </c>
      <c r="B16" s="50" t="s">
        <v>97</v>
      </c>
      <c r="C16" s="91"/>
      <c r="D16" s="91"/>
    </row>
    <row r="17" spans="1:5" ht="99.75" customHeight="1" x14ac:dyDescent="0.25">
      <c r="A17" s="50"/>
      <c r="B17" s="73" t="s">
        <v>389</v>
      </c>
      <c r="C17" s="18">
        <v>5.28</v>
      </c>
      <c r="D17" s="18">
        <f>C17*60</f>
        <v>316.8</v>
      </c>
    </row>
    <row r="18" spans="1:5" x14ac:dyDescent="0.25">
      <c r="A18" s="50"/>
      <c r="B18" s="92" t="s">
        <v>87</v>
      </c>
      <c r="C18" s="82">
        <f>SUM(C13:C17)</f>
        <v>12.21</v>
      </c>
      <c r="D18" s="82">
        <f>SUM(D13:D17)</f>
        <v>732.6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1703</v>
      </c>
      <c r="C21" s="74">
        <f>ROUND(31.85/9509,4)</f>
        <v>3.3E-3</v>
      </c>
      <c r="D21" s="18">
        <f>C21*60</f>
        <v>0.19800000000000001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1704</v>
      </c>
      <c r="C23" s="18">
        <f>ROUND(228.88/9509,5)</f>
        <v>2.4070000000000001E-2</v>
      </c>
      <c r="D23" s="18">
        <f t="shared" ref="D23:D85" si="0">C23*60</f>
        <v>1.4442000000000002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1705</v>
      </c>
      <c r="C25" s="18">
        <f>ROUND(382.73/9509,5)</f>
        <v>4.0250000000000001E-2</v>
      </c>
      <c r="D25" s="18">
        <f t="shared" si="0"/>
        <v>2.415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1706</v>
      </c>
      <c r="C27" s="74">
        <f>ROUND(38.69/9509,3)</f>
        <v>4.0000000000000001E-3</v>
      </c>
      <c r="D27" s="18">
        <f t="shared" si="0"/>
        <v>0.24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1707</v>
      </c>
      <c r="C29" s="74">
        <f>ROUND(1004.28/9509,3)</f>
        <v>0.106</v>
      </c>
      <c r="D29" s="18">
        <f t="shared" si="0"/>
        <v>6.3599999999999994</v>
      </c>
    </row>
    <row r="30" spans="1:5" ht="26.25" customHeight="1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1708</v>
      </c>
      <c r="C31" s="18">
        <f>ROUND(82.8/9509,3)</f>
        <v>8.9999999999999993E-3</v>
      </c>
      <c r="D31" s="18">
        <f t="shared" si="0"/>
        <v>0.53999999999999992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1709</v>
      </c>
      <c r="C33" s="18">
        <f>ROUND(289.4/9509,3)</f>
        <v>0.03</v>
      </c>
      <c r="D33" s="18">
        <f t="shared" si="0"/>
        <v>1.7999999999999998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1710</v>
      </c>
      <c r="C35" s="74">
        <f>ROUND(20.68/9509,3)</f>
        <v>2E-3</v>
      </c>
      <c r="D35" s="18">
        <f t="shared" si="0"/>
        <v>0.12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1711</v>
      </c>
      <c r="C37" s="74">
        <f>ROUND(58.15/9509,3)</f>
        <v>6.0000000000000001E-3</v>
      </c>
      <c r="D37" s="18">
        <f t="shared" si="0"/>
        <v>0.36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1712</v>
      </c>
      <c r="C39" s="74">
        <f>ROUND(524.45/9509,3)</f>
        <v>5.5E-2</v>
      </c>
      <c r="D39" s="18">
        <f t="shared" si="0"/>
        <v>3.3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1713</v>
      </c>
      <c r="C41" s="74">
        <f>ROUND(131.923/9509,3)</f>
        <v>1.4E-2</v>
      </c>
      <c r="D41" s="18">
        <f t="shared" si="0"/>
        <v>0.84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1714</v>
      </c>
      <c r="C43" s="18">
        <f>ROUND(360.94/9509,3)</f>
        <v>3.7999999999999999E-2</v>
      </c>
      <c r="D43" s="18">
        <f t="shared" si="0"/>
        <v>2.2799999999999998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1715</v>
      </c>
      <c r="C45" s="18">
        <f>ROUND(272.76/9509,3)</f>
        <v>2.9000000000000001E-2</v>
      </c>
      <c r="D45" s="18">
        <f t="shared" si="0"/>
        <v>1.74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1716</v>
      </c>
      <c r="C47" s="74">
        <f>ROUND(12.06/9509,3)</f>
        <v>1E-3</v>
      </c>
      <c r="D47" s="18">
        <f t="shared" si="0"/>
        <v>0.06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1717</v>
      </c>
      <c r="C49" s="74">
        <f>ROUND(23.35/9509,3)</f>
        <v>2E-3</v>
      </c>
      <c r="D49" s="18">
        <f t="shared" si="0"/>
        <v>0.12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1718</v>
      </c>
      <c r="C51" s="18">
        <f>ROUND(750.97/9509,4)</f>
        <v>7.9000000000000001E-2</v>
      </c>
      <c r="D51" s="18">
        <f t="shared" si="0"/>
        <v>4.74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1719</v>
      </c>
      <c r="C53" s="18">
        <f>ROUND(2620.34/9509,3)</f>
        <v>0.27600000000000002</v>
      </c>
      <c r="D53" s="18">
        <f t="shared" si="0"/>
        <v>16.560000000000002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1720</v>
      </c>
      <c r="C55" s="74">
        <f>ROUND(9.91/9509,4)</f>
        <v>1E-3</v>
      </c>
      <c r="D55" s="18">
        <f t="shared" si="0"/>
        <v>0.06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1721</v>
      </c>
      <c r="C57" s="18">
        <f>ROUND(132.32/9509,3)</f>
        <v>1.4E-2</v>
      </c>
      <c r="D57" s="18">
        <f t="shared" si="0"/>
        <v>0.84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1735</v>
      </c>
      <c r="C59" s="74">
        <f>ROUND(72.76/9509,3)</f>
        <v>8.0000000000000002E-3</v>
      </c>
      <c r="D59" s="18">
        <f t="shared" si="0"/>
        <v>0.48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1723</v>
      </c>
      <c r="C61" s="18">
        <f>ROUND(484.21/9509,3)</f>
        <v>5.0999999999999997E-2</v>
      </c>
      <c r="D61" s="18">
        <f t="shared" si="0"/>
        <v>3.0599999999999996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1724</v>
      </c>
      <c r="C63" s="18">
        <f>ROUND(224.14/9509,3)</f>
        <v>2.4E-2</v>
      </c>
      <c r="D63" s="18">
        <f t="shared" si="0"/>
        <v>1.44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1725</v>
      </c>
      <c r="C65" s="18">
        <f>ROUND(103.21/9509,3)</f>
        <v>1.0999999999999999E-2</v>
      </c>
      <c r="D65" s="18">
        <f t="shared" si="0"/>
        <v>0.65999999999999992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1736</v>
      </c>
      <c r="C67" s="18">
        <f>ROUND(241.97/9509,5)</f>
        <v>2.545E-2</v>
      </c>
      <c r="D67" s="18">
        <f t="shared" si="0"/>
        <v>1.5270000000000001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1737</v>
      </c>
      <c r="C69" s="18">
        <f>ROUND(87.42/9509,3)</f>
        <v>8.9999999999999993E-3</v>
      </c>
      <c r="D69" s="18">
        <f t="shared" si="0"/>
        <v>0.53999999999999992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1728</v>
      </c>
      <c r="C71" s="74">
        <f>ROUND(28.69/9509,4)</f>
        <v>3.0000000000000001E-3</v>
      </c>
      <c r="D71" s="18">
        <f t="shared" si="0"/>
        <v>0.18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1729</v>
      </c>
      <c r="C73" s="74">
        <f>ROUND(8.56/9509,5)</f>
        <v>8.9999999999999998E-4</v>
      </c>
      <c r="D73" s="18">
        <f t="shared" si="0"/>
        <v>5.3999999999999999E-2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1730</v>
      </c>
      <c r="C75" s="74">
        <f>ROUND(58.04/9509,4)</f>
        <v>6.1000000000000004E-3</v>
      </c>
      <c r="D75" s="18">
        <f t="shared" si="0"/>
        <v>0.36600000000000005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1731</v>
      </c>
      <c r="C77" s="74">
        <f>ROUND(249.88/9509,4)</f>
        <v>2.63E-2</v>
      </c>
      <c r="D77" s="18">
        <f t="shared" si="0"/>
        <v>1.5780000000000001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9.75" customHeight="1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1732</v>
      </c>
      <c r="C81" s="74">
        <f>ROUND(61.55/9509,5)</f>
        <v>6.4700000000000001E-3</v>
      </c>
      <c r="D81" s="18">
        <f t="shared" si="0"/>
        <v>0.38819999999999999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1733</v>
      </c>
      <c r="C83" s="74">
        <f>ROUND(88.34/9509,4)</f>
        <v>9.2999999999999992E-3</v>
      </c>
      <c r="D83" s="18">
        <f>C83*60</f>
        <v>0.55799999999999994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1738</v>
      </c>
      <c r="C85" s="74">
        <f>ROUND(151.09/9509,4)</f>
        <v>1.5900000000000001E-2</v>
      </c>
      <c r="D85" s="18">
        <f t="shared" si="0"/>
        <v>0.95400000000000007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55.8</v>
      </c>
    </row>
    <row r="87" spans="1:4" x14ac:dyDescent="0.25">
      <c r="A87" s="83"/>
      <c r="B87" s="84" t="s">
        <v>95</v>
      </c>
      <c r="C87" s="82">
        <f>ROUND(C86+C18,3)</f>
        <v>13.14</v>
      </c>
      <c r="D87" s="82">
        <f>ROUND(D86+D18,3)</f>
        <v>788.4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60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13.139999999999999</v>
      </c>
      <c r="D90" s="22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91"/>
  <sheetViews>
    <sheetView topLeftCell="A78" workbookViewId="0">
      <selection activeCell="B76" sqref="B76"/>
    </sheetView>
  </sheetViews>
  <sheetFormatPr defaultRowHeight="15" x14ac:dyDescent="0.25"/>
  <cols>
    <col min="2" max="2" width="58.85546875" customWidth="1"/>
    <col min="3" max="3" width="12.42578125" customWidth="1"/>
    <col min="4" max="4" width="13.5703125" customWidth="1"/>
    <col min="6" max="6" width="12.140625" customWidth="1"/>
  </cols>
  <sheetData>
    <row r="1" spans="1:5" x14ac:dyDescent="0.25">
      <c r="A1" s="330" t="s">
        <v>78</v>
      </c>
      <c r="B1" s="330"/>
      <c r="C1" s="330"/>
      <c r="D1" s="330"/>
    </row>
    <row r="2" spans="1:5" x14ac:dyDescent="0.25">
      <c r="A2" s="41"/>
      <c r="B2" s="41"/>
      <c r="C2" s="331"/>
      <c r="D2" s="337"/>
    </row>
    <row r="3" spans="1:5" x14ac:dyDescent="0.25">
      <c r="A3" s="42" t="s">
        <v>111</v>
      </c>
      <c r="B3" s="43"/>
      <c r="C3" s="43"/>
      <c r="D3" s="43"/>
    </row>
    <row r="4" spans="1:5" x14ac:dyDescent="0.25">
      <c r="A4" s="41"/>
      <c r="B4" s="7"/>
      <c r="C4" s="7"/>
      <c r="D4" s="26"/>
    </row>
    <row r="5" spans="1:5" ht="40.5" customHeight="1" x14ac:dyDescent="0.25">
      <c r="A5" s="332" t="s">
        <v>293</v>
      </c>
      <c r="B5" s="332"/>
      <c r="C5" s="332"/>
      <c r="D5" s="332"/>
    </row>
    <row r="6" spans="1:5" x14ac:dyDescent="0.25">
      <c r="A6" s="6"/>
      <c r="B6" s="7"/>
      <c r="C6" s="7"/>
      <c r="D6" s="26"/>
    </row>
    <row r="7" spans="1:5" x14ac:dyDescent="0.25">
      <c r="A7" s="333" t="s">
        <v>112</v>
      </c>
      <c r="B7" s="334"/>
      <c r="C7" s="7"/>
      <c r="D7" s="26"/>
    </row>
    <row r="8" spans="1:5" x14ac:dyDescent="0.25">
      <c r="A8" s="38"/>
      <c r="B8" s="39"/>
      <c r="C8" s="7"/>
      <c r="D8" s="26"/>
    </row>
    <row r="9" spans="1:5" x14ac:dyDescent="0.25">
      <c r="A9" s="335" t="s">
        <v>106</v>
      </c>
      <c r="B9" s="335"/>
      <c r="C9" s="25"/>
      <c r="D9" s="26"/>
    </row>
    <row r="10" spans="1:5" x14ac:dyDescent="0.25">
      <c r="A10" s="41"/>
      <c r="B10" s="44"/>
      <c r="C10" s="25"/>
      <c r="D10" s="26"/>
    </row>
    <row r="11" spans="1:5" ht="96" x14ac:dyDescent="0.25">
      <c r="A11" s="10" t="s">
        <v>80</v>
      </c>
      <c r="B11" s="10" t="s">
        <v>81</v>
      </c>
      <c r="C11" s="10" t="s">
        <v>82</v>
      </c>
      <c r="D11" s="10" t="s">
        <v>83</v>
      </c>
    </row>
    <row r="12" spans="1:5" x14ac:dyDescent="0.25">
      <c r="A12" s="11">
        <v>1</v>
      </c>
      <c r="B12" s="12">
        <v>2</v>
      </c>
      <c r="C12" s="11">
        <v>3</v>
      </c>
      <c r="D12" s="11">
        <v>4</v>
      </c>
    </row>
    <row r="13" spans="1:5" x14ac:dyDescent="0.25">
      <c r="A13" s="11"/>
      <c r="B13" s="27" t="s">
        <v>84</v>
      </c>
      <c r="C13" s="13"/>
      <c r="D13" s="13"/>
    </row>
    <row r="14" spans="1:5" x14ac:dyDescent="0.25">
      <c r="A14" s="28">
        <v>1100</v>
      </c>
      <c r="B14" s="29" t="s">
        <v>85</v>
      </c>
      <c r="C14" s="14"/>
      <c r="D14" s="14"/>
    </row>
    <row r="15" spans="1:5" ht="123" customHeight="1" x14ac:dyDescent="0.25">
      <c r="A15" s="30"/>
      <c r="B15" s="15" t="s">
        <v>390</v>
      </c>
      <c r="C15" s="16">
        <f>0.17*20+0.17*13</f>
        <v>5.61</v>
      </c>
      <c r="D15" s="16">
        <f>C15*10</f>
        <v>56.1</v>
      </c>
    </row>
    <row r="16" spans="1:5" ht="24" x14ac:dyDescent="0.25">
      <c r="A16" s="30">
        <v>1200</v>
      </c>
      <c r="B16" s="31" t="s">
        <v>391</v>
      </c>
      <c r="C16" s="16">
        <f>ROUND(C15*0.2359,2)</f>
        <v>1.32</v>
      </c>
      <c r="D16" s="16">
        <f>C16*10</f>
        <v>13.200000000000001</v>
      </c>
      <c r="E16" s="2"/>
    </row>
    <row r="17" spans="1:6" x14ac:dyDescent="0.25">
      <c r="A17" s="30">
        <v>2341</v>
      </c>
      <c r="B17" s="30" t="s">
        <v>118</v>
      </c>
      <c r="C17" s="19"/>
      <c r="D17" s="19"/>
    </row>
    <row r="18" spans="1:6" ht="112.5" customHeight="1" x14ac:dyDescent="0.25">
      <c r="A18" s="30"/>
      <c r="B18" s="40" t="s">
        <v>392</v>
      </c>
      <c r="C18" s="16">
        <v>3.85</v>
      </c>
      <c r="D18" s="16">
        <f>C18*10</f>
        <v>38.5</v>
      </c>
      <c r="E18" s="189"/>
      <c r="F18" s="190"/>
    </row>
    <row r="19" spans="1:6" x14ac:dyDescent="0.25">
      <c r="A19" s="140"/>
      <c r="B19" s="136" t="s">
        <v>87</v>
      </c>
      <c r="C19" s="137">
        <f>SUM(C14:C18)</f>
        <v>10.780000000000001</v>
      </c>
      <c r="D19" s="137">
        <f>SUM(D14:D18)</f>
        <v>107.8</v>
      </c>
      <c r="E19" s="183"/>
    </row>
    <row r="20" spans="1:6" x14ac:dyDescent="0.25">
      <c r="A20" s="77"/>
      <c r="B20" s="176" t="s">
        <v>88</v>
      </c>
      <c r="C20" s="78"/>
      <c r="D20" s="78"/>
    </row>
    <row r="21" spans="1:6" x14ac:dyDescent="0.25">
      <c r="A21" s="35">
        <v>2100</v>
      </c>
      <c r="B21" s="246" t="s">
        <v>584</v>
      </c>
      <c r="C21" s="78"/>
      <c r="D21" s="78"/>
    </row>
    <row r="22" spans="1:6" ht="48" x14ac:dyDescent="0.25">
      <c r="A22" s="77"/>
      <c r="B22" s="40" t="s">
        <v>1557</v>
      </c>
      <c r="C22" s="74">
        <f>ROUND(31.85/9509,5)</f>
        <v>3.3500000000000001E-3</v>
      </c>
      <c r="D22" s="18">
        <f>C22*10</f>
        <v>3.3500000000000002E-2</v>
      </c>
    </row>
    <row r="23" spans="1:6" x14ac:dyDescent="0.25">
      <c r="A23" s="35">
        <v>2210</v>
      </c>
      <c r="B23" s="40" t="s">
        <v>568</v>
      </c>
      <c r="C23" s="74"/>
      <c r="D23" s="74"/>
    </row>
    <row r="24" spans="1:6" ht="60" x14ac:dyDescent="0.25">
      <c r="A24" s="35"/>
      <c r="B24" s="40" t="s">
        <v>1558</v>
      </c>
      <c r="C24" s="18">
        <f>ROUND(228.88/9509,5)</f>
        <v>2.4070000000000001E-2</v>
      </c>
      <c r="D24" s="18">
        <f t="shared" ref="D24:D86" si="0">C24*10</f>
        <v>0.24070000000000003</v>
      </c>
    </row>
    <row r="25" spans="1:6" x14ac:dyDescent="0.25">
      <c r="A25" s="35">
        <v>2221</v>
      </c>
      <c r="B25" s="40" t="s">
        <v>89</v>
      </c>
      <c r="C25" s="18"/>
      <c r="D25" s="18"/>
    </row>
    <row r="26" spans="1:6" ht="60" x14ac:dyDescent="0.25">
      <c r="A26" s="35"/>
      <c r="B26" s="40" t="s">
        <v>1559</v>
      </c>
      <c r="C26" s="18">
        <f>ROUND(382.73/9509,5)</f>
        <v>4.0250000000000001E-2</v>
      </c>
      <c r="D26" s="18">
        <f t="shared" si="0"/>
        <v>0.40250000000000002</v>
      </c>
    </row>
    <row r="27" spans="1:6" x14ac:dyDescent="0.25">
      <c r="A27" s="35">
        <v>2222</v>
      </c>
      <c r="B27" s="242" t="s">
        <v>90</v>
      </c>
      <c r="C27" s="18"/>
      <c r="D27" s="18"/>
    </row>
    <row r="28" spans="1:6" ht="48" x14ac:dyDescent="0.25">
      <c r="A28" s="35"/>
      <c r="B28" s="40" t="s">
        <v>1560</v>
      </c>
      <c r="C28" s="74">
        <f>ROUND(38.69/9509,3)</f>
        <v>4.0000000000000001E-3</v>
      </c>
      <c r="D28" s="18">
        <f t="shared" si="0"/>
        <v>0.04</v>
      </c>
    </row>
    <row r="29" spans="1:6" x14ac:dyDescent="0.25">
      <c r="A29" s="35">
        <v>2223</v>
      </c>
      <c r="B29" s="35" t="s">
        <v>91</v>
      </c>
      <c r="C29" s="74"/>
      <c r="D29" s="18"/>
    </row>
    <row r="30" spans="1:6" ht="60" x14ac:dyDescent="0.25">
      <c r="A30" s="35"/>
      <c r="B30" s="40" t="s">
        <v>1561</v>
      </c>
      <c r="C30" s="74">
        <f>ROUND(1004.28/9509,3)</f>
        <v>0.106</v>
      </c>
      <c r="D30" s="18">
        <f t="shared" si="0"/>
        <v>1.06</v>
      </c>
    </row>
    <row r="31" spans="1:6" ht="24" x14ac:dyDescent="0.25">
      <c r="A31" s="35">
        <v>2224</v>
      </c>
      <c r="B31" s="40" t="s">
        <v>115</v>
      </c>
      <c r="C31" s="74"/>
      <c r="D31" s="18"/>
    </row>
    <row r="32" spans="1:6" ht="48" x14ac:dyDescent="0.25">
      <c r="A32" s="34"/>
      <c r="B32" s="40" t="s">
        <v>1739</v>
      </c>
      <c r="C32" s="18">
        <f>ROUND(82.8/9509,3)</f>
        <v>8.9999999999999993E-3</v>
      </c>
      <c r="D32" s="18">
        <f t="shared" si="0"/>
        <v>0.09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60" x14ac:dyDescent="0.25">
      <c r="A34" s="35"/>
      <c r="B34" s="40" t="s">
        <v>1563</v>
      </c>
      <c r="C34" s="18">
        <f>ROUND(289.4/9509,3)</f>
        <v>0.03</v>
      </c>
      <c r="D34" s="18">
        <f t="shared" si="0"/>
        <v>0.3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1588</v>
      </c>
      <c r="C36" s="74">
        <f>ROUND(20.68/9509,3)</f>
        <v>2E-3</v>
      </c>
      <c r="D36" s="18">
        <f t="shared" si="0"/>
        <v>0.02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1564</v>
      </c>
      <c r="C38" s="74">
        <f>ROUND(58.15/9509,3)</f>
        <v>6.0000000000000001E-3</v>
      </c>
      <c r="D38" s="18">
        <f t="shared" si="0"/>
        <v>0.06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60" x14ac:dyDescent="0.25">
      <c r="A40" s="35"/>
      <c r="B40" s="40" t="s">
        <v>1565</v>
      </c>
      <c r="C40" s="74">
        <f>ROUND(524.45/9509,3)</f>
        <v>5.5E-2</v>
      </c>
      <c r="D40" s="18">
        <f t="shared" si="0"/>
        <v>0.55000000000000004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60" x14ac:dyDescent="0.25">
      <c r="A42" s="35"/>
      <c r="B42" s="40" t="s">
        <v>1566</v>
      </c>
      <c r="C42" s="74">
        <f>ROUND(131.923/9509,3)</f>
        <v>1.4E-2</v>
      </c>
      <c r="D42" s="18">
        <f t="shared" si="0"/>
        <v>0.14000000000000001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60" x14ac:dyDescent="0.25">
      <c r="A44" s="35"/>
      <c r="B44" s="40" t="s">
        <v>1567</v>
      </c>
      <c r="C44" s="18">
        <f>ROUND(360.94/9509,3)</f>
        <v>3.7999999999999999E-2</v>
      </c>
      <c r="D44" s="18">
        <f t="shared" si="0"/>
        <v>0.38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60" x14ac:dyDescent="0.25">
      <c r="A46" s="79"/>
      <c r="B46" s="40" t="s">
        <v>1568</v>
      </c>
      <c r="C46" s="18">
        <f>ROUND(272.76/9509,3)</f>
        <v>2.9000000000000001E-2</v>
      </c>
      <c r="D46" s="18">
        <f t="shared" si="0"/>
        <v>0.29000000000000004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66.75" customHeight="1" x14ac:dyDescent="0.25">
      <c r="A48" s="79"/>
      <c r="B48" s="40" t="s">
        <v>1569</v>
      </c>
      <c r="C48" s="74">
        <f>ROUND(12.06/9509,3)</f>
        <v>1E-3</v>
      </c>
      <c r="D48" s="18">
        <f t="shared" si="0"/>
        <v>0.01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1570</v>
      </c>
      <c r="C50" s="74">
        <f>ROUND(23.35/9509,3)</f>
        <v>2E-3</v>
      </c>
      <c r="D50" s="18">
        <f t="shared" si="0"/>
        <v>0.02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60" x14ac:dyDescent="0.25">
      <c r="A52" s="35"/>
      <c r="B52" s="40" t="s">
        <v>1571</v>
      </c>
      <c r="C52" s="18">
        <f>ROUND(750.97/9509,3)</f>
        <v>7.9000000000000001E-2</v>
      </c>
      <c r="D52" s="18">
        <f t="shared" si="0"/>
        <v>0.79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65.25" customHeight="1" x14ac:dyDescent="0.25">
      <c r="A54" s="35"/>
      <c r="B54" s="40" t="s">
        <v>1573</v>
      </c>
      <c r="C54" s="18">
        <f>ROUND(2620.34/9509,3)</f>
        <v>0.27600000000000002</v>
      </c>
      <c r="D54" s="18">
        <f t="shared" si="0"/>
        <v>2.7600000000000002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57" customHeight="1" x14ac:dyDescent="0.25">
      <c r="A56" s="35"/>
      <c r="B56" s="40" t="s">
        <v>1572</v>
      </c>
      <c r="C56" s="74">
        <f>ROUND(9.91/9509,3)</f>
        <v>1E-3</v>
      </c>
      <c r="D56" s="18">
        <f t="shared" si="0"/>
        <v>0.01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1574</v>
      </c>
      <c r="C58" s="18">
        <f>ROUND(132.32/9509,3)</f>
        <v>1.4E-2</v>
      </c>
      <c r="D58" s="18">
        <f t="shared" si="0"/>
        <v>0.14000000000000001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1575</v>
      </c>
      <c r="C60" s="74">
        <f>ROUND(72.76/9509,5)</f>
        <v>7.6499999999999997E-3</v>
      </c>
      <c r="D60" s="18">
        <f t="shared" si="0"/>
        <v>7.6499999999999999E-2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60" x14ac:dyDescent="0.25">
      <c r="A62" s="35"/>
      <c r="B62" s="40" t="s">
        <v>1576</v>
      </c>
      <c r="C62" s="18">
        <f>ROUND(484.21/9509,3)</f>
        <v>5.0999999999999997E-2</v>
      </c>
      <c r="D62" s="18">
        <f t="shared" si="0"/>
        <v>0.51</v>
      </c>
    </row>
    <row r="63" spans="1:4" ht="15.75" customHeight="1" x14ac:dyDescent="0.25">
      <c r="A63" s="35">
        <v>2314</v>
      </c>
      <c r="B63" s="242" t="s">
        <v>576</v>
      </c>
      <c r="C63" s="18"/>
      <c r="D63" s="18"/>
    </row>
    <row r="64" spans="1:4" ht="60" x14ac:dyDescent="0.25">
      <c r="A64" s="35"/>
      <c r="B64" s="40" t="s">
        <v>1578</v>
      </c>
      <c r="C64" s="18">
        <f>ROUND(224.14/9509,3)</f>
        <v>2.4E-2</v>
      </c>
      <c r="D64" s="18">
        <f t="shared" si="0"/>
        <v>0.24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60" x14ac:dyDescent="0.25">
      <c r="A66" s="35"/>
      <c r="B66" s="40" t="s">
        <v>1577</v>
      </c>
      <c r="C66" s="18">
        <f>ROUND(103.21/9509,3)</f>
        <v>1.0999999999999999E-2</v>
      </c>
      <c r="D66" s="18">
        <f t="shared" si="0"/>
        <v>0.10999999999999999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60" x14ac:dyDescent="0.25">
      <c r="A68" s="35"/>
      <c r="B68" s="40" t="s">
        <v>1579</v>
      </c>
      <c r="C68" s="18">
        <f>ROUND(241.97/9509,3)</f>
        <v>2.5000000000000001E-2</v>
      </c>
      <c r="D68" s="18">
        <f t="shared" si="0"/>
        <v>0.25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1580</v>
      </c>
      <c r="C70" s="18">
        <f>ROUND(87.42/9509,5)</f>
        <v>9.1900000000000003E-3</v>
      </c>
      <c r="D70" s="18">
        <f t="shared" si="0"/>
        <v>9.1900000000000009E-2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1581</v>
      </c>
      <c r="C72" s="74">
        <f>ROUND(28.69/9509,5)</f>
        <v>3.0200000000000001E-3</v>
      </c>
      <c r="D72" s="18">
        <f t="shared" si="0"/>
        <v>3.0200000000000001E-2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63" customHeight="1" x14ac:dyDescent="0.25">
      <c r="A74" s="35"/>
      <c r="B74" s="40" t="s">
        <v>1582</v>
      </c>
      <c r="C74" s="74">
        <f>ROUND(8.56/9509,5)</f>
        <v>8.9999999999999998E-4</v>
      </c>
      <c r="D74" s="18">
        <f t="shared" si="0"/>
        <v>8.9999999999999993E-3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1583</v>
      </c>
      <c r="C76" s="74">
        <f>ROUND(58.04/9509,5)</f>
        <v>6.1000000000000004E-3</v>
      </c>
      <c r="D76" s="18">
        <f t="shared" si="0"/>
        <v>6.1000000000000006E-2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1584</v>
      </c>
      <c r="C78" s="74">
        <f>ROUND(249.88/9509,5)</f>
        <v>2.6280000000000001E-2</v>
      </c>
      <c r="D78" s="18">
        <f t="shared" si="0"/>
        <v>0.26280000000000003</v>
      </c>
    </row>
    <row r="79" spans="1:4" x14ac:dyDescent="0.25">
      <c r="A79" s="35">
        <v>5220</v>
      </c>
      <c r="B79" s="40" t="s">
        <v>120</v>
      </c>
      <c r="C79" s="18"/>
      <c r="D79" s="18"/>
    </row>
    <row r="80" spans="1:4" ht="46.5" customHeight="1" x14ac:dyDescent="0.25">
      <c r="A80" s="35"/>
      <c r="B80" s="40" t="s">
        <v>623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48" x14ac:dyDescent="0.25">
      <c r="A82" s="35"/>
      <c r="B82" s="40" t="s">
        <v>1585</v>
      </c>
      <c r="C82" s="74">
        <f>ROUND(61.55/9509,5)</f>
        <v>6.4700000000000001E-3</v>
      </c>
      <c r="D82" s="18">
        <f t="shared" si="0"/>
        <v>6.4700000000000008E-2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60" x14ac:dyDescent="0.25">
      <c r="A84" s="35"/>
      <c r="B84" s="40" t="s">
        <v>1586</v>
      </c>
      <c r="C84" s="74">
        <f>ROUND(88.34/9509,5)</f>
        <v>9.2899999999999996E-3</v>
      </c>
      <c r="D84" s="18">
        <f t="shared" si="0"/>
        <v>9.2899999999999996E-2</v>
      </c>
    </row>
    <row r="85" spans="1:4" ht="14.25" customHeight="1" x14ac:dyDescent="0.25">
      <c r="A85" s="35">
        <v>5239</v>
      </c>
      <c r="B85" s="243" t="s">
        <v>583</v>
      </c>
      <c r="C85" s="74"/>
      <c r="D85" s="18"/>
    </row>
    <row r="86" spans="1:4" ht="65.25" customHeight="1" x14ac:dyDescent="0.25">
      <c r="A86" s="35"/>
      <c r="B86" s="40" t="s">
        <v>1587</v>
      </c>
      <c r="C86" s="74">
        <f>ROUND(151.09/9509,3)</f>
        <v>1.6E-2</v>
      </c>
      <c r="D86" s="18">
        <f t="shared" si="0"/>
        <v>0.16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9.3000000000000007</v>
      </c>
    </row>
    <row r="88" spans="1:4" x14ac:dyDescent="0.25">
      <c r="A88" s="83"/>
      <c r="B88" s="84" t="s">
        <v>95</v>
      </c>
      <c r="C88" s="82">
        <f>ROUND(C87+C19,3)</f>
        <v>11.71</v>
      </c>
      <c r="D88" s="82">
        <f>ROUND(D87+D19,3)</f>
        <v>117.1</v>
      </c>
    </row>
    <row r="89" spans="1:4" x14ac:dyDescent="0.25">
      <c r="A89" s="85"/>
      <c r="B89" s="86"/>
      <c r="C89" s="87"/>
      <c r="D89" s="87"/>
    </row>
    <row r="90" spans="1:4" x14ac:dyDescent="0.25">
      <c r="A90" s="311" t="s">
        <v>96</v>
      </c>
      <c r="B90" s="312"/>
      <c r="C90" s="88">
        <v>10</v>
      </c>
      <c r="D90" s="89"/>
    </row>
    <row r="91" spans="1:4" ht="27.75" customHeight="1" x14ac:dyDescent="0.25">
      <c r="A91" s="302" t="s">
        <v>113</v>
      </c>
      <c r="B91" s="303"/>
      <c r="C91" s="22">
        <f>D88/C90</f>
        <v>11.709999999999999</v>
      </c>
      <c r="D91" s="89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G90"/>
  <sheetViews>
    <sheetView topLeftCell="A75" workbookViewId="0">
      <selection activeCell="B63" sqref="B63"/>
    </sheetView>
  </sheetViews>
  <sheetFormatPr defaultRowHeight="15" x14ac:dyDescent="0.25"/>
  <cols>
    <col min="1" max="1" width="10" customWidth="1"/>
    <col min="2" max="2" width="57.85546875" customWidth="1"/>
    <col min="3" max="3" width="12" customWidth="1"/>
    <col min="4" max="4" width="11.85546875" customWidth="1"/>
    <col min="7" max="7" width="13.140625" customWidth="1"/>
  </cols>
  <sheetData>
    <row r="1" spans="1:5" x14ac:dyDescent="0.25">
      <c r="A1" s="315" t="s">
        <v>78</v>
      </c>
      <c r="B1" s="315"/>
      <c r="C1" s="315"/>
      <c r="D1" s="121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39" customHeight="1" x14ac:dyDescent="0.25">
      <c r="A5" s="307" t="s">
        <v>292</v>
      </c>
      <c r="B5" s="307"/>
      <c r="C5" s="307"/>
      <c r="D5" s="307"/>
    </row>
    <row r="6" spans="1:5" x14ac:dyDescent="0.25">
      <c r="A6" s="102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ht="12" customHeight="1" x14ac:dyDescent="0.25">
      <c r="A8" s="102"/>
      <c r="B8" s="103"/>
      <c r="C8" s="60"/>
      <c r="D8" s="96"/>
    </row>
    <row r="9" spans="1:5" x14ac:dyDescent="0.25">
      <c r="A9" s="318" t="s">
        <v>102</v>
      </c>
      <c r="B9" s="318"/>
      <c r="C9" s="100"/>
      <c r="D9" s="96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20" customHeight="1" x14ac:dyDescent="0.25">
      <c r="A14" s="35"/>
      <c r="B14" s="90" t="s">
        <v>393</v>
      </c>
      <c r="C14" s="18">
        <f>0.17*20+0.17*13</f>
        <v>5.61</v>
      </c>
      <c r="D14" s="18">
        <f>C14*100</f>
        <v>561</v>
      </c>
    </row>
    <row r="15" spans="1:5" ht="24" x14ac:dyDescent="0.25">
      <c r="A15" s="35">
        <v>1200</v>
      </c>
      <c r="B15" s="40" t="s">
        <v>391</v>
      </c>
      <c r="C15" s="18">
        <f>ROUND(C14*0.2359,2)</f>
        <v>1.32</v>
      </c>
      <c r="D15" s="18">
        <f>C15*100</f>
        <v>132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7" ht="129" customHeight="1" x14ac:dyDescent="0.25">
      <c r="A17" s="35"/>
      <c r="B17" s="40" t="s">
        <v>424</v>
      </c>
      <c r="C17" s="18">
        <v>17.21</v>
      </c>
      <c r="D17" s="18">
        <f>C17*100</f>
        <v>1721</v>
      </c>
      <c r="E17" s="191"/>
      <c r="F17" s="190"/>
      <c r="G17" s="190"/>
    </row>
    <row r="18" spans="1:7" x14ac:dyDescent="0.25">
      <c r="A18" s="84"/>
      <c r="B18" s="92" t="s">
        <v>87</v>
      </c>
      <c r="C18" s="82">
        <f>SUM(C13:C17)</f>
        <v>24.14</v>
      </c>
      <c r="D18" s="82">
        <f>SUM(D13:D17)</f>
        <v>2414</v>
      </c>
      <c r="E18" s="183"/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6" t="s">
        <v>584</v>
      </c>
      <c r="C20" s="78"/>
      <c r="D20" s="78"/>
    </row>
    <row r="21" spans="1:7" ht="60" x14ac:dyDescent="0.25">
      <c r="A21" s="77"/>
      <c r="B21" s="40" t="s">
        <v>1740</v>
      </c>
      <c r="C21" s="74">
        <f>ROUND(31.85/9509,5)</f>
        <v>3.3500000000000001E-3</v>
      </c>
      <c r="D21" s="18">
        <f>C21*100</f>
        <v>0.33500000000000002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1329</v>
      </c>
      <c r="C23" s="18">
        <f>ROUND(228.88/9509,3)</f>
        <v>2.4E-2</v>
      </c>
      <c r="D23" s="18">
        <f t="shared" ref="D23:D85" si="0">C23*100</f>
        <v>2.4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1330</v>
      </c>
      <c r="C25" s="18">
        <f>ROUND(382.73/9509,3)</f>
        <v>0.04</v>
      </c>
      <c r="D25" s="18">
        <f t="shared" si="0"/>
        <v>4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1394</v>
      </c>
      <c r="C29" s="74">
        <f>ROUND(1004.28/9509,3)</f>
        <v>0.106</v>
      </c>
      <c r="D29" s="18">
        <f t="shared" si="0"/>
        <v>10.6</v>
      </c>
    </row>
    <row r="30" spans="1:7" ht="21.75" customHeight="1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1395</v>
      </c>
      <c r="C35" s="74">
        <f>ROUND(20.68/9509,3)</f>
        <v>2E-3</v>
      </c>
      <c r="D35" s="18">
        <f t="shared" si="0"/>
        <v>0.2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3" customHeight="1" x14ac:dyDescent="0.25">
      <c r="A37" s="35"/>
      <c r="B37" s="40" t="s">
        <v>1396</v>
      </c>
      <c r="C37" s="74">
        <f>ROUND(58.15/9509,3)</f>
        <v>6.0000000000000001E-3</v>
      </c>
      <c r="D37" s="18">
        <f t="shared" si="0"/>
        <v>0.6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1341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1397</v>
      </c>
      <c r="C49" s="74">
        <f>ROUND(23.35/9509,3)</f>
        <v>2E-3</v>
      </c>
      <c r="D49" s="18">
        <f t="shared" si="0"/>
        <v>0.2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1343</v>
      </c>
      <c r="C51" s="18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1345</v>
      </c>
      <c r="C55" s="74">
        <f>ROUND(9.91/9509,3)</f>
        <v>1E-3</v>
      </c>
      <c r="D55" s="18">
        <f t="shared" si="0"/>
        <v>0.1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1398</v>
      </c>
      <c r="C65" s="18">
        <f>ROUND(103.21/9509,3)</f>
        <v>1.0999999999999999E-2</v>
      </c>
      <c r="D65" s="18">
        <f t="shared" si="0"/>
        <v>1.0999999999999999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1351</v>
      </c>
      <c r="C67" s="74">
        <f>ROUND(241.97/9509,5)</f>
        <v>2.545E-2</v>
      </c>
      <c r="D67" s="18">
        <f t="shared" si="0"/>
        <v>2.5449999999999999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1400</v>
      </c>
      <c r="C69" s="74">
        <f>ROUND(87.42/9509,5)</f>
        <v>9.1900000000000003E-3</v>
      </c>
      <c r="D69" s="18">
        <f t="shared" si="0"/>
        <v>0.91900000000000004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1353</v>
      </c>
      <c r="C71" s="74">
        <f>ROUND(28.69/9509,5)</f>
        <v>3.0200000000000001E-3</v>
      </c>
      <c r="D71" s="18">
        <f t="shared" si="0"/>
        <v>0.30199999999999999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1354</v>
      </c>
      <c r="C73" s="74">
        <f>ROUND(8.56/9509,5)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1401</v>
      </c>
      <c r="C75" s="74">
        <f>ROUND(58.04/9509,5)</f>
        <v>6.1000000000000004E-3</v>
      </c>
      <c r="D75" s="18">
        <f t="shared" si="0"/>
        <v>0.61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1544</v>
      </c>
      <c r="C77" s="74">
        <f>ROUND(249.88/9509,5)</f>
        <v>2.6280000000000001E-2</v>
      </c>
      <c r="D77" s="18">
        <f t="shared" si="0"/>
        <v>2.6280000000000001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6" customHeight="1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2.25" customHeight="1" x14ac:dyDescent="0.25">
      <c r="A81" s="35"/>
      <c r="B81" s="40" t="s">
        <v>1545</v>
      </c>
      <c r="C81" s="74">
        <f>ROUND(61.55/9509,5)</f>
        <v>6.4700000000000001E-3</v>
      </c>
      <c r="D81" s="18">
        <f t="shared" si="0"/>
        <v>0.64700000000000002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1403</v>
      </c>
      <c r="C83" s="253">
        <f>ROUND(88.34/9509,5)</f>
        <v>9.2899999999999996E-3</v>
      </c>
      <c r="D83" s="18">
        <f t="shared" si="0"/>
        <v>0.92899999999999994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1359</v>
      </c>
      <c r="C85" s="74">
        <f>ROUND(151.09/9509,4)</f>
        <v>1.5900000000000001E-2</v>
      </c>
      <c r="D85" s="18">
        <f t="shared" si="0"/>
        <v>1.59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93</v>
      </c>
    </row>
    <row r="87" spans="1:4" x14ac:dyDescent="0.25">
      <c r="A87" s="83"/>
      <c r="B87" s="84" t="s">
        <v>95</v>
      </c>
      <c r="C87" s="82">
        <f>ROUND(C86+C18,3)</f>
        <v>25.07</v>
      </c>
      <c r="D87" s="82">
        <f>ROUND(D86+D18,3)</f>
        <v>2507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100</v>
      </c>
      <c r="D89" s="89"/>
    </row>
    <row r="90" spans="1:4" ht="27" customHeight="1" x14ac:dyDescent="0.25">
      <c r="A90" s="302" t="s">
        <v>113</v>
      </c>
      <c r="B90" s="303"/>
      <c r="C90" s="22">
        <f>D87/C89</f>
        <v>25.07</v>
      </c>
      <c r="D90" s="89"/>
    </row>
  </sheetData>
  <mergeCells count="7">
    <mergeCell ref="A89:B89"/>
    <mergeCell ref="A90:B90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G90"/>
  <sheetViews>
    <sheetView topLeftCell="A75" workbookViewId="0">
      <selection activeCell="B67" sqref="B67"/>
    </sheetView>
  </sheetViews>
  <sheetFormatPr defaultRowHeight="15" x14ac:dyDescent="0.25"/>
  <cols>
    <col min="1" max="1" width="9" customWidth="1"/>
    <col min="2" max="2" width="58.85546875" customWidth="1"/>
    <col min="3" max="3" width="11.85546875" customWidth="1"/>
    <col min="4" max="4" width="12" customWidth="1"/>
  </cols>
  <sheetData>
    <row r="1" spans="1:5" x14ac:dyDescent="0.25">
      <c r="A1" s="319" t="s">
        <v>78</v>
      </c>
      <c r="B1" s="319"/>
      <c r="C1" s="319"/>
      <c r="D1" s="319"/>
    </row>
    <row r="2" spans="1:5" ht="9" customHeight="1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ht="13.5" customHeight="1" x14ac:dyDescent="0.25">
      <c r="A4" s="97"/>
      <c r="B4" s="60"/>
      <c r="C4" s="60"/>
      <c r="D4" s="96"/>
    </row>
    <row r="5" spans="1:5" ht="36.75" customHeight="1" x14ac:dyDescent="0.25">
      <c r="A5" s="307" t="s">
        <v>291</v>
      </c>
      <c r="B5" s="307"/>
      <c r="C5" s="307"/>
      <c r="D5" s="307"/>
    </row>
    <row r="6" spans="1:5" ht="10.5" customHeight="1" x14ac:dyDescent="0.25">
      <c r="A6" s="102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ht="8.25" customHeight="1" x14ac:dyDescent="0.25">
      <c r="A8" s="102"/>
      <c r="B8" s="103"/>
      <c r="C8" s="60"/>
      <c r="D8" s="96"/>
    </row>
    <row r="9" spans="1:5" x14ac:dyDescent="0.25">
      <c r="A9" s="318" t="s">
        <v>102</v>
      </c>
      <c r="B9" s="318"/>
      <c r="C9" s="100"/>
      <c r="D9" s="96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13.25" customHeight="1" x14ac:dyDescent="0.25">
      <c r="A14" s="35"/>
      <c r="B14" s="90" t="s">
        <v>394</v>
      </c>
      <c r="C14" s="18">
        <f>0.17*20+0.17*13</f>
        <v>5.61</v>
      </c>
      <c r="D14" s="18">
        <f>C14*100</f>
        <v>561</v>
      </c>
    </row>
    <row r="15" spans="1:5" ht="24" x14ac:dyDescent="0.25">
      <c r="A15" s="35">
        <v>1200</v>
      </c>
      <c r="B15" s="40" t="s">
        <v>391</v>
      </c>
      <c r="C15" s="18">
        <f>ROUND(C14*0.2359,2)</f>
        <v>1.32</v>
      </c>
      <c r="D15" s="18">
        <f>C15*100</f>
        <v>132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7" ht="114" customHeight="1" x14ac:dyDescent="0.25">
      <c r="A17" s="35"/>
      <c r="B17" s="40" t="s">
        <v>425</v>
      </c>
      <c r="C17" s="18">
        <v>14.67</v>
      </c>
      <c r="D17" s="18">
        <f>C17*100</f>
        <v>1467</v>
      </c>
      <c r="E17" s="192"/>
      <c r="F17" s="190"/>
      <c r="G17" s="190"/>
    </row>
    <row r="18" spans="1:7" x14ac:dyDescent="0.25">
      <c r="A18" s="84"/>
      <c r="B18" s="92" t="s">
        <v>87</v>
      </c>
      <c r="C18" s="82">
        <f>SUM(C13:C17)</f>
        <v>21.6</v>
      </c>
      <c r="D18" s="82">
        <f>SUM(D13:D17)</f>
        <v>2160</v>
      </c>
      <c r="E18" s="183"/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6" t="s">
        <v>584</v>
      </c>
      <c r="C20" s="78"/>
      <c r="D20" s="78"/>
    </row>
    <row r="21" spans="1:7" ht="60" x14ac:dyDescent="0.25">
      <c r="A21" s="77"/>
      <c r="B21" s="40" t="s">
        <v>1740</v>
      </c>
      <c r="C21" s="74">
        <f>ROUND(31.85/9509,5)</f>
        <v>3.3500000000000001E-3</v>
      </c>
      <c r="D21" s="18">
        <f>C21*100</f>
        <v>0.33500000000000002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1329</v>
      </c>
      <c r="C23" s="18">
        <f>ROUND(228.88/9509,3)</f>
        <v>2.4E-2</v>
      </c>
      <c r="D23" s="18">
        <f t="shared" ref="D23:D85" si="0">C23*100</f>
        <v>2.4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1330</v>
      </c>
      <c r="C25" s="18">
        <f>ROUND(382.73/9509,3)</f>
        <v>0.04</v>
      </c>
      <c r="D25" s="18">
        <f t="shared" si="0"/>
        <v>4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48" x14ac:dyDescent="0.25">
      <c r="A27" s="35"/>
      <c r="B27" s="40" t="s">
        <v>1331</v>
      </c>
      <c r="C27" s="74">
        <f>ROUND(38.69/9509,3)</f>
        <v>4.0000000000000001E-3</v>
      </c>
      <c r="D27" s="18">
        <f t="shared" si="0"/>
        <v>0.4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1394</v>
      </c>
      <c r="C29" s="74">
        <f>ROUND(1004.28/9509,3)</f>
        <v>0.106</v>
      </c>
      <c r="D29" s="18">
        <f t="shared" si="0"/>
        <v>10.6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1333</v>
      </c>
      <c r="C31" s="18">
        <f>ROUND(82.8/9509,3)</f>
        <v>8.9999999999999993E-3</v>
      </c>
      <c r="D31" s="18">
        <f t="shared" si="0"/>
        <v>0.89999999999999991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1334</v>
      </c>
      <c r="C33" s="18">
        <f>ROUND(289.4/9509,3)</f>
        <v>0.03</v>
      </c>
      <c r="D33" s="18">
        <f t="shared" si="0"/>
        <v>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1395</v>
      </c>
      <c r="C35" s="74">
        <f>ROUND(20.68/9509,3)</f>
        <v>2E-3</v>
      </c>
      <c r="D35" s="18">
        <f t="shared" si="0"/>
        <v>0.2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1396</v>
      </c>
      <c r="C37" s="74">
        <f>ROUND(58.15/9509,3)</f>
        <v>6.0000000000000001E-3</v>
      </c>
      <c r="D37" s="18">
        <f t="shared" si="0"/>
        <v>0.6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1337</v>
      </c>
      <c r="C39" s="74">
        <f>ROUND(524.45/9509,3)</f>
        <v>5.5E-2</v>
      </c>
      <c r="D39" s="18">
        <f t="shared" si="0"/>
        <v>5.5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1338</v>
      </c>
      <c r="C41" s="74">
        <f>ROUND(131.923/9509,3)</f>
        <v>1.4E-2</v>
      </c>
      <c r="D41" s="18">
        <f t="shared" si="0"/>
        <v>1.4000000000000001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1339</v>
      </c>
      <c r="C43" s="18">
        <f>ROUND(360.94/9509,3)</f>
        <v>3.7999999999999999E-2</v>
      </c>
      <c r="D43" s="18">
        <f t="shared" si="0"/>
        <v>3.8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1340</v>
      </c>
      <c r="C45" s="18">
        <f>ROUND(272.76/9509,3)</f>
        <v>2.9000000000000001E-2</v>
      </c>
      <c r="D45" s="18">
        <f t="shared" si="0"/>
        <v>2.9000000000000004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1341</v>
      </c>
      <c r="C47" s="74">
        <f>ROUND(12.06/9509,3)</f>
        <v>1E-3</v>
      </c>
      <c r="D47" s="18">
        <f t="shared" si="0"/>
        <v>0.1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1397</v>
      </c>
      <c r="C49" s="74">
        <f>ROUND(23.35/9509,3)</f>
        <v>2E-3</v>
      </c>
      <c r="D49" s="18">
        <f t="shared" si="0"/>
        <v>0.2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1343</v>
      </c>
      <c r="C51" s="18">
        <f>ROUND(750.97/9509,3)</f>
        <v>7.9000000000000001E-2</v>
      </c>
      <c r="D51" s="18">
        <f t="shared" si="0"/>
        <v>7.9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1344</v>
      </c>
      <c r="C53" s="18">
        <f>ROUND(2620.34/9509,3)</f>
        <v>0.27600000000000002</v>
      </c>
      <c r="D53" s="18">
        <f t="shared" si="0"/>
        <v>27.6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1345</v>
      </c>
      <c r="C55" s="74">
        <f>ROUND(9.91/9509,3)</f>
        <v>1E-3</v>
      </c>
      <c r="D55" s="18">
        <f t="shared" si="0"/>
        <v>0.1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1346</v>
      </c>
      <c r="C57" s="18">
        <f>ROUND(132.32/9509,3)</f>
        <v>1.4E-2</v>
      </c>
      <c r="D57" s="18">
        <f t="shared" si="0"/>
        <v>1.4000000000000001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1347</v>
      </c>
      <c r="C59" s="74">
        <f>ROUND(72.76/9509,3)</f>
        <v>8.0000000000000002E-3</v>
      </c>
      <c r="D59" s="18">
        <f t="shared" si="0"/>
        <v>0.8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1348</v>
      </c>
      <c r="C61" s="18">
        <f>ROUND(484.21/9509,3)</f>
        <v>5.0999999999999997E-2</v>
      </c>
      <c r="D61" s="18">
        <f t="shared" si="0"/>
        <v>5.0999999999999996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1349</v>
      </c>
      <c r="C63" s="18">
        <f>ROUND(224.14/9509,3)</f>
        <v>2.4E-2</v>
      </c>
      <c r="D63" s="18">
        <f t="shared" si="0"/>
        <v>2.4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1398</v>
      </c>
      <c r="C65" s="18">
        <f>ROUND(103.21/9509,3)</f>
        <v>1.0999999999999999E-2</v>
      </c>
      <c r="D65" s="18">
        <f t="shared" si="0"/>
        <v>1.0999999999999999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1351</v>
      </c>
      <c r="C67" s="74">
        <f>ROUND(241.97/9509,5)</f>
        <v>2.545E-2</v>
      </c>
      <c r="D67" s="18">
        <f t="shared" si="0"/>
        <v>2.5449999999999999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1400</v>
      </c>
      <c r="C69" s="74">
        <f>ROUND(87.42/9509,5)</f>
        <v>9.1900000000000003E-3</v>
      </c>
      <c r="D69" s="18">
        <f t="shared" si="0"/>
        <v>0.91900000000000004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1353</v>
      </c>
      <c r="C71" s="74">
        <f>ROUND(28.69/9509,5)</f>
        <v>3.0200000000000001E-3</v>
      </c>
      <c r="D71" s="18">
        <f t="shared" si="0"/>
        <v>0.30199999999999999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1354</v>
      </c>
      <c r="C73" s="74">
        <f>ROUND(8.56/9509,5)</f>
        <v>8.9999999999999998E-4</v>
      </c>
      <c r="D73" s="18">
        <f t="shared" si="0"/>
        <v>0.09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1401</v>
      </c>
      <c r="C75" s="74">
        <f>ROUND(58.04/9509,5)</f>
        <v>6.1000000000000004E-3</v>
      </c>
      <c r="D75" s="18">
        <f t="shared" si="0"/>
        <v>0.61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1544</v>
      </c>
      <c r="C77" s="74">
        <f>ROUND(249.88/9509,5)</f>
        <v>2.6280000000000001E-2</v>
      </c>
      <c r="D77" s="18">
        <f t="shared" si="0"/>
        <v>2.6280000000000001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7.5" customHeight="1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1545</v>
      </c>
      <c r="C81" s="74">
        <f>ROUND(61.55/9509,5)</f>
        <v>6.4700000000000001E-3</v>
      </c>
      <c r="D81" s="18">
        <f t="shared" si="0"/>
        <v>0.64700000000000002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1403</v>
      </c>
      <c r="C83" s="253">
        <f>ROUND(88.34/9509,5)</f>
        <v>9.2899999999999996E-3</v>
      </c>
      <c r="D83" s="18">
        <f t="shared" si="0"/>
        <v>0.92899999999999994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1359</v>
      </c>
      <c r="C85" s="74">
        <f>ROUND(151.09/9509,4)</f>
        <v>1.5900000000000001E-2</v>
      </c>
      <c r="D85" s="18">
        <f t="shared" si="0"/>
        <v>1.59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93</v>
      </c>
    </row>
    <row r="87" spans="1:4" x14ac:dyDescent="0.25">
      <c r="A87" s="83"/>
      <c r="B87" s="84" t="s">
        <v>95</v>
      </c>
      <c r="C87" s="82">
        <f>ROUND(C86+C18,3)</f>
        <v>22.53</v>
      </c>
      <c r="D87" s="82">
        <f>ROUND(D86+D18,3)</f>
        <v>2253</v>
      </c>
    </row>
    <row r="88" spans="1:4" x14ac:dyDescent="0.25">
      <c r="A88" s="85"/>
      <c r="B88" s="86"/>
      <c r="C88" s="87"/>
      <c r="D88" s="87"/>
    </row>
    <row r="89" spans="1:4" ht="15" customHeight="1" x14ac:dyDescent="0.25">
      <c r="A89" s="311" t="s">
        <v>96</v>
      </c>
      <c r="B89" s="312"/>
      <c r="C89" s="88">
        <v>100</v>
      </c>
      <c r="D89" s="89"/>
    </row>
    <row r="90" spans="1:4" ht="26.25" customHeight="1" x14ac:dyDescent="0.25">
      <c r="A90" s="302" t="s">
        <v>113</v>
      </c>
      <c r="B90" s="303"/>
      <c r="C90" s="22">
        <f>D87/C89</f>
        <v>22.53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90"/>
  <sheetViews>
    <sheetView topLeftCell="A82" workbookViewId="0">
      <selection activeCell="B41" sqref="B41"/>
    </sheetView>
  </sheetViews>
  <sheetFormatPr defaultRowHeight="15" x14ac:dyDescent="0.25"/>
  <cols>
    <col min="2" max="2" width="54.7109375" customWidth="1"/>
    <col min="3" max="3" width="11.42578125" customWidth="1"/>
    <col min="4" max="4" width="15.7109375" customWidth="1"/>
    <col min="5" max="5" width="22" customWidth="1"/>
  </cols>
  <sheetData>
    <row r="1" spans="1:4" x14ac:dyDescent="0.25">
      <c r="A1" s="319" t="s">
        <v>78</v>
      </c>
      <c r="B1" s="319"/>
      <c r="C1" s="319"/>
      <c r="D1" s="319"/>
    </row>
    <row r="2" spans="1:4" ht="11.25" customHeight="1" x14ac:dyDescent="0.25">
      <c r="A2" s="97"/>
      <c r="B2" s="97"/>
      <c r="C2" s="120"/>
      <c r="D2" s="120"/>
    </row>
    <row r="3" spans="1:4" x14ac:dyDescent="0.25">
      <c r="A3" s="98" t="s">
        <v>111</v>
      </c>
      <c r="B3" s="99"/>
      <c r="C3" s="99"/>
      <c r="D3" s="99"/>
    </row>
    <row r="4" spans="1:4" ht="11.25" customHeight="1" x14ac:dyDescent="0.25">
      <c r="A4" s="97"/>
      <c r="B4" s="60"/>
      <c r="C4" s="60"/>
      <c r="D4" s="60"/>
    </row>
    <row r="5" spans="1:4" ht="40.5" customHeight="1" x14ac:dyDescent="0.25">
      <c r="A5" s="307" t="s">
        <v>290</v>
      </c>
      <c r="B5" s="307"/>
      <c r="C5" s="307"/>
      <c r="D5" s="307"/>
    </row>
    <row r="6" spans="1:4" ht="10.5" customHeight="1" x14ac:dyDescent="0.25">
      <c r="A6" s="102"/>
      <c r="B6" s="60"/>
      <c r="C6" s="60"/>
      <c r="D6" s="60"/>
    </row>
    <row r="7" spans="1:4" x14ac:dyDescent="0.25">
      <c r="A7" s="308" t="s">
        <v>112</v>
      </c>
      <c r="B7" s="310"/>
      <c r="C7" s="60"/>
      <c r="D7" s="60"/>
    </row>
    <row r="8" spans="1:4" ht="9" customHeight="1" x14ac:dyDescent="0.25">
      <c r="A8" s="102"/>
      <c r="B8" s="103"/>
      <c r="C8" s="60"/>
      <c r="D8" s="60"/>
    </row>
    <row r="9" spans="1:4" x14ac:dyDescent="0.25">
      <c r="A9" s="318" t="s">
        <v>103</v>
      </c>
      <c r="B9" s="318"/>
      <c r="C9" s="100"/>
      <c r="D9" s="100"/>
    </row>
    <row r="10" spans="1:4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108" x14ac:dyDescent="0.25">
      <c r="A14" s="35"/>
      <c r="B14" s="72" t="s">
        <v>395</v>
      </c>
      <c r="C14" s="18">
        <f>0.17*20+0.17*13</f>
        <v>5.61</v>
      </c>
      <c r="D14" s="71">
        <f>C14*20</f>
        <v>112.2</v>
      </c>
    </row>
    <row r="15" spans="1:4" ht="24" x14ac:dyDescent="0.25">
      <c r="A15" s="35">
        <v>1200</v>
      </c>
      <c r="B15" s="40" t="s">
        <v>391</v>
      </c>
      <c r="C15" s="18">
        <f>ROUND(C14*0.2359,2)</f>
        <v>1.32</v>
      </c>
      <c r="D15" s="71">
        <f>C15*20</f>
        <v>26.400000000000002</v>
      </c>
    </row>
    <row r="16" spans="1:4" x14ac:dyDescent="0.25">
      <c r="A16" s="35">
        <v>2341</v>
      </c>
      <c r="B16" s="35" t="s">
        <v>97</v>
      </c>
      <c r="C16" s="74"/>
      <c r="D16" s="71"/>
    </row>
    <row r="17" spans="1:14" ht="114" customHeight="1" x14ac:dyDescent="0.25">
      <c r="A17" s="35"/>
      <c r="B17" s="40" t="s">
        <v>397</v>
      </c>
      <c r="C17" s="18">
        <v>10.96</v>
      </c>
      <c r="D17" s="71">
        <f>C17*20</f>
        <v>219.20000000000002</v>
      </c>
      <c r="E17" s="202"/>
      <c r="F17" s="190"/>
      <c r="G17" s="190"/>
      <c r="H17" s="190"/>
      <c r="I17" s="190"/>
      <c r="J17" s="190"/>
      <c r="K17" s="190"/>
      <c r="L17" s="190"/>
      <c r="M17" s="190"/>
      <c r="N17" s="190"/>
    </row>
    <row r="18" spans="1:14" x14ac:dyDescent="0.25">
      <c r="A18" s="35"/>
      <c r="B18" s="92" t="s">
        <v>87</v>
      </c>
      <c r="C18" s="82">
        <f>SUM(C13:C17)</f>
        <v>17.89</v>
      </c>
      <c r="D18" s="82">
        <f>SUM(D13:D17)</f>
        <v>357.8</v>
      </c>
    </row>
    <row r="19" spans="1:14" x14ac:dyDescent="0.25">
      <c r="A19" s="77"/>
      <c r="B19" s="176" t="s">
        <v>88</v>
      </c>
      <c r="C19" s="78"/>
      <c r="D19" s="78"/>
    </row>
    <row r="20" spans="1:14" x14ac:dyDescent="0.25">
      <c r="A20" s="35">
        <v>2100</v>
      </c>
      <c r="B20" s="244" t="s">
        <v>584</v>
      </c>
      <c r="C20" s="78"/>
      <c r="D20" s="78"/>
    </row>
    <row r="21" spans="1:14" ht="60" x14ac:dyDescent="0.25">
      <c r="A21" s="77"/>
      <c r="B21" s="40" t="s">
        <v>1741</v>
      </c>
      <c r="C21" s="74">
        <f>ROUND(31.85/9509,5)</f>
        <v>3.3500000000000001E-3</v>
      </c>
      <c r="D21" s="18">
        <f>C21*20</f>
        <v>6.7000000000000004E-2</v>
      </c>
    </row>
    <row r="22" spans="1:14" x14ac:dyDescent="0.25">
      <c r="A22" s="35">
        <v>2210</v>
      </c>
      <c r="B22" s="40" t="s">
        <v>568</v>
      </c>
      <c r="C22" s="74"/>
      <c r="D22" s="74"/>
    </row>
    <row r="23" spans="1:14" ht="60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5" si="0">C23*20</f>
        <v>0.48140000000000005</v>
      </c>
    </row>
    <row r="24" spans="1:14" x14ac:dyDescent="0.25">
      <c r="A24" s="35">
        <v>2221</v>
      </c>
      <c r="B24" s="40" t="s">
        <v>89</v>
      </c>
      <c r="C24" s="18"/>
      <c r="D24" s="18"/>
    </row>
    <row r="25" spans="1:14" ht="60" x14ac:dyDescent="0.25">
      <c r="A25" s="35"/>
      <c r="B25" s="40" t="s">
        <v>1742</v>
      </c>
      <c r="C25" s="18">
        <f>ROUND(382.73/9509,5)</f>
        <v>4.0250000000000001E-2</v>
      </c>
      <c r="D25" s="18">
        <f t="shared" si="0"/>
        <v>0.80500000000000005</v>
      </c>
    </row>
    <row r="26" spans="1:14" x14ac:dyDescent="0.25">
      <c r="A26" s="35">
        <v>2222</v>
      </c>
      <c r="B26" s="242" t="s">
        <v>90</v>
      </c>
      <c r="C26" s="18"/>
      <c r="D26" s="18"/>
    </row>
    <row r="27" spans="1:14" ht="60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14" x14ac:dyDescent="0.25">
      <c r="A28" s="35">
        <v>2223</v>
      </c>
      <c r="B28" s="35" t="s">
        <v>91</v>
      </c>
      <c r="C28" s="74"/>
      <c r="D28" s="18"/>
    </row>
    <row r="29" spans="1:14" ht="60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14" ht="25.5" customHeight="1" x14ac:dyDescent="0.25">
      <c r="A30" s="35">
        <v>2224</v>
      </c>
      <c r="B30" s="40" t="s">
        <v>115</v>
      </c>
      <c r="C30" s="74"/>
      <c r="D30" s="18"/>
    </row>
    <row r="31" spans="1:14" ht="60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1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1435</v>
      </c>
      <c r="C57" s="18">
        <f>ROUND(132.32/9509,5)</f>
        <v>1.392E-2</v>
      </c>
      <c r="D57" s="18">
        <f t="shared" si="0"/>
        <v>0.27839999999999998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1743</v>
      </c>
      <c r="C59" s="74">
        <f>ROUND(72.76/9509,5)</f>
        <v>7.6499999999999997E-3</v>
      </c>
      <c r="D59" s="18">
        <f t="shared" si="0"/>
        <v>0.153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1424</v>
      </c>
      <c r="C61" s="18">
        <f>ROUND(484.21/9509,5)</f>
        <v>5.092E-2</v>
      </c>
      <c r="D61" s="18">
        <f t="shared" si="0"/>
        <v>1.0184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1744</v>
      </c>
      <c r="C67" s="18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1745</v>
      </c>
      <c r="C77" s="74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51" customHeight="1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1432</v>
      </c>
      <c r="C81" s="74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1746</v>
      </c>
      <c r="C83" s="74">
        <f>ROUND(88.34/9509,5)</f>
        <v>9.2899999999999996E-3</v>
      </c>
      <c r="D83" s="18">
        <f t="shared" si="0"/>
        <v>0.18579999999999999</v>
      </c>
    </row>
    <row r="84" spans="1:4" ht="13.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18.82</v>
      </c>
      <c r="D87" s="82">
        <f>ROUND(D86+D18,3)</f>
        <v>376.4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20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18.82</v>
      </c>
      <c r="D90" s="22"/>
    </row>
  </sheetData>
  <mergeCells count="6">
    <mergeCell ref="A89:B89"/>
    <mergeCell ref="A90:B90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G90"/>
  <sheetViews>
    <sheetView topLeftCell="A77" workbookViewId="0">
      <selection activeCell="B85" sqref="B85"/>
    </sheetView>
  </sheetViews>
  <sheetFormatPr defaultRowHeight="15" x14ac:dyDescent="0.25"/>
  <cols>
    <col min="2" max="2" width="55.85546875" customWidth="1"/>
    <col min="3" max="3" width="10.28515625" customWidth="1"/>
    <col min="4" max="4" width="11.42578125" customWidth="1"/>
  </cols>
  <sheetData>
    <row r="1" spans="1:5" x14ac:dyDescent="0.25">
      <c r="A1" s="319" t="s">
        <v>78</v>
      </c>
      <c r="B1" s="319"/>
      <c r="C1" s="319"/>
      <c r="D1" s="319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36.75" customHeight="1" x14ac:dyDescent="0.25">
      <c r="A5" s="307" t="s">
        <v>289</v>
      </c>
      <c r="B5" s="307"/>
      <c r="C5" s="307"/>
      <c r="D5" s="307"/>
    </row>
    <row r="6" spans="1:5" x14ac:dyDescent="0.25">
      <c r="A6" s="102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102"/>
      <c r="B8" s="103"/>
      <c r="C8" s="60"/>
      <c r="D8" s="96"/>
    </row>
    <row r="9" spans="1:5" x14ac:dyDescent="0.25">
      <c r="A9" s="318" t="s">
        <v>106</v>
      </c>
      <c r="B9" s="318"/>
      <c r="C9" s="100"/>
      <c r="D9" s="96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08" x14ac:dyDescent="0.25">
      <c r="A14" s="35"/>
      <c r="B14" s="90" t="s">
        <v>390</v>
      </c>
      <c r="C14" s="18">
        <f>0.17*20+0.17*13</f>
        <v>5.61</v>
      </c>
      <c r="D14" s="18">
        <f>C14*10</f>
        <v>56.1</v>
      </c>
    </row>
    <row r="15" spans="1:5" ht="24" x14ac:dyDescent="0.25">
      <c r="A15" s="35">
        <v>1200</v>
      </c>
      <c r="B15" s="40" t="s">
        <v>391</v>
      </c>
      <c r="C15" s="18">
        <f>ROUND(C14*0.2359,2)</f>
        <v>1.32</v>
      </c>
      <c r="D15" s="18">
        <f>C15*10</f>
        <v>13.200000000000001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7" ht="120" x14ac:dyDescent="0.25">
      <c r="A17" s="35"/>
      <c r="B17" s="40" t="s">
        <v>426</v>
      </c>
      <c r="C17" s="18">
        <v>23.72</v>
      </c>
      <c r="D17" s="18">
        <f>C17*10</f>
        <v>237.2</v>
      </c>
      <c r="E17" s="192"/>
      <c r="F17" s="190"/>
      <c r="G17" s="190"/>
    </row>
    <row r="18" spans="1:7" x14ac:dyDescent="0.25">
      <c r="A18" s="35"/>
      <c r="B18" s="92" t="s">
        <v>87</v>
      </c>
      <c r="C18" s="82">
        <f>SUM(C13:C17)</f>
        <v>30.65</v>
      </c>
      <c r="D18" s="82">
        <f>SUM(D13:D17)</f>
        <v>306.5</v>
      </c>
      <c r="E18" s="183" t="s">
        <v>154</v>
      </c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6" t="s">
        <v>584</v>
      </c>
      <c r="C20" s="78"/>
      <c r="D20" s="78"/>
    </row>
    <row r="21" spans="1:7" ht="60" x14ac:dyDescent="0.25">
      <c r="A21" s="77"/>
      <c r="B21" s="40" t="s">
        <v>1557</v>
      </c>
      <c r="C21" s="74">
        <f>ROUND(31.85/9509,5)</f>
        <v>3.3500000000000001E-3</v>
      </c>
      <c r="D21" s="18">
        <f>C21*10</f>
        <v>3.3500000000000002E-2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1558</v>
      </c>
      <c r="C23" s="18">
        <f>ROUND(228.88/9509,5)</f>
        <v>2.4070000000000001E-2</v>
      </c>
      <c r="D23" s="18">
        <f t="shared" ref="D23:D85" si="0">C23*10</f>
        <v>0.24070000000000003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1559</v>
      </c>
      <c r="C25" s="18">
        <f>ROUND(382.73/9509,5)</f>
        <v>4.0250000000000001E-2</v>
      </c>
      <c r="D25" s="18">
        <f t="shared" si="0"/>
        <v>0.40250000000000002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1560</v>
      </c>
      <c r="C27" s="74">
        <f>ROUND(38.69/9509,5)</f>
        <v>4.0699999999999998E-3</v>
      </c>
      <c r="D27" s="18">
        <f t="shared" si="0"/>
        <v>4.07E-2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1747</v>
      </c>
      <c r="C31" s="18">
        <f>ROUND(82.8/9509,3)</f>
        <v>8.9999999999999993E-3</v>
      </c>
      <c r="D31" s="18">
        <f t="shared" si="0"/>
        <v>0.09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1563</v>
      </c>
      <c r="C33" s="18">
        <f>ROUND(289.4/9509,5)</f>
        <v>3.0429999999999999E-2</v>
      </c>
      <c r="D33" s="18">
        <f t="shared" si="0"/>
        <v>0.30430000000000001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1588</v>
      </c>
      <c r="C35" s="74">
        <f>ROUND(20.68/9509,5)</f>
        <v>2.1700000000000001E-3</v>
      </c>
      <c r="D35" s="18">
        <f t="shared" si="0"/>
        <v>2.1700000000000001E-2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1564</v>
      </c>
      <c r="C37" s="74">
        <f>ROUND(58.15/9509,5)</f>
        <v>6.1199999999999996E-3</v>
      </c>
      <c r="D37" s="18">
        <f t="shared" si="0"/>
        <v>6.1199999999999997E-2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1565</v>
      </c>
      <c r="C39" s="74">
        <f>ROUND(524.45/9509,5)</f>
        <v>5.5149999999999998E-2</v>
      </c>
      <c r="D39" s="18">
        <f t="shared" si="0"/>
        <v>0.55149999999999999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1566</v>
      </c>
      <c r="C41" s="74">
        <f>ROUND(131.923/9509,5)</f>
        <v>1.387E-2</v>
      </c>
      <c r="D41" s="18">
        <f t="shared" si="0"/>
        <v>0.13869999999999999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1567</v>
      </c>
      <c r="C43" s="18">
        <f>ROUND(360.94/9509,5)</f>
        <v>3.7960000000000001E-2</v>
      </c>
      <c r="D43" s="18">
        <f t="shared" si="0"/>
        <v>0.37959999999999999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1572</v>
      </c>
      <c r="C55" s="74">
        <f>ROUND(9.91/9509,5)</f>
        <v>1.0399999999999999E-3</v>
      </c>
      <c r="D55" s="18">
        <f t="shared" si="0"/>
        <v>1.04E-2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1574</v>
      </c>
      <c r="C57" s="18">
        <f>ROUND(132.32/9509,5)</f>
        <v>1.392E-2</v>
      </c>
      <c r="D57" s="18">
        <f t="shared" si="0"/>
        <v>0.13919999999999999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1575</v>
      </c>
      <c r="C59" s="74">
        <f>ROUND(72.76/9509,5)</f>
        <v>7.6499999999999997E-3</v>
      </c>
      <c r="D59" s="18">
        <f t="shared" si="0"/>
        <v>7.6499999999999999E-2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1578</v>
      </c>
      <c r="C63" s="18">
        <f>ROUND(224.14/9509,5)</f>
        <v>2.3570000000000001E-2</v>
      </c>
      <c r="D63" s="18">
        <f t="shared" si="0"/>
        <v>0.23570000000000002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1748</v>
      </c>
      <c r="C65" s="18">
        <f>ROUND(103.21/9509,5)</f>
        <v>1.085E-2</v>
      </c>
      <c r="D65" s="18">
        <f t="shared" si="0"/>
        <v>0.1085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1587</v>
      </c>
      <c r="C85" s="74">
        <f>ROUND(151.09/9509,5)</f>
        <v>1.5890000000000001E-2</v>
      </c>
      <c r="D85" s="18">
        <f t="shared" si="0"/>
        <v>0.15890000000000001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31.58</v>
      </c>
      <c r="D87" s="82">
        <f>ROUND(D86+D18,3)</f>
        <v>315.8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7" customHeight="1" x14ac:dyDescent="0.25">
      <c r="A90" s="302" t="s">
        <v>113</v>
      </c>
      <c r="B90" s="303"/>
      <c r="C90" s="22">
        <f>D87/C89</f>
        <v>31.580000000000002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E90"/>
  <sheetViews>
    <sheetView topLeftCell="A75" workbookViewId="0">
      <selection activeCell="B21" sqref="B21"/>
    </sheetView>
  </sheetViews>
  <sheetFormatPr defaultRowHeight="15" x14ac:dyDescent="0.25"/>
  <cols>
    <col min="1" max="1" width="10" customWidth="1"/>
    <col min="2" max="2" width="58" customWidth="1"/>
    <col min="3" max="3" width="10.7109375" customWidth="1"/>
    <col min="4" max="4" width="15.28515625" customWidth="1"/>
  </cols>
  <sheetData>
    <row r="1" spans="1:5" x14ac:dyDescent="0.25">
      <c r="A1" s="315" t="s">
        <v>78</v>
      </c>
      <c r="B1" s="315"/>
      <c r="C1" s="315"/>
      <c r="D1" s="315"/>
    </row>
    <row r="2" spans="1:5" ht="12" customHeight="1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ht="10.5" customHeight="1" x14ac:dyDescent="0.25">
      <c r="A4" s="97"/>
      <c r="B4" s="60"/>
      <c r="C4" s="60"/>
      <c r="D4" s="96"/>
    </row>
    <row r="5" spans="1:5" ht="36.75" customHeight="1" x14ac:dyDescent="0.25">
      <c r="A5" s="307" t="s">
        <v>288</v>
      </c>
      <c r="B5" s="307"/>
      <c r="C5" s="307"/>
      <c r="D5" s="307"/>
    </row>
    <row r="6" spans="1:5" x14ac:dyDescent="0.25">
      <c r="A6" s="102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102"/>
      <c r="B8" s="103"/>
      <c r="C8" s="60"/>
      <c r="D8" s="96"/>
    </row>
    <row r="9" spans="1:5" x14ac:dyDescent="0.25">
      <c r="A9" s="318" t="s">
        <v>126</v>
      </c>
      <c r="B9" s="318"/>
      <c r="C9" s="100"/>
      <c r="D9" s="96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12.5" customHeight="1" x14ac:dyDescent="0.25">
      <c r="A14" s="35"/>
      <c r="B14" s="90" t="s">
        <v>399</v>
      </c>
      <c r="C14" s="18">
        <f>0.17*20+0.17*13</f>
        <v>5.61</v>
      </c>
      <c r="D14" s="18">
        <f>C14*400</f>
        <v>2244</v>
      </c>
    </row>
    <row r="15" spans="1:5" ht="24" x14ac:dyDescent="0.25">
      <c r="A15" s="30">
        <v>1200</v>
      </c>
      <c r="B15" s="31" t="s">
        <v>391</v>
      </c>
      <c r="C15" s="16">
        <f>ROUND(C14*0.2359,2)</f>
        <v>1.32</v>
      </c>
      <c r="D15" s="18">
        <f>C15*400</f>
        <v>528</v>
      </c>
      <c r="E15" s="181"/>
    </row>
    <row r="16" spans="1:5" x14ac:dyDescent="0.25">
      <c r="A16" s="30">
        <v>2341</v>
      </c>
      <c r="B16" s="30" t="s">
        <v>118</v>
      </c>
      <c r="C16" s="19"/>
      <c r="D16" s="19"/>
    </row>
    <row r="17" spans="1:5" ht="99" customHeight="1" x14ac:dyDescent="0.25">
      <c r="A17" s="30"/>
      <c r="B17" s="40" t="s">
        <v>427</v>
      </c>
      <c r="C17" s="16">
        <v>2.0099999999999998</v>
      </c>
      <c r="D17" s="16">
        <f>C17*400</f>
        <v>803.99999999999989</v>
      </c>
    </row>
    <row r="18" spans="1:5" x14ac:dyDescent="0.25">
      <c r="A18" s="34"/>
      <c r="B18" s="136" t="s">
        <v>87</v>
      </c>
      <c r="C18" s="137">
        <f>SUM(C13:C17)</f>
        <v>8.9400000000000013</v>
      </c>
      <c r="D18" s="137">
        <f>SUM(D13:D17)</f>
        <v>3576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6" t="s">
        <v>584</v>
      </c>
      <c r="C20" s="78"/>
      <c r="D20" s="78"/>
    </row>
    <row r="21" spans="1:5" ht="60" x14ac:dyDescent="0.25">
      <c r="A21" s="77"/>
      <c r="B21" s="40" t="s">
        <v>1749</v>
      </c>
      <c r="C21" s="74">
        <f>ROUND(31.85/9509,5)</f>
        <v>3.3500000000000001E-3</v>
      </c>
      <c r="D21" s="18">
        <f>C21*400</f>
        <v>1.34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1750</v>
      </c>
      <c r="C23" s="74">
        <f>ROUND(228.88/9509,5)</f>
        <v>2.4070000000000001E-2</v>
      </c>
      <c r="D23" s="18">
        <f t="shared" ref="D23:D85" si="0">C23*400</f>
        <v>9.6280000000000001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1751</v>
      </c>
      <c r="C25" s="18">
        <f>ROUND(382.73/9509,5)</f>
        <v>4.0250000000000001E-2</v>
      </c>
      <c r="D25" s="18">
        <f t="shared" si="0"/>
        <v>16.100000000000001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1752</v>
      </c>
      <c r="C27" s="74">
        <f>ROUND(38.69/9509,5)</f>
        <v>4.0699999999999998E-3</v>
      </c>
      <c r="D27" s="18">
        <f t="shared" si="0"/>
        <v>1.6279999999999999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1753</v>
      </c>
      <c r="C29" s="253">
        <f>ROUND(1004.28/9509,5)</f>
        <v>0.10561</v>
      </c>
      <c r="D29" s="18">
        <f t="shared" si="0"/>
        <v>42.244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1754</v>
      </c>
      <c r="C31" s="18">
        <f>ROUND(82.8/9509,3)</f>
        <v>8.9999999999999993E-3</v>
      </c>
      <c r="D31" s="18">
        <f t="shared" si="0"/>
        <v>3.5999999999999996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1755</v>
      </c>
      <c r="C33" s="18">
        <f>ROUND(289.4/9509,3)</f>
        <v>0.03</v>
      </c>
      <c r="D33" s="18">
        <f t="shared" si="0"/>
        <v>12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1756</v>
      </c>
      <c r="C35" s="74">
        <f>ROUND(20.68/9509,3)</f>
        <v>2E-3</v>
      </c>
      <c r="D35" s="18">
        <f t="shared" si="0"/>
        <v>0.8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1757</v>
      </c>
      <c r="C37" s="74">
        <f>ROUND(58.15/9509,3)</f>
        <v>6.0000000000000001E-3</v>
      </c>
      <c r="D37" s="18">
        <f t="shared" si="0"/>
        <v>2.4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1758</v>
      </c>
      <c r="C39" s="74">
        <f>ROUND(524.45/9509,3)</f>
        <v>5.5E-2</v>
      </c>
      <c r="D39" s="18">
        <f t="shared" si="0"/>
        <v>22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1759</v>
      </c>
      <c r="C41" s="74">
        <f>ROUND(131.923/9509,3)</f>
        <v>1.4E-2</v>
      </c>
      <c r="D41" s="18">
        <f t="shared" si="0"/>
        <v>5.6000000000000005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1760</v>
      </c>
      <c r="C43" s="18">
        <f>ROUND(360.94/9509,3)</f>
        <v>3.7999999999999999E-2</v>
      </c>
      <c r="D43" s="18">
        <f t="shared" si="0"/>
        <v>15.2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1761</v>
      </c>
      <c r="C45" s="18">
        <f>ROUND(272.76/9509,3)</f>
        <v>2.9000000000000001E-2</v>
      </c>
      <c r="D45" s="18">
        <f t="shared" si="0"/>
        <v>11.600000000000001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1762</v>
      </c>
      <c r="C47" s="74">
        <f>ROUND(12.06/9509,3)</f>
        <v>1E-3</v>
      </c>
      <c r="D47" s="18">
        <f t="shared" si="0"/>
        <v>0.4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1763</v>
      </c>
      <c r="C49" s="74">
        <f>ROUND(23.35/9509,3)</f>
        <v>2E-3</v>
      </c>
      <c r="D49" s="18">
        <f t="shared" si="0"/>
        <v>0.8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1764</v>
      </c>
      <c r="C51" s="18">
        <f>ROUND(750.97/9509,3)</f>
        <v>7.9000000000000001E-2</v>
      </c>
      <c r="D51" s="18">
        <f t="shared" si="0"/>
        <v>31.6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1765</v>
      </c>
      <c r="C53" s="18">
        <f>ROUND(2620.34/9509,3)</f>
        <v>0.27600000000000002</v>
      </c>
      <c r="D53" s="18">
        <f t="shared" si="0"/>
        <v>110.4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1766</v>
      </c>
      <c r="C55" s="74">
        <f>ROUND(9.91/9509,5)</f>
        <v>1.0399999999999999E-3</v>
      </c>
      <c r="D55" s="18">
        <f t="shared" si="0"/>
        <v>0.41599999999999998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1767</v>
      </c>
      <c r="C57" s="18">
        <f>ROUND(132.32/9509,3)</f>
        <v>1.4E-2</v>
      </c>
      <c r="D57" s="18">
        <f t="shared" si="0"/>
        <v>5.6000000000000005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1768</v>
      </c>
      <c r="C59" s="74">
        <f>ROUND(72.76/9509,3)</f>
        <v>8.0000000000000002E-3</v>
      </c>
      <c r="D59" s="18">
        <f t="shared" si="0"/>
        <v>3.2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1769</v>
      </c>
      <c r="C61" s="18">
        <f>ROUND(484.21/9509,3)</f>
        <v>5.0999999999999997E-2</v>
      </c>
      <c r="D61" s="18">
        <f t="shared" si="0"/>
        <v>20.399999999999999</v>
      </c>
    </row>
    <row r="62" spans="1:4" ht="18" customHeight="1" x14ac:dyDescent="0.25">
      <c r="A62" s="35">
        <v>2314</v>
      </c>
      <c r="B62" s="243" t="s">
        <v>576</v>
      </c>
      <c r="C62" s="18"/>
      <c r="D62" s="18"/>
    </row>
    <row r="63" spans="1:4" ht="60" x14ac:dyDescent="0.25">
      <c r="A63" s="35"/>
      <c r="B63" s="40" t="s">
        <v>1770</v>
      </c>
      <c r="C63" s="18">
        <f>ROUND(224.14/9509,3)</f>
        <v>2.4E-2</v>
      </c>
      <c r="D63" s="18">
        <f t="shared" si="0"/>
        <v>9.6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1771</v>
      </c>
      <c r="C65" s="18">
        <f>ROUND(103.21/9509,3)</f>
        <v>1.0999999999999999E-2</v>
      </c>
      <c r="D65" s="18">
        <f t="shared" si="0"/>
        <v>4.3999999999999995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1772</v>
      </c>
      <c r="C67" s="74">
        <f>ROUND(241.97/9509,5)</f>
        <v>2.545E-2</v>
      </c>
      <c r="D67" s="18">
        <f t="shared" si="0"/>
        <v>10.18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1773</v>
      </c>
      <c r="C69" s="74">
        <f>ROUND(87.42/9509,5)</f>
        <v>9.1900000000000003E-3</v>
      </c>
      <c r="D69" s="18">
        <f t="shared" si="0"/>
        <v>3.6760000000000002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1774</v>
      </c>
      <c r="C71" s="74">
        <f>ROUND(28.69/9509,5)</f>
        <v>3.0200000000000001E-3</v>
      </c>
      <c r="D71" s="18">
        <f t="shared" si="0"/>
        <v>1.208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1775</v>
      </c>
      <c r="C73" s="74">
        <f>ROUND(8.56/9509,4)</f>
        <v>8.9999999999999998E-4</v>
      </c>
      <c r="D73" s="18">
        <f t="shared" si="0"/>
        <v>0.36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1776</v>
      </c>
      <c r="C75" s="74">
        <f>ROUND(58.04/9509,5)</f>
        <v>6.1000000000000004E-3</v>
      </c>
      <c r="D75" s="18">
        <f t="shared" si="0"/>
        <v>2.44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1777</v>
      </c>
      <c r="C77" s="74">
        <f>ROUND(249.88/9509,5)</f>
        <v>2.6280000000000001E-2</v>
      </c>
      <c r="D77" s="18">
        <f t="shared" si="0"/>
        <v>10.512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626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1778</v>
      </c>
      <c r="C81" s="74">
        <f>ROUND(61.55/9509,5)</f>
        <v>6.4700000000000001E-3</v>
      </c>
      <c r="D81" s="18">
        <f t="shared" si="0"/>
        <v>2.5880000000000001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1779</v>
      </c>
      <c r="C83" s="74">
        <f>ROUND(88.34/9509,5)</f>
        <v>9.2899999999999996E-3</v>
      </c>
      <c r="D83" s="18">
        <f>C83*400</f>
        <v>3.7159999999999997</v>
      </c>
    </row>
    <row r="84" spans="1:4" ht="15" customHeight="1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1780</v>
      </c>
      <c r="C85" s="80">
        <f>ROUND(151.09/9509,4)</f>
        <v>1.5900000000000001E-2</v>
      </c>
      <c r="D85" s="18">
        <f t="shared" si="0"/>
        <v>6.36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372</v>
      </c>
    </row>
    <row r="87" spans="1:4" x14ac:dyDescent="0.25">
      <c r="A87" s="83"/>
      <c r="B87" s="84" t="s">
        <v>95</v>
      </c>
      <c r="C87" s="82">
        <f>ROUND(C86+C18,3)</f>
        <v>9.8699999999999992</v>
      </c>
      <c r="D87" s="82">
        <f>ROUND(D86+D18,3)</f>
        <v>3948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400</v>
      </c>
      <c r="D89" s="89"/>
    </row>
    <row r="90" spans="1:4" ht="24.75" customHeight="1" x14ac:dyDescent="0.25">
      <c r="A90" s="302" t="s">
        <v>113</v>
      </c>
      <c r="B90" s="303"/>
      <c r="C90" s="22">
        <f>D87/C89</f>
        <v>9.8699999999999992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E90"/>
  <sheetViews>
    <sheetView topLeftCell="A76" workbookViewId="0">
      <selection activeCell="B43" sqref="B43"/>
    </sheetView>
  </sheetViews>
  <sheetFormatPr defaultRowHeight="15" x14ac:dyDescent="0.25"/>
  <cols>
    <col min="2" max="2" width="55.85546875" customWidth="1"/>
    <col min="3" max="3" width="13.28515625" customWidth="1"/>
    <col min="4" max="4" width="14.42578125" customWidth="1"/>
    <col min="5" max="5" width="10.28515625" customWidth="1"/>
  </cols>
  <sheetData>
    <row r="1" spans="1:5" x14ac:dyDescent="0.25">
      <c r="A1" s="319" t="s">
        <v>78</v>
      </c>
      <c r="B1" s="319"/>
      <c r="C1" s="319"/>
      <c r="D1" s="319"/>
    </row>
    <row r="2" spans="1:5" ht="13.5" customHeight="1" x14ac:dyDescent="0.25">
      <c r="A2" s="97"/>
      <c r="B2" s="97"/>
      <c r="C2" s="120"/>
      <c r="D2" s="120"/>
    </row>
    <row r="3" spans="1:5" x14ac:dyDescent="0.25">
      <c r="A3" s="98" t="s">
        <v>111</v>
      </c>
      <c r="B3" s="99"/>
      <c r="C3" s="99"/>
      <c r="D3" s="99"/>
    </row>
    <row r="4" spans="1:5" ht="9" customHeight="1" x14ac:dyDescent="0.25">
      <c r="A4" s="97"/>
      <c r="B4" s="60"/>
      <c r="C4" s="60"/>
      <c r="D4" s="60"/>
    </row>
    <row r="5" spans="1:5" ht="33.75" customHeight="1" x14ac:dyDescent="0.25">
      <c r="A5" s="307" t="s">
        <v>286</v>
      </c>
      <c r="B5" s="307"/>
      <c r="C5" s="307"/>
      <c r="D5" s="307"/>
    </row>
    <row r="6" spans="1:5" ht="8.25" customHeight="1" x14ac:dyDescent="0.25">
      <c r="A6" s="102"/>
      <c r="B6" s="60"/>
      <c r="C6" s="60"/>
      <c r="D6" s="60"/>
    </row>
    <row r="7" spans="1:5" x14ac:dyDescent="0.25">
      <c r="A7" s="308" t="s">
        <v>112</v>
      </c>
      <c r="B7" s="310"/>
      <c r="C7" s="60"/>
      <c r="D7" s="60"/>
    </row>
    <row r="8" spans="1:5" ht="2.25" customHeight="1" x14ac:dyDescent="0.25">
      <c r="A8" s="102"/>
      <c r="B8" s="103"/>
      <c r="C8" s="60"/>
      <c r="D8" s="60"/>
    </row>
    <row r="9" spans="1:5" x14ac:dyDescent="0.25">
      <c r="A9" s="318" t="s">
        <v>106</v>
      </c>
      <c r="B9" s="318"/>
      <c r="C9" s="100"/>
      <c r="D9" s="96"/>
    </row>
    <row r="10" spans="1:5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17" customHeight="1" x14ac:dyDescent="0.25">
      <c r="A14" s="35"/>
      <c r="B14" s="40" t="s">
        <v>400</v>
      </c>
      <c r="C14" s="18">
        <f>0.17*10+0.17*13</f>
        <v>3.91</v>
      </c>
      <c r="D14" s="18">
        <f>C14*10</f>
        <v>39.1</v>
      </c>
    </row>
    <row r="15" spans="1:5" ht="24" x14ac:dyDescent="0.25">
      <c r="A15" s="35">
        <v>1200</v>
      </c>
      <c r="B15" s="40" t="s">
        <v>401</v>
      </c>
      <c r="C15" s="18">
        <f>ROUND(C14*0.2359,2)</f>
        <v>0.92</v>
      </c>
      <c r="D15" s="18">
        <f>C15*10</f>
        <v>9.2000000000000011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5" ht="102.75" customHeight="1" x14ac:dyDescent="0.25">
      <c r="A17" s="35"/>
      <c r="B17" s="40" t="s">
        <v>428</v>
      </c>
      <c r="C17" s="18">
        <v>1.43</v>
      </c>
      <c r="D17" s="18">
        <f>C17*10</f>
        <v>14.299999999999999</v>
      </c>
    </row>
    <row r="18" spans="1:5" x14ac:dyDescent="0.25">
      <c r="A18" s="35"/>
      <c r="B18" s="92" t="s">
        <v>87</v>
      </c>
      <c r="C18" s="82">
        <f>SUM(C13:C17)</f>
        <v>6.26</v>
      </c>
      <c r="D18" s="82">
        <f>SUM(D13:D17)</f>
        <v>62.6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6" t="s">
        <v>584</v>
      </c>
      <c r="C20" s="78"/>
      <c r="D20" s="78"/>
    </row>
    <row r="21" spans="1:5" ht="60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1578</v>
      </c>
      <c r="C63" s="18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1577</v>
      </c>
      <c r="C65" s="18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7.19</v>
      </c>
      <c r="D87" s="82">
        <f>ROUND(D86+D18,3)</f>
        <v>71.900000000000006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7.19</v>
      </c>
      <c r="D90" s="89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E90"/>
  <sheetViews>
    <sheetView topLeftCell="A81" workbookViewId="0">
      <selection activeCell="B85" sqref="B85"/>
    </sheetView>
  </sheetViews>
  <sheetFormatPr defaultRowHeight="15" x14ac:dyDescent="0.25"/>
  <cols>
    <col min="1" max="1" width="10" customWidth="1"/>
    <col min="2" max="2" width="59.85546875" customWidth="1"/>
    <col min="3" max="3" width="12.42578125" customWidth="1"/>
    <col min="4" max="4" width="12.140625" customWidth="1"/>
  </cols>
  <sheetData>
    <row r="1" spans="1:5" x14ac:dyDescent="0.25">
      <c r="A1" s="315" t="s">
        <v>78</v>
      </c>
      <c r="B1" s="315"/>
      <c r="C1" s="315"/>
      <c r="D1" s="315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40.5" customHeight="1" x14ac:dyDescent="0.25">
      <c r="A5" s="307" t="s">
        <v>287</v>
      </c>
      <c r="B5" s="307"/>
      <c r="C5" s="307"/>
      <c r="D5" s="307"/>
    </row>
    <row r="6" spans="1:5" x14ac:dyDescent="0.25">
      <c r="A6" s="102"/>
      <c r="B6" s="60"/>
      <c r="C6" s="60"/>
      <c r="D6" s="96"/>
    </row>
    <row r="7" spans="1:5" x14ac:dyDescent="0.25">
      <c r="A7" s="308" t="s">
        <v>112</v>
      </c>
      <c r="B7" s="310"/>
      <c r="C7" s="60"/>
      <c r="D7" s="96"/>
    </row>
    <row r="8" spans="1:5" x14ac:dyDescent="0.25">
      <c r="A8" s="102"/>
      <c r="B8" s="103"/>
      <c r="C8" s="60"/>
      <c r="D8" s="96"/>
    </row>
    <row r="9" spans="1:5" x14ac:dyDescent="0.25">
      <c r="A9" s="318" t="s">
        <v>108</v>
      </c>
      <c r="B9" s="318"/>
      <c r="C9" s="60"/>
      <c r="D9" s="96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68"/>
    </row>
    <row r="14" spans="1:5" ht="96" x14ac:dyDescent="0.25">
      <c r="A14" s="35"/>
      <c r="B14" s="40" t="s">
        <v>402</v>
      </c>
      <c r="C14" s="18">
        <f>0.17*15+0.17*13</f>
        <v>4.76</v>
      </c>
      <c r="D14" s="18">
        <f>C14*10</f>
        <v>47.599999999999994</v>
      </c>
    </row>
    <row r="15" spans="1:5" ht="24" x14ac:dyDescent="0.25">
      <c r="A15" s="35">
        <v>1200</v>
      </c>
      <c r="B15" s="40" t="s">
        <v>403</v>
      </c>
      <c r="C15" s="18">
        <f>ROUND(C14*0.2359,2)</f>
        <v>1.1200000000000001</v>
      </c>
      <c r="D15" s="18">
        <f>C15*10</f>
        <v>11.200000000000001</v>
      </c>
      <c r="E15" s="181"/>
    </row>
    <row r="16" spans="1:5" x14ac:dyDescent="0.25">
      <c r="A16" s="35">
        <v>2341</v>
      </c>
      <c r="B16" s="35" t="s">
        <v>118</v>
      </c>
      <c r="C16" s="74"/>
      <c r="D16" s="74"/>
    </row>
    <row r="17" spans="1:5" ht="97.5" customHeight="1" x14ac:dyDescent="0.25">
      <c r="A17" s="35"/>
      <c r="B17" s="40" t="s">
        <v>429</v>
      </c>
      <c r="C17" s="18">
        <v>5.24</v>
      </c>
      <c r="D17" s="18">
        <f>C17*10</f>
        <v>52.400000000000006</v>
      </c>
      <c r="E17" s="202"/>
    </row>
    <row r="18" spans="1:5" x14ac:dyDescent="0.25">
      <c r="A18" s="35"/>
      <c r="B18" s="92" t="s">
        <v>87</v>
      </c>
      <c r="C18" s="82">
        <f>SUM(C13:C17)</f>
        <v>11.120000000000001</v>
      </c>
      <c r="D18" s="82">
        <f>SUM(D13:D17)</f>
        <v>111.2</v>
      </c>
      <c r="E18" s="183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6" t="s">
        <v>584</v>
      </c>
      <c r="C20" s="78"/>
      <c r="D20" s="78"/>
    </row>
    <row r="21" spans="1:5" ht="48" x14ac:dyDescent="0.25">
      <c r="A21" s="77"/>
      <c r="B21" s="40" t="s">
        <v>1557</v>
      </c>
      <c r="C21" s="74">
        <f>ROUND(31.85/9509,5)</f>
        <v>3.3500000000000001E-3</v>
      </c>
      <c r="D21" s="18">
        <f>C21*10</f>
        <v>3.3500000000000002E-2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1558</v>
      </c>
      <c r="C23" s="18">
        <f>ROUND(228.88/9509,5)</f>
        <v>2.4070000000000001E-2</v>
      </c>
      <c r="D23" s="18">
        <f t="shared" ref="D23:D85" si="0">C23*10</f>
        <v>0.24070000000000003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1559</v>
      </c>
      <c r="C25" s="18">
        <f>ROUND(382.73/9509,5)</f>
        <v>4.0250000000000001E-2</v>
      </c>
      <c r="D25" s="18">
        <f t="shared" si="0"/>
        <v>0.40250000000000002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1560</v>
      </c>
      <c r="C27" s="74">
        <f>ROUND(38.69/9509,5)</f>
        <v>4.0699999999999998E-3</v>
      </c>
      <c r="D27" s="18">
        <f t="shared" si="0"/>
        <v>4.07E-2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1561</v>
      </c>
      <c r="C29" s="74">
        <f>ROUND(1004.28/9509,5)</f>
        <v>0.10561</v>
      </c>
      <c r="D29" s="18">
        <f t="shared" si="0"/>
        <v>1.0561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ROUND(289.4/9509,5)</f>
        <v>3.0429999999999999E-2</v>
      </c>
      <c r="D33" s="18">
        <f t="shared" si="0"/>
        <v>0.30430000000000001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18">
        <f>ROUND(272.76/9509,5)</f>
        <v>2.8680000000000001E-2</v>
      </c>
      <c r="D45" s="18">
        <f t="shared" si="0"/>
        <v>0.2868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ROUND(23.35/9509,5)</f>
        <v>2.4599999999999999E-3</v>
      </c>
      <c r="D49" s="18">
        <f t="shared" si="0"/>
        <v>2.46E-2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18">
        <f>ROUND(750.97/9509,5)</f>
        <v>7.8969999999999999E-2</v>
      </c>
      <c r="D51" s="18">
        <f t="shared" si="0"/>
        <v>0.78969999999999996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18">
        <f>ROUND(132.32/9509,5)</f>
        <v>1.392E-2</v>
      </c>
      <c r="D57" s="18">
        <f t="shared" si="0"/>
        <v>0.13919999999999999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ROUND(72.76/9509,5)</f>
        <v>7.6499999999999997E-3</v>
      </c>
      <c r="D59" s="18">
        <f t="shared" si="0"/>
        <v>7.6499999999999999E-2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18">
        <f>ROUND(484.21/9509,5)</f>
        <v>5.092E-2</v>
      </c>
      <c r="D61" s="18">
        <f t="shared" si="0"/>
        <v>0.50919999999999999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48" x14ac:dyDescent="0.25">
      <c r="A63" s="35"/>
      <c r="B63" s="40" t="s">
        <v>1578</v>
      </c>
      <c r="C63" s="18">
        <f>ROUND(224.14/9509,5)</f>
        <v>2.3570000000000001E-2</v>
      </c>
      <c r="D63" s="18">
        <f t="shared" si="0"/>
        <v>0.23570000000000002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18">
        <f>ROUND(103.21/9509,5)</f>
        <v>1.085E-2</v>
      </c>
      <c r="D65" s="18">
        <f t="shared" si="0"/>
        <v>0.1085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18">
        <f>ROUND(87.42/9509,5)</f>
        <v>9.1900000000000003E-3</v>
      </c>
      <c r="D69" s="18">
        <f t="shared" si="0"/>
        <v>9.1900000000000009E-2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57" customHeight="1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ht="14.25" customHeight="1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12.05</v>
      </c>
      <c r="D87" s="82">
        <f>ROUND(D86+D18,3)</f>
        <v>120.5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30" customHeight="1" x14ac:dyDescent="0.25">
      <c r="A90" s="302" t="s">
        <v>113</v>
      </c>
      <c r="B90" s="303"/>
      <c r="C90" s="22">
        <f>D87/C89</f>
        <v>12.05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G90"/>
  <sheetViews>
    <sheetView topLeftCell="A80" workbookViewId="0">
      <selection activeCell="B57" sqref="B57"/>
    </sheetView>
  </sheetViews>
  <sheetFormatPr defaultRowHeight="15" x14ac:dyDescent="0.25"/>
  <cols>
    <col min="1" max="1" width="9.85546875" customWidth="1"/>
    <col min="2" max="2" width="55.140625" customWidth="1"/>
    <col min="3" max="3" width="12.42578125" customWidth="1"/>
    <col min="4" max="4" width="13.42578125" customWidth="1"/>
    <col min="5" max="5" width="16.85546875" customWidth="1"/>
  </cols>
  <sheetData>
    <row r="1" spans="1:5" x14ac:dyDescent="0.25">
      <c r="A1" s="330" t="s">
        <v>78</v>
      </c>
      <c r="B1" s="330"/>
      <c r="C1" s="330"/>
      <c r="D1" s="330"/>
    </row>
    <row r="2" spans="1:5" x14ac:dyDescent="0.25">
      <c r="A2" s="41"/>
      <c r="B2" s="41"/>
      <c r="C2" s="331"/>
      <c r="D2" s="337"/>
    </row>
    <row r="3" spans="1:5" x14ac:dyDescent="0.25">
      <c r="A3" s="42" t="s">
        <v>111</v>
      </c>
      <c r="B3" s="43"/>
      <c r="C3" s="43"/>
      <c r="D3" s="43"/>
    </row>
    <row r="4" spans="1:5" x14ac:dyDescent="0.25">
      <c r="A4" s="41"/>
      <c r="B4" s="7"/>
      <c r="C4" s="7"/>
      <c r="D4" s="26"/>
    </row>
    <row r="5" spans="1:5" ht="29.25" customHeight="1" x14ac:dyDescent="0.25">
      <c r="A5" s="338" t="s">
        <v>722</v>
      </c>
      <c r="B5" s="338"/>
      <c r="C5" s="338"/>
      <c r="D5" s="338"/>
    </row>
    <row r="6" spans="1:5" x14ac:dyDescent="0.25">
      <c r="A6" s="6"/>
      <c r="B6" s="7"/>
      <c r="C6" s="7"/>
      <c r="D6" s="26"/>
    </row>
    <row r="7" spans="1:5" x14ac:dyDescent="0.25">
      <c r="A7" s="333" t="s">
        <v>112</v>
      </c>
      <c r="B7" s="334"/>
      <c r="C7" s="7"/>
      <c r="D7" s="26"/>
    </row>
    <row r="8" spans="1:5" x14ac:dyDescent="0.25">
      <c r="A8" s="46"/>
      <c r="B8" s="47"/>
      <c r="C8" s="7"/>
      <c r="D8" s="26"/>
    </row>
    <row r="9" spans="1:5" x14ac:dyDescent="0.25">
      <c r="A9" s="335" t="s">
        <v>106</v>
      </c>
      <c r="B9" s="335"/>
      <c r="C9" s="7"/>
      <c r="D9" s="26"/>
    </row>
    <row r="10" spans="1:5" ht="96" x14ac:dyDescent="0.25">
      <c r="A10" s="10" t="s">
        <v>80</v>
      </c>
      <c r="B10" s="10" t="s">
        <v>81</v>
      </c>
      <c r="C10" s="10" t="s">
        <v>82</v>
      </c>
      <c r="D10" s="10" t="s">
        <v>83</v>
      </c>
    </row>
    <row r="11" spans="1:5" x14ac:dyDescent="0.25">
      <c r="A11" s="11">
        <v>1</v>
      </c>
      <c r="B11" s="12">
        <v>2</v>
      </c>
      <c r="C11" s="11">
        <v>3</v>
      </c>
      <c r="D11" s="11">
        <v>4</v>
      </c>
    </row>
    <row r="12" spans="1:5" x14ac:dyDescent="0.25">
      <c r="A12" s="11"/>
      <c r="B12" s="27" t="s">
        <v>84</v>
      </c>
      <c r="C12" s="13"/>
      <c r="D12" s="13"/>
    </row>
    <row r="13" spans="1:5" x14ac:dyDescent="0.25">
      <c r="A13" s="28">
        <v>1100</v>
      </c>
      <c r="B13" s="29" t="s">
        <v>85</v>
      </c>
      <c r="C13" s="14"/>
      <c r="D13" s="14"/>
    </row>
    <row r="14" spans="1:5" ht="108" x14ac:dyDescent="0.25">
      <c r="A14" s="30"/>
      <c r="B14" s="48" t="s">
        <v>400</v>
      </c>
      <c r="C14" s="16">
        <f>0.17*10+0.17*13</f>
        <v>3.91</v>
      </c>
      <c r="D14" s="14">
        <f>C14*10</f>
        <v>39.1</v>
      </c>
    </row>
    <row r="15" spans="1:5" ht="24" x14ac:dyDescent="0.25">
      <c r="A15" s="30">
        <v>1200</v>
      </c>
      <c r="B15" s="31" t="s">
        <v>401</v>
      </c>
      <c r="C15" s="16">
        <f>ROUND(C14*0.2359,2)</f>
        <v>0.92</v>
      </c>
      <c r="D15" s="14">
        <f>C15*10</f>
        <v>9.2000000000000011</v>
      </c>
      <c r="E15" s="181"/>
    </row>
    <row r="16" spans="1:5" x14ac:dyDescent="0.25">
      <c r="A16" s="30">
        <v>2341</v>
      </c>
      <c r="B16" s="30" t="s">
        <v>86</v>
      </c>
      <c r="C16" s="19"/>
      <c r="D16" s="19"/>
    </row>
    <row r="17" spans="1:7" ht="88.5" customHeight="1" x14ac:dyDescent="0.25">
      <c r="A17" s="30"/>
      <c r="B17" s="40" t="s">
        <v>404</v>
      </c>
      <c r="C17" s="16">
        <v>5.66</v>
      </c>
      <c r="D17" s="16">
        <f>C17*10</f>
        <v>56.6</v>
      </c>
      <c r="E17" s="212"/>
      <c r="F17" s="190"/>
      <c r="G17" s="190"/>
    </row>
    <row r="18" spans="1:7" x14ac:dyDescent="0.25">
      <c r="A18" s="34"/>
      <c r="B18" s="136" t="s">
        <v>87</v>
      </c>
      <c r="C18" s="137">
        <f>SUM(C13:C17)</f>
        <v>10.49</v>
      </c>
      <c r="D18" s="137">
        <f>SUM(D13:D17)</f>
        <v>104.9</v>
      </c>
      <c r="E18" s="183"/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6" t="s">
        <v>584</v>
      </c>
      <c r="C20" s="78"/>
      <c r="D20" s="78"/>
    </row>
    <row r="21" spans="1:7" ht="60" x14ac:dyDescent="0.25">
      <c r="A21" s="77"/>
      <c r="B21" s="40" t="s">
        <v>1557</v>
      </c>
      <c r="C21" s="74">
        <f>ROUND(31.85/9509,5)</f>
        <v>3.3500000000000001E-3</v>
      </c>
      <c r="D21" s="18">
        <f>C21*10</f>
        <v>3.3500000000000002E-2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1558</v>
      </c>
      <c r="C23" s="18">
        <f>ROUND(228.88/9509,5)</f>
        <v>2.4070000000000001E-2</v>
      </c>
      <c r="D23" s="18">
        <f t="shared" ref="D23:D85" si="0">C23*10</f>
        <v>0.24070000000000003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1559</v>
      </c>
      <c r="C25" s="18">
        <f>ROUND(382.73/9509,5)</f>
        <v>4.0250000000000001E-2</v>
      </c>
      <c r="D25" s="18">
        <f t="shared" si="0"/>
        <v>0.40250000000000002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1560</v>
      </c>
      <c r="C27" s="74">
        <f>ROUND(38.69/9509,5)</f>
        <v>4.0699999999999998E-3</v>
      </c>
      <c r="D27" s="18">
        <f t="shared" si="0"/>
        <v>4.07E-2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1561</v>
      </c>
      <c r="C29" s="74">
        <f>ROUND(1004.28/9509,5)</f>
        <v>0.10561</v>
      </c>
      <c r="D29" s="18">
        <f t="shared" si="0"/>
        <v>1.0561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60" x14ac:dyDescent="0.25">
      <c r="A31" s="34"/>
      <c r="B31" s="40" t="s">
        <v>1562</v>
      </c>
      <c r="C31" s="18">
        <f>ROUND(82.8/9509,5)</f>
        <v>8.7100000000000007E-3</v>
      </c>
      <c r="D31" s="18">
        <f t="shared" si="0"/>
        <v>8.7100000000000011E-2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1563</v>
      </c>
      <c r="C33" s="18">
        <f>ROUND(289.4/9509,5)</f>
        <v>3.0429999999999999E-2</v>
      </c>
      <c r="D33" s="18">
        <f t="shared" si="0"/>
        <v>0.30430000000000001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1564</v>
      </c>
      <c r="C37" s="74">
        <f>ROUND(58.15/9509,5)</f>
        <v>6.1199999999999996E-3</v>
      </c>
      <c r="D37" s="18">
        <f t="shared" si="0"/>
        <v>6.1199999999999997E-2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1565</v>
      </c>
      <c r="C39" s="74">
        <f>ROUND(524.45/9509,5)</f>
        <v>5.5149999999999998E-2</v>
      </c>
      <c r="D39" s="18">
        <f t="shared" si="0"/>
        <v>0.55149999999999999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1578</v>
      </c>
      <c r="C63" s="18">
        <f>ROUND(224.14/9509,5)</f>
        <v>2.3570000000000001E-2</v>
      </c>
      <c r="D63" s="18">
        <f t="shared" si="0"/>
        <v>0.23570000000000002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1577</v>
      </c>
      <c r="C65" s="18">
        <f>ROUND(103.21/9509,5)</f>
        <v>1.085E-2</v>
      </c>
      <c r="D65" s="18">
        <f t="shared" si="0"/>
        <v>0.1085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1580</v>
      </c>
      <c r="C69" s="18">
        <f>ROUND(87.42/9509,5)</f>
        <v>9.1900000000000003E-3</v>
      </c>
      <c r="D69" s="18">
        <f t="shared" si="0"/>
        <v>9.1900000000000009E-2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60" x14ac:dyDescent="0.25">
      <c r="A79" s="35"/>
      <c r="B79" s="40" t="s">
        <v>624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11.42</v>
      </c>
      <c r="D87" s="82">
        <f>ROUND(D86+D18,3)</f>
        <v>114.2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7.75" customHeight="1" x14ac:dyDescent="0.25">
      <c r="A90" s="302" t="s">
        <v>113</v>
      </c>
      <c r="B90" s="303"/>
      <c r="C90" s="22">
        <f>D87/C89</f>
        <v>11.42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L89"/>
  <sheetViews>
    <sheetView topLeftCell="A77" workbookViewId="0">
      <selection activeCell="B21" sqref="B21"/>
    </sheetView>
  </sheetViews>
  <sheetFormatPr defaultRowHeight="15" x14ac:dyDescent="0.25"/>
  <cols>
    <col min="1" max="1" width="9.85546875" customWidth="1"/>
    <col min="2" max="2" width="56.140625" customWidth="1"/>
    <col min="3" max="3" width="11.42578125" customWidth="1"/>
    <col min="4" max="4" width="12.5703125" customWidth="1"/>
    <col min="5" max="5" width="12.7109375" customWidth="1"/>
    <col min="7" max="7" width="39.7109375" customWidth="1"/>
  </cols>
  <sheetData>
    <row r="1" spans="1:7" ht="15.75" customHeight="1" x14ac:dyDescent="0.25">
      <c r="A1" s="304" t="s">
        <v>78</v>
      </c>
      <c r="B1" s="304"/>
      <c r="C1" s="304"/>
      <c r="D1" s="304"/>
    </row>
    <row r="2" spans="1:7" ht="15" customHeight="1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41.25" customHeight="1" x14ac:dyDescent="0.25">
      <c r="A5" s="307" t="s">
        <v>548</v>
      </c>
      <c r="B5" s="307"/>
      <c r="C5" s="307"/>
      <c r="D5" s="307"/>
    </row>
    <row r="6" spans="1:7" ht="12" customHeight="1" x14ac:dyDescent="0.25">
      <c r="A6" s="117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ht="15" customHeight="1" x14ac:dyDescent="0.25">
      <c r="A8" s="55"/>
      <c r="B8" s="61"/>
      <c r="C8" s="62"/>
      <c r="D8" s="59"/>
    </row>
    <row r="9" spans="1:7" x14ac:dyDescent="0.25">
      <c r="A9" s="309" t="s">
        <v>182</v>
      </c>
      <c r="B9" s="309"/>
      <c r="C9" s="62"/>
      <c r="D9" s="59"/>
    </row>
    <row r="10" spans="1:7" ht="98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68" customHeight="1" x14ac:dyDescent="0.25">
      <c r="A14" s="50"/>
      <c r="B14" s="72" t="s">
        <v>405</v>
      </c>
      <c r="C14" s="18">
        <f>0.17*6+0.17*6+0.5*15</f>
        <v>9.5399999999999991</v>
      </c>
      <c r="D14" s="14">
        <f>C14*26</f>
        <v>248.03999999999996</v>
      </c>
      <c r="E14" s="213"/>
      <c r="F14" s="199"/>
      <c r="G14" s="199"/>
    </row>
    <row r="15" spans="1:7" ht="24" customHeight="1" x14ac:dyDescent="0.25">
      <c r="A15" s="50">
        <v>1200</v>
      </c>
      <c r="B15" s="73" t="s">
        <v>406</v>
      </c>
      <c r="C15" s="18">
        <f>ROUND(C14*0.2359,2)</f>
        <v>2.25</v>
      </c>
      <c r="D15" s="14">
        <f>C15*26</f>
        <v>58.5</v>
      </c>
      <c r="E15" s="208"/>
    </row>
    <row r="16" spans="1:7" x14ac:dyDescent="0.25">
      <c r="A16" s="35">
        <v>2341</v>
      </c>
      <c r="B16" s="35" t="s">
        <v>97</v>
      </c>
      <c r="C16" s="74"/>
      <c r="D16" s="74"/>
      <c r="E16" s="209"/>
    </row>
    <row r="17" spans="1:12" ht="96" customHeight="1" x14ac:dyDescent="0.25">
      <c r="A17" s="50"/>
      <c r="B17" s="73" t="s">
        <v>407</v>
      </c>
      <c r="C17" s="18">
        <v>1.08</v>
      </c>
      <c r="D17" s="18">
        <f>C17*26</f>
        <v>28.080000000000002</v>
      </c>
      <c r="E17" s="209"/>
      <c r="K17" s="193"/>
      <c r="L17" s="194"/>
    </row>
    <row r="18" spans="1:12" x14ac:dyDescent="0.25">
      <c r="A18" s="50"/>
      <c r="B18" s="75" t="s">
        <v>87</v>
      </c>
      <c r="C18" s="76">
        <f>SUM(C13:C17)</f>
        <v>12.87</v>
      </c>
      <c r="D18" s="76">
        <f>SUM(D13:D17)</f>
        <v>334.61999999999995</v>
      </c>
      <c r="E18" s="211"/>
    </row>
    <row r="19" spans="1:12" x14ac:dyDescent="0.25">
      <c r="A19" s="77"/>
      <c r="B19" s="176" t="s">
        <v>88</v>
      </c>
      <c r="C19" s="78"/>
      <c r="D19" s="78"/>
    </row>
    <row r="20" spans="1:12" x14ac:dyDescent="0.25">
      <c r="A20" s="35">
        <v>2100</v>
      </c>
      <c r="B20" s="244" t="s">
        <v>584</v>
      </c>
      <c r="C20" s="78"/>
      <c r="D20" s="78"/>
    </row>
    <row r="21" spans="1:12" ht="60" x14ac:dyDescent="0.25">
      <c r="A21" s="77"/>
      <c r="B21" s="40" t="s">
        <v>1781</v>
      </c>
      <c r="C21" s="74">
        <f>ROUND(31.85/9509,5)</f>
        <v>3.3500000000000001E-3</v>
      </c>
      <c r="D21" s="18">
        <f>C21*26</f>
        <v>8.7099999999999997E-2</v>
      </c>
    </row>
    <row r="22" spans="1:12" x14ac:dyDescent="0.25">
      <c r="A22" s="35">
        <v>2210</v>
      </c>
      <c r="B22" s="40" t="s">
        <v>568</v>
      </c>
      <c r="C22" s="74"/>
      <c r="D22" s="74"/>
    </row>
    <row r="23" spans="1:12" ht="60" x14ac:dyDescent="0.25">
      <c r="A23" s="35"/>
      <c r="B23" s="40" t="s">
        <v>1782</v>
      </c>
      <c r="C23" s="74">
        <f>ROUND(228.88/9509,5)</f>
        <v>2.4070000000000001E-2</v>
      </c>
      <c r="D23" s="18">
        <f t="shared" ref="D23:D84" si="0">C23*26</f>
        <v>0.62582000000000004</v>
      </c>
    </row>
    <row r="24" spans="1:12" x14ac:dyDescent="0.25">
      <c r="A24" s="35">
        <v>2221</v>
      </c>
      <c r="B24" s="40" t="s">
        <v>89</v>
      </c>
      <c r="C24" s="18"/>
      <c r="D24" s="18"/>
    </row>
    <row r="25" spans="1:12" ht="60" x14ac:dyDescent="0.25">
      <c r="A25" s="35"/>
      <c r="B25" s="40" t="s">
        <v>1783</v>
      </c>
      <c r="C25" s="18">
        <f>ROUND(382.73/9509,5)</f>
        <v>4.0250000000000001E-2</v>
      </c>
      <c r="D25" s="18">
        <f t="shared" si="0"/>
        <v>1.0465</v>
      </c>
    </row>
    <row r="26" spans="1:12" x14ac:dyDescent="0.25">
      <c r="A26" s="35">
        <v>2222</v>
      </c>
      <c r="B26" s="242" t="s">
        <v>90</v>
      </c>
      <c r="C26" s="18"/>
      <c r="D26" s="18"/>
    </row>
    <row r="27" spans="1:12" ht="60" x14ac:dyDescent="0.25">
      <c r="A27" s="35"/>
      <c r="B27" s="40" t="s">
        <v>1784</v>
      </c>
      <c r="C27" s="74">
        <f>ROUND(38.69/9509,3)</f>
        <v>4.0000000000000001E-3</v>
      </c>
      <c r="D27" s="18">
        <f t="shared" si="0"/>
        <v>0.10400000000000001</v>
      </c>
    </row>
    <row r="28" spans="1:12" x14ac:dyDescent="0.25">
      <c r="A28" s="35">
        <v>2223</v>
      </c>
      <c r="B28" s="35" t="s">
        <v>91</v>
      </c>
      <c r="C28" s="74"/>
      <c r="D28" s="18"/>
    </row>
    <row r="29" spans="1:12" ht="60" x14ac:dyDescent="0.25">
      <c r="A29" s="35"/>
      <c r="B29" s="40" t="s">
        <v>1785</v>
      </c>
      <c r="C29" s="74">
        <f>ROUND(1004.28/9509,3)</f>
        <v>0.106</v>
      </c>
      <c r="D29" s="18">
        <f t="shared" si="0"/>
        <v>2.7559999999999998</v>
      </c>
    </row>
    <row r="30" spans="1:12" ht="24" x14ac:dyDescent="0.25">
      <c r="A30" s="35">
        <v>2224</v>
      </c>
      <c r="B30" s="40" t="s">
        <v>115</v>
      </c>
      <c r="C30" s="74"/>
      <c r="D30" s="18"/>
    </row>
    <row r="31" spans="1:12" ht="60" x14ac:dyDescent="0.25">
      <c r="A31" s="34"/>
      <c r="B31" s="40" t="s">
        <v>1786</v>
      </c>
      <c r="C31" s="18">
        <f>ROUND(82.8/9509,3)</f>
        <v>8.9999999999999993E-3</v>
      </c>
      <c r="D31" s="18">
        <f t="shared" si="0"/>
        <v>0.23399999999999999</v>
      </c>
    </row>
    <row r="32" spans="1:12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1787</v>
      </c>
      <c r="C33" s="18">
        <f>ROUND(289.4/9509,3)</f>
        <v>0.03</v>
      </c>
      <c r="D33" s="18">
        <f t="shared" si="0"/>
        <v>0.78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1788</v>
      </c>
      <c r="C35" s="74">
        <f>ROUND(20.68/9509,3)</f>
        <v>2E-3</v>
      </c>
      <c r="D35" s="18">
        <f t="shared" si="0"/>
        <v>5.2000000000000005E-2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1789</v>
      </c>
      <c r="C37" s="74">
        <f>ROUND(58.15/9509,3)</f>
        <v>6.0000000000000001E-3</v>
      </c>
      <c r="D37" s="18">
        <f t="shared" si="0"/>
        <v>0.156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1790</v>
      </c>
      <c r="C39" s="74">
        <f>ROUND(524.45/9509,3)</f>
        <v>5.5E-2</v>
      </c>
      <c r="D39" s="18">
        <f t="shared" si="0"/>
        <v>1.43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1791</v>
      </c>
      <c r="C41" s="74">
        <f>ROUND(131.923/9509,3)</f>
        <v>1.4E-2</v>
      </c>
      <c r="D41" s="18">
        <f t="shared" si="0"/>
        <v>0.36399999999999999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1792</v>
      </c>
      <c r="C43" s="18">
        <f>ROUND(360.94/9509,3)</f>
        <v>3.7999999999999999E-2</v>
      </c>
      <c r="D43" s="18">
        <f t="shared" si="0"/>
        <v>0.98799999999999999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1793</v>
      </c>
      <c r="C45" s="18">
        <f>ROUND(272.76/9509,3)</f>
        <v>2.9000000000000001E-2</v>
      </c>
      <c r="D45" s="18">
        <f t="shared" si="0"/>
        <v>0.754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1794</v>
      </c>
      <c r="C47" s="74">
        <f>ROUND(12.06/9509,3)</f>
        <v>1E-3</v>
      </c>
      <c r="D47" s="18">
        <f t="shared" si="0"/>
        <v>2.6000000000000002E-2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1795</v>
      </c>
      <c r="C49" s="74">
        <f>ROUND(23.35/9509,3)</f>
        <v>2E-3</v>
      </c>
      <c r="D49" s="18">
        <f t="shared" si="0"/>
        <v>5.2000000000000005E-2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1796</v>
      </c>
      <c r="C51" s="18">
        <f>ROUND(750.97/9509,3)</f>
        <v>7.9000000000000001E-2</v>
      </c>
      <c r="D51" s="18">
        <f t="shared" si="0"/>
        <v>2.0539999999999998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1797</v>
      </c>
      <c r="C53" s="18">
        <f>ROUND(2620.34/9509,3)</f>
        <v>0.27600000000000002</v>
      </c>
      <c r="D53" s="18">
        <f t="shared" si="0"/>
        <v>7.1760000000000002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1798</v>
      </c>
      <c r="C55" s="74">
        <f>ROUND(9.91/9509,3)</f>
        <v>1E-3</v>
      </c>
      <c r="D55" s="18">
        <f t="shared" si="0"/>
        <v>2.6000000000000002E-2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1799</v>
      </c>
      <c r="C57" s="18">
        <f>ROUND(132.32/9509,3)</f>
        <v>1.4E-2</v>
      </c>
      <c r="D57" s="18">
        <f t="shared" si="0"/>
        <v>0.36399999999999999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1800</v>
      </c>
      <c r="C59" s="74">
        <f>ROUND(72.76/9509,3)</f>
        <v>8.0000000000000002E-3</v>
      </c>
      <c r="D59" s="18">
        <f t="shared" si="0"/>
        <v>0.20800000000000002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1801</v>
      </c>
      <c r="C61" s="18">
        <f>ROUND(484.21/9509,3)</f>
        <v>5.0999999999999997E-2</v>
      </c>
      <c r="D61" s="18">
        <f t="shared" si="0"/>
        <v>1.3259999999999998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1802</v>
      </c>
      <c r="C63" s="18">
        <f>ROUND(224.14/9509,3)</f>
        <v>2.4E-2</v>
      </c>
      <c r="D63" s="18">
        <f t="shared" si="0"/>
        <v>0.624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1803</v>
      </c>
      <c r="C65" s="74">
        <f>ROUND(103.21/9509,5)</f>
        <v>1.085E-2</v>
      </c>
      <c r="D65" s="18">
        <f t="shared" si="0"/>
        <v>0.28210000000000002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1804</v>
      </c>
      <c r="C67" s="253">
        <f>ROUND(241.97/9509,5)</f>
        <v>2.545E-2</v>
      </c>
      <c r="D67" s="18">
        <f t="shared" si="0"/>
        <v>0.66169999999999995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1805</v>
      </c>
      <c r="C69" s="18">
        <f>ROUND(87.42/9509,3)</f>
        <v>8.9999999999999993E-3</v>
      </c>
      <c r="D69" s="18">
        <f t="shared" si="0"/>
        <v>0.23399999999999999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1806</v>
      </c>
      <c r="C71" s="74">
        <f>ROUND(28.69/9509,3)</f>
        <v>3.0000000000000001E-3</v>
      </c>
      <c r="D71" s="18">
        <f t="shared" si="0"/>
        <v>7.8E-2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1807</v>
      </c>
      <c r="C73" s="74">
        <f>ROUND(8.56/9509,3)</f>
        <v>1E-3</v>
      </c>
      <c r="D73" s="18">
        <f t="shared" si="0"/>
        <v>2.6000000000000002E-2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1808</v>
      </c>
      <c r="C75" s="74">
        <f>ROUND(58.04/9509,5)</f>
        <v>6.1000000000000004E-3</v>
      </c>
      <c r="D75" s="18">
        <f t="shared" si="0"/>
        <v>0.15860000000000002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1809</v>
      </c>
      <c r="C77" s="74">
        <f>ROUND(249.88/9509,5)</f>
        <v>2.6280000000000001E-2</v>
      </c>
      <c r="D77" s="18">
        <f t="shared" si="0"/>
        <v>0.68328</v>
      </c>
    </row>
    <row r="78" spans="1:4" x14ac:dyDescent="0.25">
      <c r="A78" s="35">
        <v>5220</v>
      </c>
      <c r="B78" s="40" t="s">
        <v>116</v>
      </c>
      <c r="C78" s="18"/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0" x14ac:dyDescent="0.25">
      <c r="A80" s="35"/>
      <c r="B80" s="40" t="s">
        <v>1810</v>
      </c>
      <c r="C80" s="253">
        <f>ROUND(61.55/9509,5)</f>
        <v>6.4700000000000001E-3</v>
      </c>
      <c r="D80" s="18">
        <f t="shared" si="0"/>
        <v>0.16822000000000001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1811</v>
      </c>
      <c r="C82" s="253">
        <f>ROUND(88.34/9509,5)</f>
        <v>9.2899999999999996E-3</v>
      </c>
      <c r="D82" s="18">
        <f t="shared" si="0"/>
        <v>0.24153999999999998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1812</v>
      </c>
      <c r="C84" s="74">
        <f>ROUND(151.09/9509,3)</f>
        <v>1.6E-2</v>
      </c>
      <c r="D84" s="18">
        <f t="shared" si="0"/>
        <v>0.41600000000000004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24.18</v>
      </c>
    </row>
    <row r="86" spans="1:4" x14ac:dyDescent="0.25">
      <c r="A86" s="83"/>
      <c r="B86" s="84" t="s">
        <v>95</v>
      </c>
      <c r="C86" s="82">
        <f>ROUND(C85+C18,3)</f>
        <v>13.8</v>
      </c>
      <c r="D86" s="82">
        <f>ROUND(D85+D18,3)</f>
        <v>358.8</v>
      </c>
    </row>
    <row r="87" spans="1:4" x14ac:dyDescent="0.25">
      <c r="A87" s="85"/>
      <c r="B87" s="86"/>
      <c r="C87" s="87"/>
      <c r="D87" s="87"/>
    </row>
    <row r="88" spans="1:4" x14ac:dyDescent="0.25">
      <c r="A88" s="311" t="s">
        <v>96</v>
      </c>
      <c r="B88" s="312"/>
      <c r="C88" s="88">
        <v>26</v>
      </c>
      <c r="D88" s="89"/>
    </row>
    <row r="89" spans="1:4" s="190" customFormat="1" ht="30" customHeight="1" x14ac:dyDescent="0.25">
      <c r="A89" s="302" t="s">
        <v>113</v>
      </c>
      <c r="B89" s="303"/>
      <c r="C89" s="22">
        <f>D86/C88</f>
        <v>13.8</v>
      </c>
      <c r="D89" s="22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I90"/>
  <sheetViews>
    <sheetView topLeftCell="A76" workbookViewId="0">
      <selection activeCell="B85" sqref="B85"/>
    </sheetView>
  </sheetViews>
  <sheetFormatPr defaultRowHeight="15" x14ac:dyDescent="0.25"/>
  <cols>
    <col min="1" max="1" width="9.42578125" customWidth="1"/>
    <col min="2" max="2" width="55" customWidth="1"/>
    <col min="3" max="3" width="11.140625" customWidth="1"/>
    <col min="4" max="4" width="14.85546875" customWidth="1"/>
    <col min="5" max="5" width="15.42578125" customWidth="1"/>
  </cols>
  <sheetData>
    <row r="1" spans="1:9" ht="15.75" customHeight="1" x14ac:dyDescent="0.25">
      <c r="A1" s="304" t="s">
        <v>78</v>
      </c>
      <c r="B1" s="304"/>
      <c r="C1" s="304"/>
      <c r="D1" s="304"/>
    </row>
    <row r="2" spans="1:9" ht="15" customHeight="1" x14ac:dyDescent="0.25">
      <c r="A2" s="55"/>
      <c r="B2" s="55"/>
      <c r="C2" s="305"/>
      <c r="D2" s="306"/>
    </row>
    <row r="3" spans="1:9" x14ac:dyDescent="0.25">
      <c r="A3" s="56" t="s">
        <v>111</v>
      </c>
      <c r="B3" s="57"/>
      <c r="C3" s="57"/>
      <c r="D3" s="57"/>
    </row>
    <row r="4" spans="1:9" x14ac:dyDescent="0.25">
      <c r="A4" s="55"/>
      <c r="B4" s="58"/>
      <c r="C4" s="58"/>
      <c r="D4" s="59"/>
    </row>
    <row r="5" spans="1:9" ht="36.75" customHeight="1" x14ac:dyDescent="0.25">
      <c r="A5" s="307" t="s">
        <v>549</v>
      </c>
      <c r="B5" s="307"/>
      <c r="C5" s="307"/>
      <c r="D5" s="307"/>
    </row>
    <row r="6" spans="1:9" ht="10.5" customHeight="1" x14ac:dyDescent="0.25">
      <c r="A6" s="117"/>
      <c r="B6" s="60"/>
      <c r="C6" s="60"/>
      <c r="D6" s="59"/>
    </row>
    <row r="7" spans="1:9" x14ac:dyDescent="0.25">
      <c r="A7" s="308" t="s">
        <v>112</v>
      </c>
      <c r="B7" s="310"/>
      <c r="C7" s="60"/>
      <c r="D7" s="59"/>
    </row>
    <row r="8" spans="1:9" ht="9.75" customHeight="1" x14ac:dyDescent="0.25">
      <c r="A8" s="117"/>
      <c r="B8" s="118"/>
      <c r="C8" s="60"/>
      <c r="D8" s="59"/>
    </row>
    <row r="9" spans="1:9" x14ac:dyDescent="0.25">
      <c r="A9" s="309" t="s">
        <v>628</v>
      </c>
      <c r="B9" s="309"/>
      <c r="C9" s="62"/>
      <c r="D9" s="59"/>
    </row>
    <row r="10" spans="1:9" ht="79.5" customHeight="1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6"/>
      <c r="B12" s="67" t="s">
        <v>84</v>
      </c>
      <c r="C12" s="68"/>
      <c r="D12" s="68"/>
    </row>
    <row r="13" spans="1:9" x14ac:dyDescent="0.25">
      <c r="A13" s="69">
        <v>1100</v>
      </c>
      <c r="B13" s="70" t="s">
        <v>85</v>
      </c>
      <c r="C13" s="71"/>
      <c r="D13" s="71"/>
    </row>
    <row r="14" spans="1:9" ht="156" customHeight="1" x14ac:dyDescent="0.25">
      <c r="A14" s="50"/>
      <c r="B14" s="90" t="s">
        <v>629</v>
      </c>
      <c r="C14" s="18">
        <v>14.3</v>
      </c>
      <c r="D14" s="18">
        <f>C14*80</f>
        <v>1144</v>
      </c>
      <c r="E14" s="213"/>
      <c r="F14" s="199"/>
      <c r="G14" s="199"/>
      <c r="H14" s="199"/>
      <c r="I14" s="199"/>
    </row>
    <row r="15" spans="1:9" ht="24" x14ac:dyDescent="0.25">
      <c r="A15" s="50">
        <v>1200</v>
      </c>
      <c r="B15" s="73" t="s">
        <v>435</v>
      </c>
      <c r="C15" s="18">
        <f>ROUND(C14*0.2359,2)</f>
        <v>3.37</v>
      </c>
      <c r="D15" s="18">
        <f>C15*80</f>
        <v>269.60000000000002</v>
      </c>
      <c r="E15" s="208"/>
    </row>
    <row r="16" spans="1:9" x14ac:dyDescent="0.25">
      <c r="A16" s="50">
        <v>2341</v>
      </c>
      <c r="B16" s="50" t="s">
        <v>97</v>
      </c>
      <c r="C16" s="91"/>
      <c r="D16" s="18"/>
      <c r="E16" s="209"/>
    </row>
    <row r="17" spans="1:5" ht="122.25" customHeight="1" x14ac:dyDescent="0.25">
      <c r="A17" s="50"/>
      <c r="B17" s="73" t="s">
        <v>630</v>
      </c>
      <c r="C17" s="18">
        <v>4.83</v>
      </c>
      <c r="D17" s="18">
        <f>C17*80</f>
        <v>386.4</v>
      </c>
      <c r="E17" s="209"/>
    </row>
    <row r="18" spans="1:5" x14ac:dyDescent="0.25">
      <c r="A18" s="35"/>
      <c r="B18" s="92" t="s">
        <v>87</v>
      </c>
      <c r="C18" s="82">
        <f>SUM(C13:C17)</f>
        <v>22.5</v>
      </c>
      <c r="D18" s="82">
        <f>SUM(D13:D17)</f>
        <v>1800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1813</v>
      </c>
      <c r="C21" s="74">
        <f>ROUND(31.85/9509,5)</f>
        <v>3.3500000000000001E-3</v>
      </c>
      <c r="D21" s="18">
        <f>C21*80</f>
        <v>0.26800000000000002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1814</v>
      </c>
      <c r="C23" s="18">
        <f>ROUND(228.88/9509,5)</f>
        <v>2.4070000000000001E-2</v>
      </c>
      <c r="D23" s="18">
        <f>C23*80</f>
        <v>1.9256000000000002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1815</v>
      </c>
      <c r="C25" s="18">
        <f>ROUND(382.73/9509,5)</f>
        <v>4.0250000000000001E-2</v>
      </c>
      <c r="D25" s="18">
        <f>C25*80</f>
        <v>3.22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1816</v>
      </c>
      <c r="C27" s="74">
        <f>ROUND(38.69/9509,5)</f>
        <v>4.0699999999999998E-3</v>
      </c>
      <c r="D27" s="18">
        <f>C27*80</f>
        <v>0.3256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1817</v>
      </c>
      <c r="C29" s="74">
        <f>ROUND(1004.28/9509,5)</f>
        <v>0.10561</v>
      </c>
      <c r="D29" s="18">
        <f>C29*80</f>
        <v>8.4488000000000003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1818</v>
      </c>
      <c r="C31" s="18">
        <f>ROUND(82.8/9509,5)</f>
        <v>8.7100000000000007E-3</v>
      </c>
      <c r="D31" s="18">
        <f>C31*80</f>
        <v>0.69680000000000009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1819</v>
      </c>
      <c r="C33" s="18">
        <f>ROUND(289.4/9509,5)</f>
        <v>3.0429999999999999E-2</v>
      </c>
      <c r="D33" s="18">
        <f>C33*80</f>
        <v>2.4344000000000001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1820</v>
      </c>
      <c r="C35" s="74">
        <f>ROUND(20.68/9509,5)</f>
        <v>2.1700000000000001E-3</v>
      </c>
      <c r="D35" s="18">
        <f>C35*80</f>
        <v>0.1736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1821</v>
      </c>
      <c r="C37" s="74">
        <f>ROUND(58.15/9509,5)</f>
        <v>6.1199999999999996E-3</v>
      </c>
      <c r="D37" s="18">
        <f>C37*80</f>
        <v>0.48959999999999998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1598</v>
      </c>
      <c r="C39" s="74">
        <f>ROUND(524.45/9509,3)</f>
        <v>5.5E-2</v>
      </c>
      <c r="D39" s="18">
        <f>C39*80</f>
        <v>4.4000000000000004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1599</v>
      </c>
      <c r="C41" s="74">
        <f>ROUND(131.923/9509,3)</f>
        <v>1.4E-2</v>
      </c>
      <c r="D41" s="18">
        <f>C41*80</f>
        <v>1.1200000000000001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1600</v>
      </c>
      <c r="C43" s="18">
        <f>ROUND(360.94/9509,3)</f>
        <v>3.7999999999999999E-2</v>
      </c>
      <c r="D43" s="18">
        <f>C43*80</f>
        <v>3.04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1601</v>
      </c>
      <c r="C45" s="18">
        <f>ROUND(272.76/9509,3)</f>
        <v>2.9000000000000001E-2</v>
      </c>
      <c r="D45" s="18">
        <f>C45*80</f>
        <v>2.3200000000000003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1602</v>
      </c>
      <c r="C47" s="74">
        <f>ROUND(12.06/9509,3)</f>
        <v>1E-3</v>
      </c>
      <c r="D47" s="18">
        <f>C47*80</f>
        <v>0.08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1822</v>
      </c>
      <c r="C49" s="74">
        <f>ROUND(23.35/9509,3)</f>
        <v>2E-3</v>
      </c>
      <c r="D49" s="18">
        <f>C49*80</f>
        <v>0.16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1604</v>
      </c>
      <c r="C51" s="18">
        <f>ROUND(750.97/9509,3)</f>
        <v>7.9000000000000001E-2</v>
      </c>
      <c r="D51" s="18">
        <f>C51*80</f>
        <v>6.32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1619</v>
      </c>
      <c r="C53" s="18">
        <f>ROUND(2620.34/9509,3)</f>
        <v>0.27600000000000002</v>
      </c>
      <c r="D53" s="18">
        <f>C53*80</f>
        <v>22.080000000000002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1605</v>
      </c>
      <c r="C55" s="74">
        <f>ROUND(9.91/9509,3)</f>
        <v>1E-3</v>
      </c>
      <c r="D55" s="18">
        <f>C55*80</f>
        <v>0.08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1606</v>
      </c>
      <c r="C57" s="18">
        <f>ROUND(132.32/9509,3)</f>
        <v>1.4E-2</v>
      </c>
      <c r="D57" s="18">
        <f>C57*80</f>
        <v>1.1200000000000001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1607</v>
      </c>
      <c r="C59" s="74">
        <f>ROUND(72.76/9509,3)</f>
        <v>8.0000000000000002E-3</v>
      </c>
      <c r="D59" s="18">
        <f>C59*80</f>
        <v>0.64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1608</v>
      </c>
      <c r="C61" s="18">
        <f>ROUND(484.21/9509,3)</f>
        <v>5.0999999999999997E-2</v>
      </c>
      <c r="D61" s="18">
        <f>C61*80</f>
        <v>4.08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1609</v>
      </c>
      <c r="C63" s="18">
        <f>ROUND(224.14/9509,3)</f>
        <v>2.4E-2</v>
      </c>
      <c r="D63" s="18">
        <f>C63*80</f>
        <v>1.92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1610</v>
      </c>
      <c r="C65" s="18">
        <f>ROUND(103.21/9509,3)</f>
        <v>1.0999999999999999E-2</v>
      </c>
      <c r="D65" s="18">
        <f>C65*80</f>
        <v>0.87999999999999989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1611</v>
      </c>
      <c r="C67" s="18">
        <f>ROUND(241.97/9509,3)</f>
        <v>2.5000000000000001E-2</v>
      </c>
      <c r="D67" s="18">
        <f>C67*80</f>
        <v>2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1823</v>
      </c>
      <c r="C69" s="18">
        <f>ROUND(87.42/9509,5)</f>
        <v>9.1900000000000003E-3</v>
      </c>
      <c r="D69" s="18">
        <f>C69*80</f>
        <v>0.73520000000000008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1613</v>
      </c>
      <c r="C71" s="74">
        <f>ROUND(28.69/9509,5)</f>
        <v>3.0200000000000001E-3</v>
      </c>
      <c r="D71" s="18">
        <f>C71*80</f>
        <v>0.24160000000000001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1824</v>
      </c>
      <c r="C73" s="74">
        <f>ROUND(8.56/9509,5)</f>
        <v>8.9999999999999998E-4</v>
      </c>
      <c r="D73" s="18">
        <f>C73*80</f>
        <v>7.1999999999999995E-2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1825</v>
      </c>
      <c r="C75" s="74">
        <f>ROUND(58.04/9509,5)</f>
        <v>6.1000000000000004E-3</v>
      </c>
      <c r="D75" s="18">
        <f>C75*80</f>
        <v>0.48800000000000004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1826</v>
      </c>
      <c r="C77" s="74">
        <f>ROUND(249.88/9509,5)</f>
        <v>2.6280000000000001E-2</v>
      </c>
      <c r="D77" s="18">
        <f>C77*80</f>
        <v>2.1024000000000003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ref="D79" si="0">C79*90</f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1827</v>
      </c>
      <c r="C81" s="74">
        <f>ROUND(61.55/9509,5)</f>
        <v>6.4700000000000001E-3</v>
      </c>
      <c r="D81" s="18">
        <f>C81*80</f>
        <v>0.51760000000000006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1828</v>
      </c>
      <c r="C83" s="74">
        <f>ROUND(88.34/9509,5)</f>
        <v>9.2899999999999996E-3</v>
      </c>
      <c r="D83" s="18">
        <f>C83*80</f>
        <v>0.74319999999999997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1829</v>
      </c>
      <c r="C85" s="74">
        <f>ROUND(151.09/9509,3)</f>
        <v>1.6E-2</v>
      </c>
      <c r="D85" s="18">
        <f>C85*80</f>
        <v>1.28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74.400000000000006</v>
      </c>
    </row>
    <row r="87" spans="1:4" x14ac:dyDescent="0.25">
      <c r="A87" s="83"/>
      <c r="B87" s="84" t="s">
        <v>95</v>
      </c>
      <c r="C87" s="82">
        <f>ROUND(C86+C18,3)</f>
        <v>23.43</v>
      </c>
      <c r="D87" s="82">
        <f>ROUND(D86+D18,3)</f>
        <v>1874.4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80</v>
      </c>
      <c r="D89" s="89"/>
    </row>
    <row r="90" spans="1:4" ht="27.75" customHeight="1" x14ac:dyDescent="0.25">
      <c r="A90" s="302" t="s">
        <v>113</v>
      </c>
      <c r="B90" s="303"/>
      <c r="C90" s="22">
        <f>D87/C89</f>
        <v>23.43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G89"/>
  <sheetViews>
    <sheetView topLeftCell="A74" workbookViewId="0">
      <selection activeCell="B21" sqref="B21"/>
    </sheetView>
  </sheetViews>
  <sheetFormatPr defaultRowHeight="15" x14ac:dyDescent="0.25"/>
  <cols>
    <col min="1" max="1" width="9.7109375" customWidth="1"/>
    <col min="2" max="2" width="56.42578125" customWidth="1"/>
    <col min="3" max="3" width="12.42578125" customWidth="1"/>
    <col min="4" max="4" width="14" customWidth="1"/>
    <col min="5" max="5" width="14.140625" customWidth="1"/>
    <col min="7" max="7" width="13" customWidth="1"/>
  </cols>
  <sheetData>
    <row r="1" spans="1:7" x14ac:dyDescent="0.25">
      <c r="A1" s="304" t="s">
        <v>78</v>
      </c>
      <c r="B1" s="304"/>
      <c r="C1" s="304"/>
      <c r="D1" s="304"/>
    </row>
    <row r="2" spans="1:7" ht="12" customHeight="1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ht="10.5" customHeight="1" x14ac:dyDescent="0.25">
      <c r="A4" s="55"/>
      <c r="B4" s="58"/>
      <c r="C4" s="58"/>
      <c r="D4" s="59"/>
    </row>
    <row r="5" spans="1:7" ht="35.25" customHeight="1" x14ac:dyDescent="0.25">
      <c r="A5" s="307" t="s">
        <v>550</v>
      </c>
      <c r="B5" s="307"/>
      <c r="C5" s="307"/>
      <c r="D5" s="307"/>
    </row>
    <row r="6" spans="1:7" ht="6.75" customHeight="1" x14ac:dyDescent="0.25">
      <c r="A6" s="117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ht="9" customHeight="1" x14ac:dyDescent="0.25">
      <c r="A8" s="117"/>
      <c r="B8" s="118"/>
      <c r="C8" s="60"/>
      <c r="D8" s="59"/>
    </row>
    <row r="9" spans="1:7" x14ac:dyDescent="0.25">
      <c r="A9" s="309" t="s">
        <v>197</v>
      </c>
      <c r="B9" s="309"/>
      <c r="C9" s="62"/>
      <c r="D9" s="59"/>
    </row>
    <row r="10" spans="1:7" ht="105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62" customHeight="1" x14ac:dyDescent="0.25">
      <c r="A14" s="50"/>
      <c r="B14" s="90" t="s">
        <v>408</v>
      </c>
      <c r="C14" s="18">
        <f>0.17*20+0.17*20+0.5*15</f>
        <v>14.3</v>
      </c>
      <c r="D14" s="18">
        <f>C14*27</f>
        <v>386.1</v>
      </c>
      <c r="E14" s="213"/>
      <c r="F14" s="199"/>
      <c r="G14" s="199"/>
    </row>
    <row r="15" spans="1:7" ht="24" x14ac:dyDescent="0.25">
      <c r="A15" s="50">
        <v>1200</v>
      </c>
      <c r="B15" s="73" t="s">
        <v>409</v>
      </c>
      <c r="C15" s="18">
        <f>ROUND(C14*0.2359,2)</f>
        <v>3.37</v>
      </c>
      <c r="D15" s="18">
        <f>C15*27</f>
        <v>90.990000000000009</v>
      </c>
      <c r="E15" s="208"/>
    </row>
    <row r="16" spans="1:7" x14ac:dyDescent="0.25">
      <c r="A16" s="50">
        <v>2341</v>
      </c>
      <c r="B16" s="50" t="s">
        <v>118</v>
      </c>
      <c r="C16" s="91"/>
      <c r="D16" s="18"/>
    </row>
    <row r="17" spans="1:5" ht="72.75" customHeight="1" x14ac:dyDescent="0.25">
      <c r="A17" s="50"/>
      <c r="B17" s="73" t="s">
        <v>202</v>
      </c>
      <c r="C17" s="18">
        <v>0.28000000000000003</v>
      </c>
      <c r="D17" s="18">
        <f>C17*27</f>
        <v>7.5600000000000005</v>
      </c>
    </row>
    <row r="18" spans="1:5" x14ac:dyDescent="0.25">
      <c r="A18" s="50"/>
      <c r="B18" s="92" t="s">
        <v>87</v>
      </c>
      <c r="C18" s="76">
        <f>SUM(C13:C17)</f>
        <v>17.950000000000003</v>
      </c>
      <c r="D18" s="76">
        <f>SUM(D13:D17)</f>
        <v>484.65000000000003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3.75" customHeight="1" x14ac:dyDescent="0.25">
      <c r="A21" s="77"/>
      <c r="B21" s="40" t="s">
        <v>1830</v>
      </c>
      <c r="C21" s="253">
        <f>ROUND(31.85/9509,5)</f>
        <v>3.3500000000000001E-3</v>
      </c>
      <c r="D21" s="18">
        <f>C21*27</f>
        <v>9.0450000000000003E-2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1831</v>
      </c>
      <c r="C23" s="18">
        <f>ROUND(228.88/9509,5)</f>
        <v>2.4070000000000001E-2</v>
      </c>
      <c r="D23" s="18">
        <f t="shared" ref="D23:D84" si="0">C23*27</f>
        <v>0.64989000000000008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1832</v>
      </c>
      <c r="C25" s="18">
        <f>ROUND(382.73/9509,3)</f>
        <v>0.04</v>
      </c>
      <c r="D25" s="18">
        <f t="shared" si="0"/>
        <v>1.08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1833</v>
      </c>
      <c r="C27" s="74">
        <f>ROUND(38.69/9509,3)</f>
        <v>4.0000000000000001E-3</v>
      </c>
      <c r="D27" s="18">
        <f t="shared" si="0"/>
        <v>0.108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1834</v>
      </c>
      <c r="C29" s="74">
        <f>ROUND(1004.28/9509,3)</f>
        <v>0.106</v>
      </c>
      <c r="D29" s="18">
        <f t="shared" si="0"/>
        <v>2.8620000000000001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1835</v>
      </c>
      <c r="C31" s="18">
        <f>ROUND(82.8/9509,3)</f>
        <v>8.9999999999999993E-3</v>
      </c>
      <c r="D31" s="18">
        <f t="shared" si="0"/>
        <v>0.24299999999999999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1836</v>
      </c>
      <c r="C33" s="18">
        <f>ROUND(289.4/9509,3)</f>
        <v>0.03</v>
      </c>
      <c r="D33" s="18">
        <f t="shared" si="0"/>
        <v>0.80999999999999994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1837</v>
      </c>
      <c r="C35" s="74">
        <f>ROUND(20.68/9509,3)</f>
        <v>2E-3</v>
      </c>
      <c r="D35" s="18">
        <f t="shared" si="0"/>
        <v>5.3999999999999999E-2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1838</v>
      </c>
      <c r="C37" s="74">
        <f>ROUND(58.15/9509,3)</f>
        <v>6.0000000000000001E-3</v>
      </c>
      <c r="D37" s="18">
        <f t="shared" si="0"/>
        <v>0.16200000000000001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1839</v>
      </c>
      <c r="C39" s="74">
        <f>ROUND(524.45/9509,3)</f>
        <v>5.5E-2</v>
      </c>
      <c r="D39" s="18">
        <f t="shared" si="0"/>
        <v>1.4850000000000001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1840</v>
      </c>
      <c r="C41" s="74">
        <f>ROUND(131.923/9509,3)</f>
        <v>1.4E-2</v>
      </c>
      <c r="D41" s="18">
        <f t="shared" si="0"/>
        <v>0.378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1841</v>
      </c>
      <c r="C43" s="18">
        <f>ROUND(360.94/9509,3)</f>
        <v>3.7999999999999999E-2</v>
      </c>
      <c r="D43" s="18">
        <f t="shared" si="0"/>
        <v>1.026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1842</v>
      </c>
      <c r="C45" s="18">
        <f>ROUND(272.76/9509,3)</f>
        <v>2.9000000000000001E-2</v>
      </c>
      <c r="D45" s="18">
        <f t="shared" si="0"/>
        <v>0.78300000000000003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1843</v>
      </c>
      <c r="C47" s="74">
        <f>ROUND(12.06/9509,3)</f>
        <v>1E-3</v>
      </c>
      <c r="D47" s="18">
        <f t="shared" si="0"/>
        <v>2.7E-2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1844</v>
      </c>
      <c r="C49" s="74">
        <f>ROUND(23.35/9509,3)</f>
        <v>2E-3</v>
      </c>
      <c r="D49" s="18">
        <f t="shared" si="0"/>
        <v>5.3999999999999999E-2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1845</v>
      </c>
      <c r="C51" s="18">
        <f>ROUND(750.97/9509,3)</f>
        <v>7.9000000000000001E-2</v>
      </c>
      <c r="D51" s="18">
        <f t="shared" si="0"/>
        <v>2.133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1846</v>
      </c>
      <c r="C53" s="18">
        <f>ROUND(2620.34/9509,3)</f>
        <v>0.27600000000000002</v>
      </c>
      <c r="D53" s="18">
        <f t="shared" si="0"/>
        <v>7.4520000000000008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1847</v>
      </c>
      <c r="C55" s="74">
        <f>ROUND(9.91/9509,3)</f>
        <v>1E-3</v>
      </c>
      <c r="D55" s="18">
        <f t="shared" si="0"/>
        <v>2.7E-2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1849</v>
      </c>
      <c r="C57" s="18">
        <f>ROUND(132.32/9509,3)</f>
        <v>1.4E-2</v>
      </c>
      <c r="D57" s="18">
        <f t="shared" si="0"/>
        <v>0.378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1848</v>
      </c>
      <c r="C59" s="74">
        <f>ROUND(72.76/9509,3)</f>
        <v>8.0000000000000002E-3</v>
      </c>
      <c r="D59" s="18">
        <f t="shared" si="0"/>
        <v>0.216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1850</v>
      </c>
      <c r="C61" s="18">
        <f>ROUND(484.21/9509,3)</f>
        <v>5.0999999999999997E-2</v>
      </c>
      <c r="D61" s="18">
        <f t="shared" si="0"/>
        <v>1.377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1851</v>
      </c>
      <c r="C63" s="18">
        <f>ROUND(224.14/9509,3)</f>
        <v>2.4E-2</v>
      </c>
      <c r="D63" s="18">
        <f t="shared" si="0"/>
        <v>0.64800000000000002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1852</v>
      </c>
      <c r="C65" s="18">
        <f>ROUND(103.21/9509,5)</f>
        <v>1.085E-2</v>
      </c>
      <c r="D65" s="18">
        <f t="shared" si="0"/>
        <v>0.29294999999999999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1853</v>
      </c>
      <c r="C67" s="253">
        <f>ROUND(241.97/9509,5)</f>
        <v>2.545E-2</v>
      </c>
      <c r="D67" s="18">
        <f t="shared" si="0"/>
        <v>0.68715000000000004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1854</v>
      </c>
      <c r="C69" s="74">
        <f>ROUND(87.42/9509,5)</f>
        <v>9.1900000000000003E-3</v>
      </c>
      <c r="D69" s="18">
        <f t="shared" si="0"/>
        <v>0.24813000000000002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1855</v>
      </c>
      <c r="C71" s="74">
        <f>ROUND(28.69/9509,3)</f>
        <v>3.0000000000000001E-3</v>
      </c>
      <c r="D71" s="18">
        <f t="shared" si="0"/>
        <v>8.1000000000000003E-2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1856</v>
      </c>
      <c r="C73" s="74">
        <f>ROUND(8.56/9509,3)</f>
        <v>1E-3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1857</v>
      </c>
      <c r="C75" s="74">
        <f>ROUND(58.04/9509,5)</f>
        <v>6.1000000000000004E-3</v>
      </c>
      <c r="D75" s="18">
        <f t="shared" si="0"/>
        <v>0.16470000000000001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1858</v>
      </c>
      <c r="C77" s="74">
        <f>ROUND(249.88/9509,5)</f>
        <v>2.6280000000000001E-2</v>
      </c>
      <c r="D77" s="18">
        <f t="shared" si="0"/>
        <v>0.70956000000000008</v>
      </c>
    </row>
    <row r="78" spans="1:4" x14ac:dyDescent="0.25">
      <c r="A78" s="35">
        <v>5220</v>
      </c>
      <c r="B78" s="40" t="s">
        <v>116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0" x14ac:dyDescent="0.25">
      <c r="A80" s="35"/>
      <c r="B80" s="40" t="s">
        <v>1859</v>
      </c>
      <c r="C80" s="253">
        <f>ROUND(61.55/9509,5)</f>
        <v>6.4700000000000001E-3</v>
      </c>
      <c r="D80" s="18">
        <f t="shared" si="0"/>
        <v>0.17469000000000001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1860</v>
      </c>
      <c r="C82" s="253">
        <f>ROUND(88.34/9509,5)</f>
        <v>9.2899999999999996E-3</v>
      </c>
      <c r="D82" s="18">
        <f t="shared" si="0"/>
        <v>0.25083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1861</v>
      </c>
      <c r="C84" s="74">
        <f>ROUND(151.09/9509,5)</f>
        <v>1.5890000000000001E-2</v>
      </c>
      <c r="D84" s="18">
        <f t="shared" si="0"/>
        <v>0.42903000000000002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25.11</v>
      </c>
    </row>
    <row r="86" spans="1:4" x14ac:dyDescent="0.25">
      <c r="A86" s="83"/>
      <c r="B86" s="84" t="s">
        <v>95</v>
      </c>
      <c r="C86" s="82">
        <f>ROUND(C85+C18,3)</f>
        <v>18.88</v>
      </c>
      <c r="D86" s="82">
        <f>ROUND(D85+D18,3)</f>
        <v>509.76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27</v>
      </c>
      <c r="D88" s="89"/>
    </row>
    <row r="89" spans="1:4" ht="33" customHeight="1" x14ac:dyDescent="0.25">
      <c r="A89" s="302" t="s">
        <v>113</v>
      </c>
      <c r="B89" s="303"/>
      <c r="C89" s="22">
        <f>D86/C88</f>
        <v>18.88</v>
      </c>
      <c r="D89" s="22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G90"/>
  <sheetViews>
    <sheetView topLeftCell="A77" workbookViewId="0">
      <selection activeCell="B59" sqref="B59"/>
    </sheetView>
  </sheetViews>
  <sheetFormatPr defaultRowHeight="15" x14ac:dyDescent="0.25"/>
  <cols>
    <col min="1" max="1" width="9.7109375" customWidth="1"/>
    <col min="2" max="2" width="59.42578125" customWidth="1"/>
    <col min="3" max="3" width="10.85546875" customWidth="1"/>
    <col min="4" max="4" width="12.85546875" customWidth="1"/>
    <col min="5" max="5" width="9.710937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36.75" customHeight="1" x14ac:dyDescent="0.25">
      <c r="A5" s="307" t="s">
        <v>551</v>
      </c>
      <c r="B5" s="307"/>
      <c r="C5" s="307"/>
      <c r="D5" s="307"/>
    </row>
    <row r="6" spans="1:7" x14ac:dyDescent="0.25">
      <c r="A6" s="117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x14ac:dyDescent="0.25">
      <c r="A8" s="117"/>
      <c r="B8" s="118"/>
      <c r="C8" s="60"/>
      <c r="D8" s="59"/>
    </row>
    <row r="9" spans="1:7" x14ac:dyDescent="0.25">
      <c r="A9" s="309" t="s">
        <v>98</v>
      </c>
      <c r="B9" s="309"/>
      <c r="C9" s="62"/>
      <c r="D9" s="59"/>
    </row>
    <row r="10" spans="1:7" ht="99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94">
        <v>1100</v>
      </c>
      <c r="B13" s="95" t="s">
        <v>85</v>
      </c>
      <c r="C13" s="71"/>
      <c r="D13" s="71"/>
    </row>
    <row r="14" spans="1:7" ht="159" customHeight="1" x14ac:dyDescent="0.25">
      <c r="A14" s="35"/>
      <c r="B14" s="90" t="s">
        <v>631</v>
      </c>
      <c r="C14" s="18">
        <f>0.17*20+0.17*20+0.5*15</f>
        <v>14.3</v>
      </c>
      <c r="D14" s="18">
        <f>C14*60</f>
        <v>858</v>
      </c>
      <c r="E14" s="214"/>
      <c r="F14" s="200"/>
      <c r="G14" s="200"/>
    </row>
    <row r="15" spans="1:7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C15*60</f>
        <v>202.20000000000002</v>
      </c>
      <c r="E15" s="208"/>
    </row>
    <row r="16" spans="1:7" x14ac:dyDescent="0.25">
      <c r="A16" s="35">
        <v>2341</v>
      </c>
      <c r="B16" s="35" t="s">
        <v>97</v>
      </c>
      <c r="C16" s="91"/>
      <c r="D16" s="18"/>
    </row>
    <row r="17" spans="1:5" ht="83.25" customHeight="1" x14ac:dyDescent="0.25">
      <c r="A17" s="35"/>
      <c r="B17" s="73" t="s">
        <v>389</v>
      </c>
      <c r="C17" s="18">
        <v>5.28</v>
      </c>
      <c r="D17" s="18">
        <f>C17*60</f>
        <v>316.8</v>
      </c>
    </row>
    <row r="18" spans="1:5" x14ac:dyDescent="0.25">
      <c r="A18" s="50"/>
      <c r="B18" s="92" t="s">
        <v>87</v>
      </c>
      <c r="C18" s="82">
        <f>SUM(C13:C17)</f>
        <v>22.950000000000003</v>
      </c>
      <c r="D18" s="82">
        <f>SUM(D13:D17)</f>
        <v>1377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53.25" customHeight="1" x14ac:dyDescent="0.25">
      <c r="A21" s="77"/>
      <c r="B21" s="40" t="s">
        <v>1862</v>
      </c>
      <c r="C21" s="74">
        <f>ROUND(31.85/9509,5)</f>
        <v>3.3500000000000001E-3</v>
      </c>
      <c r="D21" s="18">
        <f>C21*60</f>
        <v>0.20100000000000001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1863</v>
      </c>
      <c r="C23" s="18">
        <f>ROUND(228.88/9509,5)</f>
        <v>2.4070000000000001E-2</v>
      </c>
      <c r="D23" s="18">
        <f t="shared" ref="D23:D85" si="0">C23*60</f>
        <v>1.4442000000000002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1705</v>
      </c>
      <c r="C25" s="18">
        <f>ROUND(382.73/9509,5)</f>
        <v>4.0250000000000001E-2</v>
      </c>
      <c r="D25" s="18">
        <f t="shared" si="0"/>
        <v>2.415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1706</v>
      </c>
      <c r="C27" s="74">
        <f>ROUND(38.69/9509,5)</f>
        <v>4.0699999999999998E-3</v>
      </c>
      <c r="D27" s="18">
        <f t="shared" si="0"/>
        <v>0.2442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1707</v>
      </c>
      <c r="C29" s="74">
        <f>ROUND(1004.28/9509,3)</f>
        <v>0.106</v>
      </c>
      <c r="D29" s="18">
        <f t="shared" si="0"/>
        <v>6.3599999999999994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1708</v>
      </c>
      <c r="C31" s="18">
        <f>ROUND(82.8/9509,3)</f>
        <v>8.9999999999999993E-3</v>
      </c>
      <c r="D31" s="18">
        <f t="shared" si="0"/>
        <v>0.53999999999999992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1709</v>
      </c>
      <c r="C33" s="18">
        <f>ROUND(289.4/9509,3)</f>
        <v>0.03</v>
      </c>
      <c r="D33" s="18">
        <f t="shared" si="0"/>
        <v>1.7999999999999998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1710</v>
      </c>
      <c r="C35" s="74">
        <f>ROUND(20.68/9509,3)</f>
        <v>2E-3</v>
      </c>
      <c r="D35" s="18">
        <f t="shared" si="0"/>
        <v>0.12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1711</v>
      </c>
      <c r="C37" s="74">
        <f>ROUND(58.15/9509,3)</f>
        <v>6.0000000000000001E-3</v>
      </c>
      <c r="D37" s="18">
        <f t="shared" si="0"/>
        <v>0.36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1712</v>
      </c>
      <c r="C39" s="74">
        <f>ROUND(524.45/9509,3)</f>
        <v>5.5E-2</v>
      </c>
      <c r="D39" s="18">
        <f t="shared" si="0"/>
        <v>3.3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1713</v>
      </c>
      <c r="C41" s="74">
        <f>ROUND(131.923/9509,3)</f>
        <v>1.4E-2</v>
      </c>
      <c r="D41" s="18">
        <f t="shared" si="0"/>
        <v>0.84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1714</v>
      </c>
      <c r="C43" s="18">
        <f>ROUND(360.94/9509,3)</f>
        <v>3.7999999999999999E-2</v>
      </c>
      <c r="D43" s="18">
        <f t="shared" si="0"/>
        <v>2.2799999999999998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1715</v>
      </c>
      <c r="C45" s="18">
        <f>ROUND(272.76/9509,3)</f>
        <v>2.9000000000000001E-2</v>
      </c>
      <c r="D45" s="18">
        <f t="shared" si="0"/>
        <v>1.74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1716</v>
      </c>
      <c r="C47" s="74">
        <f>ROUND(12.06/9509,3)</f>
        <v>1E-3</v>
      </c>
      <c r="D47" s="18">
        <f t="shared" si="0"/>
        <v>0.06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1717</v>
      </c>
      <c r="C49" s="74">
        <f>ROUND(23.35/9509,3)</f>
        <v>2E-3</v>
      </c>
      <c r="D49" s="18">
        <f t="shared" si="0"/>
        <v>0.12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1718</v>
      </c>
      <c r="C51" s="18">
        <f>ROUND(750.97/9509,3)</f>
        <v>7.9000000000000001E-2</v>
      </c>
      <c r="D51" s="18">
        <f t="shared" si="0"/>
        <v>4.74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1719</v>
      </c>
      <c r="C53" s="18">
        <f>ROUND(2620.34/9509,3)</f>
        <v>0.27600000000000002</v>
      </c>
      <c r="D53" s="18">
        <f t="shared" si="0"/>
        <v>16.560000000000002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1720</v>
      </c>
      <c r="C55" s="74">
        <f>ROUND(9.91/9509,3)</f>
        <v>1E-3</v>
      </c>
      <c r="D55" s="18">
        <f t="shared" si="0"/>
        <v>0.06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1721</v>
      </c>
      <c r="C57" s="18">
        <f>ROUND(132.32/9509,3)</f>
        <v>1.4E-2</v>
      </c>
      <c r="D57" s="18">
        <f t="shared" si="0"/>
        <v>0.84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1735</v>
      </c>
      <c r="C59" s="74">
        <f>ROUND(72.76/9509,3)</f>
        <v>8.0000000000000002E-3</v>
      </c>
      <c r="D59" s="18">
        <f t="shared" si="0"/>
        <v>0.48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1723</v>
      </c>
      <c r="C61" s="18">
        <f>ROUND(484.21/9509,3)</f>
        <v>5.0999999999999997E-2</v>
      </c>
      <c r="D61" s="18">
        <f t="shared" si="0"/>
        <v>3.0599999999999996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1724</v>
      </c>
      <c r="C63" s="18">
        <f>ROUND(224.14/9509,3)</f>
        <v>2.4E-2</v>
      </c>
      <c r="D63" s="18">
        <f t="shared" si="0"/>
        <v>1.44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1725</v>
      </c>
      <c r="C65" s="18">
        <f>ROUND(103.21/9509,3)</f>
        <v>1.0999999999999999E-2</v>
      </c>
      <c r="D65" s="18">
        <f t="shared" si="0"/>
        <v>0.65999999999999992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1726</v>
      </c>
      <c r="C67" s="18">
        <f>ROUND(241.97/9509,3)</f>
        <v>2.5000000000000001E-2</v>
      </c>
      <c r="D67" s="18">
        <f t="shared" si="0"/>
        <v>1.5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1727</v>
      </c>
      <c r="C69" s="18">
        <f>ROUND(87.42/9509,4)</f>
        <v>9.1999999999999998E-3</v>
      </c>
      <c r="D69" s="18">
        <f t="shared" si="0"/>
        <v>0.55200000000000005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1728</v>
      </c>
      <c r="C71" s="74">
        <f>ROUND(28.69/9509,5)</f>
        <v>3.0200000000000001E-3</v>
      </c>
      <c r="D71" s="18">
        <f t="shared" si="0"/>
        <v>0.1812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1864</v>
      </c>
      <c r="C73" s="74">
        <f>ROUND(8.56/9509,3)</f>
        <v>1E-3</v>
      </c>
      <c r="D73" s="18">
        <f t="shared" si="0"/>
        <v>0.06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1730</v>
      </c>
      <c r="C75" s="74">
        <f>ROUND(58.04/9509,5)</f>
        <v>6.1000000000000004E-3</v>
      </c>
      <c r="D75" s="18">
        <f t="shared" si="0"/>
        <v>0.36600000000000005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1731</v>
      </c>
      <c r="C77" s="74">
        <f>ROUND(249.88/9509,5)</f>
        <v>2.6280000000000001E-2</v>
      </c>
      <c r="D77" s="18">
        <f t="shared" si="0"/>
        <v>1.5768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27.75" customHeight="1" x14ac:dyDescent="0.25">
      <c r="A79" s="35"/>
      <c r="B79" s="40" t="s">
        <v>622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50.25" customHeight="1" x14ac:dyDescent="0.25">
      <c r="A81" s="35"/>
      <c r="B81" s="40" t="s">
        <v>1865</v>
      </c>
      <c r="C81" s="74">
        <f>ROUND(61.55/9509,5)</f>
        <v>6.4700000000000001E-3</v>
      </c>
      <c r="D81" s="18">
        <f t="shared" si="0"/>
        <v>0.38819999999999999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1866</v>
      </c>
      <c r="C83" s="74">
        <f>ROUND(88.34/9509,5)</f>
        <v>9.2899999999999996E-3</v>
      </c>
      <c r="D83" s="18">
        <f t="shared" si="0"/>
        <v>0.55740000000000001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1867</v>
      </c>
      <c r="C85" s="74">
        <f>ROUND(151.09/9509,5)</f>
        <v>1.5890000000000001E-2</v>
      </c>
      <c r="D85" s="18">
        <f t="shared" si="0"/>
        <v>0.95340000000000003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55.8</v>
      </c>
    </row>
    <row r="87" spans="1:4" x14ac:dyDescent="0.25">
      <c r="A87" s="83"/>
      <c r="B87" s="84" t="s">
        <v>95</v>
      </c>
      <c r="C87" s="82">
        <f>ROUND(C86+C18,3)</f>
        <v>23.88</v>
      </c>
      <c r="D87" s="82">
        <f>ROUND(D86+D18,3)</f>
        <v>1432.8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60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23.88</v>
      </c>
      <c r="D90" s="22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I91"/>
  <sheetViews>
    <sheetView topLeftCell="A78" workbookViewId="0">
      <selection activeCell="B26" sqref="B26"/>
    </sheetView>
  </sheetViews>
  <sheetFormatPr defaultRowHeight="15" x14ac:dyDescent="0.25"/>
  <cols>
    <col min="1" max="1" width="9.7109375" customWidth="1"/>
    <col min="2" max="2" width="58" customWidth="1"/>
    <col min="3" max="3" width="11.140625" customWidth="1"/>
    <col min="4" max="4" width="12.5703125" customWidth="1"/>
    <col min="5" max="5" width="10" customWidth="1"/>
    <col min="6" max="6" width="11.42578125" customWidth="1"/>
  </cols>
  <sheetData>
    <row r="1" spans="1:9" x14ac:dyDescent="0.25">
      <c r="A1" s="315" t="s">
        <v>78</v>
      </c>
      <c r="B1" s="315"/>
      <c r="C1" s="315"/>
      <c r="D1" s="315"/>
    </row>
    <row r="2" spans="1:9" ht="12" customHeight="1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ht="10.5" customHeight="1" x14ac:dyDescent="0.25">
      <c r="A4" s="97"/>
      <c r="B4" s="60"/>
      <c r="C4" s="60"/>
      <c r="D4" s="96"/>
    </row>
    <row r="5" spans="1:9" ht="37.5" customHeight="1" x14ac:dyDescent="0.25">
      <c r="A5" s="307" t="s">
        <v>552</v>
      </c>
      <c r="B5" s="307"/>
      <c r="C5" s="307"/>
      <c r="D5" s="307"/>
    </row>
    <row r="6" spans="1:9" ht="10.5" customHeight="1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ht="13.5" customHeight="1" x14ac:dyDescent="0.25">
      <c r="A8" s="117"/>
      <c r="B8" s="118"/>
      <c r="C8" s="60"/>
      <c r="D8" s="96"/>
    </row>
    <row r="9" spans="1:9" x14ac:dyDescent="0.25">
      <c r="A9" s="318" t="s">
        <v>198</v>
      </c>
      <c r="B9" s="318"/>
      <c r="C9" s="100"/>
      <c r="D9" s="96"/>
    </row>
    <row r="10" spans="1:9" ht="2.25" customHeight="1" x14ac:dyDescent="0.25">
      <c r="A10" s="97"/>
      <c r="B10" s="101"/>
      <c r="C10" s="100"/>
      <c r="D10" s="96"/>
    </row>
    <row r="11" spans="1:9" ht="106.5" customHeight="1" x14ac:dyDescent="0.25">
      <c r="A11" s="63" t="s">
        <v>80</v>
      </c>
      <c r="B11" s="63" t="s">
        <v>81</v>
      </c>
      <c r="C11" s="63" t="s">
        <v>82</v>
      </c>
      <c r="D11" s="63" t="s">
        <v>83</v>
      </c>
    </row>
    <row r="12" spans="1:9" x14ac:dyDescent="0.25">
      <c r="A12" s="64">
        <v>1</v>
      </c>
      <c r="B12" s="65">
        <v>2</v>
      </c>
      <c r="C12" s="64">
        <v>3</v>
      </c>
      <c r="D12" s="64">
        <v>4</v>
      </c>
    </row>
    <row r="13" spans="1:9" x14ac:dyDescent="0.25">
      <c r="A13" s="64"/>
      <c r="B13" s="81" t="s">
        <v>84</v>
      </c>
      <c r="C13" s="68"/>
      <c r="D13" s="68"/>
    </row>
    <row r="14" spans="1:9" x14ac:dyDescent="0.25">
      <c r="A14" s="94">
        <v>1100</v>
      </c>
      <c r="B14" s="95" t="s">
        <v>85</v>
      </c>
      <c r="C14" s="71"/>
      <c r="D14" s="71"/>
    </row>
    <row r="15" spans="1:9" ht="155.25" customHeight="1" x14ac:dyDescent="0.25">
      <c r="A15" s="35"/>
      <c r="B15" s="90" t="s">
        <v>430</v>
      </c>
      <c r="C15" s="18">
        <f>0.17*20+0.17*20+0.5*15</f>
        <v>14.3</v>
      </c>
      <c r="D15" s="18">
        <f>C15*23</f>
        <v>328.90000000000003</v>
      </c>
      <c r="E15" s="215"/>
      <c r="F15" s="204"/>
      <c r="G15" s="204"/>
      <c r="H15" s="204"/>
      <c r="I15" s="204"/>
    </row>
    <row r="16" spans="1:9" ht="24" x14ac:dyDescent="0.25">
      <c r="A16" s="35">
        <v>1200</v>
      </c>
      <c r="B16" s="73" t="s">
        <v>409</v>
      </c>
      <c r="C16" s="18">
        <f>ROUND(C15*0.2359,2)</f>
        <v>3.37</v>
      </c>
      <c r="D16" s="18">
        <f>C16*23</f>
        <v>77.510000000000005</v>
      </c>
      <c r="E16" s="208"/>
    </row>
    <row r="17" spans="1:5" x14ac:dyDescent="0.25">
      <c r="A17" s="35">
        <v>2341</v>
      </c>
      <c r="B17" s="35" t="s">
        <v>118</v>
      </c>
      <c r="C17" s="74"/>
      <c r="D17" s="74"/>
    </row>
    <row r="18" spans="1:5" ht="90" customHeight="1" x14ac:dyDescent="0.25">
      <c r="A18" s="35"/>
      <c r="B18" s="40" t="s">
        <v>431</v>
      </c>
      <c r="C18" s="18">
        <v>3.85</v>
      </c>
      <c r="D18" s="18">
        <f>C18*23</f>
        <v>88.55</v>
      </c>
      <c r="E18" s="189"/>
    </row>
    <row r="19" spans="1:5" x14ac:dyDescent="0.25">
      <c r="A19" s="84"/>
      <c r="B19" s="92" t="s">
        <v>87</v>
      </c>
      <c r="C19" s="82">
        <f>SUM(C14:C18)</f>
        <v>21.520000000000003</v>
      </c>
      <c r="D19" s="82">
        <f>SUM(D14:D18)</f>
        <v>494.96000000000004</v>
      </c>
      <c r="E19" s="211"/>
    </row>
    <row r="20" spans="1:5" x14ac:dyDescent="0.25">
      <c r="A20" s="77"/>
      <c r="B20" s="176" t="s">
        <v>88</v>
      </c>
      <c r="C20" s="78"/>
      <c r="D20" s="78"/>
    </row>
    <row r="21" spans="1:5" x14ac:dyDescent="0.25">
      <c r="A21" s="35">
        <v>2100</v>
      </c>
      <c r="B21" s="244" t="s">
        <v>584</v>
      </c>
      <c r="C21" s="78"/>
      <c r="D21" s="78"/>
    </row>
    <row r="22" spans="1:5" ht="60" x14ac:dyDescent="0.25">
      <c r="A22" s="77"/>
      <c r="B22" s="40" t="s">
        <v>1868</v>
      </c>
      <c r="C22" s="253">
        <f>ROUND(31.85/9509,5)</f>
        <v>3.3500000000000001E-3</v>
      </c>
      <c r="D22" s="18">
        <f>C22*23</f>
        <v>7.7050000000000007E-2</v>
      </c>
    </row>
    <row r="23" spans="1:5" x14ac:dyDescent="0.25">
      <c r="A23" s="35">
        <v>2210</v>
      </c>
      <c r="B23" s="40" t="s">
        <v>568</v>
      </c>
      <c r="C23" s="74"/>
      <c r="D23" s="74"/>
    </row>
    <row r="24" spans="1:5" ht="60" x14ac:dyDescent="0.25">
      <c r="A24" s="35"/>
      <c r="B24" s="40" t="s">
        <v>1869</v>
      </c>
      <c r="C24" s="18">
        <f>ROUND(228.88/9509,5)</f>
        <v>2.4070000000000001E-2</v>
      </c>
      <c r="D24" s="18">
        <f t="shared" ref="D24:D86" si="0">C24*23</f>
        <v>0.55361000000000005</v>
      </c>
    </row>
    <row r="25" spans="1:5" x14ac:dyDescent="0.25">
      <c r="A25" s="35">
        <v>2221</v>
      </c>
      <c r="B25" s="40" t="s">
        <v>89</v>
      </c>
      <c r="C25" s="18"/>
      <c r="D25" s="18"/>
    </row>
    <row r="26" spans="1:5" ht="60" x14ac:dyDescent="0.25">
      <c r="A26" s="35"/>
      <c r="B26" s="40" t="s">
        <v>1870</v>
      </c>
      <c r="C26" s="80">
        <f>ROUND(382.73/9509,5)</f>
        <v>4.0250000000000001E-2</v>
      </c>
      <c r="D26" s="18">
        <f t="shared" si="0"/>
        <v>0.92575000000000007</v>
      </c>
    </row>
    <row r="27" spans="1:5" x14ac:dyDescent="0.25">
      <c r="A27" s="35">
        <v>2222</v>
      </c>
      <c r="B27" s="242" t="s">
        <v>90</v>
      </c>
      <c r="C27" s="18"/>
      <c r="D27" s="18"/>
    </row>
    <row r="28" spans="1:5" ht="60" x14ac:dyDescent="0.25">
      <c r="A28" s="35"/>
      <c r="B28" s="40" t="s">
        <v>1871</v>
      </c>
      <c r="C28" s="74">
        <f>ROUND(38.69/9509,3)</f>
        <v>4.0000000000000001E-3</v>
      </c>
      <c r="D28" s="18">
        <f t="shared" si="0"/>
        <v>9.1999999999999998E-2</v>
      </c>
    </row>
    <row r="29" spans="1:5" x14ac:dyDescent="0.25">
      <c r="A29" s="35">
        <v>2223</v>
      </c>
      <c r="B29" s="35" t="s">
        <v>91</v>
      </c>
      <c r="C29" s="74"/>
      <c r="D29" s="18"/>
    </row>
    <row r="30" spans="1:5" ht="60" x14ac:dyDescent="0.25">
      <c r="A30" s="35"/>
      <c r="B30" s="40" t="s">
        <v>1872</v>
      </c>
      <c r="C30" s="74">
        <f>ROUND(1004.28/9509,3)</f>
        <v>0.106</v>
      </c>
      <c r="D30" s="18">
        <f t="shared" si="0"/>
        <v>2.4379999999999997</v>
      </c>
    </row>
    <row r="31" spans="1:5" ht="24" x14ac:dyDescent="0.25">
      <c r="A31" s="35">
        <v>2224</v>
      </c>
      <c r="B31" s="40" t="s">
        <v>115</v>
      </c>
      <c r="C31" s="74"/>
      <c r="D31" s="18"/>
    </row>
    <row r="32" spans="1:5" ht="60" x14ac:dyDescent="0.25">
      <c r="A32" s="34"/>
      <c r="B32" s="40" t="s">
        <v>1873</v>
      </c>
      <c r="C32" s="18">
        <f>ROUND(82.8/9509,3)</f>
        <v>8.9999999999999993E-3</v>
      </c>
      <c r="D32" s="18">
        <f t="shared" si="0"/>
        <v>0.20699999999999999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60" x14ac:dyDescent="0.25">
      <c r="A34" s="35"/>
      <c r="B34" s="40" t="s">
        <v>1874</v>
      </c>
      <c r="C34" s="18">
        <f>ROUND(289.4/9509,3)</f>
        <v>0.03</v>
      </c>
      <c r="D34" s="18">
        <f t="shared" si="0"/>
        <v>0.69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60" x14ac:dyDescent="0.25">
      <c r="A36" s="35"/>
      <c r="B36" s="40" t="s">
        <v>1875</v>
      </c>
      <c r="C36" s="74">
        <f>ROUND(20.68/9509,3)</f>
        <v>2E-3</v>
      </c>
      <c r="D36" s="18">
        <f t="shared" si="0"/>
        <v>4.5999999999999999E-2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60" x14ac:dyDescent="0.25">
      <c r="A38" s="35"/>
      <c r="B38" s="40" t="s">
        <v>1876</v>
      </c>
      <c r="C38" s="74">
        <f>ROUND(58.15/9509,3)</f>
        <v>6.0000000000000001E-3</v>
      </c>
      <c r="D38" s="18">
        <f t="shared" si="0"/>
        <v>0.13800000000000001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60" x14ac:dyDescent="0.25">
      <c r="A40" s="35"/>
      <c r="B40" s="40" t="s">
        <v>1877</v>
      </c>
      <c r="C40" s="74">
        <f>ROUND(524.45/9509,3)</f>
        <v>5.5E-2</v>
      </c>
      <c r="D40" s="18">
        <f t="shared" si="0"/>
        <v>1.2649999999999999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60" x14ac:dyDescent="0.25">
      <c r="A42" s="35"/>
      <c r="B42" s="40" t="s">
        <v>1878</v>
      </c>
      <c r="C42" s="74">
        <f>ROUND(131.923/9509,3)</f>
        <v>1.4E-2</v>
      </c>
      <c r="D42" s="18">
        <f t="shared" si="0"/>
        <v>0.32200000000000001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60" x14ac:dyDescent="0.25">
      <c r="A44" s="35"/>
      <c r="B44" s="40" t="s">
        <v>1879</v>
      </c>
      <c r="C44" s="18">
        <f>ROUND(360.94/9509,3)</f>
        <v>3.7999999999999999E-2</v>
      </c>
      <c r="D44" s="18">
        <f t="shared" si="0"/>
        <v>0.874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60" x14ac:dyDescent="0.25">
      <c r="A46" s="79"/>
      <c r="B46" s="40" t="s">
        <v>1880</v>
      </c>
      <c r="C46" s="18">
        <f>ROUND(272.76/9509,3)</f>
        <v>2.9000000000000001E-2</v>
      </c>
      <c r="D46" s="18">
        <f t="shared" si="0"/>
        <v>0.66700000000000004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60" x14ac:dyDescent="0.25">
      <c r="A48" s="79"/>
      <c r="B48" s="40" t="s">
        <v>1881</v>
      </c>
      <c r="C48" s="74">
        <f>ROUND(12.06/9509,3)</f>
        <v>1E-3</v>
      </c>
      <c r="D48" s="18">
        <f t="shared" si="0"/>
        <v>2.3E-2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60" x14ac:dyDescent="0.25">
      <c r="A50" s="79"/>
      <c r="B50" s="40" t="s">
        <v>1882</v>
      </c>
      <c r="C50" s="74">
        <f>ROUND(23.35/9509,3)</f>
        <v>2E-3</v>
      </c>
      <c r="D50" s="18">
        <f t="shared" si="0"/>
        <v>4.5999999999999999E-2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60" x14ac:dyDescent="0.25">
      <c r="A52" s="35"/>
      <c r="B52" s="40" t="s">
        <v>1883</v>
      </c>
      <c r="C52" s="18">
        <f>ROUND(750.97/9509,3)</f>
        <v>7.9000000000000001E-2</v>
      </c>
      <c r="D52" s="18">
        <f t="shared" si="0"/>
        <v>1.8169999999999999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60" x14ac:dyDescent="0.25">
      <c r="A54" s="35"/>
      <c r="B54" s="40" t="s">
        <v>1884</v>
      </c>
      <c r="C54" s="18">
        <f>ROUND(2620.34/9509,3)</f>
        <v>0.27600000000000002</v>
      </c>
      <c r="D54" s="18">
        <f t="shared" si="0"/>
        <v>6.3480000000000008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60" x14ac:dyDescent="0.25">
      <c r="A56" s="35"/>
      <c r="B56" s="40" t="s">
        <v>1885</v>
      </c>
      <c r="C56" s="74">
        <f>ROUND(9.91/9509,3)</f>
        <v>1E-3</v>
      </c>
      <c r="D56" s="18">
        <f t="shared" si="0"/>
        <v>2.3E-2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60" x14ac:dyDescent="0.25">
      <c r="A58" s="35"/>
      <c r="B58" s="40" t="s">
        <v>1886</v>
      </c>
      <c r="C58" s="18">
        <f>ROUND(132.32/9509,3)</f>
        <v>1.4E-2</v>
      </c>
      <c r="D58" s="18">
        <f t="shared" si="0"/>
        <v>0.32200000000000001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60" x14ac:dyDescent="0.25">
      <c r="A60" s="35"/>
      <c r="B60" s="40" t="s">
        <v>1888</v>
      </c>
      <c r="C60" s="74">
        <f>ROUND(72.76/9509,3)</f>
        <v>8.0000000000000002E-3</v>
      </c>
      <c r="D60" s="18">
        <f t="shared" si="0"/>
        <v>0.184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60" x14ac:dyDescent="0.25">
      <c r="A62" s="35"/>
      <c r="B62" s="40" t="s">
        <v>1887</v>
      </c>
      <c r="C62" s="18">
        <f>ROUND(484.21/9509,3)</f>
        <v>5.0999999999999997E-2</v>
      </c>
      <c r="D62" s="18">
        <f t="shared" si="0"/>
        <v>1.1729999999999998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60" x14ac:dyDescent="0.25">
      <c r="A64" s="35"/>
      <c r="B64" s="40" t="s">
        <v>1889</v>
      </c>
      <c r="C64" s="18">
        <f>ROUND(224.14/9509,3)</f>
        <v>2.4E-2</v>
      </c>
      <c r="D64" s="18">
        <f t="shared" si="0"/>
        <v>0.55200000000000005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60" x14ac:dyDescent="0.25">
      <c r="A66" s="35"/>
      <c r="B66" s="40" t="s">
        <v>1890</v>
      </c>
      <c r="C66" s="18">
        <f>ROUND(103.21/9509,3)</f>
        <v>1.0999999999999999E-2</v>
      </c>
      <c r="D66" s="18">
        <f t="shared" si="0"/>
        <v>0.253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60" x14ac:dyDescent="0.25">
      <c r="A68" s="35"/>
      <c r="B68" s="40" t="s">
        <v>1891</v>
      </c>
      <c r="C68" s="18">
        <f>ROUND(241.97/9509,3)</f>
        <v>2.5000000000000001E-2</v>
      </c>
      <c r="D68" s="18">
        <f t="shared" si="0"/>
        <v>0.57500000000000007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60" x14ac:dyDescent="0.25">
      <c r="A70" s="35"/>
      <c r="B70" s="40" t="s">
        <v>1892</v>
      </c>
      <c r="C70" s="18">
        <f>ROUND(87.42/9509,3)</f>
        <v>8.9999999999999993E-3</v>
      </c>
      <c r="D70" s="18">
        <f t="shared" si="0"/>
        <v>0.20699999999999999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60" x14ac:dyDescent="0.25">
      <c r="A72" s="35"/>
      <c r="B72" s="40" t="s">
        <v>1893</v>
      </c>
      <c r="C72" s="74">
        <f>ROUND(28.69/9509,3)</f>
        <v>3.0000000000000001E-3</v>
      </c>
      <c r="D72" s="18">
        <f t="shared" si="0"/>
        <v>6.9000000000000006E-2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60" x14ac:dyDescent="0.25">
      <c r="A74" s="35"/>
      <c r="B74" s="40" t="s">
        <v>1894</v>
      </c>
      <c r="C74" s="74">
        <f>ROUND(8.56/9509,3)</f>
        <v>1E-3</v>
      </c>
      <c r="D74" s="18">
        <f t="shared" si="0"/>
        <v>2.3E-2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60" x14ac:dyDescent="0.25">
      <c r="A76" s="35"/>
      <c r="B76" s="40" t="s">
        <v>1895</v>
      </c>
      <c r="C76" s="74">
        <f>ROUND(58.04/9509,5)</f>
        <v>6.1000000000000004E-3</v>
      </c>
      <c r="D76" s="18">
        <f t="shared" si="0"/>
        <v>0.14030000000000001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60" x14ac:dyDescent="0.25">
      <c r="A78" s="35"/>
      <c r="B78" s="40" t="s">
        <v>1896</v>
      </c>
      <c r="C78" s="74">
        <f>ROUND(249.88/9509,5)</f>
        <v>2.6280000000000001E-2</v>
      </c>
      <c r="D78" s="18">
        <f t="shared" si="0"/>
        <v>0.60443999999999998</v>
      </c>
    </row>
    <row r="79" spans="1:4" x14ac:dyDescent="0.25">
      <c r="A79" s="35">
        <v>5220</v>
      </c>
      <c r="B79" s="40" t="s">
        <v>120</v>
      </c>
      <c r="C79" s="18"/>
      <c r="D79" s="18"/>
    </row>
    <row r="80" spans="1:4" ht="48" customHeight="1" x14ac:dyDescent="0.25">
      <c r="A80" s="35"/>
      <c r="B80" s="40" t="s">
        <v>623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60" x14ac:dyDescent="0.25">
      <c r="A82" s="35"/>
      <c r="B82" s="40" t="s">
        <v>1897</v>
      </c>
      <c r="C82" s="253">
        <f>ROUND(61.55/9509,5)</f>
        <v>6.4700000000000001E-3</v>
      </c>
      <c r="D82" s="18">
        <f t="shared" si="0"/>
        <v>0.14881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60" x14ac:dyDescent="0.25">
      <c r="A84" s="35"/>
      <c r="B84" s="40" t="s">
        <v>1898</v>
      </c>
      <c r="C84" s="74">
        <f>ROUND(88.34/9509,5)</f>
        <v>9.2899999999999996E-3</v>
      </c>
      <c r="D84" s="18">
        <f t="shared" si="0"/>
        <v>0.21367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60" x14ac:dyDescent="0.25">
      <c r="A86" s="35"/>
      <c r="B86" s="40" t="s">
        <v>1899</v>
      </c>
      <c r="C86" s="74">
        <f>ROUND(151.09/9509,3)</f>
        <v>1.6E-2</v>
      </c>
      <c r="D86" s="18">
        <f t="shared" si="0"/>
        <v>0.36799999999999999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21.39</v>
      </c>
    </row>
    <row r="88" spans="1:4" x14ac:dyDescent="0.25">
      <c r="A88" s="83"/>
      <c r="B88" s="84" t="s">
        <v>95</v>
      </c>
      <c r="C88" s="82">
        <f>ROUND(C87+C19,3)</f>
        <v>22.45</v>
      </c>
      <c r="D88" s="82">
        <f>ROUND(D87+D19,3)</f>
        <v>516.35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23</v>
      </c>
      <c r="D90" s="89"/>
    </row>
    <row r="91" spans="1:4" ht="28.5" customHeight="1" x14ac:dyDescent="0.25">
      <c r="A91" s="302" t="s">
        <v>113</v>
      </c>
      <c r="B91" s="303"/>
      <c r="C91" s="22">
        <f>D88/C90</f>
        <v>22.45</v>
      </c>
      <c r="D91" s="22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I90"/>
  <sheetViews>
    <sheetView topLeftCell="A77" workbookViewId="0">
      <selection activeCell="B82" sqref="B82"/>
    </sheetView>
  </sheetViews>
  <sheetFormatPr defaultRowHeight="15" x14ac:dyDescent="0.25"/>
  <cols>
    <col min="1" max="1" width="8" customWidth="1"/>
    <col min="2" max="2" width="59.28515625" customWidth="1"/>
    <col min="3" max="3" width="12.140625" customWidth="1"/>
    <col min="4" max="4" width="11.28515625" customWidth="1"/>
    <col min="5" max="5" width="14" customWidth="1"/>
    <col min="6" max="6" width="12.140625" customWidth="1"/>
    <col min="7" max="7" width="63.5703125" customWidth="1"/>
  </cols>
  <sheetData>
    <row r="1" spans="1:9" x14ac:dyDescent="0.25">
      <c r="A1" s="315" t="s">
        <v>78</v>
      </c>
      <c r="B1" s="315"/>
      <c r="C1" s="315"/>
      <c r="D1" s="315"/>
    </row>
    <row r="2" spans="1:9" ht="9" customHeight="1" x14ac:dyDescent="0.25">
      <c r="A2" s="97"/>
      <c r="B2" s="97"/>
      <c r="C2" s="316"/>
      <c r="D2" s="316"/>
    </row>
    <row r="3" spans="1:9" x14ac:dyDescent="0.25">
      <c r="A3" s="98" t="s">
        <v>111</v>
      </c>
      <c r="B3" s="99"/>
      <c r="C3" s="99"/>
      <c r="D3" s="99"/>
    </row>
    <row r="4" spans="1:9" x14ac:dyDescent="0.25">
      <c r="A4" s="97"/>
      <c r="B4" s="60"/>
      <c r="C4" s="60"/>
      <c r="D4" s="60"/>
    </row>
    <row r="5" spans="1:9" ht="39.75" customHeight="1" x14ac:dyDescent="0.25">
      <c r="A5" s="307" t="s">
        <v>553</v>
      </c>
      <c r="B5" s="307"/>
      <c r="C5" s="307"/>
      <c r="D5" s="307"/>
    </row>
    <row r="6" spans="1:9" ht="7.5" customHeight="1" x14ac:dyDescent="0.25">
      <c r="A6" s="117"/>
      <c r="B6" s="60"/>
      <c r="C6" s="60"/>
      <c r="D6" s="60"/>
    </row>
    <row r="7" spans="1:9" x14ac:dyDescent="0.25">
      <c r="A7" s="308" t="s">
        <v>112</v>
      </c>
      <c r="B7" s="310"/>
      <c r="C7" s="60"/>
      <c r="D7" s="60"/>
    </row>
    <row r="8" spans="1:9" ht="9" customHeight="1" x14ac:dyDescent="0.25">
      <c r="A8" s="117"/>
      <c r="B8" s="118"/>
      <c r="C8" s="60"/>
      <c r="D8" s="60"/>
    </row>
    <row r="9" spans="1:9" x14ac:dyDescent="0.25">
      <c r="A9" s="318" t="s">
        <v>628</v>
      </c>
      <c r="B9" s="318"/>
      <c r="C9" s="100"/>
      <c r="D9" s="100"/>
    </row>
    <row r="10" spans="1:9" ht="96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51.5" customHeight="1" x14ac:dyDescent="0.25">
      <c r="A14" s="35"/>
      <c r="B14" s="90" t="s">
        <v>632</v>
      </c>
      <c r="C14" s="18">
        <f>0.17*20+0.17*20+0.5*15</f>
        <v>14.3</v>
      </c>
      <c r="D14" s="18">
        <f>C14*80</f>
        <v>1144</v>
      </c>
      <c r="E14" s="215"/>
      <c r="F14" s="204"/>
      <c r="G14" s="204"/>
      <c r="H14" s="204"/>
      <c r="I14" s="204"/>
    </row>
    <row r="15" spans="1:9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C15*80</f>
        <v>269.60000000000002</v>
      </c>
      <c r="E15" s="217"/>
    </row>
    <row r="16" spans="1:9" x14ac:dyDescent="0.25">
      <c r="A16" s="35">
        <v>2341</v>
      </c>
      <c r="B16" s="35" t="s">
        <v>97</v>
      </c>
      <c r="C16" s="74"/>
      <c r="D16" s="74"/>
    </row>
    <row r="17" spans="1:5" ht="96" customHeight="1" x14ac:dyDescent="0.25">
      <c r="A17" s="35"/>
      <c r="B17" s="40" t="s">
        <v>633</v>
      </c>
      <c r="C17" s="18">
        <v>17.21</v>
      </c>
      <c r="D17" s="18">
        <f>C17*80</f>
        <v>1376.8000000000002</v>
      </c>
      <c r="E17" s="189"/>
    </row>
    <row r="18" spans="1:5" x14ac:dyDescent="0.25">
      <c r="A18" s="35"/>
      <c r="B18" s="92" t="s">
        <v>87</v>
      </c>
      <c r="C18" s="82">
        <f>SUM(C13:C17)</f>
        <v>34.880000000000003</v>
      </c>
      <c r="D18" s="82">
        <f>SUM(D13:D17)</f>
        <v>2790.4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1813</v>
      </c>
      <c r="C21" s="74">
        <f>ROUND(31.85/9509,5)</f>
        <v>3.3500000000000001E-3</v>
      </c>
      <c r="D21" s="18">
        <f>C21*80</f>
        <v>0.26800000000000002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1814</v>
      </c>
      <c r="C23" s="18">
        <f>ROUND(228.88/9509,5)</f>
        <v>2.4070000000000001E-2</v>
      </c>
      <c r="D23" s="18">
        <f>C23*80</f>
        <v>1.9256000000000002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1815</v>
      </c>
      <c r="C25" s="18">
        <f>ROUND(382.73/9509,5)</f>
        <v>4.0250000000000001E-2</v>
      </c>
      <c r="D25" s="18">
        <f>C25*80</f>
        <v>3.22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1816</v>
      </c>
      <c r="C27" s="74">
        <f>ROUND(38.69/9509,5)</f>
        <v>4.0699999999999998E-3</v>
      </c>
      <c r="D27" s="18">
        <f>C27*80</f>
        <v>0.3256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1817</v>
      </c>
      <c r="C29" s="74">
        <f>ROUND(1004.28/9509,5)</f>
        <v>0.10561</v>
      </c>
      <c r="D29" s="18">
        <f>C29*80</f>
        <v>8.4488000000000003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1818</v>
      </c>
      <c r="C31" s="18">
        <f>ROUND(82.8/9509,5)</f>
        <v>8.7100000000000007E-3</v>
      </c>
      <c r="D31" s="18">
        <f>C31*80</f>
        <v>0.69680000000000009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1819</v>
      </c>
      <c r="C33" s="18">
        <f>ROUND(289.4/9509,5)</f>
        <v>3.0429999999999999E-2</v>
      </c>
      <c r="D33" s="18">
        <f>C33*80</f>
        <v>2.4344000000000001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1820</v>
      </c>
      <c r="C35" s="74">
        <f>ROUND(20.68/9509,5)</f>
        <v>2.1700000000000001E-3</v>
      </c>
      <c r="D35" s="18">
        <f>C35*80</f>
        <v>0.1736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1821</v>
      </c>
      <c r="C37" s="74">
        <f>ROUND(58.15/9509,5)</f>
        <v>6.1199999999999996E-3</v>
      </c>
      <c r="D37" s="18">
        <f>C37*80</f>
        <v>0.48959999999999998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1598</v>
      </c>
      <c r="C39" s="74">
        <f>ROUND(524.45/9509,3)</f>
        <v>5.5E-2</v>
      </c>
      <c r="D39" s="18">
        <f>C39*80</f>
        <v>4.4000000000000004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1599</v>
      </c>
      <c r="C41" s="74">
        <f>ROUND(131.923/9509,3)</f>
        <v>1.4E-2</v>
      </c>
      <c r="D41" s="18">
        <f>C41*80</f>
        <v>1.1200000000000001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1600</v>
      </c>
      <c r="C43" s="18">
        <f>ROUND(360.94/9509,3)</f>
        <v>3.7999999999999999E-2</v>
      </c>
      <c r="D43" s="18">
        <f>C43*80</f>
        <v>3.04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1601</v>
      </c>
      <c r="C45" s="18">
        <f>ROUND(272.76/9509,3)</f>
        <v>2.9000000000000001E-2</v>
      </c>
      <c r="D45" s="18">
        <f>C45*80</f>
        <v>2.3200000000000003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1602</v>
      </c>
      <c r="C47" s="74">
        <f>ROUND(12.06/9509,3)</f>
        <v>1E-3</v>
      </c>
      <c r="D47" s="18">
        <f>C47*80</f>
        <v>0.08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1822</v>
      </c>
      <c r="C49" s="74">
        <f>ROUND(23.35/9509,3)</f>
        <v>2E-3</v>
      </c>
      <c r="D49" s="18">
        <f>C49*80</f>
        <v>0.16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1604</v>
      </c>
      <c r="C51" s="18">
        <f>ROUND(750.97/9509,3)</f>
        <v>7.9000000000000001E-2</v>
      </c>
      <c r="D51" s="18">
        <f>C51*80</f>
        <v>6.32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1619</v>
      </c>
      <c r="C53" s="18">
        <f>ROUND(2620.34/9509,3)</f>
        <v>0.27600000000000002</v>
      </c>
      <c r="D53" s="18">
        <f>C53*80</f>
        <v>22.080000000000002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1605</v>
      </c>
      <c r="C55" s="74">
        <f>ROUND(9.91/9509,3)</f>
        <v>1E-3</v>
      </c>
      <c r="D55" s="18">
        <f>C55*80</f>
        <v>0.08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1606</v>
      </c>
      <c r="C57" s="18">
        <f>ROUND(132.32/9509,3)</f>
        <v>1.4E-2</v>
      </c>
      <c r="D57" s="18">
        <f>C57*80</f>
        <v>1.1200000000000001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1607</v>
      </c>
      <c r="C59" s="74">
        <f>ROUND(72.76/9509,3)</f>
        <v>8.0000000000000002E-3</v>
      </c>
      <c r="D59" s="18">
        <f>C59*80</f>
        <v>0.64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1608</v>
      </c>
      <c r="C61" s="18">
        <f>ROUND(484.21/9509,3)</f>
        <v>5.0999999999999997E-2</v>
      </c>
      <c r="D61" s="18">
        <f>C61*80</f>
        <v>4.08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1609</v>
      </c>
      <c r="C63" s="18">
        <f>ROUND(224.14/9509,3)</f>
        <v>2.4E-2</v>
      </c>
      <c r="D63" s="18">
        <f>C63*80</f>
        <v>1.92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1610</v>
      </c>
      <c r="C65" s="18">
        <f>ROUND(103.21/9509,3)</f>
        <v>1.0999999999999999E-2</v>
      </c>
      <c r="D65" s="18">
        <f>C65*80</f>
        <v>0.87999999999999989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1611</v>
      </c>
      <c r="C67" s="18">
        <f>ROUND(241.97/9509,3)</f>
        <v>2.5000000000000001E-2</v>
      </c>
      <c r="D67" s="18">
        <f>C67*80</f>
        <v>2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1823</v>
      </c>
      <c r="C69" s="18">
        <f>ROUND(87.42/9509,5)</f>
        <v>9.1900000000000003E-3</v>
      </c>
      <c r="D69" s="18">
        <f>C69*80</f>
        <v>0.73520000000000008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1613</v>
      </c>
      <c r="C71" s="74">
        <f>ROUND(28.69/9509,5)</f>
        <v>3.0200000000000001E-3</v>
      </c>
      <c r="D71" s="18">
        <f>C71*80</f>
        <v>0.24160000000000001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1824</v>
      </c>
      <c r="C73" s="74">
        <f>ROUND(8.56/9509,5)</f>
        <v>8.9999999999999998E-4</v>
      </c>
      <c r="D73" s="18">
        <f>C73*80</f>
        <v>7.1999999999999995E-2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1825</v>
      </c>
      <c r="C75" s="74">
        <f>ROUND(58.04/9509,5)</f>
        <v>6.1000000000000004E-3</v>
      </c>
      <c r="D75" s="18">
        <f>C75*80</f>
        <v>0.48800000000000004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1826</v>
      </c>
      <c r="C77" s="74">
        <f>ROUND(249.88/9509,5)</f>
        <v>2.6280000000000001E-2</v>
      </c>
      <c r="D77" s="18">
        <f>C77*80</f>
        <v>2.1024000000000003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30" customHeight="1" x14ac:dyDescent="0.25">
      <c r="A79" s="35"/>
      <c r="B79" s="40" t="s">
        <v>621</v>
      </c>
      <c r="C79" s="18">
        <v>0</v>
      </c>
      <c r="D79" s="18">
        <f t="shared" ref="D79" si="0">C79*90</f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1900</v>
      </c>
      <c r="C81" s="253">
        <f>ROUND(61.55/9509,5)</f>
        <v>6.4700000000000001E-3</v>
      </c>
      <c r="D81" s="18">
        <f>C81*80</f>
        <v>0.51760000000000006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1828</v>
      </c>
      <c r="C83" s="74">
        <f>ROUND(88.34/9509,5)</f>
        <v>9.2899999999999996E-3</v>
      </c>
      <c r="D83" s="18">
        <f>C83*80</f>
        <v>0.74319999999999997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1829</v>
      </c>
      <c r="C85" s="74">
        <f>ROUND(151.09/9509,3)</f>
        <v>1.6E-2</v>
      </c>
      <c r="D85" s="18">
        <f>C85*80</f>
        <v>1.28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74.400000000000006</v>
      </c>
    </row>
    <row r="87" spans="1:4" x14ac:dyDescent="0.25">
      <c r="A87" s="83"/>
      <c r="B87" s="84" t="s">
        <v>95</v>
      </c>
      <c r="C87" s="82">
        <f>ROUND(C86+C18,3)</f>
        <v>35.81</v>
      </c>
      <c r="D87" s="82">
        <f>ROUND(D86+D18,3)</f>
        <v>2864.8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80</v>
      </c>
      <c r="D89" s="89"/>
    </row>
    <row r="90" spans="1:4" ht="24" customHeight="1" x14ac:dyDescent="0.25">
      <c r="A90" s="302" t="s">
        <v>113</v>
      </c>
      <c r="B90" s="303"/>
      <c r="C90" s="22">
        <f>D87/C89</f>
        <v>35.81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I90"/>
  <sheetViews>
    <sheetView topLeftCell="A77" workbookViewId="0">
      <selection activeCell="D82" sqref="D82"/>
    </sheetView>
  </sheetViews>
  <sheetFormatPr defaultRowHeight="15" x14ac:dyDescent="0.25"/>
  <cols>
    <col min="1" max="1" width="9.7109375" customWidth="1"/>
    <col min="2" max="2" width="58.42578125" customWidth="1"/>
    <col min="3" max="3" width="11.28515625" customWidth="1"/>
    <col min="4" max="4" width="14.140625" customWidth="1"/>
    <col min="5" max="5" width="10.140625" customWidth="1"/>
  </cols>
  <sheetData>
    <row r="1" spans="1:9" x14ac:dyDescent="0.25">
      <c r="A1" s="319" t="s">
        <v>78</v>
      </c>
      <c r="B1" s="319"/>
      <c r="C1" s="319"/>
      <c r="D1" s="319"/>
    </row>
    <row r="2" spans="1:9" ht="12.75" customHeight="1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ht="10.5" customHeight="1" x14ac:dyDescent="0.25">
      <c r="A4" s="97"/>
      <c r="B4" s="60"/>
      <c r="C4" s="60"/>
      <c r="D4" s="96"/>
    </row>
    <row r="5" spans="1:9" ht="36" customHeight="1" x14ac:dyDescent="0.25">
      <c r="A5" s="307" t="s">
        <v>554</v>
      </c>
      <c r="B5" s="307"/>
      <c r="C5" s="307"/>
      <c r="D5" s="307"/>
    </row>
    <row r="6" spans="1:9" ht="11.25" customHeight="1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ht="8.25" customHeight="1" x14ac:dyDescent="0.25">
      <c r="A8" s="117"/>
      <c r="B8" s="118"/>
      <c r="C8" s="60"/>
      <c r="D8" s="96"/>
    </row>
    <row r="9" spans="1:9" x14ac:dyDescent="0.25">
      <c r="A9" s="318" t="s">
        <v>628</v>
      </c>
      <c r="B9" s="318"/>
      <c r="C9" s="100"/>
      <c r="D9" s="96"/>
    </row>
    <row r="10" spans="1:9" ht="111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58.25" customHeight="1" x14ac:dyDescent="0.25">
      <c r="A14" s="35"/>
      <c r="B14" s="90" t="s">
        <v>634</v>
      </c>
      <c r="C14" s="18">
        <f>0.17*20+0.17*20+0.5*15</f>
        <v>14.3</v>
      </c>
      <c r="D14" s="18">
        <f>C14*80</f>
        <v>1144</v>
      </c>
      <c r="E14" s="216"/>
      <c r="F14" s="204"/>
      <c r="G14" s="204"/>
      <c r="H14" s="204"/>
      <c r="I14" s="204"/>
    </row>
    <row r="15" spans="1:9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C15*80</f>
        <v>269.60000000000002</v>
      </c>
      <c r="E15" s="217"/>
    </row>
    <row r="16" spans="1:9" x14ac:dyDescent="0.25">
      <c r="A16" s="35">
        <v>2341</v>
      </c>
      <c r="B16" s="35" t="s">
        <v>118</v>
      </c>
      <c r="C16" s="18"/>
      <c r="D16" s="74"/>
      <c r="E16" s="209"/>
    </row>
    <row r="17" spans="1:5" ht="108" customHeight="1" x14ac:dyDescent="0.25">
      <c r="A17" s="35"/>
      <c r="B17" s="40" t="s">
        <v>635</v>
      </c>
      <c r="C17" s="18">
        <v>14.67</v>
      </c>
      <c r="D17" s="18">
        <f>C17*80</f>
        <v>1173.5999999999999</v>
      </c>
      <c r="E17" s="218"/>
    </row>
    <row r="18" spans="1:5" x14ac:dyDescent="0.25">
      <c r="A18" s="84"/>
      <c r="B18" s="92" t="s">
        <v>87</v>
      </c>
      <c r="C18" s="82">
        <f>SUM(C13:C17)</f>
        <v>32.340000000000003</v>
      </c>
      <c r="D18" s="82">
        <f>SUM(D13:D17)</f>
        <v>2587.1999999999998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1813</v>
      </c>
      <c r="C21" s="74">
        <f>ROUND(31.85/9509,5)</f>
        <v>3.3500000000000001E-3</v>
      </c>
      <c r="D21" s="18">
        <f>C21*80</f>
        <v>0.26800000000000002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1814</v>
      </c>
      <c r="C23" s="18">
        <f>ROUND(228.88/9509,5)</f>
        <v>2.4070000000000001E-2</v>
      </c>
      <c r="D23" s="18">
        <f>C23*80</f>
        <v>1.9256000000000002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1815</v>
      </c>
      <c r="C25" s="18">
        <f>ROUND(382.73/9509,5)</f>
        <v>4.0250000000000001E-2</v>
      </c>
      <c r="D25" s="18">
        <f>C25*80</f>
        <v>3.22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1816</v>
      </c>
      <c r="C27" s="74">
        <f>ROUND(38.69/9509,5)</f>
        <v>4.0699999999999998E-3</v>
      </c>
      <c r="D27" s="18">
        <f>C27*80</f>
        <v>0.3256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1817</v>
      </c>
      <c r="C29" s="74">
        <f>ROUND(1004.28/9509,5)</f>
        <v>0.10561</v>
      </c>
      <c r="D29" s="18">
        <f>C29*80</f>
        <v>8.4488000000000003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1818</v>
      </c>
      <c r="C31" s="18">
        <f>ROUND(82.8/9509,5)</f>
        <v>8.7100000000000007E-3</v>
      </c>
      <c r="D31" s="18">
        <f>C31*80</f>
        <v>0.69680000000000009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1819</v>
      </c>
      <c r="C33" s="18">
        <f>ROUND(289.4/9509,5)</f>
        <v>3.0429999999999999E-2</v>
      </c>
      <c r="D33" s="18">
        <f>C33*80</f>
        <v>2.4344000000000001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1820</v>
      </c>
      <c r="C35" s="74">
        <f>ROUND(20.68/9509,5)</f>
        <v>2.1700000000000001E-3</v>
      </c>
      <c r="D35" s="18">
        <f>C35*80</f>
        <v>0.1736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1821</v>
      </c>
      <c r="C37" s="74">
        <f>ROUND(58.15/9509,5)</f>
        <v>6.1199999999999996E-3</v>
      </c>
      <c r="D37" s="18">
        <f>C37*80</f>
        <v>0.48959999999999998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1598</v>
      </c>
      <c r="C39" s="74">
        <f>ROUND(524.45/9509,3)</f>
        <v>5.5E-2</v>
      </c>
      <c r="D39" s="18">
        <f>C39*80</f>
        <v>4.4000000000000004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1599</v>
      </c>
      <c r="C41" s="74">
        <f>ROUND(131.923/9509,3)</f>
        <v>1.4E-2</v>
      </c>
      <c r="D41" s="18">
        <f>C41*80</f>
        <v>1.1200000000000001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1600</v>
      </c>
      <c r="C43" s="18">
        <f>ROUND(360.94/9509,3)</f>
        <v>3.7999999999999999E-2</v>
      </c>
      <c r="D43" s="18">
        <f>C43*80</f>
        <v>3.04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1601</v>
      </c>
      <c r="C45" s="18">
        <f>ROUND(272.76/9509,3)</f>
        <v>2.9000000000000001E-2</v>
      </c>
      <c r="D45" s="18">
        <f>C45*80</f>
        <v>2.3200000000000003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1602</v>
      </c>
      <c r="C47" s="74">
        <f>ROUND(12.06/9509,3)</f>
        <v>1E-3</v>
      </c>
      <c r="D47" s="18">
        <f>C47*80</f>
        <v>0.08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1822</v>
      </c>
      <c r="C49" s="74">
        <f>ROUND(23.35/9509,3)</f>
        <v>2E-3</v>
      </c>
      <c r="D49" s="18">
        <f>C49*80</f>
        <v>0.16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1604</v>
      </c>
      <c r="C51" s="18">
        <f>ROUND(750.97/9509,3)</f>
        <v>7.9000000000000001E-2</v>
      </c>
      <c r="D51" s="18">
        <f>C51*80</f>
        <v>6.32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1619</v>
      </c>
      <c r="C53" s="18">
        <f>ROUND(2620.34/9509,3)</f>
        <v>0.27600000000000002</v>
      </c>
      <c r="D53" s="18">
        <f>C53*80</f>
        <v>22.080000000000002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1605</v>
      </c>
      <c r="C55" s="74">
        <f>ROUND(9.91/9509,3)</f>
        <v>1E-3</v>
      </c>
      <c r="D55" s="18">
        <f>C55*80</f>
        <v>0.08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1606</v>
      </c>
      <c r="C57" s="18">
        <f>ROUND(132.32/9509,3)</f>
        <v>1.4E-2</v>
      </c>
      <c r="D57" s="18">
        <f>C57*80</f>
        <v>1.1200000000000001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1607</v>
      </c>
      <c r="C59" s="74">
        <f>ROUND(72.76/9509,3)</f>
        <v>8.0000000000000002E-3</v>
      </c>
      <c r="D59" s="18">
        <f>C59*80</f>
        <v>0.64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1608</v>
      </c>
      <c r="C61" s="18">
        <f>ROUND(484.21/9509,3)</f>
        <v>5.0999999999999997E-2</v>
      </c>
      <c r="D61" s="18">
        <f>C61*80</f>
        <v>4.08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1609</v>
      </c>
      <c r="C63" s="18">
        <f>ROUND(224.14/9509,3)</f>
        <v>2.4E-2</v>
      </c>
      <c r="D63" s="18">
        <f>C63*80</f>
        <v>1.92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1610</v>
      </c>
      <c r="C65" s="18">
        <f>ROUND(103.21/9509,3)</f>
        <v>1.0999999999999999E-2</v>
      </c>
      <c r="D65" s="18">
        <f>C65*80</f>
        <v>0.87999999999999989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1611</v>
      </c>
      <c r="C67" s="18">
        <f>ROUND(241.97/9509,3)</f>
        <v>2.5000000000000001E-2</v>
      </c>
      <c r="D67" s="18">
        <f>C67*80</f>
        <v>2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1823</v>
      </c>
      <c r="C69" s="18">
        <f>ROUND(87.42/9509,5)</f>
        <v>9.1900000000000003E-3</v>
      </c>
      <c r="D69" s="18">
        <f>C69*80</f>
        <v>0.73520000000000008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1613</v>
      </c>
      <c r="C71" s="74">
        <f>ROUND(28.69/9509,5)</f>
        <v>3.0200000000000001E-3</v>
      </c>
      <c r="D71" s="18">
        <f>C71*80</f>
        <v>0.24160000000000001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1824</v>
      </c>
      <c r="C73" s="74">
        <f>ROUND(8.56/9509,5)</f>
        <v>8.9999999999999998E-4</v>
      </c>
      <c r="D73" s="18">
        <f>C73*80</f>
        <v>7.1999999999999995E-2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1825</v>
      </c>
      <c r="C75" s="74">
        <f>ROUND(58.04/9509,5)</f>
        <v>6.1000000000000004E-3</v>
      </c>
      <c r="D75" s="18">
        <f>C75*80</f>
        <v>0.48800000000000004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1826</v>
      </c>
      <c r="C77" s="74">
        <f>ROUND(249.88/9509,5)</f>
        <v>2.6280000000000001E-2</v>
      </c>
      <c r="D77" s="18">
        <f>C77*80</f>
        <v>2.1024000000000003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ref="D79" si="0">C79*90</f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1827</v>
      </c>
      <c r="C81" s="74">
        <f>ROUND(61.55/9509,5)</f>
        <v>6.4700000000000001E-3</v>
      </c>
      <c r="D81" s="18">
        <f>C81*80</f>
        <v>0.51760000000000006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1828</v>
      </c>
      <c r="C83" s="74">
        <f>ROUND(88.34/9509,5)</f>
        <v>9.2899999999999996E-3</v>
      </c>
      <c r="D83" s="18">
        <f>C83*80</f>
        <v>0.74319999999999997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1829</v>
      </c>
      <c r="C85" s="74">
        <f>ROUND(151.09/9509,3)</f>
        <v>1.6E-2</v>
      </c>
      <c r="D85" s="18">
        <f>C85*80</f>
        <v>1.28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74.400000000000006</v>
      </c>
    </row>
    <row r="87" spans="1:4" x14ac:dyDescent="0.25">
      <c r="A87" s="83"/>
      <c r="B87" s="84" t="s">
        <v>95</v>
      </c>
      <c r="C87" s="82">
        <f>ROUND(C86+C18,3)</f>
        <v>33.270000000000003</v>
      </c>
      <c r="D87" s="82">
        <f>ROUND(D86+D18,3)</f>
        <v>2661.6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80</v>
      </c>
      <c r="D89" s="89"/>
    </row>
    <row r="90" spans="1:4" ht="24.75" customHeight="1" x14ac:dyDescent="0.25">
      <c r="A90" s="302" t="s">
        <v>113</v>
      </c>
      <c r="B90" s="303"/>
      <c r="C90" s="22">
        <f>D87/C89</f>
        <v>33.269999999999996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I90"/>
  <sheetViews>
    <sheetView topLeftCell="A77" workbookViewId="0">
      <selection activeCell="B27" sqref="B27"/>
    </sheetView>
  </sheetViews>
  <sheetFormatPr defaultRowHeight="15" x14ac:dyDescent="0.25"/>
  <cols>
    <col min="1" max="1" width="9.85546875" customWidth="1"/>
    <col min="2" max="2" width="59.5703125" customWidth="1"/>
    <col min="3" max="3" width="10.7109375" customWidth="1"/>
    <col min="4" max="5" width="10.85546875" customWidth="1"/>
    <col min="8" max="8" width="67.7109375" customWidth="1"/>
  </cols>
  <sheetData>
    <row r="1" spans="1:9" x14ac:dyDescent="0.25">
      <c r="A1" s="319" t="s">
        <v>78</v>
      </c>
      <c r="B1" s="319"/>
      <c r="C1" s="319"/>
      <c r="D1" s="319"/>
    </row>
    <row r="2" spans="1:9" ht="12.75" customHeight="1" x14ac:dyDescent="0.25">
      <c r="A2" s="97"/>
      <c r="B2" s="97"/>
      <c r="C2" s="316"/>
      <c r="D2" s="316"/>
    </row>
    <row r="3" spans="1:9" x14ac:dyDescent="0.25">
      <c r="A3" s="98" t="s">
        <v>111</v>
      </c>
      <c r="B3" s="99"/>
      <c r="C3" s="99"/>
      <c r="D3" s="99"/>
    </row>
    <row r="4" spans="1:9" ht="14.25" customHeight="1" x14ac:dyDescent="0.25">
      <c r="A4" s="97"/>
      <c r="B4" s="60"/>
      <c r="C4" s="60"/>
      <c r="D4" s="60"/>
    </row>
    <row r="5" spans="1:9" ht="37.5" customHeight="1" x14ac:dyDescent="0.25">
      <c r="A5" s="307" t="s">
        <v>555</v>
      </c>
      <c r="B5" s="307"/>
      <c r="C5" s="307"/>
      <c r="D5" s="307"/>
    </row>
    <row r="6" spans="1:9" ht="12" customHeight="1" x14ac:dyDescent="0.25">
      <c r="A6" s="117"/>
      <c r="B6" s="60"/>
      <c r="C6" s="60"/>
      <c r="D6" s="60"/>
    </row>
    <row r="7" spans="1:9" x14ac:dyDescent="0.25">
      <c r="A7" s="308" t="s">
        <v>112</v>
      </c>
      <c r="B7" s="310"/>
      <c r="C7" s="60"/>
      <c r="D7" s="60"/>
    </row>
    <row r="8" spans="1:9" ht="9.75" customHeight="1" x14ac:dyDescent="0.25">
      <c r="A8" s="117"/>
      <c r="B8" s="118"/>
      <c r="C8" s="60"/>
      <c r="D8" s="60"/>
    </row>
    <row r="9" spans="1:9" x14ac:dyDescent="0.25">
      <c r="A9" s="318" t="s">
        <v>110</v>
      </c>
      <c r="B9" s="318"/>
      <c r="C9" s="100"/>
      <c r="D9" s="100"/>
    </row>
    <row r="10" spans="1:9" ht="110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45.5" customHeight="1" x14ac:dyDescent="0.25">
      <c r="A14" s="35"/>
      <c r="B14" s="90" t="s">
        <v>636</v>
      </c>
      <c r="C14" s="18">
        <f>0.17*20+0.17*20+0.5*15</f>
        <v>14.3</v>
      </c>
      <c r="D14" s="18">
        <f>C14*5</f>
        <v>71.5</v>
      </c>
      <c r="E14" s="216"/>
      <c r="F14" s="204"/>
      <c r="G14" s="204"/>
      <c r="H14" s="204"/>
      <c r="I14" s="204"/>
    </row>
    <row r="15" spans="1:9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C15*5</f>
        <v>16.850000000000001</v>
      </c>
    </row>
    <row r="16" spans="1:9" x14ac:dyDescent="0.25">
      <c r="A16" s="35">
        <v>2341</v>
      </c>
      <c r="B16" s="35" t="s">
        <v>118</v>
      </c>
      <c r="C16" s="74"/>
      <c r="D16" s="74"/>
    </row>
    <row r="17" spans="1:6" ht="90.75" customHeight="1" x14ac:dyDescent="0.25">
      <c r="A17" s="35"/>
      <c r="B17" s="40" t="s">
        <v>723</v>
      </c>
      <c r="C17" s="18">
        <v>10.96</v>
      </c>
      <c r="D17" s="18">
        <f>C17*5</f>
        <v>54.800000000000004</v>
      </c>
      <c r="E17" s="207"/>
      <c r="F17" s="205"/>
    </row>
    <row r="18" spans="1:6" x14ac:dyDescent="0.25">
      <c r="A18" s="35"/>
      <c r="B18" s="92" t="s">
        <v>87</v>
      </c>
      <c r="C18" s="82">
        <f>SUM(C13:C17)</f>
        <v>28.630000000000003</v>
      </c>
      <c r="D18" s="82">
        <f>SUM(D13:D17)</f>
        <v>143.15</v>
      </c>
    </row>
    <row r="19" spans="1:6" x14ac:dyDescent="0.25">
      <c r="A19" s="77"/>
      <c r="B19" s="176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48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48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6" x14ac:dyDescent="0.25">
      <c r="A24" s="35">
        <v>2221</v>
      </c>
      <c r="B24" s="40" t="s">
        <v>89</v>
      </c>
      <c r="C24" s="18"/>
      <c r="D24" s="18"/>
    </row>
    <row r="25" spans="1:6" ht="48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6" x14ac:dyDescent="0.25">
      <c r="A26" s="35">
        <v>2222</v>
      </c>
      <c r="B26" s="242" t="s">
        <v>90</v>
      </c>
      <c r="C26" s="18"/>
      <c r="D26" s="18"/>
    </row>
    <row r="27" spans="1:6" ht="48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6" x14ac:dyDescent="0.25">
      <c r="A28" s="35">
        <v>2223</v>
      </c>
      <c r="B28" s="35" t="s">
        <v>91</v>
      </c>
      <c r="C28" s="74"/>
      <c r="D28" s="18"/>
    </row>
    <row r="29" spans="1:6" ht="48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6" ht="24" x14ac:dyDescent="0.25">
      <c r="A30" s="35">
        <v>2224</v>
      </c>
      <c r="B30" s="40" t="s">
        <v>115</v>
      </c>
      <c r="C30" s="74"/>
      <c r="D30" s="18"/>
    </row>
    <row r="31" spans="1:6" ht="48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6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1662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620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29.56</v>
      </c>
      <c r="D87" s="82">
        <f>ROUND(D86+D18,3)</f>
        <v>147.80000000000001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29.560000000000002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I90"/>
  <sheetViews>
    <sheetView topLeftCell="A75" workbookViewId="0">
      <selection activeCell="O78" sqref="N78:O78"/>
    </sheetView>
  </sheetViews>
  <sheetFormatPr defaultRowHeight="15" x14ac:dyDescent="0.25"/>
  <cols>
    <col min="1" max="1" width="9.85546875" customWidth="1"/>
    <col min="2" max="2" width="62" customWidth="1"/>
    <col min="3" max="3" width="11.5703125" customWidth="1"/>
    <col min="4" max="4" width="11.28515625" customWidth="1"/>
    <col min="5" max="5" width="10.140625" customWidth="1"/>
  </cols>
  <sheetData>
    <row r="1" spans="1:9" x14ac:dyDescent="0.25">
      <c r="A1" s="319" t="s">
        <v>78</v>
      </c>
      <c r="B1" s="319"/>
      <c r="C1" s="319"/>
      <c r="D1" s="319"/>
    </row>
    <row r="2" spans="1:9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x14ac:dyDescent="0.25">
      <c r="A4" s="97"/>
      <c r="B4" s="60"/>
      <c r="C4" s="60"/>
      <c r="D4" s="96"/>
    </row>
    <row r="5" spans="1:9" ht="42" customHeight="1" x14ac:dyDescent="0.25">
      <c r="A5" s="307" t="s">
        <v>556</v>
      </c>
      <c r="B5" s="307"/>
      <c r="C5" s="307"/>
      <c r="D5" s="307"/>
    </row>
    <row r="6" spans="1:9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x14ac:dyDescent="0.25">
      <c r="A8" s="117"/>
      <c r="B8" s="118"/>
      <c r="C8" s="60"/>
      <c r="D8" s="96"/>
    </row>
    <row r="9" spans="1:9" x14ac:dyDescent="0.25">
      <c r="A9" s="318" t="s">
        <v>162</v>
      </c>
      <c r="B9" s="318"/>
      <c r="C9" s="100"/>
      <c r="D9" s="96"/>
    </row>
    <row r="10" spans="1:9" ht="113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40.25" customHeight="1" x14ac:dyDescent="0.25">
      <c r="A14" s="35"/>
      <c r="B14" s="90" t="s">
        <v>433</v>
      </c>
      <c r="C14" s="18">
        <f>0.17*20+0.17*20+0.5*15</f>
        <v>14.3</v>
      </c>
      <c r="D14" s="18">
        <f>C14*2</f>
        <v>28.6</v>
      </c>
      <c r="E14" s="219"/>
      <c r="F14" s="204"/>
      <c r="G14" s="204"/>
      <c r="H14" s="204"/>
      <c r="I14" s="204"/>
    </row>
    <row r="15" spans="1:9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C15*2</f>
        <v>6.74</v>
      </c>
      <c r="E15" s="217"/>
    </row>
    <row r="16" spans="1:9" x14ac:dyDescent="0.25">
      <c r="A16" s="35">
        <v>2341</v>
      </c>
      <c r="B16" s="35" t="s">
        <v>118</v>
      </c>
      <c r="C16" s="74"/>
      <c r="D16" s="74"/>
      <c r="E16" s="220"/>
    </row>
    <row r="17" spans="1:5" ht="129" customHeight="1" x14ac:dyDescent="0.25">
      <c r="A17" s="35"/>
      <c r="B17" s="40" t="s">
        <v>434</v>
      </c>
      <c r="C17" s="18">
        <v>23.72</v>
      </c>
      <c r="D17" s="18">
        <f>C17*2</f>
        <v>47.44</v>
      </c>
      <c r="E17" s="221"/>
    </row>
    <row r="18" spans="1:5" x14ac:dyDescent="0.25">
      <c r="A18" s="35"/>
      <c r="B18" s="92" t="s">
        <v>87</v>
      </c>
      <c r="C18" s="82">
        <f>SUM(C13:C17)</f>
        <v>41.39</v>
      </c>
      <c r="D18" s="82">
        <f>SUM(D13:D17)</f>
        <v>82.78</v>
      </c>
      <c r="E18" s="222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1902</v>
      </c>
      <c r="C21" s="74">
        <f>ROUND(31.85/9509,3)</f>
        <v>3.0000000000000001E-3</v>
      </c>
      <c r="D21" s="74">
        <f>C21*2</f>
        <v>6.0000000000000001E-3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1903</v>
      </c>
      <c r="C23" s="18">
        <f>ROUND(228.88/9509,3)</f>
        <v>2.4E-2</v>
      </c>
      <c r="D23" s="74">
        <f t="shared" ref="D23:D85" si="0">C23*2</f>
        <v>4.8000000000000001E-2</v>
      </c>
    </row>
    <row r="24" spans="1:5" x14ac:dyDescent="0.25">
      <c r="A24" s="35">
        <v>2221</v>
      </c>
      <c r="B24" s="40" t="s">
        <v>89</v>
      </c>
      <c r="C24" s="18"/>
      <c r="D24" s="74"/>
    </row>
    <row r="25" spans="1:5" ht="48" x14ac:dyDescent="0.25">
      <c r="A25" s="35"/>
      <c r="B25" s="40" t="s">
        <v>1904</v>
      </c>
      <c r="C25" s="18">
        <f>ROUND(382.73/9509,3)</f>
        <v>0.04</v>
      </c>
      <c r="D25" s="18">
        <f t="shared" si="0"/>
        <v>0.08</v>
      </c>
    </row>
    <row r="26" spans="1:5" x14ac:dyDescent="0.25">
      <c r="A26" s="35">
        <v>2222</v>
      </c>
      <c r="B26" s="242" t="s">
        <v>90</v>
      </c>
      <c r="C26" s="18"/>
      <c r="D26" s="74"/>
    </row>
    <row r="27" spans="1:5" ht="48" x14ac:dyDescent="0.25">
      <c r="A27" s="35"/>
      <c r="B27" s="40" t="s">
        <v>1905</v>
      </c>
      <c r="C27" s="74">
        <f>ROUND(38.69/9509,3)</f>
        <v>4.0000000000000001E-3</v>
      </c>
      <c r="D27" s="74">
        <f t="shared" si="0"/>
        <v>8.0000000000000002E-3</v>
      </c>
    </row>
    <row r="28" spans="1:5" x14ac:dyDescent="0.25">
      <c r="A28" s="35">
        <v>2223</v>
      </c>
      <c r="B28" s="35" t="s">
        <v>91</v>
      </c>
      <c r="C28" s="74"/>
      <c r="D28" s="74"/>
    </row>
    <row r="29" spans="1:5" ht="48" x14ac:dyDescent="0.25">
      <c r="A29" s="35"/>
      <c r="B29" s="40" t="s">
        <v>1906</v>
      </c>
      <c r="C29" s="74">
        <f>ROUND(1004.28/9509,3)</f>
        <v>0.106</v>
      </c>
      <c r="D29" s="18">
        <f t="shared" si="0"/>
        <v>0.21199999999999999</v>
      </c>
    </row>
    <row r="30" spans="1:5" ht="24" x14ac:dyDescent="0.25">
      <c r="A30" s="35">
        <v>2224</v>
      </c>
      <c r="B30" s="40" t="s">
        <v>115</v>
      </c>
      <c r="C30" s="74"/>
      <c r="D30" s="74"/>
    </row>
    <row r="31" spans="1:5" ht="48" x14ac:dyDescent="0.25">
      <c r="A31" s="34"/>
      <c r="B31" s="40" t="s">
        <v>1907</v>
      </c>
      <c r="C31" s="18">
        <f>ROUND(82.8/9509,3)</f>
        <v>8.9999999999999993E-3</v>
      </c>
      <c r="D31" s="18">
        <f t="shared" si="0"/>
        <v>1.7999999999999999E-2</v>
      </c>
    </row>
    <row r="32" spans="1:5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1908</v>
      </c>
      <c r="C33" s="18">
        <f>ROUND(289.4/9509,3)</f>
        <v>0.03</v>
      </c>
      <c r="D33" s="18">
        <f t="shared" si="0"/>
        <v>0.06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1909</v>
      </c>
      <c r="C35" s="74">
        <f>ROUND(20.68/9509,3)</f>
        <v>2E-3</v>
      </c>
      <c r="D35" s="74">
        <f t="shared" si="0"/>
        <v>4.0000000000000001E-3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1910</v>
      </c>
      <c r="C37" s="74">
        <f>ROUND(58.15/9509,3)</f>
        <v>6.0000000000000001E-3</v>
      </c>
      <c r="D37" s="74">
        <f t="shared" si="0"/>
        <v>1.2E-2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1911</v>
      </c>
      <c r="C39" s="74">
        <f>ROUND(524.45/9509,3)</f>
        <v>5.5E-2</v>
      </c>
      <c r="D39" s="18">
        <f t="shared" si="0"/>
        <v>0.11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1912</v>
      </c>
      <c r="C41" s="74">
        <f>ROUND(131.923/9509,3)</f>
        <v>1.4E-2</v>
      </c>
      <c r="D41" s="74">
        <f t="shared" si="0"/>
        <v>2.8000000000000001E-2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1913</v>
      </c>
      <c r="C43" s="18">
        <f>ROUND(360.94/9509,3)</f>
        <v>3.7999999999999999E-2</v>
      </c>
      <c r="D43" s="74">
        <f t="shared" si="0"/>
        <v>7.5999999999999998E-2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1914</v>
      </c>
      <c r="C45" s="18">
        <f>ROUND(272.76/9509,3)</f>
        <v>2.9000000000000001E-2</v>
      </c>
      <c r="D45" s="74">
        <f t="shared" si="0"/>
        <v>5.8000000000000003E-2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1915</v>
      </c>
      <c r="C47" s="74">
        <f>ROUND(12.06/9509,3)</f>
        <v>1E-3</v>
      </c>
      <c r="D47" s="74">
        <f t="shared" si="0"/>
        <v>2E-3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1916</v>
      </c>
      <c r="C49" s="74">
        <f>ROUND(23.35/9509,3)</f>
        <v>2E-3</v>
      </c>
      <c r="D49" s="74">
        <f t="shared" si="0"/>
        <v>4.0000000000000001E-3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1917</v>
      </c>
      <c r="C51" s="18">
        <f>ROUND(750.97/9509,3)</f>
        <v>7.9000000000000001E-2</v>
      </c>
      <c r="D51" s="74">
        <f t="shared" si="0"/>
        <v>0.158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1918</v>
      </c>
      <c r="C53" s="18">
        <f>ROUND(2620.34/9509,3)</f>
        <v>0.27600000000000002</v>
      </c>
      <c r="D53" s="74">
        <f t="shared" si="0"/>
        <v>0.55200000000000005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1919</v>
      </c>
      <c r="C55" s="74">
        <f>ROUND(9.91/9509,3)</f>
        <v>1E-3</v>
      </c>
      <c r="D55" s="74">
        <f t="shared" si="0"/>
        <v>2E-3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1920</v>
      </c>
      <c r="C57" s="18">
        <f>ROUND(132.32/9509,3)</f>
        <v>1.4E-2</v>
      </c>
      <c r="D57" s="74">
        <f t="shared" si="0"/>
        <v>2.8000000000000001E-2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1921</v>
      </c>
      <c r="C59" s="74">
        <f>ROUND(72.76/9509,3)</f>
        <v>8.0000000000000002E-3</v>
      </c>
      <c r="D59" s="74">
        <f t="shared" si="0"/>
        <v>1.6E-2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1922</v>
      </c>
      <c r="C61" s="18">
        <f>ROUND(484.21/9509,3)</f>
        <v>5.0999999999999997E-2</v>
      </c>
      <c r="D61" s="74">
        <f t="shared" si="0"/>
        <v>0.10199999999999999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1923</v>
      </c>
      <c r="C63" s="18">
        <f>ROUND(224.14/9509,3)</f>
        <v>2.4E-2</v>
      </c>
      <c r="D63" s="74">
        <f t="shared" si="0"/>
        <v>4.8000000000000001E-2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1924</v>
      </c>
      <c r="C65" s="18">
        <f>ROUND(103.21/9509,3)</f>
        <v>1.0999999999999999E-2</v>
      </c>
      <c r="D65" s="74">
        <f t="shared" si="0"/>
        <v>2.1999999999999999E-2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1925</v>
      </c>
      <c r="C67" s="18">
        <f>ROUND(241.97/9509,3)</f>
        <v>2.5000000000000001E-2</v>
      </c>
      <c r="D67" s="18">
        <f t="shared" si="0"/>
        <v>0.05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1926</v>
      </c>
      <c r="C69" s="18">
        <f>ROUND(87.42/9509,3)</f>
        <v>8.9999999999999993E-3</v>
      </c>
      <c r="D69" s="74">
        <f t="shared" si="0"/>
        <v>1.7999999999999999E-2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1927</v>
      </c>
      <c r="C71" s="74">
        <f>ROUND(28.69/9509,3)</f>
        <v>3.0000000000000001E-3</v>
      </c>
      <c r="D71" s="74">
        <f t="shared" si="0"/>
        <v>6.0000000000000001E-3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1928</v>
      </c>
      <c r="C73" s="74">
        <f>ROUND(8.56/9509,3)</f>
        <v>1E-3</v>
      </c>
      <c r="D73" s="74">
        <f t="shared" si="0"/>
        <v>2E-3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1929</v>
      </c>
      <c r="C75" s="74">
        <f>ROUND(58.04/9509,3)</f>
        <v>6.0000000000000001E-3</v>
      </c>
      <c r="D75" s="74">
        <f t="shared" si="0"/>
        <v>1.2E-2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1930</v>
      </c>
      <c r="C77" s="74">
        <f>ROUND(249.88/9509,3)</f>
        <v>2.5999999999999999E-2</v>
      </c>
      <c r="D77" s="74">
        <f t="shared" si="0"/>
        <v>5.1999999999999998E-2</v>
      </c>
    </row>
    <row r="78" spans="1:4" x14ac:dyDescent="0.25">
      <c r="A78" s="35">
        <v>5220</v>
      </c>
      <c r="B78" s="40" t="s">
        <v>120</v>
      </c>
      <c r="C78" s="18"/>
      <c r="D78" s="74"/>
    </row>
    <row r="79" spans="1:4" ht="36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1931</v>
      </c>
      <c r="C81" s="74">
        <f>ROUND(61.55/9509,3)</f>
        <v>6.0000000000000001E-3</v>
      </c>
      <c r="D81" s="74">
        <f t="shared" si="0"/>
        <v>1.2E-2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1932</v>
      </c>
      <c r="C83" s="74">
        <f>ROUND(88.34/9509,3)</f>
        <v>8.9999999999999993E-3</v>
      </c>
      <c r="D83" s="74">
        <f t="shared" si="0"/>
        <v>1.7999999999999999E-2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1933</v>
      </c>
      <c r="C85" s="74">
        <f>ROUND(151.09/9509,3)</f>
        <v>1.6E-2</v>
      </c>
      <c r="D85" s="74">
        <f t="shared" si="0"/>
        <v>3.2000000000000001E-2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1.86</v>
      </c>
    </row>
    <row r="87" spans="1:4" x14ac:dyDescent="0.25">
      <c r="A87" s="83"/>
      <c r="B87" s="84" t="s">
        <v>95</v>
      </c>
      <c r="C87" s="82">
        <f>ROUND(C86+C18,3)</f>
        <v>42.32</v>
      </c>
      <c r="D87" s="82">
        <f>ROUND(D86+D18,3)</f>
        <v>84.64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2</v>
      </c>
      <c r="D89" s="89"/>
    </row>
    <row r="90" spans="1:4" ht="33" customHeight="1" x14ac:dyDescent="0.25">
      <c r="A90" s="302" t="s">
        <v>113</v>
      </c>
      <c r="B90" s="303"/>
      <c r="C90" s="22">
        <f>D87/C89</f>
        <v>42.32</v>
      </c>
      <c r="D90" s="22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I91"/>
  <sheetViews>
    <sheetView topLeftCell="A79" workbookViewId="0">
      <selection activeCell="B96" sqref="B96"/>
    </sheetView>
  </sheetViews>
  <sheetFormatPr defaultRowHeight="15" x14ac:dyDescent="0.25"/>
  <cols>
    <col min="1" max="1" width="9.7109375" customWidth="1"/>
    <col min="2" max="2" width="57.140625" customWidth="1"/>
    <col min="3" max="3" width="10.5703125" customWidth="1"/>
    <col min="4" max="4" width="12.28515625" customWidth="1"/>
    <col min="5" max="5" width="14.7109375" customWidth="1"/>
    <col min="7" max="7" width="69" customWidth="1"/>
  </cols>
  <sheetData>
    <row r="1" spans="1:9" x14ac:dyDescent="0.25">
      <c r="A1" s="315" t="s">
        <v>78</v>
      </c>
      <c r="B1" s="315"/>
      <c r="C1" s="315"/>
      <c r="D1" s="315"/>
    </row>
    <row r="2" spans="1:9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x14ac:dyDescent="0.25">
      <c r="A4" s="97"/>
      <c r="B4" s="60"/>
      <c r="C4" s="60"/>
      <c r="D4" s="96"/>
    </row>
    <row r="5" spans="1:9" ht="36.75" customHeight="1" x14ac:dyDescent="0.25">
      <c r="A5" s="307" t="s">
        <v>557</v>
      </c>
      <c r="B5" s="307"/>
      <c r="C5" s="307"/>
      <c r="D5" s="307"/>
    </row>
    <row r="6" spans="1:9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x14ac:dyDescent="0.25">
      <c r="A8" s="117"/>
      <c r="B8" s="118"/>
      <c r="C8" s="60"/>
      <c r="D8" s="96"/>
    </row>
    <row r="9" spans="1:9" x14ac:dyDescent="0.25">
      <c r="A9" s="318" t="s">
        <v>79</v>
      </c>
      <c r="B9" s="318"/>
      <c r="C9" s="100"/>
      <c r="D9" s="96"/>
    </row>
    <row r="10" spans="1:9" ht="99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59.75" customHeight="1" x14ac:dyDescent="0.25">
      <c r="A14" s="35"/>
      <c r="B14" s="90" t="s">
        <v>637</v>
      </c>
      <c r="C14" s="18">
        <f>0.17*20+0.17*20+0.5*15</f>
        <v>14.3</v>
      </c>
      <c r="D14" s="18">
        <f>C14*200</f>
        <v>2860</v>
      </c>
      <c r="E14" s="216"/>
      <c r="F14" s="204"/>
      <c r="G14" s="204"/>
      <c r="H14" s="204"/>
      <c r="I14" s="204"/>
    </row>
    <row r="15" spans="1:9" ht="24" x14ac:dyDescent="0.25">
      <c r="A15" s="35">
        <v>1200</v>
      </c>
      <c r="B15" s="40" t="s">
        <v>409</v>
      </c>
      <c r="C15" s="18">
        <f>ROUND(C14*0.2359,2)</f>
        <v>3.37</v>
      </c>
      <c r="D15" s="18">
        <f>C15*200</f>
        <v>674</v>
      </c>
      <c r="E15" s="217"/>
    </row>
    <row r="16" spans="1:9" x14ac:dyDescent="0.25">
      <c r="A16" s="35">
        <v>2341</v>
      </c>
      <c r="B16" s="35" t="s">
        <v>118</v>
      </c>
      <c r="C16" s="74"/>
      <c r="D16" s="74"/>
      <c r="E16" s="209"/>
    </row>
    <row r="17" spans="1:5" ht="93" customHeight="1" x14ac:dyDescent="0.25">
      <c r="A17" s="35"/>
      <c r="B17" s="40" t="s">
        <v>638</v>
      </c>
      <c r="C17" s="18">
        <v>2.0099999999999998</v>
      </c>
      <c r="D17" s="18">
        <f>C17*200</f>
        <v>401.99999999999994</v>
      </c>
      <c r="E17" s="209"/>
    </row>
    <row r="18" spans="1:5" x14ac:dyDescent="0.25">
      <c r="A18" s="84"/>
      <c r="B18" s="92" t="s">
        <v>87</v>
      </c>
      <c r="C18" s="82">
        <f>SUM(C13:C17)</f>
        <v>19.68</v>
      </c>
      <c r="D18" s="82">
        <f>SUM(D13:D17)</f>
        <v>3936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60" x14ac:dyDescent="0.25">
      <c r="A21" s="77"/>
      <c r="B21" s="40" t="s">
        <v>1360</v>
      </c>
      <c r="C21" s="253">
        <f>ROUND(31.85/9509,5)</f>
        <v>3.3500000000000001E-3</v>
      </c>
      <c r="D21" s="18">
        <f>C21*200</f>
        <v>0.67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1934</v>
      </c>
      <c r="C23" s="18">
        <f>ROUND(228.88/9509,5)</f>
        <v>2.4070000000000001E-2</v>
      </c>
      <c r="D23" s="18">
        <f t="shared" ref="D23:D85" si="0">C23*200</f>
        <v>4.8140000000000001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60" x14ac:dyDescent="0.25">
      <c r="A25" s="35"/>
      <c r="B25" s="40" t="s">
        <v>1935</v>
      </c>
      <c r="C25" s="18">
        <f>ROUND(382.73/9509,5)</f>
        <v>4.0250000000000001E-2</v>
      </c>
      <c r="D25" s="18">
        <f t="shared" si="0"/>
        <v>8.0500000000000007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60" x14ac:dyDescent="0.25">
      <c r="A27" s="35"/>
      <c r="B27" s="40" t="s">
        <v>1936</v>
      </c>
      <c r="C27" s="74">
        <f>ROUND(38.69/9509,5)</f>
        <v>4.0699999999999998E-3</v>
      </c>
      <c r="D27" s="18">
        <f t="shared" si="0"/>
        <v>0.81399999999999995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60" x14ac:dyDescent="0.25">
      <c r="A29" s="35"/>
      <c r="B29" s="40" t="s">
        <v>1945</v>
      </c>
      <c r="C29" s="74">
        <f>ROUND(1004.28/9509,3)</f>
        <v>0.106</v>
      </c>
      <c r="D29" s="18">
        <f t="shared" si="0"/>
        <v>21.2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60" x14ac:dyDescent="0.25">
      <c r="A31" s="34"/>
      <c r="B31" s="40" t="s">
        <v>1365</v>
      </c>
      <c r="C31" s="18">
        <f>ROUND(82.8/9509,3)</f>
        <v>8.9999999999999993E-3</v>
      </c>
      <c r="D31" s="18">
        <f t="shared" si="0"/>
        <v>1.7999999999999998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1694</v>
      </c>
      <c r="C33" s="80">
        <f>ROUND(289.4/9509,5)</f>
        <v>3.0429999999999999E-2</v>
      </c>
      <c r="D33" s="18">
        <f t="shared" si="0"/>
        <v>6.0859999999999994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1367</v>
      </c>
      <c r="C35" s="74">
        <f>ROUND(20.68/9509,3)</f>
        <v>2E-3</v>
      </c>
      <c r="D35" s="18">
        <f t="shared" si="0"/>
        <v>0.4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1368</v>
      </c>
      <c r="C37" s="74">
        <f>ROUND(58.15/9509,3)</f>
        <v>6.0000000000000001E-3</v>
      </c>
      <c r="D37" s="18">
        <f t="shared" si="0"/>
        <v>1.2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1369</v>
      </c>
      <c r="C39" s="74">
        <f>ROUND(524.45/9509,3)</f>
        <v>5.5E-2</v>
      </c>
      <c r="D39" s="18">
        <f t="shared" si="0"/>
        <v>11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1370</v>
      </c>
      <c r="C41" s="74">
        <f>ROUND(131.923/9509,3)</f>
        <v>1.4E-2</v>
      </c>
      <c r="D41" s="18">
        <f t="shared" si="0"/>
        <v>2.8000000000000003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1371</v>
      </c>
      <c r="C43" s="18">
        <f>ROUND(360.94/9509,3)</f>
        <v>3.7999999999999999E-2</v>
      </c>
      <c r="D43" s="18">
        <f t="shared" si="0"/>
        <v>7.6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1937</v>
      </c>
      <c r="C45" s="18">
        <f>ROUND(272.76/9509,5)</f>
        <v>2.8680000000000001E-2</v>
      </c>
      <c r="D45" s="18">
        <f t="shared" si="0"/>
        <v>5.7359999999999998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1938</v>
      </c>
      <c r="C47" s="74">
        <f>ROUND(12.06/9509,5)</f>
        <v>1.2700000000000001E-3</v>
      </c>
      <c r="D47" s="18">
        <f t="shared" si="0"/>
        <v>0.254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1374</v>
      </c>
      <c r="C49" s="74">
        <f>ROUND(23.35/9509,3)</f>
        <v>2E-3</v>
      </c>
      <c r="D49" s="18">
        <f t="shared" si="0"/>
        <v>0.4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1375</v>
      </c>
      <c r="C51" s="18">
        <f>ROUND(750.97/9509,3)</f>
        <v>7.9000000000000001E-2</v>
      </c>
      <c r="D51" s="18">
        <f t="shared" si="0"/>
        <v>15.8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1376</v>
      </c>
      <c r="C53" s="18">
        <f>ROUND(2620.34/9509,3)</f>
        <v>0.27600000000000002</v>
      </c>
      <c r="D53" s="18">
        <f t="shared" si="0"/>
        <v>55.2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1377</v>
      </c>
      <c r="C55" s="74">
        <f>ROUND(9.91/9509,3)</f>
        <v>1E-3</v>
      </c>
      <c r="D55" s="18">
        <f t="shared" si="0"/>
        <v>0.2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1378</v>
      </c>
      <c r="C57" s="18">
        <f>ROUND(132.32/9509,3)</f>
        <v>1.4E-2</v>
      </c>
      <c r="D57" s="18">
        <f t="shared" si="0"/>
        <v>2.8000000000000003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1379</v>
      </c>
      <c r="C59" s="74">
        <f>ROUND(72.76/9509,3)</f>
        <v>8.0000000000000002E-3</v>
      </c>
      <c r="D59" s="18">
        <f t="shared" si="0"/>
        <v>1.6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1939</v>
      </c>
      <c r="C61" s="18">
        <f>ROUND(484.21/9509,5)</f>
        <v>5.092E-2</v>
      </c>
      <c r="D61" s="18">
        <f t="shared" si="0"/>
        <v>10.183999999999999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1940</v>
      </c>
      <c r="C63" s="18">
        <f>ROUND(224.14/9509,5)</f>
        <v>2.3570000000000001E-2</v>
      </c>
      <c r="D63" s="18">
        <f t="shared" si="0"/>
        <v>4.7140000000000004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1700</v>
      </c>
      <c r="C65" s="253">
        <f>ROUND(103.21/9509,5)</f>
        <v>1.085E-2</v>
      </c>
      <c r="D65" s="18">
        <f t="shared" si="0"/>
        <v>2.17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1383</v>
      </c>
      <c r="C67" s="18">
        <f>ROUND(241.97/9509,5)</f>
        <v>2.545E-2</v>
      </c>
      <c r="D67" s="18">
        <f t="shared" si="0"/>
        <v>5.09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1946</v>
      </c>
      <c r="C69" s="18">
        <f>ROUND(87.42/9509,5)</f>
        <v>9.1900000000000003E-3</v>
      </c>
      <c r="D69" s="18">
        <f t="shared" si="0"/>
        <v>1.8380000000000001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1385</v>
      </c>
      <c r="C71" s="74">
        <f>ROUND(28.69/9509,5)</f>
        <v>3.0200000000000001E-3</v>
      </c>
      <c r="D71" s="18">
        <f t="shared" si="0"/>
        <v>0.60399999999999998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1947</v>
      </c>
      <c r="C73" s="74">
        <f>ROUND(8.56/9509,4)</f>
        <v>8.9999999999999998E-4</v>
      </c>
      <c r="D73" s="18">
        <f t="shared" si="0"/>
        <v>0.18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1948</v>
      </c>
      <c r="C75" s="74">
        <f>ROUND(58.04/9509,4)</f>
        <v>6.1000000000000004E-3</v>
      </c>
      <c r="D75" s="18">
        <f t="shared" si="0"/>
        <v>1.22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1941</v>
      </c>
      <c r="C77" s="74">
        <f>ROUND(249.88/9509,4)</f>
        <v>2.63E-2</v>
      </c>
      <c r="D77" s="18">
        <f t="shared" si="0"/>
        <v>5.26</v>
      </c>
    </row>
    <row r="78" spans="1:4" x14ac:dyDescent="0.25">
      <c r="A78" s="35">
        <v>5220</v>
      </c>
      <c r="B78" s="40" t="s">
        <v>120</v>
      </c>
      <c r="C78" s="74"/>
      <c r="D78" s="18"/>
    </row>
    <row r="79" spans="1:4" ht="48" x14ac:dyDescent="0.25">
      <c r="A79" s="35"/>
      <c r="B79" s="40" t="s">
        <v>626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5" ht="60" x14ac:dyDescent="0.25">
      <c r="A81" s="35"/>
      <c r="B81" s="40" t="s">
        <v>1942</v>
      </c>
      <c r="C81" s="74">
        <f>ROUND(61.55/9509,5)</f>
        <v>6.4700000000000001E-3</v>
      </c>
      <c r="D81" s="18">
        <f t="shared" si="0"/>
        <v>1.294</v>
      </c>
    </row>
    <row r="82" spans="1:5" x14ac:dyDescent="0.25">
      <c r="A82" s="35">
        <v>5238</v>
      </c>
      <c r="B82" s="40" t="s">
        <v>117</v>
      </c>
      <c r="C82" s="80"/>
      <c r="D82" s="18"/>
    </row>
    <row r="83" spans="1:5" ht="60" x14ac:dyDescent="0.25">
      <c r="A83" s="35"/>
      <c r="B83" s="40" t="s">
        <v>1943</v>
      </c>
      <c r="C83" s="74">
        <f>ROUND(88.34/9509,5)</f>
        <v>9.2899999999999996E-3</v>
      </c>
      <c r="D83" s="18">
        <f>C83*200-0.01</f>
        <v>1.8479999999999999</v>
      </c>
    </row>
    <row r="84" spans="1:5" x14ac:dyDescent="0.25">
      <c r="A84" s="35">
        <v>5239</v>
      </c>
      <c r="B84" s="243" t="s">
        <v>583</v>
      </c>
      <c r="C84" s="74"/>
      <c r="D84" s="18"/>
    </row>
    <row r="85" spans="1:5" ht="60" x14ac:dyDescent="0.25">
      <c r="A85" s="35"/>
      <c r="B85" s="40" t="s">
        <v>1944</v>
      </c>
      <c r="C85" s="74">
        <f>ROUND(151.09/9509,5)</f>
        <v>1.5890000000000001E-2</v>
      </c>
      <c r="D85" s="18">
        <f t="shared" si="0"/>
        <v>3.1780000000000004</v>
      </c>
    </row>
    <row r="86" spans="1:5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186</v>
      </c>
    </row>
    <row r="87" spans="1:5" ht="15.75" customHeight="1" x14ac:dyDescent="0.25">
      <c r="A87" s="83"/>
      <c r="B87" s="84" t="s">
        <v>95</v>
      </c>
      <c r="C87" s="82">
        <f>ROUND(C86+C18,3)</f>
        <v>20.61</v>
      </c>
      <c r="D87" s="82">
        <f>ROUND(D86+D18,3)</f>
        <v>4122</v>
      </c>
      <c r="E87" s="190"/>
    </row>
    <row r="88" spans="1:5" x14ac:dyDescent="0.25">
      <c r="A88" s="85"/>
      <c r="B88" s="86"/>
      <c r="C88" s="87"/>
      <c r="D88" s="87"/>
    </row>
    <row r="89" spans="1:5" ht="18.75" customHeight="1" x14ac:dyDescent="0.25">
      <c r="A89" s="302" t="s">
        <v>96</v>
      </c>
      <c r="B89" s="303"/>
      <c r="C89" s="93">
        <v>200</v>
      </c>
      <c r="D89" s="89"/>
    </row>
    <row r="90" spans="1:5" ht="21" customHeight="1" x14ac:dyDescent="0.25">
      <c r="A90" s="302" t="s">
        <v>113</v>
      </c>
      <c r="B90" s="303"/>
      <c r="C90" s="22">
        <f>D87/C89</f>
        <v>20.61</v>
      </c>
      <c r="D90" s="89"/>
    </row>
    <row r="91" spans="1:5" ht="4.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I90"/>
  <sheetViews>
    <sheetView topLeftCell="A72" workbookViewId="0">
      <selection activeCell="F85" sqref="F85"/>
    </sheetView>
  </sheetViews>
  <sheetFormatPr defaultRowHeight="15" x14ac:dyDescent="0.25"/>
  <cols>
    <col min="1" max="1" width="9" customWidth="1"/>
    <col min="2" max="2" width="62" customWidth="1"/>
    <col min="3" max="3" width="12.140625" customWidth="1"/>
    <col min="4" max="4" width="11.85546875" customWidth="1"/>
    <col min="5" max="5" width="11.140625" customWidth="1"/>
    <col min="7" max="7" width="61.7109375" customWidth="1"/>
  </cols>
  <sheetData>
    <row r="1" spans="1:9" x14ac:dyDescent="0.25">
      <c r="A1" s="319" t="s">
        <v>78</v>
      </c>
      <c r="B1" s="319"/>
      <c r="C1" s="319"/>
      <c r="D1" s="319"/>
    </row>
    <row r="2" spans="1:9" ht="10.5" customHeight="1" x14ac:dyDescent="0.25">
      <c r="A2" s="97"/>
      <c r="B2" s="97"/>
      <c r="C2" s="316"/>
      <c r="D2" s="316"/>
    </row>
    <row r="3" spans="1:9" x14ac:dyDescent="0.25">
      <c r="A3" s="98" t="s">
        <v>111</v>
      </c>
      <c r="B3" s="99"/>
      <c r="C3" s="99"/>
      <c r="D3" s="99"/>
    </row>
    <row r="4" spans="1:9" x14ac:dyDescent="0.25">
      <c r="A4" s="97"/>
      <c r="B4" s="60"/>
      <c r="C4" s="60"/>
      <c r="D4" s="60"/>
    </row>
    <row r="5" spans="1:9" ht="39" customHeight="1" x14ac:dyDescent="0.25">
      <c r="A5" s="307" t="s">
        <v>558</v>
      </c>
      <c r="B5" s="307"/>
      <c r="C5" s="307"/>
      <c r="D5" s="307"/>
    </row>
    <row r="6" spans="1:9" ht="12" customHeight="1" x14ac:dyDescent="0.25">
      <c r="A6" s="117"/>
      <c r="B6" s="60"/>
      <c r="C6" s="60"/>
      <c r="D6" s="60"/>
    </row>
    <row r="7" spans="1:9" x14ac:dyDescent="0.25">
      <c r="A7" s="308" t="s">
        <v>112</v>
      </c>
      <c r="B7" s="310"/>
      <c r="C7" s="60"/>
      <c r="D7" s="60"/>
    </row>
    <row r="8" spans="1:9" ht="8.25" customHeight="1" x14ac:dyDescent="0.25">
      <c r="A8" s="117"/>
      <c r="B8" s="118"/>
      <c r="C8" s="60"/>
      <c r="D8" s="60"/>
    </row>
    <row r="9" spans="1:9" x14ac:dyDescent="0.25">
      <c r="A9" s="318" t="s">
        <v>106</v>
      </c>
      <c r="B9" s="318"/>
      <c r="C9" s="100"/>
      <c r="D9" s="100"/>
    </row>
    <row r="10" spans="1:9" ht="112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71"/>
    </row>
    <row r="14" spans="1:9" ht="159.75" customHeight="1" x14ac:dyDescent="0.25">
      <c r="A14" s="35"/>
      <c r="B14" s="90" t="s">
        <v>639</v>
      </c>
      <c r="C14" s="18">
        <f>0.17*10+0.17*10+0.5*15</f>
        <v>10.9</v>
      </c>
      <c r="D14" s="18">
        <f>C14*10</f>
        <v>109</v>
      </c>
      <c r="E14" s="216"/>
      <c r="F14" s="204"/>
      <c r="G14" s="204"/>
      <c r="H14" s="204"/>
      <c r="I14" s="206"/>
    </row>
    <row r="15" spans="1:9" ht="24" x14ac:dyDescent="0.25">
      <c r="A15" s="35">
        <v>1200</v>
      </c>
      <c r="B15" s="40" t="s">
        <v>437</v>
      </c>
      <c r="C15" s="18">
        <f>ROUND(C14*0.2359,2)</f>
        <v>2.57</v>
      </c>
      <c r="D15" s="18">
        <f>C15*10</f>
        <v>25.7</v>
      </c>
      <c r="E15" s="208"/>
    </row>
    <row r="16" spans="1:9" x14ac:dyDescent="0.25">
      <c r="A16" s="35">
        <v>2341</v>
      </c>
      <c r="B16" s="35" t="s">
        <v>118</v>
      </c>
      <c r="C16" s="74"/>
      <c r="D16" s="74"/>
      <c r="E16" s="209"/>
    </row>
    <row r="17" spans="1:5" ht="99" customHeight="1" x14ac:dyDescent="0.25">
      <c r="A17" s="35"/>
      <c r="B17" s="40" t="s">
        <v>428</v>
      </c>
      <c r="C17" s="18">
        <v>1.43</v>
      </c>
      <c r="D17" s="18">
        <f>C17*10</f>
        <v>14.299999999999999</v>
      </c>
      <c r="E17" s="209"/>
    </row>
    <row r="18" spans="1:5" x14ac:dyDescent="0.25">
      <c r="A18" s="35"/>
      <c r="B18" s="92" t="s">
        <v>87</v>
      </c>
      <c r="C18" s="82">
        <f>SUM(C13:C17)</f>
        <v>14.9</v>
      </c>
      <c r="D18" s="82">
        <f>SUM(D13:D17)</f>
        <v>149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6" t="s">
        <v>584</v>
      </c>
      <c r="C20" s="78"/>
      <c r="D20" s="78"/>
    </row>
    <row r="21" spans="1:5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18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18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15.83</v>
      </c>
      <c r="D87" s="82">
        <f>ROUND(D86+D18,3)</f>
        <v>158.30000000000001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7.75" customHeight="1" x14ac:dyDescent="0.25">
      <c r="A90" s="302" t="s">
        <v>113</v>
      </c>
      <c r="B90" s="303"/>
      <c r="C90" s="22">
        <f>D87/C89</f>
        <v>15.830000000000002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I91"/>
  <sheetViews>
    <sheetView topLeftCell="A76" workbookViewId="0">
      <selection activeCell="D94" sqref="D94"/>
    </sheetView>
  </sheetViews>
  <sheetFormatPr defaultRowHeight="15" x14ac:dyDescent="0.25"/>
  <cols>
    <col min="2" max="2" width="60.140625" customWidth="1"/>
    <col min="4" max="4" width="11" customWidth="1"/>
    <col min="5" max="5" width="11.5703125" customWidth="1"/>
    <col min="7" max="7" width="63.28515625" customWidth="1"/>
  </cols>
  <sheetData>
    <row r="1" spans="1:9" x14ac:dyDescent="0.25">
      <c r="A1" s="315" t="s">
        <v>78</v>
      </c>
      <c r="B1" s="315"/>
      <c r="C1" s="315"/>
      <c r="D1" s="315"/>
    </row>
    <row r="2" spans="1:9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x14ac:dyDescent="0.25">
      <c r="A4" s="97"/>
      <c r="B4" s="60"/>
      <c r="C4" s="60"/>
      <c r="D4" s="96"/>
    </row>
    <row r="5" spans="1:9" ht="38.25" customHeight="1" x14ac:dyDescent="0.25">
      <c r="A5" s="307" t="s">
        <v>559</v>
      </c>
      <c r="B5" s="307"/>
      <c r="C5" s="307"/>
      <c r="D5" s="307"/>
    </row>
    <row r="6" spans="1:9" ht="6.75" customHeight="1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ht="9" customHeight="1" x14ac:dyDescent="0.25">
      <c r="A8" s="117"/>
      <c r="B8" s="118"/>
      <c r="C8" s="60"/>
      <c r="D8" s="96"/>
    </row>
    <row r="9" spans="1:9" x14ac:dyDescent="0.25">
      <c r="A9" s="318" t="s">
        <v>106</v>
      </c>
      <c r="B9" s="318"/>
      <c r="C9" s="60"/>
      <c r="D9" s="96"/>
    </row>
    <row r="10" spans="1:9" ht="3" customHeight="1" x14ac:dyDescent="0.25">
      <c r="A10" s="97"/>
      <c r="B10" s="101"/>
      <c r="C10" s="100"/>
      <c r="D10" s="96"/>
    </row>
    <row r="11" spans="1:9" ht="61.5" customHeight="1" x14ac:dyDescent="0.25">
      <c r="A11" s="63" t="s">
        <v>80</v>
      </c>
      <c r="B11" s="63" t="s">
        <v>81</v>
      </c>
      <c r="C11" s="63" t="s">
        <v>82</v>
      </c>
      <c r="D11" s="63" t="s">
        <v>83</v>
      </c>
    </row>
    <row r="12" spans="1:9" x14ac:dyDescent="0.25">
      <c r="A12" s="64">
        <v>1</v>
      </c>
      <c r="B12" s="65">
        <v>2</v>
      </c>
      <c r="C12" s="64">
        <v>3</v>
      </c>
      <c r="D12" s="64">
        <v>4</v>
      </c>
    </row>
    <row r="13" spans="1:9" x14ac:dyDescent="0.25">
      <c r="A13" s="64"/>
      <c r="B13" s="81" t="s">
        <v>84</v>
      </c>
      <c r="C13" s="68"/>
      <c r="D13" s="68"/>
    </row>
    <row r="14" spans="1:9" x14ac:dyDescent="0.25">
      <c r="A14" s="94">
        <v>1100</v>
      </c>
      <c r="B14" s="95" t="s">
        <v>85</v>
      </c>
      <c r="C14" s="71"/>
      <c r="D14" s="71"/>
    </row>
    <row r="15" spans="1:9" ht="151.5" customHeight="1" x14ac:dyDescent="0.25">
      <c r="A15" s="35"/>
      <c r="B15" s="90" t="s">
        <v>640</v>
      </c>
      <c r="C15" s="18">
        <f>0.17*15+0.17*15+0.5*15</f>
        <v>12.600000000000001</v>
      </c>
      <c r="D15" s="18">
        <f>C15*10</f>
        <v>126.00000000000001</v>
      </c>
      <c r="E15" s="216"/>
      <c r="F15" s="204"/>
      <c r="G15" s="204"/>
      <c r="H15" s="204"/>
      <c r="I15" s="204"/>
    </row>
    <row r="16" spans="1:9" ht="24" x14ac:dyDescent="0.25">
      <c r="A16" s="35">
        <v>1200</v>
      </c>
      <c r="B16" s="40" t="s">
        <v>438</v>
      </c>
      <c r="C16" s="18">
        <f>ROUND(C15*0.2359,2)</f>
        <v>2.97</v>
      </c>
      <c r="D16" s="18">
        <f>C16*10</f>
        <v>29.700000000000003</v>
      </c>
      <c r="E16" s="217"/>
    </row>
    <row r="17" spans="1:5" x14ac:dyDescent="0.25">
      <c r="A17" s="35">
        <v>2341</v>
      </c>
      <c r="B17" s="35" t="s">
        <v>107</v>
      </c>
      <c r="C17" s="74"/>
      <c r="D17" s="74"/>
    </row>
    <row r="18" spans="1:5" ht="87" customHeight="1" x14ac:dyDescent="0.25">
      <c r="A18" s="35"/>
      <c r="B18" s="40" t="s">
        <v>429</v>
      </c>
      <c r="C18" s="18">
        <v>5.24</v>
      </c>
      <c r="D18" s="18">
        <f>C18*10</f>
        <v>52.400000000000006</v>
      </c>
      <c r="E18" s="189"/>
    </row>
    <row r="19" spans="1:5" x14ac:dyDescent="0.25">
      <c r="A19" s="35"/>
      <c r="B19" s="92" t="s">
        <v>87</v>
      </c>
      <c r="C19" s="82">
        <f>SUM(C14:C18)</f>
        <v>20.810000000000002</v>
      </c>
      <c r="D19" s="82">
        <f>SUM(D14:D18)</f>
        <v>208.10000000000002</v>
      </c>
      <c r="E19" s="211"/>
    </row>
    <row r="20" spans="1:5" x14ac:dyDescent="0.25">
      <c r="A20" s="77"/>
      <c r="B20" s="176" t="s">
        <v>88</v>
      </c>
      <c r="C20" s="78"/>
      <c r="D20" s="78"/>
    </row>
    <row r="21" spans="1:5" x14ac:dyDescent="0.25">
      <c r="A21" s="35">
        <v>2100</v>
      </c>
      <c r="B21" s="246" t="s">
        <v>584</v>
      </c>
      <c r="C21" s="78"/>
      <c r="D21" s="78"/>
    </row>
    <row r="22" spans="1:5" ht="48" x14ac:dyDescent="0.25">
      <c r="A22" s="77"/>
      <c r="B22" s="40" t="s">
        <v>1557</v>
      </c>
      <c r="C22" s="74">
        <f>ROUND(31.85/9509,3)</f>
        <v>3.0000000000000001E-3</v>
      </c>
      <c r="D22" s="18">
        <f>C22*10</f>
        <v>0.03</v>
      </c>
    </row>
    <row r="23" spans="1:5" x14ac:dyDescent="0.25">
      <c r="A23" s="35">
        <v>2210</v>
      </c>
      <c r="B23" s="40" t="s">
        <v>568</v>
      </c>
      <c r="C23" s="74"/>
      <c r="D23" s="74"/>
    </row>
    <row r="24" spans="1:5" ht="48" x14ac:dyDescent="0.25">
      <c r="A24" s="35"/>
      <c r="B24" s="40" t="s">
        <v>1558</v>
      </c>
      <c r="C24" s="18">
        <f>ROUND(228.88/9509,3)</f>
        <v>2.4E-2</v>
      </c>
      <c r="D24" s="18">
        <f t="shared" ref="D24:D86" si="0">C24*10</f>
        <v>0.24</v>
      </c>
    </row>
    <row r="25" spans="1:5" x14ac:dyDescent="0.25">
      <c r="A25" s="35">
        <v>2221</v>
      </c>
      <c r="B25" s="40" t="s">
        <v>89</v>
      </c>
      <c r="C25" s="18"/>
      <c r="D25" s="18"/>
    </row>
    <row r="26" spans="1:5" ht="48" x14ac:dyDescent="0.25">
      <c r="A26" s="35"/>
      <c r="B26" s="40" t="s">
        <v>1559</v>
      </c>
      <c r="C26" s="18">
        <f>ROUND(382.73/9509,3)</f>
        <v>0.04</v>
      </c>
      <c r="D26" s="18">
        <f t="shared" si="0"/>
        <v>0.4</v>
      </c>
    </row>
    <row r="27" spans="1:5" x14ac:dyDescent="0.25">
      <c r="A27" s="35">
        <v>2222</v>
      </c>
      <c r="B27" s="242" t="s">
        <v>90</v>
      </c>
      <c r="C27" s="18"/>
      <c r="D27" s="18"/>
    </row>
    <row r="28" spans="1:5" ht="48" x14ac:dyDescent="0.25">
      <c r="A28" s="35"/>
      <c r="B28" s="40" t="s">
        <v>1560</v>
      </c>
      <c r="C28" s="74">
        <f>ROUND(38.69/9509,3)</f>
        <v>4.0000000000000001E-3</v>
      </c>
      <c r="D28" s="18">
        <f t="shared" si="0"/>
        <v>0.04</v>
      </c>
    </row>
    <row r="29" spans="1:5" x14ac:dyDescent="0.25">
      <c r="A29" s="35">
        <v>2223</v>
      </c>
      <c r="B29" s="35" t="s">
        <v>91</v>
      </c>
      <c r="C29" s="74"/>
      <c r="D29" s="18"/>
    </row>
    <row r="30" spans="1:5" ht="48" x14ac:dyDescent="0.25">
      <c r="A30" s="35"/>
      <c r="B30" s="40" t="s">
        <v>1561</v>
      </c>
      <c r="C30" s="74">
        <f>ROUND(1004.28/9509,3)</f>
        <v>0.106</v>
      </c>
      <c r="D30" s="18">
        <f t="shared" si="0"/>
        <v>1.06</v>
      </c>
    </row>
    <row r="31" spans="1:5" ht="24" x14ac:dyDescent="0.25">
      <c r="A31" s="35">
        <v>2224</v>
      </c>
      <c r="B31" s="40" t="s">
        <v>115</v>
      </c>
      <c r="C31" s="74"/>
      <c r="D31" s="18"/>
    </row>
    <row r="32" spans="1:5" ht="48" x14ac:dyDescent="0.25">
      <c r="A32" s="34"/>
      <c r="B32" s="40" t="s">
        <v>1562</v>
      </c>
      <c r="C32" s="18">
        <f>ROUND(82.8/9509,3)</f>
        <v>8.9999999999999993E-3</v>
      </c>
      <c r="D32" s="18">
        <f t="shared" si="0"/>
        <v>0.09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48" x14ac:dyDescent="0.25">
      <c r="A34" s="35"/>
      <c r="B34" s="40" t="s">
        <v>1563</v>
      </c>
      <c r="C34" s="18">
        <f>ROUND(289.4/9509,3)</f>
        <v>0.03</v>
      </c>
      <c r="D34" s="18">
        <f t="shared" si="0"/>
        <v>0.3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1588</v>
      </c>
      <c r="C36" s="74">
        <f>ROUND(20.68/9509,3)</f>
        <v>2E-3</v>
      </c>
      <c r="D36" s="18">
        <f t="shared" si="0"/>
        <v>0.02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1564</v>
      </c>
      <c r="C38" s="74">
        <f>ROUND(58.15/9509,3)</f>
        <v>6.0000000000000001E-3</v>
      </c>
      <c r="D38" s="18">
        <f t="shared" si="0"/>
        <v>0.06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48" x14ac:dyDescent="0.25">
      <c r="A40" s="35"/>
      <c r="B40" s="40" t="s">
        <v>1565</v>
      </c>
      <c r="C40" s="74">
        <f>ROUND(524.45/9509,3)</f>
        <v>5.5E-2</v>
      </c>
      <c r="D40" s="18">
        <f t="shared" si="0"/>
        <v>0.55000000000000004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48" x14ac:dyDescent="0.25">
      <c r="A42" s="35"/>
      <c r="B42" s="40" t="s">
        <v>1566</v>
      </c>
      <c r="C42" s="74">
        <f>ROUND(131.923/9509,3)</f>
        <v>1.4E-2</v>
      </c>
      <c r="D42" s="18">
        <f t="shared" si="0"/>
        <v>0.14000000000000001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48" x14ac:dyDescent="0.25">
      <c r="A44" s="35"/>
      <c r="B44" s="40" t="s">
        <v>1567</v>
      </c>
      <c r="C44" s="18">
        <f>ROUND(360.94/9509,3)</f>
        <v>3.7999999999999999E-2</v>
      </c>
      <c r="D44" s="18">
        <f t="shared" si="0"/>
        <v>0.38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48" x14ac:dyDescent="0.25">
      <c r="A46" s="79"/>
      <c r="B46" s="40" t="s">
        <v>1568</v>
      </c>
      <c r="C46" s="18">
        <f>ROUND(272.76/9509,3)</f>
        <v>2.9000000000000001E-2</v>
      </c>
      <c r="D46" s="18">
        <f t="shared" si="0"/>
        <v>0.29000000000000004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48" x14ac:dyDescent="0.25">
      <c r="A48" s="79"/>
      <c r="B48" s="40" t="s">
        <v>1569</v>
      </c>
      <c r="C48" s="74">
        <f>ROUND(12.06/9509,3)</f>
        <v>1E-3</v>
      </c>
      <c r="D48" s="18">
        <f t="shared" si="0"/>
        <v>0.01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1570</v>
      </c>
      <c r="C50" s="74">
        <f>ROUND(23.35/9509,3)</f>
        <v>2E-3</v>
      </c>
      <c r="D50" s="18">
        <f t="shared" si="0"/>
        <v>0.02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48" x14ac:dyDescent="0.25">
      <c r="A52" s="35"/>
      <c r="B52" s="40" t="s">
        <v>1571</v>
      </c>
      <c r="C52" s="18">
        <f>ROUND(750.97/9509,3)</f>
        <v>7.9000000000000001E-2</v>
      </c>
      <c r="D52" s="18">
        <f t="shared" si="0"/>
        <v>0.79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48" x14ac:dyDescent="0.25">
      <c r="A54" s="35"/>
      <c r="B54" s="40" t="s">
        <v>1573</v>
      </c>
      <c r="C54" s="18">
        <f>ROUND(2620.34/9509,3)</f>
        <v>0.27600000000000002</v>
      </c>
      <c r="D54" s="18">
        <f t="shared" si="0"/>
        <v>2.7600000000000002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48" x14ac:dyDescent="0.25">
      <c r="A56" s="35"/>
      <c r="B56" s="40" t="s">
        <v>1572</v>
      </c>
      <c r="C56" s="74">
        <f>ROUND(9.91/9509,3)</f>
        <v>1E-3</v>
      </c>
      <c r="D56" s="18">
        <f t="shared" si="0"/>
        <v>0.01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1574</v>
      </c>
      <c r="C58" s="18">
        <f>ROUND(132.32/9509,3)</f>
        <v>1.4E-2</v>
      </c>
      <c r="D58" s="18">
        <f t="shared" si="0"/>
        <v>0.14000000000000001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1575</v>
      </c>
      <c r="C60" s="74">
        <f>ROUND(72.76/9509,3)</f>
        <v>8.0000000000000002E-3</v>
      </c>
      <c r="D60" s="18">
        <f t="shared" si="0"/>
        <v>0.08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48" x14ac:dyDescent="0.25">
      <c r="A62" s="35"/>
      <c r="B62" s="40" t="s">
        <v>1576</v>
      </c>
      <c r="C62" s="18">
        <f>ROUND(484.21/9509,3)</f>
        <v>5.0999999999999997E-2</v>
      </c>
      <c r="D62" s="18">
        <f t="shared" si="0"/>
        <v>0.51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48" x14ac:dyDescent="0.25">
      <c r="A64" s="35"/>
      <c r="B64" s="40" t="s">
        <v>1578</v>
      </c>
      <c r="C64" s="18">
        <f>ROUND(224.14/9509,3)</f>
        <v>2.4E-2</v>
      </c>
      <c r="D64" s="18">
        <f t="shared" si="0"/>
        <v>0.24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48" x14ac:dyDescent="0.25">
      <c r="A66" s="35"/>
      <c r="B66" s="40" t="s">
        <v>1577</v>
      </c>
      <c r="C66" s="18">
        <f>ROUND(103.21/9509,3)</f>
        <v>1.0999999999999999E-2</v>
      </c>
      <c r="D66" s="18">
        <f t="shared" si="0"/>
        <v>0.10999999999999999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48" x14ac:dyDescent="0.25">
      <c r="A68" s="35"/>
      <c r="B68" s="40" t="s">
        <v>1579</v>
      </c>
      <c r="C68" s="18">
        <f>ROUND(241.97/9509,5)</f>
        <v>2.545E-2</v>
      </c>
      <c r="D68" s="18">
        <f t="shared" si="0"/>
        <v>0.2545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1580</v>
      </c>
      <c r="C70" s="18">
        <f>ROUND(87.42/9509,3)</f>
        <v>8.9999999999999993E-3</v>
      </c>
      <c r="D70" s="18">
        <f t="shared" si="0"/>
        <v>0.09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1581</v>
      </c>
      <c r="C72" s="74">
        <f>ROUND(28.69/9509,5)</f>
        <v>3.0200000000000001E-3</v>
      </c>
      <c r="D72" s="18">
        <f t="shared" si="0"/>
        <v>3.0200000000000001E-2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48" x14ac:dyDescent="0.25">
      <c r="A74" s="35"/>
      <c r="B74" s="40" t="s">
        <v>1582</v>
      </c>
      <c r="C74" s="74">
        <f>ROUND(8.56/9509,5)</f>
        <v>8.9999999999999998E-4</v>
      </c>
      <c r="D74" s="18">
        <f t="shared" si="0"/>
        <v>8.9999999999999993E-3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1583</v>
      </c>
      <c r="C76" s="74">
        <f>ROUND(58.04/9509,5)</f>
        <v>6.1000000000000004E-3</v>
      </c>
      <c r="D76" s="18">
        <f t="shared" si="0"/>
        <v>6.1000000000000006E-2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1584</v>
      </c>
      <c r="C78" s="74">
        <f>ROUND(249.88/9509,5)</f>
        <v>2.6280000000000001E-2</v>
      </c>
      <c r="D78" s="18">
        <f t="shared" si="0"/>
        <v>0.26280000000000003</v>
      </c>
    </row>
    <row r="79" spans="1:4" x14ac:dyDescent="0.25">
      <c r="A79" s="35">
        <v>5220</v>
      </c>
      <c r="B79" s="40" t="s">
        <v>120</v>
      </c>
      <c r="C79" s="18"/>
      <c r="D79" s="18"/>
    </row>
    <row r="80" spans="1:4" ht="48" x14ac:dyDescent="0.25">
      <c r="A80" s="35"/>
      <c r="B80" s="40" t="s">
        <v>623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48" x14ac:dyDescent="0.25">
      <c r="A82" s="35"/>
      <c r="B82" s="40" t="s">
        <v>1585</v>
      </c>
      <c r="C82" s="74">
        <f>ROUND(61.55/9509,5)</f>
        <v>6.4700000000000001E-3</v>
      </c>
      <c r="D82" s="18">
        <f t="shared" si="0"/>
        <v>6.4700000000000008E-2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48" x14ac:dyDescent="0.25">
      <c r="A84" s="35"/>
      <c r="B84" s="40" t="s">
        <v>1586</v>
      </c>
      <c r="C84" s="74">
        <f>ROUND(88.34/9509,5)</f>
        <v>9.2899999999999996E-3</v>
      </c>
      <c r="D84" s="18">
        <f t="shared" si="0"/>
        <v>9.2899999999999996E-2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48" x14ac:dyDescent="0.25">
      <c r="A86" s="35"/>
      <c r="B86" s="40" t="s">
        <v>1587</v>
      </c>
      <c r="C86" s="74">
        <f>ROUND(151.09/9509,3)</f>
        <v>1.6E-2</v>
      </c>
      <c r="D86" s="18">
        <f t="shared" si="0"/>
        <v>0.16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9.3000000000000007</v>
      </c>
    </row>
    <row r="88" spans="1:4" x14ac:dyDescent="0.25">
      <c r="A88" s="83"/>
      <c r="B88" s="84" t="s">
        <v>95</v>
      </c>
      <c r="C88" s="82">
        <f>ROUND(C87+C19,3)</f>
        <v>21.74</v>
      </c>
      <c r="D88" s="82">
        <f>ROUND(D87+D19,3)</f>
        <v>217.4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10</v>
      </c>
      <c r="D90" s="89"/>
    </row>
    <row r="91" spans="1:4" ht="28.5" customHeight="1" x14ac:dyDescent="0.25">
      <c r="A91" s="302" t="s">
        <v>113</v>
      </c>
      <c r="B91" s="303"/>
      <c r="C91" s="22">
        <f>D88/C90</f>
        <v>21.740000000000002</v>
      </c>
      <c r="D91" s="89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I90"/>
  <sheetViews>
    <sheetView topLeftCell="A75" workbookViewId="0">
      <selection activeCell="B85" sqref="B85"/>
    </sheetView>
  </sheetViews>
  <sheetFormatPr defaultRowHeight="15" x14ac:dyDescent="0.25"/>
  <cols>
    <col min="1" max="1" width="9.5703125" customWidth="1"/>
    <col min="2" max="2" width="58.140625" customWidth="1"/>
    <col min="3" max="4" width="11.28515625" customWidth="1"/>
    <col min="5" max="5" width="14.42578125" customWidth="1"/>
  </cols>
  <sheetData>
    <row r="1" spans="1:9" x14ac:dyDescent="0.25">
      <c r="A1" s="315" t="s">
        <v>78</v>
      </c>
      <c r="B1" s="315"/>
      <c r="C1" s="315"/>
      <c r="D1" s="315"/>
    </row>
    <row r="2" spans="1:9" ht="10.5" customHeight="1" x14ac:dyDescent="0.25">
      <c r="A2" s="97"/>
      <c r="B2" s="97"/>
      <c r="C2" s="316"/>
      <c r="D2" s="317"/>
    </row>
    <row r="3" spans="1:9" x14ac:dyDescent="0.25">
      <c r="A3" s="98" t="s">
        <v>111</v>
      </c>
      <c r="B3" s="99"/>
      <c r="C3" s="99"/>
      <c r="D3" s="99"/>
    </row>
    <row r="4" spans="1:9" ht="10.5" customHeight="1" x14ac:dyDescent="0.25">
      <c r="A4" s="97"/>
      <c r="B4" s="60"/>
      <c r="C4" s="60"/>
      <c r="D4" s="96"/>
    </row>
    <row r="5" spans="1:9" ht="36" customHeight="1" x14ac:dyDescent="0.25">
      <c r="A5" s="307" t="s">
        <v>560</v>
      </c>
      <c r="B5" s="307"/>
      <c r="C5" s="307"/>
      <c r="D5" s="307"/>
    </row>
    <row r="6" spans="1:9" ht="9.75" customHeight="1" x14ac:dyDescent="0.25">
      <c r="A6" s="117"/>
      <c r="B6" s="60"/>
      <c r="C6" s="60"/>
      <c r="D6" s="96"/>
    </row>
    <row r="7" spans="1:9" x14ac:dyDescent="0.25">
      <c r="A7" s="308" t="s">
        <v>112</v>
      </c>
      <c r="B7" s="310"/>
      <c r="C7" s="60"/>
      <c r="D7" s="96"/>
    </row>
    <row r="8" spans="1:9" ht="4.5" customHeight="1" x14ac:dyDescent="0.25">
      <c r="A8" s="117"/>
      <c r="B8" s="118"/>
      <c r="C8" s="60"/>
      <c r="D8" s="96"/>
    </row>
    <row r="9" spans="1:9" x14ac:dyDescent="0.25">
      <c r="A9" s="318" t="s">
        <v>110</v>
      </c>
      <c r="B9" s="318"/>
      <c r="C9" s="60"/>
      <c r="D9" s="96"/>
    </row>
    <row r="10" spans="1:9" ht="108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9" x14ac:dyDescent="0.25">
      <c r="A11" s="64">
        <v>1</v>
      </c>
      <c r="B11" s="65">
        <v>2</v>
      </c>
      <c r="C11" s="64">
        <v>3</v>
      </c>
      <c r="D11" s="64">
        <v>4</v>
      </c>
    </row>
    <row r="12" spans="1:9" x14ac:dyDescent="0.25">
      <c r="A12" s="64"/>
      <c r="B12" s="81" t="s">
        <v>84</v>
      </c>
      <c r="C12" s="68"/>
      <c r="D12" s="68"/>
    </row>
    <row r="13" spans="1:9" x14ac:dyDescent="0.25">
      <c r="A13" s="94">
        <v>1100</v>
      </c>
      <c r="B13" s="95" t="s">
        <v>85</v>
      </c>
      <c r="C13" s="71"/>
      <c r="D13" s="68"/>
      <c r="F13" s="190"/>
    </row>
    <row r="14" spans="1:9" ht="156" customHeight="1" x14ac:dyDescent="0.25">
      <c r="A14" s="35"/>
      <c r="B14" s="90" t="s">
        <v>436</v>
      </c>
      <c r="C14" s="18">
        <f>0.17*10+0.17*10+0.5*15</f>
        <v>10.9</v>
      </c>
      <c r="D14" s="18">
        <f>C14*5</f>
        <v>54.5</v>
      </c>
      <c r="E14" s="216"/>
      <c r="F14" s="223"/>
      <c r="G14" s="204"/>
      <c r="H14" s="204"/>
      <c r="I14" s="204"/>
    </row>
    <row r="15" spans="1:9" ht="24" x14ac:dyDescent="0.25">
      <c r="A15" s="35">
        <v>1200</v>
      </c>
      <c r="B15" s="40" t="s">
        <v>437</v>
      </c>
      <c r="C15" s="18">
        <f>ROUND(C14*0.2359,2)</f>
        <v>2.57</v>
      </c>
      <c r="D15" s="18">
        <f>C15*5</f>
        <v>12.85</v>
      </c>
      <c r="E15" s="208"/>
    </row>
    <row r="16" spans="1:9" x14ac:dyDescent="0.25">
      <c r="A16" s="35">
        <v>2341</v>
      </c>
      <c r="B16" s="35" t="s">
        <v>97</v>
      </c>
      <c r="C16" s="74"/>
      <c r="D16" s="74"/>
    </row>
    <row r="17" spans="1:7" ht="74.25" customHeight="1" x14ac:dyDescent="0.25">
      <c r="A17" s="35"/>
      <c r="B17" s="40" t="s">
        <v>566</v>
      </c>
      <c r="C17" s="18">
        <v>5.66</v>
      </c>
      <c r="D17" s="18">
        <f>C17*5</f>
        <v>28.3</v>
      </c>
      <c r="E17" s="225"/>
      <c r="F17" s="224"/>
      <c r="G17" s="224"/>
    </row>
    <row r="18" spans="1:7" x14ac:dyDescent="0.25">
      <c r="A18" s="84"/>
      <c r="B18" s="92" t="s">
        <v>87</v>
      </c>
      <c r="C18" s="82">
        <f>SUM(C13:C17)</f>
        <v>19.130000000000003</v>
      </c>
      <c r="D18" s="82">
        <f>SUM(D13:D17)</f>
        <v>95.649999999999991</v>
      </c>
      <c r="E18" s="211"/>
    </row>
    <row r="19" spans="1:7" x14ac:dyDescent="0.25">
      <c r="A19" s="77"/>
      <c r="B19" s="176" t="s">
        <v>88</v>
      </c>
      <c r="C19" s="78"/>
      <c r="D19" s="78"/>
    </row>
    <row r="20" spans="1:7" x14ac:dyDescent="0.25">
      <c r="A20" s="35">
        <v>2100</v>
      </c>
      <c r="B20" s="244" t="s">
        <v>584</v>
      </c>
      <c r="C20" s="78"/>
      <c r="D20" s="78"/>
    </row>
    <row r="21" spans="1:7" ht="60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7" x14ac:dyDescent="0.25">
      <c r="A22" s="35">
        <v>2210</v>
      </c>
      <c r="B22" s="40" t="s">
        <v>568</v>
      </c>
      <c r="C22" s="74"/>
      <c r="D22" s="74"/>
    </row>
    <row r="23" spans="1:7" ht="60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7" x14ac:dyDescent="0.25">
      <c r="A24" s="35">
        <v>2221</v>
      </c>
      <c r="B24" s="40" t="s">
        <v>89</v>
      </c>
      <c r="C24" s="18"/>
      <c r="D24" s="18"/>
    </row>
    <row r="25" spans="1:7" ht="60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7" x14ac:dyDescent="0.25">
      <c r="A26" s="35">
        <v>2222</v>
      </c>
      <c r="B26" s="242" t="s">
        <v>90</v>
      </c>
      <c r="C26" s="18"/>
      <c r="D26" s="18"/>
    </row>
    <row r="27" spans="1:7" ht="60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7" x14ac:dyDescent="0.25">
      <c r="A28" s="35">
        <v>2223</v>
      </c>
      <c r="B28" s="35" t="s">
        <v>91</v>
      </c>
      <c r="C28" s="74"/>
      <c r="D28" s="18"/>
    </row>
    <row r="29" spans="1:7" ht="60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7" ht="24" x14ac:dyDescent="0.25">
      <c r="A30" s="35">
        <v>2224</v>
      </c>
      <c r="B30" s="40" t="s">
        <v>115</v>
      </c>
      <c r="C30" s="74"/>
      <c r="D30" s="18"/>
    </row>
    <row r="31" spans="1:7" ht="48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7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1662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620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624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20.059999999999999</v>
      </c>
      <c r="D87" s="82">
        <f>ROUND(D86+D18,3)</f>
        <v>100.3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20.059999999999999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F89"/>
  <sheetViews>
    <sheetView topLeftCell="A75" workbookViewId="0">
      <selection activeCell="B82" sqref="B82"/>
    </sheetView>
  </sheetViews>
  <sheetFormatPr defaultRowHeight="15" x14ac:dyDescent="0.25"/>
  <cols>
    <col min="2" max="2" width="57.85546875" customWidth="1"/>
    <col min="3" max="3" width="10.5703125" customWidth="1"/>
    <col min="4" max="4" width="13" customWidth="1"/>
    <col min="6" max="6" width="10.42578125" customWidth="1"/>
  </cols>
  <sheetData>
    <row r="1" spans="1:6" x14ac:dyDescent="0.25">
      <c r="A1" s="304" t="s">
        <v>78</v>
      </c>
      <c r="B1" s="304"/>
      <c r="C1" s="304"/>
      <c r="D1" s="304"/>
    </row>
    <row r="2" spans="1:6" ht="10.5" customHeight="1" x14ac:dyDescent="0.25">
      <c r="A2" s="55"/>
      <c r="B2" s="55"/>
      <c r="C2" s="305"/>
      <c r="D2" s="306"/>
    </row>
    <row r="3" spans="1:6" x14ac:dyDescent="0.25">
      <c r="A3" s="56" t="s">
        <v>111</v>
      </c>
      <c r="B3" s="57"/>
      <c r="C3" s="57"/>
      <c r="D3" s="57"/>
    </row>
    <row r="4" spans="1:6" ht="5.25" customHeight="1" x14ac:dyDescent="0.25">
      <c r="A4" s="55"/>
      <c r="B4" s="58"/>
      <c r="C4" s="58"/>
      <c r="D4" s="59"/>
    </row>
    <row r="5" spans="1:6" ht="36.75" customHeight="1" x14ac:dyDescent="0.25">
      <c r="A5" s="307" t="s">
        <v>498</v>
      </c>
      <c r="B5" s="307"/>
      <c r="C5" s="307"/>
      <c r="D5" s="307"/>
    </row>
    <row r="6" spans="1:6" ht="9.75" customHeight="1" x14ac:dyDescent="0.25">
      <c r="A6" s="122"/>
      <c r="B6" s="60"/>
      <c r="C6" s="60"/>
      <c r="D6" s="59"/>
    </row>
    <row r="7" spans="1:6" x14ac:dyDescent="0.25">
      <c r="A7" s="308" t="s">
        <v>112</v>
      </c>
      <c r="B7" s="310"/>
      <c r="C7" s="60"/>
      <c r="D7" s="59"/>
    </row>
    <row r="8" spans="1:6" ht="6" customHeight="1" x14ac:dyDescent="0.25">
      <c r="A8" s="55"/>
      <c r="B8" s="61"/>
      <c r="C8" s="62"/>
      <c r="D8" s="59"/>
    </row>
    <row r="9" spans="1:6" x14ac:dyDescent="0.25">
      <c r="A9" s="309" t="s">
        <v>184</v>
      </c>
      <c r="B9" s="309"/>
      <c r="C9" s="62"/>
      <c r="D9" s="59"/>
    </row>
    <row r="10" spans="1:6" ht="96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6" x14ac:dyDescent="0.25">
      <c r="A11" s="64">
        <v>1</v>
      </c>
      <c r="B11" s="65">
        <v>2</v>
      </c>
      <c r="C11" s="64">
        <v>3</v>
      </c>
      <c r="D11" s="64">
        <v>4</v>
      </c>
    </row>
    <row r="12" spans="1:6" x14ac:dyDescent="0.25">
      <c r="A12" s="66"/>
      <c r="B12" s="67" t="s">
        <v>84</v>
      </c>
      <c r="C12" s="68"/>
      <c r="D12" s="68"/>
    </row>
    <row r="13" spans="1:6" x14ac:dyDescent="0.25">
      <c r="A13" s="69">
        <v>1100</v>
      </c>
      <c r="B13" s="70" t="s">
        <v>85</v>
      </c>
      <c r="C13" s="71"/>
      <c r="D13" s="71"/>
    </row>
    <row r="14" spans="1:6" ht="173.25" customHeight="1" x14ac:dyDescent="0.25">
      <c r="A14" s="50"/>
      <c r="B14" s="72" t="s">
        <v>452</v>
      </c>
      <c r="C14" s="18">
        <f>0.17*6+0.17*6+ 1.02/2+0.5*15</f>
        <v>10.050000000000001</v>
      </c>
      <c r="D14" s="18">
        <f>C14*1</f>
        <v>10.050000000000001</v>
      </c>
      <c r="E14" s="339"/>
      <c r="F14" s="340"/>
    </row>
    <row r="15" spans="1:6" ht="24" x14ac:dyDescent="0.25">
      <c r="A15" s="50">
        <v>1200</v>
      </c>
      <c r="B15" s="73" t="s">
        <v>453</v>
      </c>
      <c r="C15" s="18">
        <f>ROUND(C14*0.2359,2)</f>
        <v>2.37</v>
      </c>
      <c r="D15" s="18">
        <f>ROUND(D14*0.2359,2)</f>
        <v>2.37</v>
      </c>
    </row>
    <row r="16" spans="1:6" x14ac:dyDescent="0.25">
      <c r="A16" s="35">
        <v>2341</v>
      </c>
      <c r="B16" s="35" t="s">
        <v>97</v>
      </c>
      <c r="C16" s="74"/>
      <c r="D16" s="74"/>
    </row>
    <row r="17" spans="1:4" ht="96" x14ac:dyDescent="0.25">
      <c r="A17" s="50"/>
      <c r="B17" s="73" t="s">
        <v>199</v>
      </c>
      <c r="C17" s="18">
        <v>1.08</v>
      </c>
      <c r="D17" s="18">
        <f>C17*1</f>
        <v>1.08</v>
      </c>
    </row>
    <row r="18" spans="1:4" x14ac:dyDescent="0.25">
      <c r="A18" s="50"/>
      <c r="B18" s="92" t="s">
        <v>87</v>
      </c>
      <c r="C18" s="82">
        <f>SUM(C13:C17)</f>
        <v>13.500000000000002</v>
      </c>
      <c r="D18" s="82">
        <f>SUM(D13:D17)</f>
        <v>13.500000000000002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1950</v>
      </c>
      <c r="C23" s="18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60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60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60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60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60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60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60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60" x14ac:dyDescent="0.25">
      <c r="A51" s="35"/>
      <c r="B51" s="40" t="s">
        <v>1963</v>
      </c>
      <c r="C51" s="18">
        <f>ROUND(750.97/9509,3)</f>
        <v>7.9000000000000001E-2</v>
      </c>
      <c r="D51" s="18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1965</v>
      </c>
      <c r="C53" s="18">
        <f>ROUND(2620.34/9509,3)</f>
        <v>0.27600000000000002</v>
      </c>
      <c r="D53" s="18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60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60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18">
        <f>ROUND(484.21/9509,3)</f>
        <v>5.0999999999999997E-2</v>
      </c>
      <c r="D61" s="18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18">
        <f>ROUND(224.14/9509,3)</f>
        <v>2.4E-2</v>
      </c>
      <c r="D63" s="18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1970</v>
      </c>
      <c r="C65" s="18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18">
        <f>ROUND(241.97/9509,3)</f>
        <v>2.5000000000000001E-2</v>
      </c>
      <c r="D67" s="18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60" x14ac:dyDescent="0.25">
      <c r="A69" s="35"/>
      <c r="B69" s="40" t="s">
        <v>1972</v>
      </c>
      <c r="C69" s="18">
        <f>ROUND(87.42/9509,3)</f>
        <v>8.9999999999999993E-3</v>
      </c>
      <c r="D69" s="18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60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60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60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60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60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60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60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14.43</v>
      </c>
      <c r="D86" s="82">
        <f>ROUND(D85+D18,3)</f>
        <v>14.43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35.25" customHeight="1" x14ac:dyDescent="0.25">
      <c r="A89" s="302" t="s">
        <v>113</v>
      </c>
      <c r="B89" s="303"/>
      <c r="C89" s="22">
        <f>D86/C88</f>
        <v>14.43</v>
      </c>
      <c r="D89" s="22"/>
    </row>
  </sheetData>
  <mergeCells count="8">
    <mergeCell ref="A88:B88"/>
    <mergeCell ref="A89:B89"/>
    <mergeCell ref="E14:F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G91"/>
  <sheetViews>
    <sheetView topLeftCell="A81" workbookViewId="0">
      <selection activeCell="F79" sqref="F79"/>
    </sheetView>
  </sheetViews>
  <sheetFormatPr defaultRowHeight="15" x14ac:dyDescent="0.25"/>
  <cols>
    <col min="1" max="1" width="9.85546875" customWidth="1"/>
    <col min="2" max="2" width="57.5703125" customWidth="1"/>
    <col min="3" max="3" width="11.5703125" customWidth="1"/>
    <col min="4" max="4" width="11" customWidth="1"/>
    <col min="7" max="7" width="53.710937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39" customHeight="1" x14ac:dyDescent="0.25">
      <c r="A5" s="307" t="s">
        <v>497</v>
      </c>
      <c r="B5" s="307"/>
      <c r="C5" s="307"/>
      <c r="D5" s="307"/>
    </row>
    <row r="6" spans="1:7" ht="12.75" customHeight="1" x14ac:dyDescent="0.25">
      <c r="A6" s="157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x14ac:dyDescent="0.25">
      <c r="A8" s="157"/>
      <c r="B8" s="158"/>
      <c r="C8" s="60"/>
      <c r="D8" s="59"/>
    </row>
    <row r="9" spans="1:7" x14ac:dyDescent="0.25">
      <c r="A9" s="309" t="s">
        <v>103</v>
      </c>
      <c r="B9" s="309"/>
      <c r="C9" s="62"/>
      <c r="D9" s="59"/>
    </row>
    <row r="10" spans="1:7" x14ac:dyDescent="0.25">
      <c r="A10" s="309"/>
      <c r="B10" s="309"/>
      <c r="C10" s="62"/>
      <c r="D10" s="59"/>
    </row>
    <row r="11" spans="1:7" ht="108" x14ac:dyDescent="0.25">
      <c r="A11" s="63" t="s">
        <v>80</v>
      </c>
      <c r="B11" s="63" t="s">
        <v>81</v>
      </c>
      <c r="C11" s="63" t="s">
        <v>82</v>
      </c>
      <c r="D11" s="63" t="s">
        <v>83</v>
      </c>
    </row>
    <row r="12" spans="1:7" x14ac:dyDescent="0.25">
      <c r="A12" s="64">
        <v>1</v>
      </c>
      <c r="B12" s="65">
        <v>2</v>
      </c>
      <c r="C12" s="64">
        <v>3</v>
      </c>
      <c r="D12" s="64">
        <v>4</v>
      </c>
    </row>
    <row r="13" spans="1:7" x14ac:dyDescent="0.25">
      <c r="A13" s="66"/>
      <c r="B13" s="67" t="s">
        <v>84</v>
      </c>
      <c r="C13" s="68"/>
      <c r="D13" s="68"/>
    </row>
    <row r="14" spans="1:7" x14ac:dyDescent="0.25">
      <c r="A14" s="69">
        <v>1100</v>
      </c>
      <c r="B14" s="70" t="s">
        <v>85</v>
      </c>
      <c r="C14" s="71"/>
      <c r="D14" s="71"/>
    </row>
    <row r="15" spans="1:7" ht="173.25" customHeight="1" x14ac:dyDescent="0.25">
      <c r="A15" s="50"/>
      <c r="B15" s="90" t="s">
        <v>641</v>
      </c>
      <c r="C15" s="18">
        <f>0.17*20+0.17*20+ 3.4/2+0.5*15</f>
        <v>16</v>
      </c>
      <c r="D15" s="18">
        <f>C15*20</f>
        <v>320</v>
      </c>
      <c r="E15" s="341"/>
      <c r="F15" s="342"/>
      <c r="G15" s="342"/>
    </row>
    <row r="16" spans="1:7" ht="24" x14ac:dyDescent="0.25">
      <c r="A16" s="50">
        <v>1200</v>
      </c>
      <c r="B16" s="73" t="s">
        <v>454</v>
      </c>
      <c r="C16" s="18">
        <f>ROUND(C15*0.2359,2)</f>
        <v>3.77</v>
      </c>
      <c r="D16" s="18">
        <f>C16*20</f>
        <v>75.400000000000006</v>
      </c>
    </row>
    <row r="17" spans="1:4" x14ac:dyDescent="0.25">
      <c r="A17" s="50">
        <v>2341</v>
      </c>
      <c r="B17" s="50" t="s">
        <v>97</v>
      </c>
      <c r="C17" s="91"/>
      <c r="D17" s="18"/>
    </row>
    <row r="18" spans="1:4" ht="111" customHeight="1" x14ac:dyDescent="0.25">
      <c r="A18" s="50"/>
      <c r="B18" s="73" t="s">
        <v>642</v>
      </c>
      <c r="C18" s="18">
        <v>4.83</v>
      </c>
      <c r="D18" s="18">
        <f>C18*20</f>
        <v>96.6</v>
      </c>
    </row>
    <row r="19" spans="1:4" x14ac:dyDescent="0.25">
      <c r="A19" s="35"/>
      <c r="B19" s="92" t="s">
        <v>87</v>
      </c>
      <c r="C19" s="82">
        <f>SUM(C14:C18)</f>
        <v>24.6</v>
      </c>
      <c r="D19" s="82">
        <f>SUM(D14:D18)</f>
        <v>492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60" x14ac:dyDescent="0.25">
      <c r="A22" s="77"/>
      <c r="B22" s="40" t="s">
        <v>1741</v>
      </c>
      <c r="C22" s="74">
        <f>ROUND(31.85/9509,5)</f>
        <v>3.3500000000000001E-3</v>
      </c>
      <c r="D22" s="18">
        <f>C22*20</f>
        <v>6.7000000000000004E-2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60" x14ac:dyDescent="0.25">
      <c r="A24" s="35"/>
      <c r="B24" s="40" t="s">
        <v>1406</v>
      </c>
      <c r="C24" s="18">
        <f>ROUND(228.88/9509,5)</f>
        <v>2.4070000000000001E-2</v>
      </c>
      <c r="D24" s="18">
        <f t="shared" ref="D24:D86" si="0">C24*20</f>
        <v>0.48140000000000005</v>
      </c>
    </row>
    <row r="25" spans="1:4" x14ac:dyDescent="0.25">
      <c r="A25" s="35">
        <v>2221</v>
      </c>
      <c r="B25" s="40" t="s">
        <v>89</v>
      </c>
      <c r="C25" s="18"/>
      <c r="D25" s="18"/>
    </row>
    <row r="26" spans="1:4" ht="60" x14ac:dyDescent="0.25">
      <c r="A26" s="35"/>
      <c r="B26" s="40" t="s">
        <v>1742</v>
      </c>
      <c r="C26" s="18">
        <f>ROUND(382.73/9509,5)</f>
        <v>4.0250000000000001E-2</v>
      </c>
      <c r="D26" s="18">
        <f t="shared" si="0"/>
        <v>0.80500000000000005</v>
      </c>
    </row>
    <row r="27" spans="1:4" x14ac:dyDescent="0.25">
      <c r="A27" s="35">
        <v>2222</v>
      </c>
      <c r="B27" s="242" t="s">
        <v>90</v>
      </c>
      <c r="C27" s="18"/>
      <c r="D27" s="18"/>
    </row>
    <row r="28" spans="1:4" ht="60" x14ac:dyDescent="0.25">
      <c r="A28" s="35"/>
      <c r="B28" s="40" t="s">
        <v>1408</v>
      </c>
      <c r="C28" s="74">
        <f>ROUND(38.69/9509,3)</f>
        <v>4.0000000000000001E-3</v>
      </c>
      <c r="D28" s="18">
        <f t="shared" si="0"/>
        <v>0.08</v>
      </c>
    </row>
    <row r="29" spans="1:4" x14ac:dyDescent="0.25">
      <c r="A29" s="35">
        <v>2223</v>
      </c>
      <c r="B29" s="35" t="s">
        <v>91</v>
      </c>
      <c r="C29" s="74"/>
      <c r="D29" s="18"/>
    </row>
    <row r="30" spans="1:4" ht="60" x14ac:dyDescent="0.25">
      <c r="A30" s="35"/>
      <c r="B30" s="40" t="s">
        <v>1409</v>
      </c>
      <c r="C30" s="74">
        <f>ROUND(1004.28/9509,3)</f>
        <v>0.106</v>
      </c>
      <c r="D30" s="18">
        <f t="shared" si="0"/>
        <v>2.12</v>
      </c>
    </row>
    <row r="31" spans="1:4" ht="24" x14ac:dyDescent="0.25">
      <c r="A31" s="35">
        <v>2224</v>
      </c>
      <c r="B31" s="40" t="s">
        <v>115</v>
      </c>
      <c r="C31" s="74"/>
      <c r="D31" s="18"/>
    </row>
    <row r="32" spans="1:4" ht="60" x14ac:dyDescent="0.25">
      <c r="A32" s="34"/>
      <c r="B32" s="40" t="s">
        <v>1410</v>
      </c>
      <c r="C32" s="18">
        <f>ROUND(82.8/9509,3)</f>
        <v>8.9999999999999993E-3</v>
      </c>
      <c r="D32" s="18">
        <f t="shared" si="0"/>
        <v>0.18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60" x14ac:dyDescent="0.25">
      <c r="A34" s="35"/>
      <c r="B34" s="40" t="s">
        <v>1411</v>
      </c>
      <c r="C34" s="18">
        <f>ROUND(289.4/9509,3)</f>
        <v>0.03</v>
      </c>
      <c r="D34" s="18">
        <f t="shared" si="0"/>
        <v>0.6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60" x14ac:dyDescent="0.25">
      <c r="A36" s="35"/>
      <c r="B36" s="40" t="s">
        <v>1412</v>
      </c>
      <c r="C36" s="74">
        <f>ROUND(20.68/9509,3)</f>
        <v>2E-3</v>
      </c>
      <c r="D36" s="18">
        <f t="shared" si="0"/>
        <v>0.04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60" x14ac:dyDescent="0.25">
      <c r="A38" s="35"/>
      <c r="B38" s="40" t="s">
        <v>1413</v>
      </c>
      <c r="C38" s="74">
        <f>ROUND(58.15/9509,3)</f>
        <v>6.0000000000000001E-3</v>
      </c>
      <c r="D38" s="18">
        <f t="shared" si="0"/>
        <v>0.12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60" x14ac:dyDescent="0.25">
      <c r="A40" s="35"/>
      <c r="B40" s="40" t="s">
        <v>1414</v>
      </c>
      <c r="C40" s="74">
        <f>ROUND(524.45/9509,3)</f>
        <v>5.5E-2</v>
      </c>
      <c r="D40" s="18">
        <f t="shared" si="0"/>
        <v>1.1000000000000001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60" x14ac:dyDescent="0.25">
      <c r="A42" s="35"/>
      <c r="B42" s="40" t="s">
        <v>1415</v>
      </c>
      <c r="C42" s="74">
        <f>ROUND(131.923/9509,3)</f>
        <v>1.4E-2</v>
      </c>
      <c r="D42" s="18">
        <f t="shared" si="0"/>
        <v>0.28000000000000003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60" x14ac:dyDescent="0.25">
      <c r="A44" s="35"/>
      <c r="B44" s="40" t="s">
        <v>1416</v>
      </c>
      <c r="C44" s="18">
        <f>ROUND(360.94/9509,3)</f>
        <v>3.7999999999999999E-2</v>
      </c>
      <c r="D44" s="18">
        <f t="shared" si="0"/>
        <v>0.76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60" x14ac:dyDescent="0.25">
      <c r="A46" s="79"/>
      <c r="B46" s="40" t="s">
        <v>1417</v>
      </c>
      <c r="C46" s="18">
        <f>ROUND(272.76/9509,3)</f>
        <v>2.9000000000000001E-2</v>
      </c>
      <c r="D46" s="18">
        <f t="shared" si="0"/>
        <v>0.58000000000000007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60" x14ac:dyDescent="0.25">
      <c r="A48" s="79"/>
      <c r="B48" s="40" t="s">
        <v>1538</v>
      </c>
      <c r="C48" s="74">
        <f>ROUND(12.06/9509,3)</f>
        <v>1E-3</v>
      </c>
      <c r="D48" s="18">
        <f t="shared" si="0"/>
        <v>0.02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60" x14ac:dyDescent="0.25">
      <c r="A50" s="79"/>
      <c r="B50" s="40" t="s">
        <v>1419</v>
      </c>
      <c r="C50" s="74">
        <f>ROUND(23.35/9509,3)</f>
        <v>2E-3</v>
      </c>
      <c r="D50" s="18">
        <f t="shared" si="0"/>
        <v>0.04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60" x14ac:dyDescent="0.25">
      <c r="A52" s="35"/>
      <c r="B52" s="40" t="s">
        <v>1420</v>
      </c>
      <c r="C52" s="18">
        <f>ROUND(750.97/9509,3)</f>
        <v>7.9000000000000001E-2</v>
      </c>
      <c r="D52" s="18">
        <f t="shared" si="0"/>
        <v>1.58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60" x14ac:dyDescent="0.25">
      <c r="A54" s="35"/>
      <c r="B54" s="40" t="s">
        <v>1421</v>
      </c>
      <c r="C54" s="18">
        <f>ROUND(2620.34/9509,3)</f>
        <v>0.27600000000000002</v>
      </c>
      <c r="D54" s="18">
        <f t="shared" si="0"/>
        <v>5.5200000000000005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60" x14ac:dyDescent="0.25">
      <c r="A56" s="35"/>
      <c r="B56" s="40" t="s">
        <v>1422</v>
      </c>
      <c r="C56" s="74">
        <f>ROUND(9.91/9509,5)</f>
        <v>1.0399999999999999E-3</v>
      </c>
      <c r="D56" s="18">
        <f t="shared" si="0"/>
        <v>2.0799999999999999E-2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60" x14ac:dyDescent="0.25">
      <c r="A58" s="35"/>
      <c r="B58" s="40" t="s">
        <v>1435</v>
      </c>
      <c r="C58" s="18">
        <f>ROUND(132.32/9509,5)</f>
        <v>1.392E-2</v>
      </c>
      <c r="D58" s="18">
        <f t="shared" si="0"/>
        <v>0.27839999999999998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60" x14ac:dyDescent="0.25">
      <c r="A60" s="35"/>
      <c r="B60" s="40" t="s">
        <v>1743</v>
      </c>
      <c r="C60" s="74">
        <f>ROUND(72.76/9509,5)</f>
        <v>7.6499999999999997E-3</v>
      </c>
      <c r="D60" s="18">
        <f t="shared" si="0"/>
        <v>0.153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60" x14ac:dyDescent="0.25">
      <c r="A62" s="35"/>
      <c r="B62" s="40" t="s">
        <v>1424</v>
      </c>
      <c r="C62" s="18">
        <f>ROUND(484.21/9509,5)</f>
        <v>5.092E-2</v>
      </c>
      <c r="D62" s="18">
        <f t="shared" si="0"/>
        <v>1.0184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60" x14ac:dyDescent="0.25">
      <c r="A64" s="35"/>
      <c r="B64" s="40" t="s">
        <v>1425</v>
      </c>
      <c r="C64" s="18">
        <f>ROUND(224.14/9509,3)</f>
        <v>2.4E-2</v>
      </c>
      <c r="D64" s="18">
        <f t="shared" si="0"/>
        <v>0.48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60" x14ac:dyDescent="0.25">
      <c r="A66" s="35"/>
      <c r="B66" s="40" t="s">
        <v>1436</v>
      </c>
      <c r="C66" s="18">
        <f>ROUND(103.21/9509,5)</f>
        <v>1.085E-2</v>
      </c>
      <c r="D66" s="18">
        <f t="shared" si="0"/>
        <v>0.217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60" x14ac:dyDescent="0.25">
      <c r="A68" s="35"/>
      <c r="B68" s="40" t="s">
        <v>1744</v>
      </c>
      <c r="C68" s="18">
        <f>ROUND(241.97/9509,5)</f>
        <v>2.545E-2</v>
      </c>
      <c r="D68" s="18">
        <f t="shared" si="0"/>
        <v>0.50900000000000001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60" x14ac:dyDescent="0.25">
      <c r="A70" s="35"/>
      <c r="B70" s="40" t="s">
        <v>1427</v>
      </c>
      <c r="C70" s="18">
        <f>ROUND(87.42/9509,5)</f>
        <v>9.1900000000000003E-3</v>
      </c>
      <c r="D70" s="18">
        <f t="shared" si="0"/>
        <v>0.18380000000000002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60" x14ac:dyDescent="0.25">
      <c r="A72" s="35"/>
      <c r="B72" s="40" t="s">
        <v>1428</v>
      </c>
      <c r="C72" s="74">
        <f>ROUND(28.69/9509,5)</f>
        <v>3.0200000000000001E-3</v>
      </c>
      <c r="D72" s="18">
        <f t="shared" si="0"/>
        <v>6.0400000000000002E-2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60" x14ac:dyDescent="0.25">
      <c r="A74" s="35"/>
      <c r="B74" s="40" t="s">
        <v>1429</v>
      </c>
      <c r="C74" s="74">
        <f>ROUND(8.56/9509,5)</f>
        <v>8.9999999999999998E-4</v>
      </c>
      <c r="D74" s="18">
        <f t="shared" si="0"/>
        <v>1.7999999999999999E-2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60" x14ac:dyDescent="0.25">
      <c r="A76" s="35"/>
      <c r="B76" s="40" t="s">
        <v>1430</v>
      </c>
      <c r="C76" s="74">
        <f>ROUND(58.04/9509,5)</f>
        <v>6.1000000000000004E-3</v>
      </c>
      <c r="D76" s="18">
        <f t="shared" si="0"/>
        <v>0.12200000000000001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60" x14ac:dyDescent="0.25">
      <c r="A78" s="35"/>
      <c r="B78" s="40" t="s">
        <v>1745</v>
      </c>
      <c r="C78" s="74">
        <f>ROUND(249.88/9509,5)</f>
        <v>2.6280000000000001E-2</v>
      </c>
      <c r="D78" s="18">
        <f t="shared" si="0"/>
        <v>0.52560000000000007</v>
      </c>
    </row>
    <row r="79" spans="1:4" x14ac:dyDescent="0.25">
      <c r="A79" s="35">
        <v>5220</v>
      </c>
      <c r="B79" s="40" t="s">
        <v>120</v>
      </c>
      <c r="C79" s="18"/>
      <c r="D79" s="18"/>
    </row>
    <row r="80" spans="1:4" ht="36" x14ac:dyDescent="0.25">
      <c r="A80" s="35"/>
      <c r="B80" s="40" t="s">
        <v>621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60" x14ac:dyDescent="0.25">
      <c r="A82" s="35"/>
      <c r="B82" s="40" t="s">
        <v>1981</v>
      </c>
      <c r="C82" s="74">
        <f>ROUND(61.55/9509,5)</f>
        <v>6.4700000000000001E-3</v>
      </c>
      <c r="D82" s="18">
        <f t="shared" si="0"/>
        <v>0.12940000000000002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60" x14ac:dyDescent="0.25">
      <c r="A84" s="35"/>
      <c r="B84" s="40" t="s">
        <v>1746</v>
      </c>
      <c r="C84" s="74">
        <f>ROUND(88.34/9509,5)</f>
        <v>9.2899999999999996E-3</v>
      </c>
      <c r="D84" s="18">
        <f t="shared" si="0"/>
        <v>0.18579999999999999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60" x14ac:dyDescent="0.25">
      <c r="A86" s="35"/>
      <c r="B86" s="40" t="s">
        <v>1434</v>
      </c>
      <c r="C86" s="74">
        <f>ROUND(151.09/9509,3)</f>
        <v>1.6E-2</v>
      </c>
      <c r="D86" s="18">
        <f t="shared" si="0"/>
        <v>0.32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18.600000000000001</v>
      </c>
    </row>
    <row r="88" spans="1:4" x14ac:dyDescent="0.25">
      <c r="A88" s="83"/>
      <c r="B88" s="84" t="s">
        <v>95</v>
      </c>
      <c r="C88" s="82">
        <f>ROUND(C87+C19,3)</f>
        <v>25.53</v>
      </c>
      <c r="D88" s="82">
        <f>ROUND(D87+D19,3)</f>
        <v>510.6</v>
      </c>
    </row>
    <row r="89" spans="1:4" x14ac:dyDescent="0.25">
      <c r="A89" s="85"/>
      <c r="B89" s="86"/>
      <c r="C89" s="87"/>
      <c r="D89" s="87"/>
    </row>
    <row r="90" spans="1:4" x14ac:dyDescent="0.25">
      <c r="A90" s="311" t="s">
        <v>96</v>
      </c>
      <c r="B90" s="312"/>
      <c r="C90" s="88">
        <v>20</v>
      </c>
      <c r="D90" s="89"/>
    </row>
    <row r="91" spans="1:4" ht="29.25" customHeight="1" x14ac:dyDescent="0.25">
      <c r="A91" s="302" t="s">
        <v>113</v>
      </c>
      <c r="B91" s="303"/>
      <c r="C91" s="22">
        <f>D88/C90</f>
        <v>25.53</v>
      </c>
      <c r="D91" s="22"/>
    </row>
  </sheetData>
  <mergeCells count="9">
    <mergeCell ref="A90:B90"/>
    <mergeCell ref="A91:B91"/>
    <mergeCell ref="E15:G15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H89"/>
  <sheetViews>
    <sheetView topLeftCell="A80" workbookViewId="0">
      <selection activeCell="B84" sqref="B84"/>
    </sheetView>
  </sheetViews>
  <sheetFormatPr defaultRowHeight="15" x14ac:dyDescent="0.25"/>
  <cols>
    <col min="2" max="2" width="58.28515625" customWidth="1"/>
    <col min="3" max="3" width="11" customWidth="1"/>
    <col min="4" max="4" width="10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9" customHeight="1" x14ac:dyDescent="0.25">
      <c r="A5" s="307" t="s">
        <v>499</v>
      </c>
      <c r="B5" s="307"/>
      <c r="C5" s="307"/>
      <c r="D5" s="307"/>
    </row>
    <row r="6" spans="1:8" x14ac:dyDescent="0.25">
      <c r="A6" s="122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x14ac:dyDescent="0.25">
      <c r="A8" s="122"/>
      <c r="B8" s="123"/>
      <c r="C8" s="60"/>
      <c r="D8" s="59"/>
    </row>
    <row r="9" spans="1:8" x14ac:dyDescent="0.25">
      <c r="A9" s="309" t="s">
        <v>184</v>
      </c>
      <c r="B9" s="309"/>
      <c r="C9" s="62"/>
      <c r="D9" s="59"/>
    </row>
    <row r="10" spans="1:8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68" x14ac:dyDescent="0.25">
      <c r="A14" s="50"/>
      <c r="B14" s="90" t="s">
        <v>455</v>
      </c>
      <c r="C14" s="18">
        <f>0.17*20+0.17*20+ 3.4/2+0.5*15</f>
        <v>16</v>
      </c>
      <c r="D14" s="18">
        <f>C14*1</f>
        <v>16</v>
      </c>
      <c r="E14" s="343"/>
      <c r="F14" s="344"/>
      <c r="G14" s="344"/>
      <c r="H14" s="344"/>
    </row>
    <row r="15" spans="1:8" ht="24" x14ac:dyDescent="0.25">
      <c r="A15" s="50">
        <v>1200</v>
      </c>
      <c r="B15" s="73" t="s">
        <v>456</v>
      </c>
      <c r="C15" s="18">
        <f>ROUND(C14*0.2359,2)</f>
        <v>3.77</v>
      </c>
      <c r="D15" s="18">
        <f>C15*1</f>
        <v>3.77</v>
      </c>
    </row>
    <row r="16" spans="1:8" x14ac:dyDescent="0.25">
      <c r="A16" s="50">
        <v>2341</v>
      </c>
      <c r="B16" s="50" t="s">
        <v>118</v>
      </c>
      <c r="C16" s="91"/>
      <c r="D16" s="18"/>
    </row>
    <row r="17" spans="1:4" ht="72" x14ac:dyDescent="0.25">
      <c r="A17" s="50"/>
      <c r="B17" s="73" t="s">
        <v>276</v>
      </c>
      <c r="C17" s="18">
        <v>0.28000000000000003</v>
      </c>
      <c r="D17" s="18">
        <f>C17*1</f>
        <v>0.28000000000000003</v>
      </c>
    </row>
    <row r="18" spans="1:4" x14ac:dyDescent="0.25">
      <c r="A18" s="50"/>
      <c r="B18" s="233" t="s">
        <v>87</v>
      </c>
      <c r="C18" s="130">
        <f>SUM(C13:C17)</f>
        <v>20.05</v>
      </c>
      <c r="D18" s="130">
        <f>SUM(D13:D17)</f>
        <v>20.05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1950</v>
      </c>
      <c r="C23" s="18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60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60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60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60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60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60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18">
        <f>ROUND(750.97/9509,3)</f>
        <v>7.9000000000000001E-2</v>
      </c>
      <c r="D51" s="18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1965</v>
      </c>
      <c r="C53" s="18">
        <f>ROUND(2620.34/9509,3)</f>
        <v>0.27600000000000002</v>
      </c>
      <c r="D53" s="18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60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60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18">
        <f>ROUND(224.14/9509,3)</f>
        <v>2.4E-2</v>
      </c>
      <c r="D63" s="18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1970</v>
      </c>
      <c r="C65" s="18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18">
        <f>ROUND(241.97/9509,3)</f>
        <v>2.5000000000000001E-2</v>
      </c>
      <c r="D67" s="18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60" x14ac:dyDescent="0.25">
      <c r="A69" s="35"/>
      <c r="B69" s="40" t="s">
        <v>1972</v>
      </c>
      <c r="C69" s="18">
        <f>ROUND(87.42/9509,3)</f>
        <v>8.9999999999999993E-3</v>
      </c>
      <c r="D69" s="18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60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60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60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60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40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60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60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60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20.98</v>
      </c>
      <c r="D86" s="82">
        <f>ROUND(D85+D18,3)</f>
        <v>20.98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8.5" customHeight="1" x14ac:dyDescent="0.25">
      <c r="A89" s="302" t="s">
        <v>113</v>
      </c>
      <c r="B89" s="303"/>
      <c r="C89" s="22">
        <f>D86/C88</f>
        <v>20.98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H91"/>
  <sheetViews>
    <sheetView topLeftCell="A77" workbookViewId="0">
      <selection activeCell="E87" sqref="E87"/>
    </sheetView>
  </sheetViews>
  <sheetFormatPr defaultRowHeight="15" x14ac:dyDescent="0.25"/>
  <cols>
    <col min="2" max="2" width="61.7109375" customWidth="1"/>
    <col min="3" max="3" width="11.140625" customWidth="1"/>
    <col min="4" max="4" width="10.855468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50.25" customHeight="1" x14ac:dyDescent="0.25">
      <c r="A5" s="307" t="s">
        <v>500</v>
      </c>
      <c r="B5" s="307"/>
      <c r="C5" s="307"/>
      <c r="D5" s="307"/>
    </row>
    <row r="6" spans="1:8" x14ac:dyDescent="0.25">
      <c r="A6" s="122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x14ac:dyDescent="0.25">
      <c r="A8" s="122"/>
      <c r="B8" s="123"/>
      <c r="C8" s="60"/>
      <c r="D8" s="59"/>
    </row>
    <row r="9" spans="1:8" x14ac:dyDescent="0.25">
      <c r="A9" s="309" t="s">
        <v>643</v>
      </c>
      <c r="B9" s="309"/>
      <c r="C9" s="62"/>
      <c r="D9" s="59"/>
    </row>
    <row r="10" spans="1:8" x14ac:dyDescent="0.25">
      <c r="A10" s="55"/>
      <c r="B10" s="61"/>
      <c r="C10" s="62"/>
      <c r="D10" s="59"/>
    </row>
    <row r="11" spans="1:8" ht="108" x14ac:dyDescent="0.25">
      <c r="A11" s="63" t="s">
        <v>80</v>
      </c>
      <c r="B11" s="63" t="s">
        <v>81</v>
      </c>
      <c r="C11" s="63" t="s">
        <v>99</v>
      </c>
      <c r="D11" s="63" t="s">
        <v>83</v>
      </c>
    </row>
    <row r="12" spans="1:8" x14ac:dyDescent="0.25">
      <c r="A12" s="64">
        <v>1</v>
      </c>
      <c r="B12" s="65">
        <v>2</v>
      </c>
      <c r="C12" s="64">
        <v>3</v>
      </c>
      <c r="D12" s="64">
        <v>4</v>
      </c>
    </row>
    <row r="13" spans="1:8" x14ac:dyDescent="0.25">
      <c r="A13" s="66"/>
      <c r="B13" s="67" t="s">
        <v>84</v>
      </c>
      <c r="C13" s="68"/>
      <c r="D13" s="68"/>
    </row>
    <row r="14" spans="1:8" x14ac:dyDescent="0.25">
      <c r="A14" s="69">
        <v>1100</v>
      </c>
      <c r="B14" s="70" t="s">
        <v>85</v>
      </c>
      <c r="C14" s="71"/>
      <c r="D14" s="71"/>
    </row>
    <row r="15" spans="1:8" ht="170.25" customHeight="1" x14ac:dyDescent="0.25">
      <c r="A15" s="50"/>
      <c r="B15" s="90" t="s">
        <v>644</v>
      </c>
      <c r="C15" s="18">
        <f>0.17*20+0.17*20+ 3.4/2+0.5*15</f>
        <v>16</v>
      </c>
      <c r="D15" s="18">
        <f>C15*15</f>
        <v>240</v>
      </c>
      <c r="E15" s="341"/>
      <c r="F15" s="342"/>
      <c r="G15" s="342"/>
      <c r="H15" s="342"/>
    </row>
    <row r="16" spans="1:8" ht="24" x14ac:dyDescent="0.25">
      <c r="A16" s="50">
        <v>1200</v>
      </c>
      <c r="B16" s="73" t="s">
        <v>456</v>
      </c>
      <c r="C16" s="18">
        <f>ROUND(C15*0.2359,2)</f>
        <v>3.77</v>
      </c>
      <c r="D16" s="18">
        <f>C16*15</f>
        <v>56.55</v>
      </c>
    </row>
    <row r="17" spans="1:4" x14ac:dyDescent="0.25">
      <c r="A17" s="50">
        <v>2341</v>
      </c>
      <c r="B17" s="50" t="s">
        <v>97</v>
      </c>
      <c r="C17" s="91"/>
      <c r="D17" s="91"/>
    </row>
    <row r="18" spans="1:4" ht="73.5" customHeight="1" x14ac:dyDescent="0.25">
      <c r="A18" s="50"/>
      <c r="B18" s="73" t="s">
        <v>645</v>
      </c>
      <c r="C18" s="18">
        <v>5.28</v>
      </c>
      <c r="D18" s="18">
        <f>C18*15</f>
        <v>79.2</v>
      </c>
    </row>
    <row r="19" spans="1:4" x14ac:dyDescent="0.25">
      <c r="A19" s="141"/>
      <c r="B19" s="136" t="s">
        <v>87</v>
      </c>
      <c r="C19" s="137">
        <f>SUM(C14:C18)</f>
        <v>25.05</v>
      </c>
      <c r="D19" s="137">
        <f>SUM(D14:D18)</f>
        <v>375.75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48" x14ac:dyDescent="0.25">
      <c r="A22" s="77"/>
      <c r="B22" s="40" t="s">
        <v>1982</v>
      </c>
      <c r="C22" s="74">
        <f>ROUND(31.85/9509,5)</f>
        <v>3.3500000000000001E-3</v>
      </c>
      <c r="D22" s="18">
        <f>C22*15</f>
        <v>5.0250000000000003E-2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48" x14ac:dyDescent="0.25">
      <c r="A24" s="35"/>
      <c r="B24" s="40" t="s">
        <v>1983</v>
      </c>
      <c r="C24" s="18">
        <f>ROUND(228.88/9509,5)</f>
        <v>2.4070000000000001E-2</v>
      </c>
      <c r="D24" s="18">
        <f t="shared" ref="D24:D86" si="0">C24*15</f>
        <v>0.36105000000000004</v>
      </c>
    </row>
    <row r="25" spans="1:4" x14ac:dyDescent="0.25">
      <c r="A25" s="35">
        <v>2221</v>
      </c>
      <c r="B25" s="40" t="s">
        <v>89</v>
      </c>
      <c r="C25" s="18"/>
      <c r="D25" s="18"/>
    </row>
    <row r="26" spans="1:4" ht="48" x14ac:dyDescent="0.25">
      <c r="A26" s="35"/>
      <c r="B26" s="40" t="s">
        <v>1984</v>
      </c>
      <c r="C26" s="18">
        <f>ROUND(382.73/9509,3)</f>
        <v>0.04</v>
      </c>
      <c r="D26" s="18">
        <f t="shared" si="0"/>
        <v>0.6</v>
      </c>
    </row>
    <row r="27" spans="1:4" x14ac:dyDescent="0.25">
      <c r="A27" s="35">
        <v>2222</v>
      </c>
      <c r="B27" s="242" t="s">
        <v>90</v>
      </c>
      <c r="C27" s="18"/>
      <c r="D27" s="18"/>
    </row>
    <row r="28" spans="1:4" ht="48" x14ac:dyDescent="0.25">
      <c r="A28" s="35"/>
      <c r="B28" s="40" t="s">
        <v>1985</v>
      </c>
      <c r="C28" s="74">
        <f>ROUND(38.69/9509,3)</f>
        <v>4.0000000000000001E-3</v>
      </c>
      <c r="D28" s="18">
        <f t="shared" si="0"/>
        <v>0.06</v>
      </c>
    </row>
    <row r="29" spans="1:4" x14ac:dyDescent="0.25">
      <c r="A29" s="35">
        <v>2223</v>
      </c>
      <c r="B29" s="35" t="s">
        <v>91</v>
      </c>
      <c r="C29" s="74"/>
      <c r="D29" s="18"/>
    </row>
    <row r="30" spans="1:4" ht="48" x14ac:dyDescent="0.25">
      <c r="A30" s="35"/>
      <c r="B30" s="40" t="s">
        <v>1986</v>
      </c>
      <c r="C30" s="74">
        <f>ROUND(1004.28/9509,3)</f>
        <v>0.106</v>
      </c>
      <c r="D30" s="18">
        <f t="shared" si="0"/>
        <v>1.5899999999999999</v>
      </c>
    </row>
    <row r="31" spans="1:4" ht="24" x14ac:dyDescent="0.25">
      <c r="A31" s="35">
        <v>2224</v>
      </c>
      <c r="B31" s="40" t="s">
        <v>115</v>
      </c>
      <c r="C31" s="74"/>
      <c r="D31" s="18"/>
    </row>
    <row r="32" spans="1:4" ht="48" x14ac:dyDescent="0.25">
      <c r="A32" s="34"/>
      <c r="B32" s="40" t="s">
        <v>1987</v>
      </c>
      <c r="C32" s="18">
        <f>ROUND(82.8/9509,5)</f>
        <v>8.7100000000000007E-3</v>
      </c>
      <c r="D32" s="18">
        <f t="shared" si="0"/>
        <v>0.13065000000000002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48" x14ac:dyDescent="0.25">
      <c r="A34" s="35"/>
      <c r="B34" s="40" t="s">
        <v>1988</v>
      </c>
      <c r="C34" s="18">
        <f>ROUND(289.4/9509,3)</f>
        <v>0.03</v>
      </c>
      <c r="D34" s="18">
        <f t="shared" si="0"/>
        <v>0.44999999999999996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1989</v>
      </c>
      <c r="C36" s="74">
        <f>ROUND(20.68/9509,5)</f>
        <v>2.1700000000000001E-3</v>
      </c>
      <c r="D36" s="18">
        <f t="shared" si="0"/>
        <v>3.2550000000000003E-2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1990</v>
      </c>
      <c r="C38" s="74">
        <f>ROUND(58.15/9509,3)</f>
        <v>6.0000000000000001E-3</v>
      </c>
      <c r="D38" s="18">
        <f t="shared" si="0"/>
        <v>0.09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48" x14ac:dyDescent="0.25">
      <c r="A40" s="35"/>
      <c r="B40" s="40" t="s">
        <v>1991</v>
      </c>
      <c r="C40" s="74">
        <f>ROUND(524.45/9509,3)</f>
        <v>5.5E-2</v>
      </c>
      <c r="D40" s="18">
        <f t="shared" si="0"/>
        <v>0.82499999999999996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48" x14ac:dyDescent="0.25">
      <c r="A42" s="35"/>
      <c r="B42" s="40" t="s">
        <v>1992</v>
      </c>
      <c r="C42" s="74">
        <f>ROUND(131.923/9509,3)</f>
        <v>1.4E-2</v>
      </c>
      <c r="D42" s="18">
        <f t="shared" si="0"/>
        <v>0.21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48" x14ac:dyDescent="0.25">
      <c r="A44" s="35"/>
      <c r="B44" s="40" t="s">
        <v>1993</v>
      </c>
      <c r="C44" s="18">
        <f>ROUND(360.94/9509,3)</f>
        <v>3.7999999999999999E-2</v>
      </c>
      <c r="D44" s="18">
        <f t="shared" si="0"/>
        <v>0.56999999999999995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48" x14ac:dyDescent="0.25">
      <c r="A46" s="79"/>
      <c r="B46" s="40" t="s">
        <v>1994</v>
      </c>
      <c r="C46" s="18">
        <f>ROUND(272.76/9509,3)</f>
        <v>2.9000000000000001E-2</v>
      </c>
      <c r="D46" s="18">
        <f t="shared" si="0"/>
        <v>0.435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48" x14ac:dyDescent="0.25">
      <c r="A48" s="79"/>
      <c r="B48" s="40" t="s">
        <v>1995</v>
      </c>
      <c r="C48" s="74">
        <f>ROUND(12.06/9509,5)</f>
        <v>1.2700000000000001E-3</v>
      </c>
      <c r="D48" s="18">
        <f t="shared" si="0"/>
        <v>1.9050000000000001E-2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1996</v>
      </c>
      <c r="C50" s="74">
        <f>ROUND(23.35/9509,3)</f>
        <v>2E-3</v>
      </c>
      <c r="D50" s="18">
        <f t="shared" si="0"/>
        <v>0.03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48" x14ac:dyDescent="0.25">
      <c r="A52" s="35"/>
      <c r="B52" s="40" t="s">
        <v>1997</v>
      </c>
      <c r="C52" s="18">
        <f>ROUND(750.97/9509,3)</f>
        <v>7.9000000000000001E-2</v>
      </c>
      <c r="D52" s="18">
        <f t="shared" si="0"/>
        <v>1.1850000000000001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48" x14ac:dyDescent="0.25">
      <c r="A54" s="35"/>
      <c r="B54" s="40" t="s">
        <v>1998</v>
      </c>
      <c r="C54" s="18">
        <f>ROUND(2620.34/9509,3)</f>
        <v>0.27600000000000002</v>
      </c>
      <c r="D54" s="18">
        <f t="shared" si="0"/>
        <v>4.1400000000000006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48" x14ac:dyDescent="0.25">
      <c r="A56" s="35"/>
      <c r="B56" s="40" t="s">
        <v>1999</v>
      </c>
      <c r="C56" s="74">
        <f>ROUND(9.91/9509,3)</f>
        <v>1E-3</v>
      </c>
      <c r="D56" s="18">
        <f t="shared" si="0"/>
        <v>1.4999999999999999E-2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2000</v>
      </c>
      <c r="C58" s="18">
        <f>ROUND(132.32/9509,5)</f>
        <v>1.392E-2</v>
      </c>
      <c r="D58" s="18">
        <f t="shared" si="0"/>
        <v>0.20880000000000001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2001</v>
      </c>
      <c r="C60" s="74">
        <f>ROUND(72.76/9509,3)</f>
        <v>8.0000000000000002E-3</v>
      </c>
      <c r="D60" s="18">
        <f t="shared" si="0"/>
        <v>0.12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48" x14ac:dyDescent="0.25">
      <c r="A62" s="35"/>
      <c r="B62" s="40" t="s">
        <v>2002</v>
      </c>
      <c r="C62" s="18">
        <f>ROUND(484.21/9509,5)</f>
        <v>5.092E-2</v>
      </c>
      <c r="D62" s="18">
        <f t="shared" si="0"/>
        <v>0.76380000000000003</v>
      </c>
    </row>
    <row r="63" spans="1:4" x14ac:dyDescent="0.25">
      <c r="A63" s="35">
        <v>2314</v>
      </c>
      <c r="B63" s="243" t="s">
        <v>576</v>
      </c>
      <c r="C63" s="18"/>
      <c r="D63" s="18"/>
    </row>
    <row r="64" spans="1:4" ht="48" x14ac:dyDescent="0.25">
      <c r="A64" s="35"/>
      <c r="B64" s="40" t="s">
        <v>2003</v>
      </c>
      <c r="C64" s="18">
        <f>ROUND(224.14/9509,3)</f>
        <v>2.4E-2</v>
      </c>
      <c r="D64" s="18">
        <f t="shared" si="0"/>
        <v>0.36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48" x14ac:dyDescent="0.25">
      <c r="A66" s="35"/>
      <c r="B66" s="40" t="s">
        <v>2004</v>
      </c>
      <c r="C66" s="18">
        <f>ROUND(103.21/9509,3)</f>
        <v>1.0999999999999999E-2</v>
      </c>
      <c r="D66" s="18">
        <f t="shared" si="0"/>
        <v>0.16499999999999998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48" x14ac:dyDescent="0.25">
      <c r="A68" s="35"/>
      <c r="B68" s="40" t="s">
        <v>2005</v>
      </c>
      <c r="C68" s="18">
        <f>ROUND(241.97/9509,5)</f>
        <v>2.545E-2</v>
      </c>
      <c r="D68" s="18">
        <f t="shared" si="0"/>
        <v>0.38175000000000003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2006</v>
      </c>
      <c r="C70" s="18">
        <f>ROUND(87.42/9509,5)</f>
        <v>9.1900000000000003E-3</v>
      </c>
      <c r="D70" s="18">
        <f t="shared" si="0"/>
        <v>0.13785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2007</v>
      </c>
      <c r="C72" s="74">
        <f>ROUND(28.69/9509,3)</f>
        <v>3.0000000000000001E-3</v>
      </c>
      <c r="D72" s="18">
        <f t="shared" si="0"/>
        <v>4.4999999999999998E-2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48" x14ac:dyDescent="0.25">
      <c r="A74" s="35"/>
      <c r="B74" s="40" t="s">
        <v>2008</v>
      </c>
      <c r="C74" s="74">
        <f>ROUND(8.56/9509,5)</f>
        <v>8.9999999999999998E-4</v>
      </c>
      <c r="D74" s="18">
        <f t="shared" si="0"/>
        <v>1.35E-2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2009</v>
      </c>
      <c r="C76" s="74">
        <f>ROUND(58.04/9509,5)</f>
        <v>6.1000000000000004E-3</v>
      </c>
      <c r="D76" s="18">
        <f t="shared" si="0"/>
        <v>9.1500000000000012E-2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2010</v>
      </c>
      <c r="C78" s="74">
        <f>ROUND(249.88/9509,5)</f>
        <v>2.6280000000000001E-2</v>
      </c>
      <c r="D78" s="18">
        <f t="shared" si="0"/>
        <v>0.39419999999999999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26.25" customHeight="1" x14ac:dyDescent="0.25">
      <c r="A80" s="35"/>
      <c r="B80" s="40" t="s">
        <v>622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48" x14ac:dyDescent="0.25">
      <c r="A82" s="35"/>
      <c r="B82" s="40" t="s">
        <v>2011</v>
      </c>
      <c r="C82" s="74">
        <f>ROUND(61.55/9509,5)</f>
        <v>6.4700000000000001E-3</v>
      </c>
      <c r="D82" s="18">
        <f t="shared" si="0"/>
        <v>9.7049999999999997E-2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48" x14ac:dyDescent="0.25">
      <c r="A84" s="35"/>
      <c r="B84" s="40" t="s">
        <v>2012</v>
      </c>
      <c r="C84" s="74">
        <f>ROUND(88.34/9509,5)</f>
        <v>9.2899999999999996E-3</v>
      </c>
      <c r="D84" s="18">
        <f t="shared" si="0"/>
        <v>0.13935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48" x14ac:dyDescent="0.25">
      <c r="A86" s="35"/>
      <c r="B86" s="40" t="s">
        <v>2013</v>
      </c>
      <c r="C86" s="74">
        <f>ROUND(151.09/9509,5)</f>
        <v>1.5890000000000001E-2</v>
      </c>
      <c r="D86" s="18">
        <f t="shared" si="0"/>
        <v>0.23835000000000001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13.95</v>
      </c>
    </row>
    <row r="88" spans="1:4" x14ac:dyDescent="0.25">
      <c r="A88" s="83"/>
      <c r="B88" s="84" t="s">
        <v>95</v>
      </c>
      <c r="C88" s="82">
        <f>ROUND(C87+C19,3)</f>
        <v>25.98</v>
      </c>
      <c r="D88" s="82">
        <f>ROUND(D87+D19,3)</f>
        <v>389.7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15</v>
      </c>
      <c r="D90" s="89"/>
    </row>
    <row r="91" spans="1:4" ht="30.75" customHeight="1" x14ac:dyDescent="0.25">
      <c r="A91" s="302" t="s">
        <v>113</v>
      </c>
      <c r="B91" s="303"/>
      <c r="C91" s="22">
        <f>D88/C90</f>
        <v>25.98</v>
      </c>
      <c r="D91" s="89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G91"/>
  <sheetViews>
    <sheetView topLeftCell="A76" workbookViewId="0">
      <selection activeCell="D89" sqref="D89"/>
    </sheetView>
  </sheetViews>
  <sheetFormatPr defaultRowHeight="15" x14ac:dyDescent="0.25"/>
  <cols>
    <col min="2" max="2" width="57.85546875" customWidth="1"/>
    <col min="3" max="3" width="10.140625" customWidth="1"/>
    <col min="4" max="4" width="10.7109375" customWidth="1"/>
    <col min="7" max="7" width="14.85546875" customWidth="1"/>
  </cols>
  <sheetData>
    <row r="1" spans="1:7" x14ac:dyDescent="0.25">
      <c r="A1" s="330" t="s">
        <v>78</v>
      </c>
      <c r="B1" s="330"/>
      <c r="C1" s="330"/>
      <c r="D1" s="330"/>
    </row>
    <row r="2" spans="1:7" x14ac:dyDescent="0.25">
      <c r="A2" s="41"/>
      <c r="B2" s="41"/>
      <c r="C2" s="331"/>
      <c r="D2" s="337"/>
    </row>
    <row r="3" spans="1:7" x14ac:dyDescent="0.25">
      <c r="A3" s="42" t="s">
        <v>111</v>
      </c>
      <c r="B3" s="43"/>
      <c r="C3" s="43"/>
      <c r="D3" s="43"/>
    </row>
    <row r="4" spans="1:7" x14ac:dyDescent="0.25">
      <c r="A4" s="41"/>
      <c r="B4" s="7"/>
      <c r="C4" s="7"/>
      <c r="D4" s="26"/>
    </row>
    <row r="5" spans="1:7" ht="40.5" customHeight="1" x14ac:dyDescent="0.25">
      <c r="A5" s="332" t="s">
        <v>501</v>
      </c>
      <c r="B5" s="332"/>
      <c r="C5" s="332"/>
      <c r="D5" s="332"/>
    </row>
    <row r="6" spans="1:7" x14ac:dyDescent="0.25">
      <c r="A6" s="6"/>
      <c r="B6" s="7"/>
      <c r="C6" s="7"/>
      <c r="D6" s="26"/>
    </row>
    <row r="7" spans="1:7" x14ac:dyDescent="0.25">
      <c r="A7" s="333" t="s">
        <v>112</v>
      </c>
      <c r="B7" s="334"/>
      <c r="C7" s="7"/>
      <c r="D7" s="26"/>
    </row>
    <row r="8" spans="1:7" x14ac:dyDescent="0.25">
      <c r="A8" s="51"/>
      <c r="B8" s="52"/>
      <c r="C8" s="7"/>
      <c r="D8" s="26"/>
    </row>
    <row r="9" spans="1:7" x14ac:dyDescent="0.25">
      <c r="A9" s="335" t="s">
        <v>184</v>
      </c>
      <c r="B9" s="335"/>
      <c r="C9" s="25"/>
      <c r="D9" s="26"/>
    </row>
    <row r="10" spans="1:7" x14ac:dyDescent="0.25">
      <c r="A10" s="41"/>
      <c r="B10" s="44"/>
      <c r="C10" s="25"/>
      <c r="D10" s="26"/>
    </row>
    <row r="11" spans="1:7" ht="108" x14ac:dyDescent="0.25">
      <c r="A11" s="10" t="s">
        <v>80</v>
      </c>
      <c r="B11" s="10" t="s">
        <v>81</v>
      </c>
      <c r="C11" s="10" t="s">
        <v>82</v>
      </c>
      <c r="D11" s="10" t="s">
        <v>83</v>
      </c>
    </row>
    <row r="12" spans="1:7" x14ac:dyDescent="0.25">
      <c r="A12" s="11">
        <v>1</v>
      </c>
      <c r="B12" s="12">
        <v>2</v>
      </c>
      <c r="C12" s="11">
        <v>3</v>
      </c>
      <c r="D12" s="11">
        <v>4</v>
      </c>
    </row>
    <row r="13" spans="1:7" x14ac:dyDescent="0.25">
      <c r="A13" s="11"/>
      <c r="B13" s="27" t="s">
        <v>84</v>
      </c>
      <c r="C13" s="13"/>
      <c r="D13" s="13"/>
    </row>
    <row r="14" spans="1:7" x14ac:dyDescent="0.25">
      <c r="A14" s="28">
        <v>1100</v>
      </c>
      <c r="B14" s="29" t="s">
        <v>85</v>
      </c>
      <c r="C14" s="14"/>
      <c r="D14" s="14"/>
    </row>
    <row r="15" spans="1:7" ht="168.75" customHeight="1" x14ac:dyDescent="0.25">
      <c r="A15" s="30"/>
      <c r="B15" s="90" t="s">
        <v>455</v>
      </c>
      <c r="C15" s="18">
        <f>0.17*20+0.17*20+ 3.4/2+0.5*15</f>
        <v>16</v>
      </c>
      <c r="D15" s="18">
        <f>C15*1</f>
        <v>16</v>
      </c>
      <c r="E15" s="341"/>
      <c r="F15" s="342"/>
      <c r="G15" s="342"/>
    </row>
    <row r="16" spans="1:7" ht="24" x14ac:dyDescent="0.25">
      <c r="A16" s="30">
        <v>1200</v>
      </c>
      <c r="B16" s="73" t="s">
        <v>456</v>
      </c>
      <c r="C16" s="18">
        <f>ROUND(C15*0.2359,2)</f>
        <v>3.77</v>
      </c>
      <c r="D16" s="18">
        <f>C16*1</f>
        <v>3.77</v>
      </c>
    </row>
    <row r="17" spans="1:4" x14ac:dyDescent="0.25">
      <c r="A17" s="30">
        <v>2341</v>
      </c>
      <c r="B17" s="30" t="s">
        <v>118</v>
      </c>
      <c r="C17" s="19"/>
      <c r="D17" s="19"/>
    </row>
    <row r="18" spans="1:4" ht="96" x14ac:dyDescent="0.25">
      <c r="A18" s="30"/>
      <c r="B18" s="40" t="s">
        <v>457</v>
      </c>
      <c r="C18" s="16">
        <v>3.85</v>
      </c>
      <c r="D18" s="16">
        <f>C18*1</f>
        <v>3.85</v>
      </c>
    </row>
    <row r="19" spans="1:4" x14ac:dyDescent="0.25">
      <c r="A19" s="140"/>
      <c r="B19" s="136" t="s">
        <v>87</v>
      </c>
      <c r="C19" s="137">
        <f>SUM(C14:C18)</f>
        <v>23.62</v>
      </c>
      <c r="D19" s="137">
        <f>SUM(D14:D18)</f>
        <v>23.62</v>
      </c>
    </row>
    <row r="20" spans="1:4" ht="15" customHeight="1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60" x14ac:dyDescent="0.25">
      <c r="A22" s="77"/>
      <c r="B22" s="40" t="s">
        <v>1949</v>
      </c>
      <c r="C22" s="74">
        <f>ROUND(31.85/9509,3)</f>
        <v>3.0000000000000001E-3</v>
      </c>
      <c r="D22" s="74">
        <f>C22*1</f>
        <v>3.0000000000000001E-3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60" x14ac:dyDescent="0.25">
      <c r="A24" s="35"/>
      <c r="B24" s="40" t="s">
        <v>1950</v>
      </c>
      <c r="C24" s="18">
        <f>ROUND(228.88/9509,3)</f>
        <v>2.4E-2</v>
      </c>
      <c r="D24" s="74">
        <f t="shared" ref="D24:D86" si="0">C24*1</f>
        <v>2.4E-2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60" x14ac:dyDescent="0.25">
      <c r="A26" s="35"/>
      <c r="B26" s="40" t="s">
        <v>1951</v>
      </c>
      <c r="C26" s="18">
        <f>ROUND(382.73/9509,3)</f>
        <v>0.04</v>
      </c>
      <c r="D26" s="18">
        <f t="shared" si="0"/>
        <v>0.04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60" x14ac:dyDescent="0.25">
      <c r="A28" s="35"/>
      <c r="B28" s="40" t="s">
        <v>1952</v>
      </c>
      <c r="C28" s="74">
        <f>ROUND(38.69/9509,3)</f>
        <v>4.0000000000000001E-3</v>
      </c>
      <c r="D28" s="74">
        <f t="shared" si="0"/>
        <v>4.0000000000000001E-3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60" x14ac:dyDescent="0.25">
      <c r="A30" s="35"/>
      <c r="B30" s="40" t="s">
        <v>1953</v>
      </c>
      <c r="C30" s="74">
        <f>ROUND(1004.28/9509,3)</f>
        <v>0.106</v>
      </c>
      <c r="D30" s="74">
        <f t="shared" si="0"/>
        <v>0.106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60" x14ac:dyDescent="0.25">
      <c r="A32" s="34"/>
      <c r="B32" s="40" t="s">
        <v>1954</v>
      </c>
      <c r="C32" s="18">
        <f>ROUND(82.8/9509,3)</f>
        <v>8.9999999999999993E-3</v>
      </c>
      <c r="D32" s="18">
        <f t="shared" si="0"/>
        <v>8.9999999999999993E-3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60" x14ac:dyDescent="0.25">
      <c r="A34" s="35"/>
      <c r="B34" s="40" t="s">
        <v>1955</v>
      </c>
      <c r="C34" s="18">
        <f>ROUND(289.4/9509,3)</f>
        <v>0.03</v>
      </c>
      <c r="D34" s="18">
        <f t="shared" si="0"/>
        <v>0.03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60" x14ac:dyDescent="0.25">
      <c r="A36" s="35"/>
      <c r="B36" s="40" t="s">
        <v>1956</v>
      </c>
      <c r="C36" s="74">
        <f>ROUND(20.68/9509,3)</f>
        <v>2E-3</v>
      </c>
      <c r="D36" s="74">
        <f t="shared" si="0"/>
        <v>2E-3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60" x14ac:dyDescent="0.25">
      <c r="A38" s="35"/>
      <c r="B38" s="40" t="s">
        <v>1957</v>
      </c>
      <c r="C38" s="74">
        <f>ROUND(58.15/9509,3)</f>
        <v>6.0000000000000001E-3</v>
      </c>
      <c r="D38" s="74">
        <f t="shared" si="0"/>
        <v>6.0000000000000001E-3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60" x14ac:dyDescent="0.25">
      <c r="A40" s="35"/>
      <c r="B40" s="40" t="s">
        <v>1958</v>
      </c>
      <c r="C40" s="74">
        <f>ROUND(524.45/9509,3)</f>
        <v>5.5E-2</v>
      </c>
      <c r="D40" s="74">
        <f t="shared" si="0"/>
        <v>5.5E-2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60" x14ac:dyDescent="0.25">
      <c r="A42" s="35"/>
      <c r="B42" s="40" t="s">
        <v>1979</v>
      </c>
      <c r="C42" s="74">
        <f>ROUND(131.923/9509,3)</f>
        <v>1.4E-2</v>
      </c>
      <c r="D42" s="74">
        <f t="shared" si="0"/>
        <v>1.4E-2</v>
      </c>
    </row>
    <row r="43" spans="1:4" x14ac:dyDescent="0.25">
      <c r="A43" s="35">
        <v>2243</v>
      </c>
      <c r="B43" s="40" t="s">
        <v>100</v>
      </c>
      <c r="C43" s="18"/>
      <c r="D43" s="74"/>
    </row>
    <row r="44" spans="1:4" ht="60" x14ac:dyDescent="0.25">
      <c r="A44" s="35"/>
      <c r="B44" s="40" t="s">
        <v>1959</v>
      </c>
      <c r="C44" s="18">
        <f>ROUND(360.94/9509,3)</f>
        <v>3.7999999999999999E-2</v>
      </c>
      <c r="D44" s="18">
        <f t="shared" si="0"/>
        <v>3.7999999999999999E-2</v>
      </c>
    </row>
    <row r="45" spans="1:4" x14ac:dyDescent="0.25">
      <c r="A45" s="35">
        <v>2244</v>
      </c>
      <c r="B45" s="40" t="s">
        <v>92</v>
      </c>
      <c r="C45" s="18"/>
      <c r="D45" s="74"/>
    </row>
    <row r="46" spans="1:4" ht="60" x14ac:dyDescent="0.25">
      <c r="A46" s="79"/>
      <c r="B46" s="40" t="s">
        <v>1960</v>
      </c>
      <c r="C46" s="18">
        <f>ROUND(272.76/9509,3)</f>
        <v>2.9000000000000001E-2</v>
      </c>
      <c r="D46" s="18">
        <f t="shared" si="0"/>
        <v>2.9000000000000001E-2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60" x14ac:dyDescent="0.25">
      <c r="A48" s="79"/>
      <c r="B48" s="40" t="s">
        <v>1961</v>
      </c>
      <c r="C48" s="74">
        <f>ROUND(12.06/9509,3)</f>
        <v>1E-3</v>
      </c>
      <c r="D48" s="74">
        <f t="shared" si="0"/>
        <v>1E-3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48" x14ac:dyDescent="0.25">
      <c r="A50" s="79"/>
      <c r="B50" s="40" t="s">
        <v>1962</v>
      </c>
      <c r="C50" s="74">
        <f>ROUND(23.35/9509,3)</f>
        <v>2E-3</v>
      </c>
      <c r="D50" s="74">
        <f t="shared" si="0"/>
        <v>2E-3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60" x14ac:dyDescent="0.25">
      <c r="A52" s="35"/>
      <c r="B52" s="40" t="s">
        <v>1963</v>
      </c>
      <c r="C52" s="18">
        <f>ROUND(750.97/9509,3)</f>
        <v>7.9000000000000001E-2</v>
      </c>
      <c r="D52" s="18">
        <f t="shared" si="0"/>
        <v>7.9000000000000001E-2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60" x14ac:dyDescent="0.25">
      <c r="A54" s="35"/>
      <c r="B54" s="40" t="s">
        <v>1965</v>
      </c>
      <c r="C54" s="18">
        <f>ROUND(2620.34/9509,3)</f>
        <v>0.27600000000000002</v>
      </c>
      <c r="D54" s="18">
        <f t="shared" si="0"/>
        <v>0.27600000000000002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60" x14ac:dyDescent="0.25">
      <c r="A56" s="35"/>
      <c r="B56" s="40" t="s">
        <v>1964</v>
      </c>
      <c r="C56" s="74">
        <f>ROUND(9.91/9509,3)</f>
        <v>1E-3</v>
      </c>
      <c r="D56" s="74">
        <f t="shared" si="0"/>
        <v>1E-3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60" x14ac:dyDescent="0.25">
      <c r="A58" s="35"/>
      <c r="B58" s="40" t="s">
        <v>1966</v>
      </c>
      <c r="C58" s="18">
        <f>ROUND(132.32/9509,3)</f>
        <v>1.4E-2</v>
      </c>
      <c r="D58" s="18">
        <f t="shared" si="0"/>
        <v>1.4E-2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48" x14ac:dyDescent="0.25">
      <c r="A60" s="35"/>
      <c r="B60" s="40" t="s">
        <v>1967</v>
      </c>
      <c r="C60" s="74">
        <f>ROUND(72.76/9509,3)</f>
        <v>8.0000000000000002E-3</v>
      </c>
      <c r="D60" s="74">
        <f t="shared" si="0"/>
        <v>8.0000000000000002E-3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60" x14ac:dyDescent="0.25">
      <c r="A62" s="35"/>
      <c r="B62" s="40" t="s">
        <v>1968</v>
      </c>
      <c r="C62" s="18">
        <f>ROUND(484.21/9509,3)</f>
        <v>5.0999999999999997E-2</v>
      </c>
      <c r="D62" s="18">
        <f t="shared" si="0"/>
        <v>5.0999999999999997E-2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60" x14ac:dyDescent="0.25">
      <c r="A64" s="35"/>
      <c r="B64" s="40" t="s">
        <v>1969</v>
      </c>
      <c r="C64" s="18">
        <f>ROUND(224.14/9509,3)</f>
        <v>2.4E-2</v>
      </c>
      <c r="D64" s="18">
        <f t="shared" si="0"/>
        <v>2.4E-2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60" x14ac:dyDescent="0.25">
      <c r="A66" s="35"/>
      <c r="B66" s="40" t="s">
        <v>2014</v>
      </c>
      <c r="C66" s="18">
        <f>ROUND(103.21/9509,3)</f>
        <v>1.0999999999999999E-2</v>
      </c>
      <c r="D66" s="74">
        <f t="shared" si="0"/>
        <v>1.0999999999999999E-2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60" x14ac:dyDescent="0.25">
      <c r="A68" s="35"/>
      <c r="B68" s="40" t="s">
        <v>1971</v>
      </c>
      <c r="C68" s="18">
        <f>ROUND(241.97/9509,3)</f>
        <v>2.5000000000000001E-2</v>
      </c>
      <c r="D68" s="18">
        <f t="shared" si="0"/>
        <v>2.5000000000000001E-2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60" x14ac:dyDescent="0.25">
      <c r="A70" s="35"/>
      <c r="B70" s="40" t="s">
        <v>1972</v>
      </c>
      <c r="C70" s="18">
        <f>ROUND(87.42/9509,3)</f>
        <v>8.9999999999999993E-3</v>
      </c>
      <c r="D70" s="18">
        <f t="shared" si="0"/>
        <v>8.9999999999999993E-3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60" x14ac:dyDescent="0.25">
      <c r="A72" s="35"/>
      <c r="B72" s="40" t="s">
        <v>1973</v>
      </c>
      <c r="C72" s="74">
        <f>ROUND(28.69/9509,3)</f>
        <v>3.0000000000000001E-3</v>
      </c>
      <c r="D72" s="74">
        <f t="shared" si="0"/>
        <v>3.0000000000000001E-3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60" x14ac:dyDescent="0.25">
      <c r="A74" s="35"/>
      <c r="B74" s="40" t="s">
        <v>1974</v>
      </c>
      <c r="C74" s="74">
        <f>ROUND(8.56/9509,3)</f>
        <v>1E-3</v>
      </c>
      <c r="D74" s="74">
        <f t="shared" si="0"/>
        <v>1E-3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60" x14ac:dyDescent="0.25">
      <c r="A76" s="35"/>
      <c r="B76" s="40" t="s">
        <v>1975</v>
      </c>
      <c r="C76" s="74">
        <f>ROUND(58.04/9509,3)</f>
        <v>6.0000000000000001E-3</v>
      </c>
      <c r="D76" s="74">
        <f t="shared" si="0"/>
        <v>6.0000000000000001E-3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60" x14ac:dyDescent="0.25">
      <c r="A78" s="35"/>
      <c r="B78" s="40" t="s">
        <v>1976</v>
      </c>
      <c r="C78" s="74">
        <f>ROUND(249.88/9509,3)</f>
        <v>2.5999999999999999E-2</v>
      </c>
      <c r="D78" s="74">
        <f t="shared" si="0"/>
        <v>2.5999999999999999E-2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44.25" customHeight="1" x14ac:dyDescent="0.25">
      <c r="A80" s="35"/>
      <c r="B80" s="40" t="s">
        <v>623</v>
      </c>
      <c r="C80" s="18">
        <v>0</v>
      </c>
      <c r="D80" s="18"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60" x14ac:dyDescent="0.25">
      <c r="A82" s="35"/>
      <c r="B82" s="40" t="s">
        <v>1980</v>
      </c>
      <c r="C82" s="74">
        <f>ROUND(61.55/9509,3)</f>
        <v>6.0000000000000001E-3</v>
      </c>
      <c r="D82" s="74">
        <f t="shared" si="0"/>
        <v>6.0000000000000001E-3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60" x14ac:dyDescent="0.25">
      <c r="A84" s="35"/>
      <c r="B84" s="40" t="s">
        <v>1977</v>
      </c>
      <c r="C84" s="74">
        <f>ROUND(88.34/9509,3)</f>
        <v>8.9999999999999993E-3</v>
      </c>
      <c r="D84" s="74">
        <f t="shared" si="0"/>
        <v>8.9999999999999993E-3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60" x14ac:dyDescent="0.25">
      <c r="A86" s="35"/>
      <c r="B86" s="40" t="s">
        <v>1978</v>
      </c>
      <c r="C86" s="74">
        <f>ROUND(151.09/9509,3)</f>
        <v>1.6E-2</v>
      </c>
      <c r="D86" s="74">
        <f t="shared" si="0"/>
        <v>1.6E-2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0.93</v>
      </c>
    </row>
    <row r="88" spans="1:4" x14ac:dyDescent="0.25">
      <c r="A88" s="83"/>
      <c r="B88" s="84" t="s">
        <v>95</v>
      </c>
      <c r="C88" s="82">
        <f>ROUND(C87+C19,3)</f>
        <v>24.55</v>
      </c>
      <c r="D88" s="82">
        <f>ROUND(D87+D19,3)</f>
        <v>24.55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</v>
      </c>
      <c r="D90" s="89"/>
    </row>
    <row r="91" spans="1:4" ht="31.5" customHeight="1" x14ac:dyDescent="0.25">
      <c r="A91" s="302" t="s">
        <v>113</v>
      </c>
      <c r="B91" s="303"/>
      <c r="C91" s="22">
        <f>D88/C90</f>
        <v>24.55</v>
      </c>
      <c r="D91" s="22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G90"/>
  <sheetViews>
    <sheetView topLeftCell="A75" workbookViewId="0">
      <selection activeCell="F85" sqref="F85"/>
    </sheetView>
  </sheetViews>
  <sheetFormatPr defaultRowHeight="15" x14ac:dyDescent="0.25"/>
  <cols>
    <col min="2" max="2" width="58.28515625" customWidth="1"/>
    <col min="3" max="3" width="11.140625" customWidth="1"/>
  </cols>
  <sheetData>
    <row r="1" spans="1:7" x14ac:dyDescent="0.25">
      <c r="A1" s="315" t="s">
        <v>78</v>
      </c>
      <c r="B1" s="315"/>
      <c r="C1" s="315"/>
      <c r="D1" s="121"/>
    </row>
    <row r="2" spans="1:7" ht="6.75" customHeight="1" x14ac:dyDescent="0.25">
      <c r="A2" s="97"/>
      <c r="B2" s="97"/>
      <c r="C2" s="316"/>
      <c r="D2" s="317"/>
    </row>
    <row r="3" spans="1:7" x14ac:dyDescent="0.25">
      <c r="A3" s="98" t="s">
        <v>111</v>
      </c>
      <c r="B3" s="99"/>
      <c r="C3" s="99"/>
      <c r="D3" s="99"/>
    </row>
    <row r="4" spans="1:7" ht="6.75" customHeight="1" x14ac:dyDescent="0.25">
      <c r="A4" s="97"/>
      <c r="B4" s="60"/>
      <c r="C4" s="60"/>
      <c r="D4" s="96"/>
    </row>
    <row r="5" spans="1:7" ht="38.25" customHeight="1" x14ac:dyDescent="0.25">
      <c r="A5" s="307" t="s">
        <v>502</v>
      </c>
      <c r="B5" s="307"/>
      <c r="C5" s="307"/>
      <c r="D5" s="307"/>
    </row>
    <row r="6" spans="1:7" ht="9.75" customHeight="1" x14ac:dyDescent="0.25">
      <c r="A6" s="122"/>
      <c r="B6" s="60"/>
      <c r="C6" s="60"/>
      <c r="D6" s="96"/>
    </row>
    <row r="7" spans="1:7" x14ac:dyDescent="0.25">
      <c r="A7" s="308" t="s">
        <v>112</v>
      </c>
      <c r="B7" s="310"/>
      <c r="C7" s="60"/>
      <c r="D7" s="96"/>
    </row>
    <row r="8" spans="1:7" ht="9.75" customHeight="1" x14ac:dyDescent="0.25">
      <c r="A8" s="122"/>
      <c r="B8" s="123"/>
      <c r="C8" s="60"/>
      <c r="D8" s="96"/>
    </row>
    <row r="9" spans="1:7" x14ac:dyDescent="0.25">
      <c r="A9" s="318" t="s">
        <v>103</v>
      </c>
      <c r="B9" s="318"/>
      <c r="C9" s="100"/>
      <c r="D9" s="96"/>
    </row>
    <row r="10" spans="1:7" ht="120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4"/>
      <c r="B12" s="81" t="s">
        <v>84</v>
      </c>
      <c r="C12" s="68"/>
      <c r="D12" s="68"/>
    </row>
    <row r="13" spans="1:7" x14ac:dyDescent="0.25">
      <c r="A13" s="94">
        <v>1100</v>
      </c>
      <c r="B13" s="95" t="s">
        <v>85</v>
      </c>
      <c r="C13" s="71"/>
      <c r="D13" s="71"/>
    </row>
    <row r="14" spans="1:7" ht="166.5" customHeight="1" x14ac:dyDescent="0.25">
      <c r="A14" s="35"/>
      <c r="B14" s="90" t="s">
        <v>641</v>
      </c>
      <c r="C14" s="18">
        <f>0.17*20+0.17*20+ 3.4/2+0.5*15</f>
        <v>16</v>
      </c>
      <c r="D14" s="18">
        <f>C14*20</f>
        <v>320</v>
      </c>
      <c r="E14" s="341"/>
      <c r="F14" s="342"/>
      <c r="G14" s="342"/>
    </row>
    <row r="15" spans="1:7" ht="24" x14ac:dyDescent="0.25">
      <c r="A15" s="35">
        <v>1200</v>
      </c>
      <c r="B15" s="73" t="s">
        <v>454</v>
      </c>
      <c r="C15" s="18">
        <f>ROUND(C14*0.2359,2)</f>
        <v>3.77</v>
      </c>
      <c r="D15" s="18">
        <f>C15*20</f>
        <v>75.400000000000006</v>
      </c>
    </row>
    <row r="16" spans="1:7" x14ac:dyDescent="0.25">
      <c r="A16" s="35">
        <v>2341</v>
      </c>
      <c r="B16" s="35" t="s">
        <v>118</v>
      </c>
      <c r="C16" s="74"/>
      <c r="D16" s="74"/>
    </row>
    <row r="17" spans="1:4" ht="108" x14ac:dyDescent="0.25">
      <c r="A17" s="35"/>
      <c r="B17" s="40" t="s">
        <v>646</v>
      </c>
      <c r="C17" s="18">
        <v>17.21</v>
      </c>
      <c r="D17" s="18">
        <f>C17*20</f>
        <v>344.20000000000005</v>
      </c>
    </row>
    <row r="18" spans="1:4" x14ac:dyDescent="0.25">
      <c r="A18" s="84"/>
      <c r="B18" s="92" t="s">
        <v>87</v>
      </c>
      <c r="C18" s="82">
        <f>SUM(C13:C17)</f>
        <v>36.980000000000004</v>
      </c>
      <c r="D18" s="82">
        <f>SUM(D13:D17)</f>
        <v>739.6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1741</v>
      </c>
      <c r="C21" s="74">
        <f>ROUND(31.85/9509,5)</f>
        <v>3.3500000000000001E-3</v>
      </c>
      <c r="D21" s="18">
        <f>C21*20</f>
        <v>6.7000000000000004E-2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5" si="0">C23*20</f>
        <v>0.48140000000000005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60" x14ac:dyDescent="0.25">
      <c r="A25" s="35"/>
      <c r="B25" s="40" t="s">
        <v>1742</v>
      </c>
      <c r="C25" s="18">
        <f>ROUND(382.73/9509,5)</f>
        <v>4.0250000000000001E-2</v>
      </c>
      <c r="D25" s="18">
        <f t="shared" si="0"/>
        <v>0.80500000000000005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60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60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60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1435</v>
      </c>
      <c r="C57" s="18">
        <f>ROUND(132.32/9509,5)</f>
        <v>1.392E-2</v>
      </c>
      <c r="D57" s="18">
        <f t="shared" si="0"/>
        <v>0.27839999999999998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1743</v>
      </c>
      <c r="C59" s="74">
        <f>ROUND(72.76/9509,5)</f>
        <v>7.6499999999999997E-3</v>
      </c>
      <c r="D59" s="18">
        <f t="shared" si="0"/>
        <v>0.153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1424</v>
      </c>
      <c r="C61" s="18">
        <f>ROUND(484.21/9509,5)</f>
        <v>5.092E-2</v>
      </c>
      <c r="D61" s="18">
        <f t="shared" si="0"/>
        <v>1.0184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1744</v>
      </c>
      <c r="C67" s="18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53.25" customHeight="1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54.75" customHeight="1" x14ac:dyDescent="0.25">
      <c r="A77" s="35"/>
      <c r="B77" s="40" t="s">
        <v>1745</v>
      </c>
      <c r="C77" s="74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52.5" customHeight="1" x14ac:dyDescent="0.25">
      <c r="A81" s="35"/>
      <c r="B81" s="40" t="s">
        <v>1981</v>
      </c>
      <c r="C81" s="74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52.5" customHeight="1" x14ac:dyDescent="0.25">
      <c r="A83" s="35"/>
      <c r="B83" s="40" t="s">
        <v>1746</v>
      </c>
      <c r="C83" s="74">
        <f>ROUND(88.34/9509,5)</f>
        <v>9.2899999999999996E-3</v>
      </c>
      <c r="D83" s="18">
        <f t="shared" si="0"/>
        <v>0.18579999999999999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51.75" customHeight="1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37.909999999999997</v>
      </c>
      <c r="D87" s="82">
        <f>ROUND(D86+D18,3)</f>
        <v>758.2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20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37.910000000000004</v>
      </c>
      <c r="D90" s="22"/>
    </row>
  </sheetData>
  <mergeCells count="8">
    <mergeCell ref="A89:B89"/>
    <mergeCell ref="A90:B90"/>
    <mergeCell ref="E14:G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G90"/>
  <sheetViews>
    <sheetView topLeftCell="A73" workbookViewId="0">
      <selection activeCell="D90" sqref="D90"/>
    </sheetView>
  </sheetViews>
  <sheetFormatPr defaultRowHeight="15" x14ac:dyDescent="0.25"/>
  <cols>
    <col min="2" max="2" width="59" customWidth="1"/>
    <col min="3" max="3" width="12.28515625" customWidth="1"/>
    <col min="4" max="4" width="15.140625" customWidth="1"/>
  </cols>
  <sheetData>
    <row r="1" spans="1:7" x14ac:dyDescent="0.25">
      <c r="A1" s="319" t="s">
        <v>78</v>
      </c>
      <c r="B1" s="319"/>
      <c r="C1" s="319"/>
      <c r="D1" s="319"/>
    </row>
    <row r="2" spans="1:7" x14ac:dyDescent="0.25">
      <c r="A2" s="97"/>
      <c r="B2" s="97"/>
      <c r="C2" s="316"/>
      <c r="D2" s="317"/>
    </row>
    <row r="3" spans="1:7" x14ac:dyDescent="0.25">
      <c r="A3" s="98" t="s">
        <v>111</v>
      </c>
      <c r="B3" s="99"/>
      <c r="C3" s="99"/>
      <c r="D3" s="99"/>
    </row>
    <row r="4" spans="1:7" x14ac:dyDescent="0.25">
      <c r="A4" s="97"/>
      <c r="B4" s="60"/>
      <c r="C4" s="60"/>
      <c r="D4" s="96"/>
    </row>
    <row r="5" spans="1:7" ht="49.5" customHeight="1" x14ac:dyDescent="0.25">
      <c r="A5" s="307" t="s">
        <v>503</v>
      </c>
      <c r="B5" s="307"/>
      <c r="C5" s="307"/>
      <c r="D5" s="307"/>
    </row>
    <row r="6" spans="1:7" x14ac:dyDescent="0.25">
      <c r="A6" s="124"/>
      <c r="B6" s="60"/>
      <c r="C6" s="60"/>
      <c r="D6" s="96"/>
    </row>
    <row r="7" spans="1:7" x14ac:dyDescent="0.25">
      <c r="A7" s="308" t="s">
        <v>112</v>
      </c>
      <c r="B7" s="310"/>
      <c r="C7" s="60"/>
      <c r="D7" s="96"/>
    </row>
    <row r="8" spans="1:7" x14ac:dyDescent="0.25">
      <c r="A8" s="124"/>
      <c r="B8" s="125"/>
      <c r="C8" s="60"/>
      <c r="D8" s="96"/>
    </row>
    <row r="9" spans="1:7" x14ac:dyDescent="0.25">
      <c r="A9" s="318" t="s">
        <v>103</v>
      </c>
      <c r="B9" s="318"/>
      <c r="C9" s="100"/>
      <c r="D9" s="96"/>
    </row>
    <row r="10" spans="1:7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4"/>
      <c r="B12" s="81" t="s">
        <v>84</v>
      </c>
      <c r="C12" s="68"/>
      <c r="D12" s="68"/>
    </row>
    <row r="13" spans="1:7" x14ac:dyDescent="0.25">
      <c r="A13" s="94">
        <v>1100</v>
      </c>
      <c r="B13" s="95" t="s">
        <v>85</v>
      </c>
      <c r="C13" s="71"/>
      <c r="D13" s="71"/>
    </row>
    <row r="14" spans="1:7" ht="195.75" customHeight="1" x14ac:dyDescent="0.25">
      <c r="A14" s="35"/>
      <c r="B14" s="90" t="s">
        <v>647</v>
      </c>
      <c r="C14" s="18">
        <f>0.17*20+0.17*20+ 3.4/2+0.5*15</f>
        <v>16</v>
      </c>
      <c r="D14" s="18">
        <f>C14*20</f>
        <v>320</v>
      </c>
      <c r="E14" s="345"/>
      <c r="F14" s="346"/>
      <c r="G14" s="346"/>
    </row>
    <row r="15" spans="1:7" ht="24" x14ac:dyDescent="0.25">
      <c r="A15" s="35">
        <v>1200</v>
      </c>
      <c r="B15" s="73" t="s">
        <v>454</v>
      </c>
      <c r="C15" s="18">
        <f>ROUND(C14*0.2359,2)</f>
        <v>3.77</v>
      </c>
      <c r="D15" s="18">
        <f>C15*20</f>
        <v>75.400000000000006</v>
      </c>
    </row>
    <row r="16" spans="1:7" x14ac:dyDescent="0.25">
      <c r="A16" s="35">
        <v>2341</v>
      </c>
      <c r="B16" s="35" t="s">
        <v>118</v>
      </c>
      <c r="C16" s="74"/>
      <c r="D16" s="74"/>
    </row>
    <row r="17" spans="1:4" ht="108" x14ac:dyDescent="0.25">
      <c r="A17" s="35"/>
      <c r="B17" s="40" t="s">
        <v>648</v>
      </c>
      <c r="C17" s="18">
        <v>14.67</v>
      </c>
      <c r="D17" s="18">
        <f>C17*20</f>
        <v>293.39999999999998</v>
      </c>
    </row>
    <row r="18" spans="1:4" x14ac:dyDescent="0.25">
      <c r="A18" s="84"/>
      <c r="B18" s="92" t="s">
        <v>87</v>
      </c>
      <c r="C18" s="82">
        <f>SUM(C13:C17)</f>
        <v>34.44</v>
      </c>
      <c r="D18" s="82">
        <f>SUM(D13:D17)</f>
        <v>688.8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1741</v>
      </c>
      <c r="C21" s="74">
        <f>ROUND(31.85/9509,5)</f>
        <v>3.3500000000000001E-3</v>
      </c>
      <c r="D21" s="18">
        <f>C21*20</f>
        <v>6.7000000000000004E-2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5" si="0">C23*20</f>
        <v>0.48140000000000005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1742</v>
      </c>
      <c r="C25" s="18">
        <f>ROUND(382.73/9509,5)</f>
        <v>4.0250000000000001E-2</v>
      </c>
      <c r="D25" s="18">
        <f t="shared" si="0"/>
        <v>0.80500000000000005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1435</v>
      </c>
      <c r="C57" s="18">
        <f>ROUND(132.32/9509,5)</f>
        <v>1.392E-2</v>
      </c>
      <c r="D57" s="18">
        <f t="shared" si="0"/>
        <v>0.27839999999999998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1743</v>
      </c>
      <c r="C59" s="74">
        <f>ROUND(72.76/9509,5)</f>
        <v>7.6499999999999997E-3</v>
      </c>
      <c r="D59" s="18">
        <f t="shared" si="0"/>
        <v>0.153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1424</v>
      </c>
      <c r="C61" s="18">
        <f>ROUND(484.21/9509,5)</f>
        <v>5.092E-2</v>
      </c>
      <c r="D61" s="18">
        <f t="shared" si="0"/>
        <v>1.0184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1744</v>
      </c>
      <c r="C67" s="18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1745</v>
      </c>
      <c r="C77" s="74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1981</v>
      </c>
      <c r="C81" s="74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1746</v>
      </c>
      <c r="C83" s="74">
        <f>ROUND(88.34/9509,5)</f>
        <v>9.2899999999999996E-3</v>
      </c>
      <c r="D83" s="18">
        <f t="shared" si="0"/>
        <v>0.18579999999999999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35.369999999999997</v>
      </c>
      <c r="D87" s="82">
        <f>ROUND(D86+D18,3)</f>
        <v>707.4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20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35.369999999999997</v>
      </c>
      <c r="D90" s="22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G89"/>
  <sheetViews>
    <sheetView topLeftCell="A73" workbookViewId="0">
      <selection activeCell="P81" sqref="O81:P81"/>
    </sheetView>
  </sheetViews>
  <sheetFormatPr defaultRowHeight="15" x14ac:dyDescent="0.25"/>
  <cols>
    <col min="2" max="2" width="60" customWidth="1"/>
  </cols>
  <sheetData>
    <row r="1" spans="1:7" x14ac:dyDescent="0.25">
      <c r="A1" s="319" t="s">
        <v>78</v>
      </c>
      <c r="B1" s="319"/>
      <c r="C1" s="319"/>
      <c r="D1" s="319"/>
    </row>
    <row r="2" spans="1:7" x14ac:dyDescent="0.25">
      <c r="A2" s="133"/>
      <c r="B2" s="133"/>
      <c r="C2" s="133"/>
      <c r="D2" s="133"/>
    </row>
    <row r="3" spans="1:7" x14ac:dyDescent="0.25">
      <c r="A3" s="98" t="s">
        <v>111</v>
      </c>
      <c r="B3" s="99"/>
      <c r="C3" s="99"/>
      <c r="D3" s="99"/>
    </row>
    <row r="4" spans="1:7" ht="66.75" customHeight="1" x14ac:dyDescent="0.25">
      <c r="A4" s="307" t="s">
        <v>504</v>
      </c>
      <c r="B4" s="307"/>
      <c r="C4" s="307"/>
      <c r="D4" s="307"/>
    </row>
    <row r="5" spans="1:7" x14ac:dyDescent="0.25">
      <c r="A5" s="308" t="s">
        <v>112</v>
      </c>
      <c r="B5" s="310"/>
      <c r="C5" s="60"/>
      <c r="D5" s="60"/>
    </row>
    <row r="6" spans="1:7" x14ac:dyDescent="0.25">
      <c r="A6" s="131"/>
      <c r="B6" s="132"/>
      <c r="C6" s="60"/>
      <c r="D6" s="60"/>
    </row>
    <row r="7" spans="1:7" x14ac:dyDescent="0.25">
      <c r="A7" s="318" t="s">
        <v>103</v>
      </c>
      <c r="B7" s="318"/>
      <c r="C7" s="100"/>
      <c r="D7" s="100"/>
    </row>
    <row r="8" spans="1:7" ht="120" x14ac:dyDescent="0.25">
      <c r="A8" s="63" t="s">
        <v>80</v>
      </c>
      <c r="B8" s="63" t="s">
        <v>81</v>
      </c>
      <c r="C8" s="63" t="s">
        <v>82</v>
      </c>
      <c r="D8" s="63" t="s">
        <v>83</v>
      </c>
    </row>
    <row r="9" spans="1:7" x14ac:dyDescent="0.25">
      <c r="A9" s="64">
        <v>1</v>
      </c>
      <c r="B9" s="65">
        <v>2</v>
      </c>
      <c r="C9" s="64">
        <v>3</v>
      </c>
      <c r="D9" s="64">
        <v>4</v>
      </c>
    </row>
    <row r="10" spans="1:7" x14ac:dyDescent="0.25">
      <c r="A10" s="64"/>
      <c r="B10" s="81" t="s">
        <v>84</v>
      </c>
      <c r="C10" s="68"/>
      <c r="D10" s="68"/>
    </row>
    <row r="11" spans="1:7" x14ac:dyDescent="0.25">
      <c r="A11" s="94">
        <v>1100</v>
      </c>
      <c r="B11" s="95" t="s">
        <v>85</v>
      </c>
      <c r="C11" s="71"/>
      <c r="D11" s="71"/>
    </row>
    <row r="12" spans="1:7" ht="161.25" customHeight="1" x14ac:dyDescent="0.25">
      <c r="A12" s="35"/>
      <c r="B12" s="90" t="s">
        <v>649</v>
      </c>
      <c r="C12" s="18">
        <f>0.17*20+0.17*20+ 3.4/2+0.5*15</f>
        <v>16</v>
      </c>
      <c r="D12" s="18">
        <f>C12*20</f>
        <v>320</v>
      </c>
      <c r="E12" s="345"/>
      <c r="F12" s="347"/>
      <c r="G12" s="347"/>
    </row>
    <row r="13" spans="1:7" ht="24" x14ac:dyDescent="0.25">
      <c r="A13" s="35">
        <v>1200</v>
      </c>
      <c r="B13" s="73" t="s">
        <v>456</v>
      </c>
      <c r="C13" s="18">
        <f>ROUND(C12*0.2359,2)</f>
        <v>3.77</v>
      </c>
      <c r="D13" s="18">
        <f>C13*20</f>
        <v>75.400000000000006</v>
      </c>
    </row>
    <row r="14" spans="1:7" x14ac:dyDescent="0.25">
      <c r="A14" s="35">
        <v>2341</v>
      </c>
      <c r="B14" s="35" t="s">
        <v>97</v>
      </c>
      <c r="C14" s="74"/>
      <c r="D14" s="71"/>
    </row>
    <row r="15" spans="1:7" ht="96.75" customHeight="1" x14ac:dyDescent="0.25">
      <c r="A15" s="35"/>
      <c r="B15" s="40" t="s">
        <v>724</v>
      </c>
      <c r="C15" s="18">
        <v>10.96</v>
      </c>
      <c r="D15" s="71">
        <f>C15*20</f>
        <v>219.20000000000002</v>
      </c>
    </row>
    <row r="16" spans="1:7" ht="19.5" customHeight="1" x14ac:dyDescent="0.25">
      <c r="A16" s="35"/>
      <c r="B16" s="92" t="s">
        <v>87</v>
      </c>
      <c r="C16" s="82">
        <f>SUM(C11:C15)</f>
        <v>30.73</v>
      </c>
      <c r="D16" s="82">
        <f>SUM(D11:D15)</f>
        <v>614.6</v>
      </c>
    </row>
    <row r="17" spans="1:4" x14ac:dyDescent="0.25">
      <c r="A17" s="77"/>
      <c r="B17" s="176" t="s">
        <v>88</v>
      </c>
      <c r="C17" s="78"/>
      <c r="D17" s="78"/>
    </row>
    <row r="18" spans="1:4" x14ac:dyDescent="0.25">
      <c r="A18" s="35">
        <v>2100</v>
      </c>
      <c r="B18" s="244" t="s">
        <v>584</v>
      </c>
      <c r="C18" s="78"/>
      <c r="D18" s="78"/>
    </row>
    <row r="19" spans="1:4" ht="48" x14ac:dyDescent="0.25">
      <c r="A19" s="77"/>
      <c r="B19" s="40" t="s">
        <v>1741</v>
      </c>
      <c r="C19" s="74">
        <f>ROUND(31.85/9509,5)</f>
        <v>3.3500000000000001E-3</v>
      </c>
      <c r="D19" s="18">
        <f>C19*20</f>
        <v>6.7000000000000004E-2</v>
      </c>
    </row>
    <row r="20" spans="1:4" x14ac:dyDescent="0.25">
      <c r="A20" s="35">
        <v>2210</v>
      </c>
      <c r="B20" s="40" t="s">
        <v>568</v>
      </c>
      <c r="C20" s="74"/>
      <c r="D20" s="74"/>
    </row>
    <row r="21" spans="1:4" ht="48" x14ac:dyDescent="0.25">
      <c r="A21" s="35"/>
      <c r="B21" s="40" t="s">
        <v>1406</v>
      </c>
      <c r="C21" s="18">
        <f>ROUND(228.88/9509,5)</f>
        <v>2.4070000000000001E-2</v>
      </c>
      <c r="D21" s="18">
        <f t="shared" ref="D21:D83" si="0">C21*20</f>
        <v>0.48140000000000005</v>
      </c>
    </row>
    <row r="22" spans="1:4" x14ac:dyDescent="0.25">
      <c r="A22" s="35">
        <v>2221</v>
      </c>
      <c r="B22" s="40" t="s">
        <v>89</v>
      </c>
      <c r="C22" s="18"/>
      <c r="D22" s="18"/>
    </row>
    <row r="23" spans="1:4" ht="48" x14ac:dyDescent="0.25">
      <c r="A23" s="35"/>
      <c r="B23" s="40" t="s">
        <v>1742</v>
      </c>
      <c r="C23" s="18">
        <f>ROUND(382.73/9509,5)</f>
        <v>4.0250000000000001E-2</v>
      </c>
      <c r="D23" s="18">
        <f t="shared" si="0"/>
        <v>0.80500000000000005</v>
      </c>
    </row>
    <row r="24" spans="1:4" x14ac:dyDescent="0.25">
      <c r="A24" s="35">
        <v>2222</v>
      </c>
      <c r="B24" s="242" t="s">
        <v>90</v>
      </c>
      <c r="C24" s="18"/>
      <c r="D24" s="18"/>
    </row>
    <row r="25" spans="1:4" ht="48" x14ac:dyDescent="0.25">
      <c r="A25" s="35"/>
      <c r="B25" s="40" t="s">
        <v>1408</v>
      </c>
      <c r="C25" s="74">
        <f>ROUND(38.69/9509,3)</f>
        <v>4.0000000000000001E-3</v>
      </c>
      <c r="D25" s="18">
        <f t="shared" si="0"/>
        <v>0.08</v>
      </c>
    </row>
    <row r="26" spans="1:4" x14ac:dyDescent="0.25">
      <c r="A26" s="35">
        <v>2223</v>
      </c>
      <c r="B26" s="35" t="s">
        <v>91</v>
      </c>
      <c r="C26" s="74"/>
      <c r="D26" s="18"/>
    </row>
    <row r="27" spans="1:4" ht="48" x14ac:dyDescent="0.25">
      <c r="A27" s="35"/>
      <c r="B27" s="40" t="s">
        <v>1409</v>
      </c>
      <c r="C27" s="74">
        <f>ROUND(1004.28/9509,3)</f>
        <v>0.106</v>
      </c>
      <c r="D27" s="18">
        <f t="shared" si="0"/>
        <v>2.12</v>
      </c>
    </row>
    <row r="28" spans="1:4" ht="24" x14ac:dyDescent="0.25">
      <c r="A28" s="35">
        <v>2224</v>
      </c>
      <c r="B28" s="40" t="s">
        <v>115</v>
      </c>
      <c r="C28" s="74"/>
      <c r="D28" s="18"/>
    </row>
    <row r="29" spans="1:4" ht="48" x14ac:dyDescent="0.25">
      <c r="A29" s="34"/>
      <c r="B29" s="40" t="s">
        <v>1410</v>
      </c>
      <c r="C29" s="18">
        <f>ROUND(82.8/9509,3)</f>
        <v>8.9999999999999993E-3</v>
      </c>
      <c r="D29" s="18">
        <f t="shared" si="0"/>
        <v>0.18</v>
      </c>
    </row>
    <row r="30" spans="1:4" x14ac:dyDescent="0.25">
      <c r="A30" s="35">
        <v>2231</v>
      </c>
      <c r="B30" s="40" t="s">
        <v>121</v>
      </c>
      <c r="C30" s="74"/>
      <c r="D30" s="18"/>
    </row>
    <row r="31" spans="1:4" ht="48" x14ac:dyDescent="0.25">
      <c r="A31" s="35"/>
      <c r="B31" s="40" t="s">
        <v>1411</v>
      </c>
      <c r="C31" s="18">
        <f>ROUND(289.4/9509,3)</f>
        <v>0.03</v>
      </c>
      <c r="D31" s="18">
        <f t="shared" si="0"/>
        <v>0.6</v>
      </c>
    </row>
    <row r="32" spans="1:4" x14ac:dyDescent="0.25">
      <c r="A32" s="35">
        <v>2233</v>
      </c>
      <c r="B32" s="242" t="s">
        <v>143</v>
      </c>
      <c r="C32" s="18"/>
      <c r="D32" s="18"/>
    </row>
    <row r="33" spans="1:4" ht="48" x14ac:dyDescent="0.25">
      <c r="A33" s="35"/>
      <c r="B33" s="40" t="s">
        <v>1412</v>
      </c>
      <c r="C33" s="74">
        <f>ROUND(20.68/9509,3)</f>
        <v>2E-3</v>
      </c>
      <c r="D33" s="18">
        <f t="shared" si="0"/>
        <v>0.04</v>
      </c>
    </row>
    <row r="34" spans="1:4" x14ac:dyDescent="0.25">
      <c r="A34" s="35">
        <v>2235</v>
      </c>
      <c r="B34" s="242" t="s">
        <v>569</v>
      </c>
      <c r="C34" s="74"/>
      <c r="D34" s="18"/>
    </row>
    <row r="35" spans="1:4" ht="48" x14ac:dyDescent="0.25">
      <c r="A35" s="35"/>
      <c r="B35" s="40" t="s">
        <v>1413</v>
      </c>
      <c r="C35" s="74">
        <f>ROUND(58.15/9509,3)</f>
        <v>6.0000000000000001E-3</v>
      </c>
      <c r="D35" s="18">
        <f t="shared" si="0"/>
        <v>0.12</v>
      </c>
    </row>
    <row r="36" spans="1:4" x14ac:dyDescent="0.25">
      <c r="A36" s="35">
        <v>2239</v>
      </c>
      <c r="B36" s="242" t="s">
        <v>570</v>
      </c>
      <c r="C36" s="74"/>
      <c r="D36" s="18"/>
    </row>
    <row r="37" spans="1:4" ht="48" x14ac:dyDescent="0.25">
      <c r="A37" s="35"/>
      <c r="B37" s="40" t="s">
        <v>1414</v>
      </c>
      <c r="C37" s="74">
        <f>ROUND(524.45/9509,3)</f>
        <v>5.5E-2</v>
      </c>
      <c r="D37" s="18">
        <f t="shared" si="0"/>
        <v>1.1000000000000001</v>
      </c>
    </row>
    <row r="38" spans="1:4" x14ac:dyDescent="0.25">
      <c r="A38" s="35">
        <v>2242</v>
      </c>
      <c r="B38" s="242" t="s">
        <v>571</v>
      </c>
      <c r="C38" s="74"/>
      <c r="D38" s="18"/>
    </row>
    <row r="39" spans="1:4" ht="48" x14ac:dyDescent="0.25">
      <c r="A39" s="35"/>
      <c r="B39" s="40" t="s">
        <v>1415</v>
      </c>
      <c r="C39" s="74">
        <f>ROUND(131.923/9509,3)</f>
        <v>1.4E-2</v>
      </c>
      <c r="D39" s="18">
        <f t="shared" si="0"/>
        <v>0.28000000000000003</v>
      </c>
    </row>
    <row r="40" spans="1:4" x14ac:dyDescent="0.25">
      <c r="A40" s="35">
        <v>2243</v>
      </c>
      <c r="B40" s="40" t="s">
        <v>100</v>
      </c>
      <c r="C40" s="18"/>
      <c r="D40" s="18"/>
    </row>
    <row r="41" spans="1:4" ht="48" x14ac:dyDescent="0.25">
      <c r="A41" s="35"/>
      <c r="B41" s="40" t="s">
        <v>1416</v>
      </c>
      <c r="C41" s="18">
        <f>ROUND(360.94/9509,3)</f>
        <v>3.7999999999999999E-2</v>
      </c>
      <c r="D41" s="18">
        <f t="shared" si="0"/>
        <v>0.76</v>
      </c>
    </row>
    <row r="42" spans="1:4" x14ac:dyDescent="0.25">
      <c r="A42" s="35">
        <v>2244</v>
      </c>
      <c r="B42" s="40" t="s">
        <v>92</v>
      </c>
      <c r="C42" s="18"/>
      <c r="D42" s="18"/>
    </row>
    <row r="43" spans="1:4" ht="48" x14ac:dyDescent="0.25">
      <c r="A43" s="79"/>
      <c r="B43" s="40" t="s">
        <v>1417</v>
      </c>
      <c r="C43" s="18">
        <f>ROUND(272.76/9509,3)</f>
        <v>2.9000000000000001E-2</v>
      </c>
      <c r="D43" s="18">
        <f t="shared" si="0"/>
        <v>0.58000000000000007</v>
      </c>
    </row>
    <row r="44" spans="1:4" x14ac:dyDescent="0.25">
      <c r="A44" s="35">
        <v>2247</v>
      </c>
      <c r="B44" s="242" t="s">
        <v>572</v>
      </c>
      <c r="C44" s="18"/>
      <c r="D44" s="18"/>
    </row>
    <row r="45" spans="1:4" ht="48" x14ac:dyDescent="0.25">
      <c r="A45" s="79"/>
      <c r="B45" s="40" t="s">
        <v>1538</v>
      </c>
      <c r="C45" s="74">
        <f>ROUND(12.06/9509,3)</f>
        <v>1E-3</v>
      </c>
      <c r="D45" s="18">
        <f t="shared" si="0"/>
        <v>0.02</v>
      </c>
    </row>
    <row r="46" spans="1:4" x14ac:dyDescent="0.25">
      <c r="A46" s="35">
        <v>2249</v>
      </c>
      <c r="B46" s="242" t="s">
        <v>573</v>
      </c>
      <c r="C46" s="18"/>
      <c r="D46" s="18"/>
    </row>
    <row r="47" spans="1:4" ht="48" x14ac:dyDescent="0.25">
      <c r="A47" s="79"/>
      <c r="B47" s="40" t="s">
        <v>1419</v>
      </c>
      <c r="C47" s="74">
        <f>ROUND(23.35/9509,3)</f>
        <v>2E-3</v>
      </c>
      <c r="D47" s="18">
        <f t="shared" si="0"/>
        <v>0.04</v>
      </c>
    </row>
    <row r="48" spans="1:4" x14ac:dyDescent="0.25">
      <c r="A48" s="35">
        <v>2250</v>
      </c>
      <c r="B48" s="40" t="s">
        <v>122</v>
      </c>
      <c r="C48" s="74"/>
      <c r="D48" s="18"/>
    </row>
    <row r="49" spans="1:4" ht="48" x14ac:dyDescent="0.25">
      <c r="A49" s="35"/>
      <c r="B49" s="40" t="s">
        <v>1420</v>
      </c>
      <c r="C49" s="18">
        <f>ROUND(750.97/9509,3)</f>
        <v>7.9000000000000001E-2</v>
      </c>
      <c r="D49" s="18">
        <f t="shared" si="0"/>
        <v>1.58</v>
      </c>
    </row>
    <row r="50" spans="1:4" x14ac:dyDescent="0.25">
      <c r="A50" s="35">
        <v>2261</v>
      </c>
      <c r="B50" s="242" t="s">
        <v>146</v>
      </c>
      <c r="C50" s="18"/>
      <c r="D50" s="18"/>
    </row>
    <row r="51" spans="1:4" ht="48" x14ac:dyDescent="0.25">
      <c r="A51" s="35"/>
      <c r="B51" s="40" t="s">
        <v>1421</v>
      </c>
      <c r="C51" s="18">
        <f>ROUND(2620.34/9509,3)</f>
        <v>0.27600000000000002</v>
      </c>
      <c r="D51" s="18">
        <f t="shared" si="0"/>
        <v>5.5200000000000005</v>
      </c>
    </row>
    <row r="52" spans="1:4" x14ac:dyDescent="0.25">
      <c r="A52" s="35">
        <v>2263</v>
      </c>
      <c r="B52" s="242" t="s">
        <v>574</v>
      </c>
      <c r="C52" s="18"/>
      <c r="D52" s="18"/>
    </row>
    <row r="53" spans="1:4" ht="48" x14ac:dyDescent="0.25">
      <c r="A53" s="35"/>
      <c r="B53" s="40" t="s">
        <v>1422</v>
      </c>
      <c r="C53" s="74">
        <f>ROUND(9.91/9509,5)</f>
        <v>1.0399999999999999E-3</v>
      </c>
      <c r="D53" s="18">
        <f t="shared" si="0"/>
        <v>2.0799999999999999E-2</v>
      </c>
    </row>
    <row r="54" spans="1:4" x14ac:dyDescent="0.25">
      <c r="A54" s="35">
        <v>2264</v>
      </c>
      <c r="B54" s="242" t="s">
        <v>575</v>
      </c>
      <c r="C54" s="18"/>
      <c r="D54" s="18"/>
    </row>
    <row r="55" spans="1:4" ht="48" x14ac:dyDescent="0.25">
      <c r="A55" s="35"/>
      <c r="B55" s="40" t="s">
        <v>1435</v>
      </c>
      <c r="C55" s="18">
        <f>ROUND(132.32/9509,5)</f>
        <v>1.392E-2</v>
      </c>
      <c r="D55" s="18">
        <f t="shared" si="0"/>
        <v>0.27839999999999998</v>
      </c>
    </row>
    <row r="56" spans="1:4" x14ac:dyDescent="0.25">
      <c r="A56" s="35">
        <v>2311</v>
      </c>
      <c r="B56" s="40" t="s">
        <v>93</v>
      </c>
      <c r="C56" s="74"/>
      <c r="D56" s="18"/>
    </row>
    <row r="57" spans="1:4" ht="48" x14ac:dyDescent="0.25">
      <c r="A57" s="35"/>
      <c r="B57" s="40" t="s">
        <v>1743</v>
      </c>
      <c r="C57" s="74">
        <f>ROUND(72.76/9509,5)</f>
        <v>7.6499999999999997E-3</v>
      </c>
      <c r="D57" s="18">
        <f t="shared" si="0"/>
        <v>0.153</v>
      </c>
    </row>
    <row r="58" spans="1:4" x14ac:dyDescent="0.25">
      <c r="A58" s="35">
        <v>2312</v>
      </c>
      <c r="B58" s="40" t="s">
        <v>124</v>
      </c>
      <c r="C58" s="18"/>
      <c r="D58" s="18"/>
    </row>
    <row r="59" spans="1:4" ht="48" x14ac:dyDescent="0.25">
      <c r="A59" s="35"/>
      <c r="B59" s="40" t="s">
        <v>1424</v>
      </c>
      <c r="C59" s="18">
        <f>ROUND(484.21/9509,5)</f>
        <v>5.092E-2</v>
      </c>
      <c r="D59" s="18">
        <f t="shared" si="0"/>
        <v>1.0184</v>
      </c>
    </row>
    <row r="60" spans="1:4" x14ac:dyDescent="0.25">
      <c r="A60" s="35">
        <v>2314</v>
      </c>
      <c r="B60" s="242" t="s">
        <v>576</v>
      </c>
      <c r="C60" s="18"/>
      <c r="D60" s="18"/>
    </row>
    <row r="61" spans="1:4" ht="48" x14ac:dyDescent="0.25">
      <c r="A61" s="35"/>
      <c r="B61" s="40" t="s">
        <v>1425</v>
      </c>
      <c r="C61" s="18">
        <f>ROUND(224.14/9509,3)</f>
        <v>2.4E-2</v>
      </c>
      <c r="D61" s="18">
        <f t="shared" si="0"/>
        <v>0.48</v>
      </c>
    </row>
    <row r="62" spans="1:4" x14ac:dyDescent="0.25">
      <c r="A62" s="35">
        <v>2322</v>
      </c>
      <c r="B62" s="243" t="s">
        <v>577</v>
      </c>
      <c r="C62" s="18"/>
      <c r="D62" s="18"/>
    </row>
    <row r="63" spans="1:4" ht="48" x14ac:dyDescent="0.25">
      <c r="A63" s="35"/>
      <c r="B63" s="40" t="s">
        <v>1436</v>
      </c>
      <c r="C63" s="18">
        <f>ROUND(103.21/9509,5)</f>
        <v>1.085E-2</v>
      </c>
      <c r="D63" s="18">
        <f t="shared" si="0"/>
        <v>0.217</v>
      </c>
    </row>
    <row r="64" spans="1:4" x14ac:dyDescent="0.25">
      <c r="A64" s="35">
        <v>2350</v>
      </c>
      <c r="B64" s="40" t="s">
        <v>123</v>
      </c>
      <c r="C64" s="74"/>
      <c r="D64" s="18"/>
    </row>
    <row r="65" spans="1:4" ht="48" x14ac:dyDescent="0.25">
      <c r="A65" s="35"/>
      <c r="B65" s="40" t="s">
        <v>1744</v>
      </c>
      <c r="C65" s="18">
        <f>ROUND(241.97/9509,5)</f>
        <v>2.545E-2</v>
      </c>
      <c r="D65" s="18">
        <f t="shared" si="0"/>
        <v>0.50900000000000001</v>
      </c>
    </row>
    <row r="66" spans="1:4" x14ac:dyDescent="0.25">
      <c r="A66" s="35">
        <v>2361</v>
      </c>
      <c r="B66" s="242" t="s">
        <v>578</v>
      </c>
      <c r="C66" s="18"/>
      <c r="D66" s="18"/>
    </row>
    <row r="67" spans="1:4" ht="48" x14ac:dyDescent="0.25">
      <c r="A67" s="35"/>
      <c r="B67" s="40" t="s">
        <v>1427</v>
      </c>
      <c r="C67" s="18">
        <f>ROUND(87.42/9509,5)</f>
        <v>9.1900000000000003E-3</v>
      </c>
      <c r="D67" s="18">
        <f t="shared" si="0"/>
        <v>0.18380000000000002</v>
      </c>
    </row>
    <row r="68" spans="1:4" x14ac:dyDescent="0.25">
      <c r="A68" s="35">
        <v>2513</v>
      </c>
      <c r="B68" s="242" t="s">
        <v>579</v>
      </c>
      <c r="C68" s="18"/>
      <c r="D68" s="18"/>
    </row>
    <row r="69" spans="1:4" ht="48" x14ac:dyDescent="0.25">
      <c r="A69" s="35"/>
      <c r="B69" s="40" t="s">
        <v>1428</v>
      </c>
      <c r="C69" s="74">
        <f>ROUND(28.69/9509,5)</f>
        <v>3.0200000000000001E-3</v>
      </c>
      <c r="D69" s="18">
        <f t="shared" si="0"/>
        <v>6.0400000000000002E-2</v>
      </c>
    </row>
    <row r="70" spans="1:4" x14ac:dyDescent="0.25">
      <c r="A70" s="35">
        <v>2519</v>
      </c>
      <c r="B70" s="242" t="s">
        <v>580</v>
      </c>
      <c r="C70" s="74"/>
      <c r="D70" s="18"/>
    </row>
    <row r="71" spans="1:4" ht="48" x14ac:dyDescent="0.25">
      <c r="A71" s="35"/>
      <c r="B71" s="40" t="s">
        <v>1429</v>
      </c>
      <c r="C71" s="74">
        <f>ROUND(8.56/9509,5)</f>
        <v>8.9999999999999998E-4</v>
      </c>
      <c r="D71" s="18">
        <f t="shared" si="0"/>
        <v>1.7999999999999999E-2</v>
      </c>
    </row>
    <row r="72" spans="1:4" x14ac:dyDescent="0.25">
      <c r="A72" s="35">
        <v>5120</v>
      </c>
      <c r="B72" s="40" t="s">
        <v>101</v>
      </c>
      <c r="C72" s="74"/>
      <c r="D72" s="18"/>
    </row>
    <row r="73" spans="1:4" ht="48" x14ac:dyDescent="0.25">
      <c r="A73" s="35"/>
      <c r="B73" s="40" t="s">
        <v>1430</v>
      </c>
      <c r="C73" s="74">
        <f>ROUND(58.04/9509,5)</f>
        <v>6.1000000000000004E-3</v>
      </c>
      <c r="D73" s="18">
        <f t="shared" si="0"/>
        <v>0.12200000000000001</v>
      </c>
    </row>
    <row r="74" spans="1:4" x14ac:dyDescent="0.25">
      <c r="A74" s="35">
        <v>5210</v>
      </c>
      <c r="B74" s="243" t="s">
        <v>581</v>
      </c>
      <c r="C74" s="74"/>
      <c r="D74" s="18"/>
    </row>
    <row r="75" spans="1:4" ht="48" x14ac:dyDescent="0.25">
      <c r="A75" s="35"/>
      <c r="B75" s="40" t="s">
        <v>1745</v>
      </c>
      <c r="C75" s="74">
        <f>ROUND(249.88/9509,5)</f>
        <v>2.6280000000000001E-2</v>
      </c>
      <c r="D75" s="18">
        <f t="shared" si="0"/>
        <v>0.52560000000000007</v>
      </c>
    </row>
    <row r="76" spans="1:4" x14ac:dyDescent="0.25">
      <c r="A76" s="35">
        <v>5220</v>
      </c>
      <c r="B76" s="40" t="s">
        <v>120</v>
      </c>
      <c r="C76" s="18"/>
      <c r="D76" s="18"/>
    </row>
    <row r="77" spans="1:4" ht="48" x14ac:dyDescent="0.25">
      <c r="A77" s="35"/>
      <c r="B77" s="40" t="s">
        <v>623</v>
      </c>
      <c r="C77" s="18">
        <v>0</v>
      </c>
      <c r="D77" s="18">
        <f t="shared" si="0"/>
        <v>0</v>
      </c>
    </row>
    <row r="78" spans="1:4" x14ac:dyDescent="0.25">
      <c r="A78" s="35">
        <v>5231</v>
      </c>
      <c r="B78" s="243" t="s">
        <v>582</v>
      </c>
      <c r="C78" s="18"/>
      <c r="D78" s="18"/>
    </row>
    <row r="79" spans="1:4" ht="48" x14ac:dyDescent="0.25">
      <c r="A79" s="35"/>
      <c r="B79" s="40" t="s">
        <v>1981</v>
      </c>
      <c r="C79" s="74">
        <f>ROUND(61.55/9509,5)</f>
        <v>6.4700000000000001E-3</v>
      </c>
      <c r="D79" s="18">
        <f t="shared" si="0"/>
        <v>0.12940000000000002</v>
      </c>
    </row>
    <row r="80" spans="1:4" x14ac:dyDescent="0.25">
      <c r="A80" s="35">
        <v>5238</v>
      </c>
      <c r="B80" s="40" t="s">
        <v>117</v>
      </c>
      <c r="C80" s="80"/>
      <c r="D80" s="18"/>
    </row>
    <row r="81" spans="1:4" ht="48" x14ac:dyDescent="0.25">
      <c r="A81" s="35"/>
      <c r="B81" s="40" t="s">
        <v>1746</v>
      </c>
      <c r="C81" s="74">
        <f>ROUND(88.34/9509,5)</f>
        <v>9.2899999999999996E-3</v>
      </c>
      <c r="D81" s="18">
        <f t="shared" si="0"/>
        <v>0.18579999999999999</v>
      </c>
    </row>
    <row r="82" spans="1:4" x14ac:dyDescent="0.25">
      <c r="A82" s="35">
        <v>5239</v>
      </c>
      <c r="B82" s="243" t="s">
        <v>583</v>
      </c>
      <c r="C82" s="74"/>
      <c r="D82" s="18"/>
    </row>
    <row r="83" spans="1:4" ht="48" x14ac:dyDescent="0.25">
      <c r="A83" s="35"/>
      <c r="B83" s="40" t="s">
        <v>1434</v>
      </c>
      <c r="C83" s="74">
        <f>ROUND(151.09/9509,3)</f>
        <v>1.6E-2</v>
      </c>
      <c r="D83" s="18">
        <f t="shared" si="0"/>
        <v>0.32</v>
      </c>
    </row>
    <row r="84" spans="1:4" x14ac:dyDescent="0.25">
      <c r="A84" s="35"/>
      <c r="B84" s="81" t="s">
        <v>94</v>
      </c>
      <c r="C84" s="82">
        <f>ROUND(C19+C21+C23+C25+C27+C29+C31+C33+C35+C37+C39+C41+C43+C45+C47+C49+C51+C53+C55+C57+C59+C61+C63+C65+C67+C69+C71+C73+C75+C79+C81+C83,2)</f>
        <v>0.93</v>
      </c>
      <c r="D84" s="82">
        <f>ROUND(D19+D21+D23+D25+D27+D29+D31+D33+D35+D37+D39+D41+D43+D45+D47+D49+D51+D53+D55+D57+D59+D61+D63+D65+D67+D69+D71+D73+D75+D79+D81+D83,2)</f>
        <v>18.600000000000001</v>
      </c>
    </row>
    <row r="85" spans="1:4" x14ac:dyDescent="0.25">
      <c r="A85" s="83"/>
      <c r="B85" s="84" t="s">
        <v>95</v>
      </c>
      <c r="C85" s="82">
        <f>ROUND(C84+C16,3)</f>
        <v>31.66</v>
      </c>
      <c r="D85" s="82">
        <f>ROUND(D84+D16,3)</f>
        <v>633.20000000000005</v>
      </c>
    </row>
    <row r="86" spans="1:4" x14ac:dyDescent="0.25">
      <c r="A86" s="85"/>
      <c r="B86" s="86"/>
      <c r="C86" s="87"/>
      <c r="D86" s="87"/>
    </row>
    <row r="87" spans="1:4" ht="19.5" customHeight="1" x14ac:dyDescent="0.25">
      <c r="A87" s="302" t="s">
        <v>96</v>
      </c>
      <c r="B87" s="303"/>
      <c r="C87" s="88">
        <v>20</v>
      </c>
      <c r="D87" s="89"/>
    </row>
    <row r="88" spans="1:4" ht="26.25" customHeight="1" x14ac:dyDescent="0.25">
      <c r="A88" s="302" t="s">
        <v>113</v>
      </c>
      <c r="B88" s="303"/>
      <c r="C88" s="22">
        <f>D85/C87</f>
        <v>31.660000000000004</v>
      </c>
      <c r="D88" s="22"/>
    </row>
    <row r="89" spans="1:4" ht="29.25" customHeight="1" x14ac:dyDescent="0.25"/>
  </sheetData>
  <mergeCells count="7">
    <mergeCell ref="A87:B87"/>
    <mergeCell ref="A88:B88"/>
    <mergeCell ref="E12:G12"/>
    <mergeCell ref="A1:D1"/>
    <mergeCell ref="A4:D4"/>
    <mergeCell ref="A5:B5"/>
    <mergeCell ref="A7:B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F90"/>
  <sheetViews>
    <sheetView topLeftCell="A75" workbookViewId="0">
      <selection activeCell="B73" sqref="B73"/>
    </sheetView>
  </sheetViews>
  <sheetFormatPr defaultRowHeight="15" x14ac:dyDescent="0.25"/>
  <cols>
    <col min="2" max="2" width="60.140625" customWidth="1"/>
    <col min="3" max="3" width="10" customWidth="1"/>
    <col min="4" max="4" width="12" customWidth="1"/>
    <col min="7" max="7" width="9.42578125" customWidth="1"/>
  </cols>
  <sheetData>
    <row r="1" spans="1:6" x14ac:dyDescent="0.25">
      <c r="A1" s="319" t="s">
        <v>78</v>
      </c>
      <c r="B1" s="319"/>
      <c r="C1" s="319"/>
      <c r="D1" s="319"/>
    </row>
    <row r="2" spans="1:6" x14ac:dyDescent="0.25">
      <c r="A2" s="97"/>
      <c r="B2" s="97"/>
      <c r="C2" s="316"/>
      <c r="D2" s="317"/>
    </row>
    <row r="3" spans="1:6" x14ac:dyDescent="0.25">
      <c r="A3" s="98" t="s">
        <v>111</v>
      </c>
      <c r="B3" s="99"/>
      <c r="C3" s="99"/>
      <c r="D3" s="99"/>
    </row>
    <row r="4" spans="1:6" ht="12.75" customHeight="1" x14ac:dyDescent="0.25">
      <c r="A4" s="97"/>
      <c r="B4" s="60"/>
      <c r="C4" s="60"/>
      <c r="D4" s="96"/>
    </row>
    <row r="5" spans="1:6" ht="43.5" customHeight="1" x14ac:dyDescent="0.25">
      <c r="A5" s="307" t="s">
        <v>505</v>
      </c>
      <c r="B5" s="307"/>
      <c r="C5" s="307"/>
      <c r="D5" s="307"/>
    </row>
    <row r="6" spans="1:6" ht="5.25" customHeight="1" x14ac:dyDescent="0.25">
      <c r="A6" s="124"/>
      <c r="B6" s="60"/>
      <c r="C6" s="60"/>
      <c r="D6" s="96"/>
    </row>
    <row r="7" spans="1:6" x14ac:dyDescent="0.25">
      <c r="A7" s="308" t="s">
        <v>112</v>
      </c>
      <c r="B7" s="310"/>
      <c r="C7" s="60"/>
      <c r="D7" s="96"/>
    </row>
    <row r="8" spans="1:6" x14ac:dyDescent="0.25">
      <c r="A8" s="124"/>
      <c r="B8" s="125"/>
      <c r="C8" s="60"/>
      <c r="D8" s="96"/>
    </row>
    <row r="9" spans="1:6" x14ac:dyDescent="0.25">
      <c r="A9" s="318" t="s">
        <v>103</v>
      </c>
      <c r="B9" s="318"/>
      <c r="C9" s="100"/>
      <c r="D9" s="96"/>
    </row>
    <row r="10" spans="1:6" ht="107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6" x14ac:dyDescent="0.25">
      <c r="A11" s="64">
        <v>1</v>
      </c>
      <c r="B11" s="65">
        <v>2</v>
      </c>
      <c r="C11" s="64">
        <v>3</v>
      </c>
      <c r="D11" s="64">
        <v>4</v>
      </c>
    </row>
    <row r="12" spans="1:6" x14ac:dyDescent="0.25">
      <c r="A12" s="64"/>
      <c r="B12" s="81" t="s">
        <v>84</v>
      </c>
      <c r="C12" s="68"/>
      <c r="D12" s="68"/>
    </row>
    <row r="13" spans="1:6" x14ac:dyDescent="0.25">
      <c r="A13" s="94">
        <v>1100</v>
      </c>
      <c r="B13" s="95" t="s">
        <v>85</v>
      </c>
      <c r="C13" s="71"/>
      <c r="D13" s="71"/>
    </row>
    <row r="14" spans="1:6" ht="154.5" customHeight="1" x14ac:dyDescent="0.25">
      <c r="A14" s="35"/>
      <c r="B14" s="90" t="s">
        <v>650</v>
      </c>
      <c r="C14" s="18">
        <f>0.17*20+0.17*20+ 3.4/2+0.5*15</f>
        <v>16</v>
      </c>
      <c r="D14" s="18">
        <f>C14*20</f>
        <v>320</v>
      </c>
      <c r="E14" s="345"/>
      <c r="F14" s="346"/>
    </row>
    <row r="15" spans="1:6" ht="24" x14ac:dyDescent="0.25">
      <c r="A15" s="35">
        <v>1200</v>
      </c>
      <c r="B15" s="73" t="s">
        <v>456</v>
      </c>
      <c r="C15" s="18">
        <f>ROUND(C14*0.2359,2)</f>
        <v>3.77</v>
      </c>
      <c r="D15" s="18">
        <f>C15*20</f>
        <v>75.400000000000006</v>
      </c>
    </row>
    <row r="16" spans="1:6" x14ac:dyDescent="0.25">
      <c r="A16" s="35">
        <v>2341</v>
      </c>
      <c r="B16" s="35" t="s">
        <v>118</v>
      </c>
      <c r="C16" s="74"/>
      <c r="D16" s="74"/>
    </row>
    <row r="17" spans="1:4" ht="108" x14ac:dyDescent="0.25">
      <c r="A17" s="35"/>
      <c r="B17" s="40" t="s">
        <v>651</v>
      </c>
      <c r="C17" s="18">
        <v>23.72</v>
      </c>
      <c r="D17" s="18">
        <f>C17*20</f>
        <v>474.4</v>
      </c>
    </row>
    <row r="18" spans="1:4" x14ac:dyDescent="0.25">
      <c r="A18" s="35"/>
      <c r="B18" s="92" t="s">
        <v>87</v>
      </c>
      <c r="C18" s="82">
        <f>SUM(C13:C17)</f>
        <v>43.489999999999995</v>
      </c>
      <c r="D18" s="82">
        <f>SUM(D13:D17)</f>
        <v>869.8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1741</v>
      </c>
      <c r="C21" s="74">
        <f>ROUND(31.85/9509,5)</f>
        <v>3.3500000000000001E-3</v>
      </c>
      <c r="D21" s="18">
        <f>C21*20</f>
        <v>6.7000000000000004E-2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1406</v>
      </c>
      <c r="C23" s="18">
        <f>ROUND(228.88/9509,5)</f>
        <v>2.4070000000000001E-2</v>
      </c>
      <c r="D23" s="18">
        <f t="shared" ref="D23:D85" si="0">C23*20</f>
        <v>0.48140000000000005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1742</v>
      </c>
      <c r="C25" s="18">
        <f>ROUND(382.73/9509,5)</f>
        <v>4.0250000000000001E-2</v>
      </c>
      <c r="D25" s="18">
        <f t="shared" si="0"/>
        <v>0.80500000000000005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1408</v>
      </c>
      <c r="C27" s="74">
        <f>ROUND(38.69/9509,3)</f>
        <v>4.0000000000000001E-3</v>
      </c>
      <c r="D27" s="18">
        <f t="shared" si="0"/>
        <v>0.08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1409</v>
      </c>
      <c r="C29" s="74">
        <f>ROUND(1004.28/9509,3)</f>
        <v>0.106</v>
      </c>
      <c r="D29" s="18">
        <f t="shared" si="0"/>
        <v>2.12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1410</v>
      </c>
      <c r="C31" s="18">
        <f>ROUND(82.8/9509,3)</f>
        <v>8.9999999999999993E-3</v>
      </c>
      <c r="D31" s="18">
        <f t="shared" si="0"/>
        <v>0.18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1411</v>
      </c>
      <c r="C33" s="18">
        <f>ROUND(289.4/9509,3)</f>
        <v>0.03</v>
      </c>
      <c r="D33" s="18">
        <f t="shared" si="0"/>
        <v>0.6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1412</v>
      </c>
      <c r="C35" s="74">
        <f>ROUND(20.68/9509,3)</f>
        <v>2E-3</v>
      </c>
      <c r="D35" s="18">
        <f t="shared" si="0"/>
        <v>0.04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1413</v>
      </c>
      <c r="C37" s="74">
        <f>ROUND(58.15/9509,3)</f>
        <v>6.0000000000000001E-3</v>
      </c>
      <c r="D37" s="18">
        <f t="shared" si="0"/>
        <v>0.12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1414</v>
      </c>
      <c r="C39" s="74">
        <f>ROUND(524.45/9509,3)</f>
        <v>5.5E-2</v>
      </c>
      <c r="D39" s="18">
        <f t="shared" si="0"/>
        <v>1.1000000000000001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1415</v>
      </c>
      <c r="C41" s="74">
        <f>ROUND(131.923/9509,3)</f>
        <v>1.4E-2</v>
      </c>
      <c r="D41" s="18">
        <f t="shared" si="0"/>
        <v>0.28000000000000003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1416</v>
      </c>
      <c r="C43" s="18">
        <f>ROUND(360.94/9509,3)</f>
        <v>3.7999999999999999E-2</v>
      </c>
      <c r="D43" s="18">
        <f t="shared" si="0"/>
        <v>0.76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1417</v>
      </c>
      <c r="C45" s="18">
        <f>ROUND(272.76/9509,3)</f>
        <v>2.9000000000000001E-2</v>
      </c>
      <c r="D45" s="18">
        <f t="shared" si="0"/>
        <v>0.58000000000000007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1538</v>
      </c>
      <c r="C47" s="74">
        <f>ROUND(12.06/9509,3)</f>
        <v>1E-3</v>
      </c>
      <c r="D47" s="18">
        <f t="shared" si="0"/>
        <v>0.02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1419</v>
      </c>
      <c r="C49" s="74">
        <f>ROUND(23.35/9509,3)</f>
        <v>2E-3</v>
      </c>
      <c r="D49" s="18">
        <f t="shared" si="0"/>
        <v>0.04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1420</v>
      </c>
      <c r="C51" s="18">
        <f>ROUND(750.97/9509,3)</f>
        <v>7.9000000000000001E-2</v>
      </c>
      <c r="D51" s="18">
        <f t="shared" si="0"/>
        <v>1.58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1421</v>
      </c>
      <c r="C53" s="18">
        <f>ROUND(2620.34/9509,3)</f>
        <v>0.27600000000000002</v>
      </c>
      <c r="D53" s="18">
        <f t="shared" si="0"/>
        <v>5.5200000000000005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1422</v>
      </c>
      <c r="C55" s="74">
        <f>ROUND(9.91/9509,5)</f>
        <v>1.0399999999999999E-3</v>
      </c>
      <c r="D55" s="18">
        <f t="shared" si="0"/>
        <v>2.0799999999999999E-2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1435</v>
      </c>
      <c r="C57" s="18">
        <f>ROUND(132.32/9509,5)</f>
        <v>1.392E-2</v>
      </c>
      <c r="D57" s="18">
        <f t="shared" si="0"/>
        <v>0.27839999999999998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1743</v>
      </c>
      <c r="C59" s="74">
        <f>ROUND(72.76/9509,5)</f>
        <v>7.6499999999999997E-3</v>
      </c>
      <c r="D59" s="18">
        <f t="shared" si="0"/>
        <v>0.153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1424</v>
      </c>
      <c r="C61" s="18">
        <f>ROUND(484.21/9509,5)</f>
        <v>5.092E-2</v>
      </c>
      <c r="D61" s="18">
        <f t="shared" si="0"/>
        <v>1.0184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1425</v>
      </c>
      <c r="C63" s="18">
        <f>ROUND(224.14/9509,3)</f>
        <v>2.4E-2</v>
      </c>
      <c r="D63" s="18">
        <f t="shared" si="0"/>
        <v>0.48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1436</v>
      </c>
      <c r="C65" s="18">
        <f>ROUND(103.21/9509,5)</f>
        <v>1.085E-2</v>
      </c>
      <c r="D65" s="18">
        <f t="shared" si="0"/>
        <v>0.217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1744</v>
      </c>
      <c r="C67" s="18">
        <f>ROUND(241.97/9509,5)</f>
        <v>2.545E-2</v>
      </c>
      <c r="D67" s="18">
        <f t="shared" si="0"/>
        <v>0.50900000000000001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1427</v>
      </c>
      <c r="C69" s="18">
        <f>ROUND(87.42/9509,5)</f>
        <v>9.1900000000000003E-3</v>
      </c>
      <c r="D69" s="18">
        <f t="shared" si="0"/>
        <v>0.18380000000000002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1428</v>
      </c>
      <c r="C71" s="74">
        <f>ROUND(28.69/9509,5)</f>
        <v>3.0200000000000001E-3</v>
      </c>
      <c r="D71" s="18">
        <f t="shared" si="0"/>
        <v>6.0400000000000002E-2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1429</v>
      </c>
      <c r="C73" s="74">
        <f>ROUND(8.56/9509,5)</f>
        <v>8.9999999999999998E-4</v>
      </c>
      <c r="D73" s="18">
        <f t="shared" si="0"/>
        <v>1.7999999999999999E-2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1430</v>
      </c>
      <c r="C75" s="74">
        <f>ROUND(58.04/9509,5)</f>
        <v>6.1000000000000004E-3</v>
      </c>
      <c r="D75" s="18">
        <f t="shared" si="0"/>
        <v>0.12200000000000001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1745</v>
      </c>
      <c r="C77" s="74">
        <f>ROUND(249.88/9509,5)</f>
        <v>2.6280000000000001E-2</v>
      </c>
      <c r="D77" s="18">
        <f t="shared" si="0"/>
        <v>0.52560000000000007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7.5" customHeight="1" x14ac:dyDescent="0.25">
      <c r="A79" s="35"/>
      <c r="B79" s="286" t="s">
        <v>623</v>
      </c>
      <c r="C79" s="18">
        <v>0</v>
      </c>
      <c r="D79" s="18">
        <f t="shared" si="0"/>
        <v>0</v>
      </c>
    </row>
    <row r="80" spans="1:4" ht="19.5" customHeight="1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1981</v>
      </c>
      <c r="C81" s="74">
        <f>ROUND(61.55/9509,5)</f>
        <v>6.4700000000000001E-3</v>
      </c>
      <c r="D81" s="18">
        <f t="shared" si="0"/>
        <v>0.12940000000000002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1746</v>
      </c>
      <c r="C83" s="74">
        <f>ROUND(88.34/9509,5)</f>
        <v>9.2899999999999996E-3</v>
      </c>
      <c r="D83" s="18">
        <f t="shared" si="0"/>
        <v>0.18579999999999999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1434</v>
      </c>
      <c r="C85" s="74">
        <f>ROUND(151.09/9509,3)</f>
        <v>1.6E-2</v>
      </c>
      <c r="D85" s="18">
        <f t="shared" si="0"/>
        <v>0.32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18.600000000000001</v>
      </c>
    </row>
    <row r="87" spans="1:4" x14ac:dyDescent="0.25">
      <c r="A87" s="83"/>
      <c r="B87" s="84" t="s">
        <v>95</v>
      </c>
      <c r="C87" s="82">
        <f>ROUND(C86+C18,3)</f>
        <v>44.42</v>
      </c>
      <c r="D87" s="82">
        <f>ROUND(D86+D18,3)</f>
        <v>888.4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20</v>
      </c>
      <c r="D89" s="89"/>
    </row>
    <row r="90" spans="1:4" ht="23.25" customHeight="1" x14ac:dyDescent="0.25">
      <c r="A90" s="302" t="s">
        <v>113</v>
      </c>
      <c r="B90" s="303"/>
      <c r="C90" s="22">
        <f>D87/C89</f>
        <v>44.42</v>
      </c>
      <c r="D90" s="22"/>
    </row>
  </sheetData>
  <mergeCells count="8">
    <mergeCell ref="A89:B89"/>
    <mergeCell ref="A90:B90"/>
    <mergeCell ref="E14:F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H90"/>
  <sheetViews>
    <sheetView topLeftCell="A77" workbookViewId="0">
      <selection activeCell="C79" sqref="C79"/>
    </sheetView>
  </sheetViews>
  <sheetFormatPr defaultRowHeight="15" x14ac:dyDescent="0.25"/>
  <cols>
    <col min="2" max="2" width="59.5703125" customWidth="1"/>
    <col min="3" max="3" width="11.28515625" customWidth="1"/>
    <col min="4" max="4" width="12" customWidth="1"/>
    <col min="7" max="7" width="11.8554687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52.5" customHeight="1" x14ac:dyDescent="0.25">
      <c r="A5" s="307" t="s">
        <v>506</v>
      </c>
      <c r="B5" s="307"/>
      <c r="C5" s="307"/>
      <c r="D5" s="307"/>
    </row>
    <row r="6" spans="1:8" x14ac:dyDescent="0.25">
      <c r="A6" s="124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124"/>
      <c r="B8" s="125"/>
      <c r="C8" s="60"/>
      <c r="D8" s="96"/>
    </row>
    <row r="9" spans="1:8" x14ac:dyDescent="0.25">
      <c r="A9" s="318" t="s">
        <v>98</v>
      </c>
      <c r="B9" s="318"/>
      <c r="C9" s="100"/>
      <c r="D9" s="96"/>
    </row>
    <row r="10" spans="1:8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68" x14ac:dyDescent="0.25">
      <c r="A14" s="35"/>
      <c r="B14" s="90" t="s">
        <v>652</v>
      </c>
      <c r="C14" s="18">
        <f>0.17*20+0.17*20+ 3.4/2+0.5*15</f>
        <v>16</v>
      </c>
      <c r="D14" s="18">
        <f>C14*60</f>
        <v>960</v>
      </c>
      <c r="E14" s="348"/>
      <c r="F14" s="349"/>
      <c r="G14" s="349"/>
      <c r="H14" s="349"/>
    </row>
    <row r="15" spans="1:8" ht="24" x14ac:dyDescent="0.25">
      <c r="A15" s="35">
        <v>1200</v>
      </c>
      <c r="B15" s="73" t="s">
        <v>456</v>
      </c>
      <c r="C15" s="18">
        <f>ROUND(C14*0.2359,2)</f>
        <v>3.77</v>
      </c>
      <c r="D15" s="18">
        <f>C15*60</f>
        <v>226.2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9.25" customHeight="1" x14ac:dyDescent="0.25">
      <c r="A17" s="35"/>
      <c r="B17" s="40" t="s">
        <v>653</v>
      </c>
      <c r="C17" s="18">
        <v>2.0099999999999998</v>
      </c>
      <c r="D17" s="18">
        <f>C17*60</f>
        <v>120.6</v>
      </c>
    </row>
    <row r="18" spans="1:4" x14ac:dyDescent="0.25">
      <c r="A18" s="84"/>
      <c r="B18" s="92" t="s">
        <v>87</v>
      </c>
      <c r="C18" s="82">
        <f>SUM(C13:C17)</f>
        <v>21.78</v>
      </c>
      <c r="D18" s="82">
        <f>SUM(D13:D17)</f>
        <v>1306.8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1703</v>
      </c>
      <c r="C21" s="74">
        <f>ROUND(31.85/9509,4)</f>
        <v>3.3E-3</v>
      </c>
      <c r="D21" s="18">
        <f>C21*60</f>
        <v>0.19800000000000001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1704</v>
      </c>
      <c r="C23" s="18">
        <f>ROUND(228.88/9509,5)</f>
        <v>2.4070000000000001E-2</v>
      </c>
      <c r="D23" s="18">
        <f t="shared" ref="D23:D85" si="0">C23*60</f>
        <v>1.4442000000000002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1705</v>
      </c>
      <c r="C25" s="18">
        <f>ROUND(382.73/9509,5)</f>
        <v>4.0250000000000001E-2</v>
      </c>
      <c r="D25" s="18">
        <f t="shared" si="0"/>
        <v>2.415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1706</v>
      </c>
      <c r="C27" s="74">
        <f>ROUND(38.69/9509,3)</f>
        <v>4.0000000000000001E-3</v>
      </c>
      <c r="D27" s="18">
        <f t="shared" si="0"/>
        <v>0.24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1707</v>
      </c>
      <c r="C29" s="74">
        <f>ROUND(1004.28/9509,3)</f>
        <v>0.106</v>
      </c>
      <c r="D29" s="18">
        <f t="shared" si="0"/>
        <v>6.3599999999999994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1708</v>
      </c>
      <c r="C31" s="18">
        <f>ROUND(82.8/9509,3)</f>
        <v>8.9999999999999993E-3</v>
      </c>
      <c r="D31" s="18">
        <f t="shared" si="0"/>
        <v>0.53999999999999992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1709</v>
      </c>
      <c r="C33" s="18">
        <f>ROUND(289.4/9509,3)</f>
        <v>0.03</v>
      </c>
      <c r="D33" s="18">
        <f t="shared" si="0"/>
        <v>1.7999999999999998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1710</v>
      </c>
      <c r="C35" s="74">
        <f>ROUND(20.68/9509,3)</f>
        <v>2E-3</v>
      </c>
      <c r="D35" s="18">
        <f t="shared" si="0"/>
        <v>0.12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1711</v>
      </c>
      <c r="C37" s="74">
        <f>ROUND(58.15/9509,3)</f>
        <v>6.0000000000000001E-3</v>
      </c>
      <c r="D37" s="18">
        <f t="shared" si="0"/>
        <v>0.36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1712</v>
      </c>
      <c r="C39" s="74">
        <f>ROUND(524.45/9509,3)</f>
        <v>5.5E-2</v>
      </c>
      <c r="D39" s="18">
        <f t="shared" si="0"/>
        <v>3.3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1713</v>
      </c>
      <c r="C41" s="74">
        <f>ROUND(131.923/9509,3)</f>
        <v>1.4E-2</v>
      </c>
      <c r="D41" s="18">
        <f t="shared" si="0"/>
        <v>0.84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1714</v>
      </c>
      <c r="C43" s="18">
        <f>ROUND(360.94/9509,3)</f>
        <v>3.7999999999999999E-2</v>
      </c>
      <c r="D43" s="18">
        <f t="shared" si="0"/>
        <v>2.2799999999999998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1715</v>
      </c>
      <c r="C45" s="18">
        <f>ROUND(272.76/9509,3)</f>
        <v>2.9000000000000001E-2</v>
      </c>
      <c r="D45" s="18">
        <f t="shared" si="0"/>
        <v>1.74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1716</v>
      </c>
      <c r="C47" s="74">
        <f>ROUND(12.06/9509,3)</f>
        <v>1E-3</v>
      </c>
      <c r="D47" s="18">
        <f t="shared" si="0"/>
        <v>0.06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1717</v>
      </c>
      <c r="C49" s="74">
        <f>ROUND(23.35/9509,3)</f>
        <v>2E-3</v>
      </c>
      <c r="D49" s="18">
        <f t="shared" si="0"/>
        <v>0.12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1718</v>
      </c>
      <c r="C51" s="18">
        <f>ROUND(750.97/9509,4)</f>
        <v>7.9000000000000001E-2</v>
      </c>
      <c r="D51" s="18">
        <f t="shared" si="0"/>
        <v>4.74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1719</v>
      </c>
      <c r="C53" s="18">
        <f>ROUND(2620.34/9509,3)</f>
        <v>0.27600000000000002</v>
      </c>
      <c r="D53" s="18">
        <f t="shared" si="0"/>
        <v>16.560000000000002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1720</v>
      </c>
      <c r="C55" s="74">
        <f>ROUND(9.91/9509,4)</f>
        <v>1E-3</v>
      </c>
      <c r="D55" s="18">
        <f t="shared" si="0"/>
        <v>0.06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1721</v>
      </c>
      <c r="C57" s="18">
        <f>ROUND(132.32/9509,3)</f>
        <v>1.4E-2</v>
      </c>
      <c r="D57" s="18">
        <f t="shared" si="0"/>
        <v>0.84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1735</v>
      </c>
      <c r="C59" s="74">
        <f>ROUND(72.76/9509,3)</f>
        <v>8.0000000000000002E-3</v>
      </c>
      <c r="D59" s="18">
        <f t="shared" si="0"/>
        <v>0.48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1723</v>
      </c>
      <c r="C61" s="18">
        <f>ROUND(484.21/9509,3)</f>
        <v>5.0999999999999997E-2</v>
      </c>
      <c r="D61" s="18">
        <f t="shared" si="0"/>
        <v>3.0599999999999996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48" x14ac:dyDescent="0.25">
      <c r="A63" s="35"/>
      <c r="B63" s="40" t="s">
        <v>1724</v>
      </c>
      <c r="C63" s="18">
        <f>ROUND(224.14/9509,3)</f>
        <v>2.4E-2</v>
      </c>
      <c r="D63" s="18">
        <f t="shared" si="0"/>
        <v>1.44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1725</v>
      </c>
      <c r="C65" s="18">
        <f>ROUND(103.21/9509,3)</f>
        <v>1.0999999999999999E-2</v>
      </c>
      <c r="D65" s="18">
        <f t="shared" si="0"/>
        <v>0.65999999999999992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1736</v>
      </c>
      <c r="C67" s="74">
        <f>ROUND(241.97/9509,5)</f>
        <v>2.545E-2</v>
      </c>
      <c r="D67" s="18">
        <f t="shared" si="0"/>
        <v>1.5270000000000001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1737</v>
      </c>
      <c r="C69" s="18">
        <f>ROUND(87.42/9509,3)</f>
        <v>8.9999999999999993E-3</v>
      </c>
      <c r="D69" s="18">
        <f t="shared" si="0"/>
        <v>0.53999999999999992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2015</v>
      </c>
      <c r="C71" s="74">
        <f>ROUND(28.69/9509,4)</f>
        <v>3.0000000000000001E-3</v>
      </c>
      <c r="D71" s="18">
        <f t="shared" si="0"/>
        <v>0.18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1729</v>
      </c>
      <c r="C73" s="74">
        <f>ROUND(8.56/9509,5)</f>
        <v>8.9999999999999998E-4</v>
      </c>
      <c r="D73" s="18">
        <f t="shared" si="0"/>
        <v>5.3999999999999999E-2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1730</v>
      </c>
      <c r="C75" s="74">
        <f>ROUND(58.04/9509,4)</f>
        <v>6.1000000000000004E-3</v>
      </c>
      <c r="D75" s="18">
        <f t="shared" si="0"/>
        <v>0.36600000000000005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1731</v>
      </c>
      <c r="C77" s="74">
        <f>ROUND(249.88/9509,4)</f>
        <v>2.63E-2</v>
      </c>
      <c r="D77" s="18">
        <f t="shared" si="0"/>
        <v>1.5780000000000001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626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55.5" customHeight="1" x14ac:dyDescent="0.25">
      <c r="A81" s="35"/>
      <c r="B81" s="40" t="s">
        <v>2016</v>
      </c>
      <c r="C81" s="80">
        <f>ROUND(61.55/9509,5)</f>
        <v>6.4700000000000001E-3</v>
      </c>
      <c r="D81" s="18">
        <f t="shared" si="0"/>
        <v>0.38819999999999999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2017</v>
      </c>
      <c r="C83" s="80">
        <f>ROUND(88.34/9509,4)</f>
        <v>9.2999999999999992E-3</v>
      </c>
      <c r="D83" s="18">
        <f>C83*60</f>
        <v>0.55799999999999994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2018</v>
      </c>
      <c r="C85" s="80">
        <f>ROUND(151.09/9509,4)</f>
        <v>1.5900000000000001E-2</v>
      </c>
      <c r="D85" s="18">
        <f t="shared" si="0"/>
        <v>0.95400000000000007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55.8</v>
      </c>
    </row>
    <row r="87" spans="1:4" x14ac:dyDescent="0.25">
      <c r="A87" s="83"/>
      <c r="B87" s="84" t="s">
        <v>95</v>
      </c>
      <c r="C87" s="82">
        <f>ROUND(C86+C18,3)</f>
        <v>22.71</v>
      </c>
      <c r="D87" s="82">
        <f>ROUND(D86+D18,3)</f>
        <v>1362.6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60</v>
      </c>
      <c r="D89" s="89"/>
    </row>
    <row r="90" spans="1:4" ht="33" customHeight="1" x14ac:dyDescent="0.25">
      <c r="A90" s="302" t="s">
        <v>113</v>
      </c>
      <c r="B90" s="303"/>
      <c r="C90" s="22">
        <f>D87/C89</f>
        <v>22.709999999999997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H90"/>
  <sheetViews>
    <sheetView topLeftCell="A76" workbookViewId="0">
      <selection activeCell="G88" sqref="G88"/>
    </sheetView>
  </sheetViews>
  <sheetFormatPr defaultRowHeight="15" x14ac:dyDescent="0.25"/>
  <cols>
    <col min="2" max="2" width="57.42578125" customWidth="1"/>
    <col min="4" max="4" width="13.140625" customWidth="1"/>
    <col min="6" max="6" width="9.140625" customWidth="1"/>
    <col min="7" max="7" width="10.57031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120"/>
      <c r="D2" s="120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40.5" customHeight="1" x14ac:dyDescent="0.25">
      <c r="A5" s="307" t="s">
        <v>507</v>
      </c>
      <c r="B5" s="307"/>
      <c r="C5" s="307"/>
      <c r="D5" s="307"/>
    </row>
    <row r="6" spans="1:8" ht="9" customHeight="1" x14ac:dyDescent="0.25">
      <c r="A6" s="124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x14ac:dyDescent="0.25">
      <c r="A8" s="124"/>
      <c r="B8" s="125"/>
      <c r="C8" s="60"/>
      <c r="D8" s="60"/>
    </row>
    <row r="9" spans="1:8" x14ac:dyDescent="0.25">
      <c r="A9" s="318" t="s">
        <v>110</v>
      </c>
      <c r="B9" s="318"/>
      <c r="C9" s="100"/>
      <c r="D9" s="96"/>
    </row>
    <row r="10" spans="1:8" ht="104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2.5" customHeight="1" x14ac:dyDescent="0.25">
      <c r="A14" s="35"/>
      <c r="B14" s="40" t="s">
        <v>725</v>
      </c>
      <c r="C14" s="18">
        <f>0.17*10+0.17*10+ 1.7/2+0.5*15</f>
        <v>11.75</v>
      </c>
      <c r="D14" s="18">
        <f>C14*5</f>
        <v>58.75</v>
      </c>
      <c r="E14" s="345"/>
      <c r="F14" s="346"/>
      <c r="G14" s="346"/>
      <c r="H14" s="346"/>
    </row>
    <row r="15" spans="1:8" ht="24" x14ac:dyDescent="0.25">
      <c r="A15" s="35">
        <v>1200</v>
      </c>
      <c r="B15" s="40" t="s">
        <v>459</v>
      </c>
      <c r="C15" s="18">
        <f>ROUND(C14*0.2359,2)</f>
        <v>2.77</v>
      </c>
      <c r="D15" s="18">
        <f>C15*5</f>
        <v>13.85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654</v>
      </c>
      <c r="C17" s="18">
        <v>1.43</v>
      </c>
      <c r="D17" s="18">
        <f>C17*5</f>
        <v>7.1499999999999995</v>
      </c>
    </row>
    <row r="18" spans="1:4" x14ac:dyDescent="0.25">
      <c r="A18" s="35"/>
      <c r="B18" s="92" t="s">
        <v>87</v>
      </c>
      <c r="C18" s="82">
        <f>SUM(C13:C17)</f>
        <v>15.95</v>
      </c>
      <c r="D18" s="82">
        <f>SUM(D13:D17)</f>
        <v>79.75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60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60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60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60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2019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16.88</v>
      </c>
      <c r="D87" s="82">
        <f>ROUND(D86+D18,3)</f>
        <v>84.4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33" customHeight="1" x14ac:dyDescent="0.25">
      <c r="A90" s="302" t="s">
        <v>113</v>
      </c>
      <c r="B90" s="303"/>
      <c r="C90" s="22">
        <f>D87/C89</f>
        <v>16.880000000000003</v>
      </c>
      <c r="D90" s="89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H90"/>
  <sheetViews>
    <sheetView topLeftCell="A79" workbookViewId="0">
      <selection activeCell="B23" sqref="B23"/>
    </sheetView>
  </sheetViews>
  <sheetFormatPr defaultRowHeight="15" x14ac:dyDescent="0.25"/>
  <cols>
    <col min="1" max="1" width="10" customWidth="1"/>
    <col min="2" max="2" width="56.140625" customWidth="1"/>
    <col min="3" max="3" width="11.85546875" customWidth="1"/>
    <col min="4" max="4" width="14.85546875" customWidth="1"/>
  </cols>
  <sheetData>
    <row r="1" spans="1:8" x14ac:dyDescent="0.25">
      <c r="A1" s="315" t="s">
        <v>78</v>
      </c>
      <c r="B1" s="315"/>
      <c r="C1" s="315"/>
      <c r="D1" s="315"/>
    </row>
    <row r="2" spans="1:8" ht="12.75" customHeight="1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41.25" customHeight="1" x14ac:dyDescent="0.25">
      <c r="A5" s="307" t="s">
        <v>508</v>
      </c>
      <c r="B5" s="307"/>
      <c r="C5" s="307"/>
      <c r="D5" s="307"/>
    </row>
    <row r="6" spans="1:8" ht="10.5" customHeight="1" x14ac:dyDescent="0.25">
      <c r="A6" s="124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ht="10.5" customHeight="1" x14ac:dyDescent="0.25">
      <c r="A8" s="124"/>
      <c r="B8" s="125"/>
      <c r="C8" s="60"/>
      <c r="D8" s="96"/>
    </row>
    <row r="9" spans="1:8" x14ac:dyDescent="0.25">
      <c r="A9" s="318" t="s">
        <v>655</v>
      </c>
      <c r="B9" s="318"/>
      <c r="C9" s="60"/>
      <c r="D9" s="96"/>
    </row>
    <row r="10" spans="1:8" ht="96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68"/>
    </row>
    <row r="14" spans="1:8" ht="180" x14ac:dyDescent="0.25">
      <c r="A14" s="35"/>
      <c r="B14" s="40" t="s">
        <v>656</v>
      </c>
      <c r="C14" s="18">
        <f>0.17*15+0.17*15+ 2.559/2+0.5*15</f>
        <v>13.8795</v>
      </c>
      <c r="D14" s="18">
        <f>C14*5</f>
        <v>69.397500000000008</v>
      </c>
      <c r="E14" s="348"/>
      <c r="F14" s="349"/>
      <c r="G14" s="349"/>
      <c r="H14" s="349"/>
    </row>
    <row r="15" spans="1:8" ht="24" x14ac:dyDescent="0.25">
      <c r="A15" s="35">
        <v>1200</v>
      </c>
      <c r="B15" s="40" t="s">
        <v>200</v>
      </c>
      <c r="C15" s="18">
        <f>ROUND(C14*0.2359,2)</f>
        <v>3.27</v>
      </c>
      <c r="D15" s="18">
        <f>C15*5</f>
        <v>16.350000000000001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05" customHeight="1" x14ac:dyDescent="0.25">
      <c r="A17" s="35"/>
      <c r="B17" s="40" t="s">
        <v>657</v>
      </c>
      <c r="C17" s="18">
        <v>5.24</v>
      </c>
      <c r="D17" s="18">
        <f>C17*5</f>
        <v>26.200000000000003</v>
      </c>
    </row>
    <row r="18" spans="1:4" x14ac:dyDescent="0.25">
      <c r="A18" s="35"/>
      <c r="B18" s="92" t="s">
        <v>87</v>
      </c>
      <c r="C18" s="82">
        <f>SUM(C13:C17)</f>
        <v>22.389499999999998</v>
      </c>
      <c r="D18" s="82">
        <f>SUM(D13:D17)</f>
        <v>111.94750000000001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60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60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60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60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2019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23.32</v>
      </c>
      <c r="D87" s="82">
        <f>ROUND(D86+D18,1)</f>
        <v>116.6</v>
      </c>
    </row>
    <row r="88" spans="1:4" x14ac:dyDescent="0.25">
      <c r="A88" s="85"/>
      <c r="B88" s="86"/>
      <c r="C88" s="87"/>
      <c r="D88" s="87"/>
    </row>
    <row r="89" spans="1:4" ht="17.25" customHeight="1" x14ac:dyDescent="0.25">
      <c r="A89" s="302" t="s">
        <v>96</v>
      </c>
      <c r="B89" s="303"/>
      <c r="C89" s="88">
        <v>5</v>
      </c>
      <c r="D89" s="89"/>
    </row>
    <row r="90" spans="1:4" ht="39.75" customHeight="1" x14ac:dyDescent="0.25">
      <c r="A90" s="302" t="s">
        <v>113</v>
      </c>
      <c r="B90" s="303"/>
      <c r="C90" s="22">
        <f>D87/C89</f>
        <v>23.32</v>
      </c>
      <c r="D90" s="89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G92"/>
  <sheetViews>
    <sheetView topLeftCell="A75" workbookViewId="0">
      <selection activeCell="I88" sqref="I88"/>
    </sheetView>
  </sheetViews>
  <sheetFormatPr defaultRowHeight="15" x14ac:dyDescent="0.25"/>
  <cols>
    <col min="2" max="2" width="57.7109375" customWidth="1"/>
    <col min="4" max="4" width="12.140625" customWidth="1"/>
  </cols>
  <sheetData>
    <row r="1" spans="1:7" x14ac:dyDescent="0.25">
      <c r="A1" s="330" t="s">
        <v>78</v>
      </c>
      <c r="B1" s="330"/>
      <c r="C1" s="330"/>
      <c r="D1" s="330"/>
    </row>
    <row r="2" spans="1:7" x14ac:dyDescent="0.25">
      <c r="A2" s="41"/>
      <c r="B2" s="41"/>
      <c r="C2" s="331"/>
      <c r="D2" s="337"/>
    </row>
    <row r="3" spans="1:7" x14ac:dyDescent="0.25">
      <c r="A3" s="42" t="s">
        <v>111</v>
      </c>
      <c r="B3" s="43"/>
      <c r="C3" s="43"/>
      <c r="D3" s="43"/>
    </row>
    <row r="4" spans="1:7" ht="8.25" customHeight="1" x14ac:dyDescent="0.25">
      <c r="A4" s="41"/>
      <c r="B4" s="7"/>
      <c r="C4" s="7"/>
      <c r="D4" s="26"/>
    </row>
    <row r="5" spans="1:7" ht="36" customHeight="1" x14ac:dyDescent="0.25">
      <c r="A5" s="332" t="s">
        <v>509</v>
      </c>
      <c r="B5" s="332"/>
      <c r="C5" s="332"/>
      <c r="D5" s="332"/>
    </row>
    <row r="6" spans="1:7" x14ac:dyDescent="0.25">
      <c r="A6" s="6"/>
      <c r="B6" s="7"/>
      <c r="C6" s="7"/>
      <c r="D6" s="26"/>
    </row>
    <row r="7" spans="1:7" x14ac:dyDescent="0.25">
      <c r="A7" s="333" t="s">
        <v>112</v>
      </c>
      <c r="B7" s="334"/>
      <c r="C7" s="7"/>
      <c r="D7" s="26"/>
    </row>
    <row r="8" spans="1:7" x14ac:dyDescent="0.25">
      <c r="A8" s="53"/>
      <c r="B8" s="54"/>
      <c r="C8" s="7"/>
      <c r="D8" s="26"/>
    </row>
    <row r="9" spans="1:7" x14ac:dyDescent="0.25">
      <c r="A9" s="335" t="s">
        <v>184</v>
      </c>
      <c r="B9" s="335"/>
      <c r="C9" s="7"/>
      <c r="D9" s="26"/>
    </row>
    <row r="10" spans="1:7" x14ac:dyDescent="0.25">
      <c r="A10" s="41"/>
      <c r="B10" s="44"/>
      <c r="C10" s="25"/>
      <c r="D10" s="26"/>
    </row>
    <row r="11" spans="1:7" ht="107.25" customHeight="1" x14ac:dyDescent="0.25">
      <c r="A11" s="10" t="s">
        <v>80</v>
      </c>
      <c r="B11" s="10" t="s">
        <v>81</v>
      </c>
      <c r="C11" s="10" t="s">
        <v>82</v>
      </c>
      <c r="D11" s="10" t="s">
        <v>83</v>
      </c>
    </row>
    <row r="12" spans="1:7" x14ac:dyDescent="0.25">
      <c r="A12" s="11">
        <v>1</v>
      </c>
      <c r="B12" s="12">
        <v>2</v>
      </c>
      <c r="C12" s="11">
        <v>3</v>
      </c>
      <c r="D12" s="11">
        <v>4</v>
      </c>
    </row>
    <row r="13" spans="1:7" x14ac:dyDescent="0.25">
      <c r="A13" s="11"/>
      <c r="B13" s="27" t="s">
        <v>84</v>
      </c>
      <c r="C13" s="13"/>
      <c r="D13" s="13"/>
    </row>
    <row r="14" spans="1:7" x14ac:dyDescent="0.25">
      <c r="A14" s="28">
        <v>1100</v>
      </c>
      <c r="B14" s="29" t="s">
        <v>85</v>
      </c>
      <c r="C14" s="14"/>
      <c r="D14" s="14"/>
    </row>
    <row r="15" spans="1:7" ht="180.75" customHeight="1" x14ac:dyDescent="0.25">
      <c r="A15" s="30"/>
      <c r="B15" s="40" t="s">
        <v>458</v>
      </c>
      <c r="C15" s="18">
        <f>0.17*10+0.17*10+ 1.7/2+0.5*15</f>
        <v>11.75</v>
      </c>
      <c r="D15" s="18">
        <f>C15*1</f>
        <v>11.75</v>
      </c>
      <c r="E15" s="350"/>
      <c r="F15" s="351"/>
      <c r="G15" s="351"/>
    </row>
    <row r="16" spans="1:7" ht="24" x14ac:dyDescent="0.25">
      <c r="A16" s="30">
        <v>1200</v>
      </c>
      <c r="B16" s="40" t="s">
        <v>459</v>
      </c>
      <c r="C16" s="18">
        <f>ROUND(C15*0.2359,2)</f>
        <v>2.77</v>
      </c>
      <c r="D16" s="18">
        <f>C16*1</f>
        <v>2.77</v>
      </c>
    </row>
    <row r="17" spans="1:4" x14ac:dyDescent="0.25">
      <c r="A17" s="30">
        <v>2341</v>
      </c>
      <c r="B17" s="30" t="s">
        <v>86</v>
      </c>
      <c r="C17" s="19"/>
      <c r="D17" s="19"/>
    </row>
    <row r="18" spans="1:4" ht="72" x14ac:dyDescent="0.25">
      <c r="A18" s="30"/>
      <c r="B18" s="40" t="s">
        <v>451</v>
      </c>
      <c r="C18" s="16">
        <v>5.66</v>
      </c>
      <c r="D18" s="16">
        <f>C18*1</f>
        <v>5.66</v>
      </c>
    </row>
    <row r="19" spans="1:4" x14ac:dyDescent="0.25">
      <c r="A19" s="34"/>
      <c r="B19" s="136" t="s">
        <v>87</v>
      </c>
      <c r="C19" s="137">
        <f>SUM(C14:C18)</f>
        <v>20.18</v>
      </c>
      <c r="D19" s="137">
        <f>SUM(D14:D18)</f>
        <v>20.18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60" x14ac:dyDescent="0.25">
      <c r="A22" s="77"/>
      <c r="B22" s="40" t="s">
        <v>1949</v>
      </c>
      <c r="C22" s="74">
        <f>ROUND(31.85/9509,3)</f>
        <v>3.0000000000000001E-3</v>
      </c>
      <c r="D22" s="74">
        <f>C22*1</f>
        <v>3.0000000000000001E-3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60" x14ac:dyDescent="0.25">
      <c r="A24" s="35"/>
      <c r="B24" s="40" t="s">
        <v>1950</v>
      </c>
      <c r="C24" s="18">
        <f>ROUND(228.88/9509,3)</f>
        <v>2.4E-2</v>
      </c>
      <c r="D24" s="74">
        <f t="shared" ref="D24:D86" si="0">C24*1</f>
        <v>2.4E-2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60" x14ac:dyDescent="0.25">
      <c r="A26" s="35"/>
      <c r="B26" s="40" t="s">
        <v>1951</v>
      </c>
      <c r="C26" s="18">
        <f>ROUND(382.73/9509,3)</f>
        <v>0.04</v>
      </c>
      <c r="D26" s="18">
        <f t="shared" si="0"/>
        <v>0.04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60" x14ac:dyDescent="0.25">
      <c r="A28" s="35"/>
      <c r="B28" s="40" t="s">
        <v>1952</v>
      </c>
      <c r="C28" s="74">
        <f>ROUND(38.69/9509,3)</f>
        <v>4.0000000000000001E-3</v>
      </c>
      <c r="D28" s="74">
        <f t="shared" si="0"/>
        <v>4.0000000000000001E-3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60" x14ac:dyDescent="0.25">
      <c r="A30" s="35"/>
      <c r="B30" s="40" t="s">
        <v>1953</v>
      </c>
      <c r="C30" s="74">
        <f>ROUND(1004.28/9509,3)</f>
        <v>0.106</v>
      </c>
      <c r="D30" s="74">
        <f t="shared" si="0"/>
        <v>0.106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60" x14ac:dyDescent="0.25">
      <c r="A32" s="34"/>
      <c r="B32" s="40" t="s">
        <v>1954</v>
      </c>
      <c r="C32" s="18">
        <f>ROUND(82.8/9509,3)</f>
        <v>8.9999999999999993E-3</v>
      </c>
      <c r="D32" s="18">
        <f t="shared" si="0"/>
        <v>8.9999999999999993E-3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60" x14ac:dyDescent="0.25">
      <c r="A34" s="35"/>
      <c r="B34" s="40" t="s">
        <v>1955</v>
      </c>
      <c r="C34" s="18">
        <f>ROUND(289.4/9509,3)</f>
        <v>0.03</v>
      </c>
      <c r="D34" s="18">
        <f t="shared" si="0"/>
        <v>0.03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60" x14ac:dyDescent="0.25">
      <c r="A36" s="35"/>
      <c r="B36" s="40" t="s">
        <v>1956</v>
      </c>
      <c r="C36" s="74">
        <f>ROUND(20.68/9509,3)</f>
        <v>2E-3</v>
      </c>
      <c r="D36" s="74">
        <f t="shared" si="0"/>
        <v>2E-3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60" x14ac:dyDescent="0.25">
      <c r="A38" s="35"/>
      <c r="B38" s="40" t="s">
        <v>1957</v>
      </c>
      <c r="C38" s="74">
        <f>ROUND(58.15/9509,3)</f>
        <v>6.0000000000000001E-3</v>
      </c>
      <c r="D38" s="74">
        <f t="shared" si="0"/>
        <v>6.0000000000000001E-3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60" x14ac:dyDescent="0.25">
      <c r="A40" s="35"/>
      <c r="B40" s="40" t="s">
        <v>1958</v>
      </c>
      <c r="C40" s="74">
        <f>ROUND(524.45/9509,3)</f>
        <v>5.5E-2</v>
      </c>
      <c r="D40" s="74">
        <f t="shared" si="0"/>
        <v>5.5E-2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60" x14ac:dyDescent="0.25">
      <c r="A42" s="35"/>
      <c r="B42" s="40" t="s">
        <v>1979</v>
      </c>
      <c r="C42" s="74">
        <f>ROUND(131.923/9509,3)</f>
        <v>1.4E-2</v>
      </c>
      <c r="D42" s="74">
        <f t="shared" si="0"/>
        <v>1.4E-2</v>
      </c>
    </row>
    <row r="43" spans="1:4" x14ac:dyDescent="0.25">
      <c r="A43" s="35">
        <v>2243</v>
      </c>
      <c r="B43" s="40" t="s">
        <v>100</v>
      </c>
      <c r="C43" s="18"/>
      <c r="D43" s="74"/>
    </row>
    <row r="44" spans="1:4" ht="60" x14ac:dyDescent="0.25">
      <c r="A44" s="35"/>
      <c r="B44" s="40" t="s">
        <v>1959</v>
      </c>
      <c r="C44" s="18">
        <f>ROUND(360.94/9509,3)</f>
        <v>3.7999999999999999E-2</v>
      </c>
      <c r="D44" s="18">
        <f t="shared" si="0"/>
        <v>3.7999999999999999E-2</v>
      </c>
    </row>
    <row r="45" spans="1:4" x14ac:dyDescent="0.25">
      <c r="A45" s="35">
        <v>2244</v>
      </c>
      <c r="B45" s="40" t="s">
        <v>92</v>
      </c>
      <c r="C45" s="18"/>
      <c r="D45" s="74"/>
    </row>
    <row r="46" spans="1:4" ht="60" x14ac:dyDescent="0.25">
      <c r="A46" s="79"/>
      <c r="B46" s="40" t="s">
        <v>1960</v>
      </c>
      <c r="C46" s="18">
        <f>ROUND(272.76/9509,3)</f>
        <v>2.9000000000000001E-2</v>
      </c>
      <c r="D46" s="18">
        <f t="shared" si="0"/>
        <v>2.9000000000000001E-2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60" x14ac:dyDescent="0.25">
      <c r="A48" s="79"/>
      <c r="B48" s="40" t="s">
        <v>1961</v>
      </c>
      <c r="C48" s="74">
        <f>ROUND(12.06/9509,3)</f>
        <v>1E-3</v>
      </c>
      <c r="D48" s="74">
        <f t="shared" si="0"/>
        <v>1E-3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48" x14ac:dyDescent="0.25">
      <c r="A50" s="79"/>
      <c r="B50" s="40" t="s">
        <v>1962</v>
      </c>
      <c r="C50" s="74">
        <f>ROUND(23.35/9509,3)</f>
        <v>2E-3</v>
      </c>
      <c r="D50" s="74">
        <f t="shared" si="0"/>
        <v>2E-3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60" x14ac:dyDescent="0.25">
      <c r="A52" s="35"/>
      <c r="B52" s="40" t="s">
        <v>1963</v>
      </c>
      <c r="C52" s="18">
        <f>ROUND(750.97/9509,3)</f>
        <v>7.9000000000000001E-2</v>
      </c>
      <c r="D52" s="18">
        <f t="shared" si="0"/>
        <v>7.9000000000000001E-2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60" x14ac:dyDescent="0.25">
      <c r="A54" s="35"/>
      <c r="B54" s="40" t="s">
        <v>1965</v>
      </c>
      <c r="C54" s="18">
        <f>ROUND(2620.34/9509,3)</f>
        <v>0.27600000000000002</v>
      </c>
      <c r="D54" s="18">
        <f t="shared" si="0"/>
        <v>0.27600000000000002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60" x14ac:dyDescent="0.25">
      <c r="A56" s="35"/>
      <c r="B56" s="40" t="s">
        <v>1964</v>
      </c>
      <c r="C56" s="74">
        <f>ROUND(9.91/9509,3)</f>
        <v>1E-3</v>
      </c>
      <c r="D56" s="74">
        <f t="shared" si="0"/>
        <v>1E-3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60" x14ac:dyDescent="0.25">
      <c r="A58" s="35"/>
      <c r="B58" s="40" t="s">
        <v>1966</v>
      </c>
      <c r="C58" s="18">
        <f>ROUND(132.32/9509,3)</f>
        <v>1.4E-2</v>
      </c>
      <c r="D58" s="18">
        <f t="shared" si="0"/>
        <v>1.4E-2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48" x14ac:dyDescent="0.25">
      <c r="A60" s="35"/>
      <c r="B60" s="40" t="s">
        <v>1967</v>
      </c>
      <c r="C60" s="74">
        <f>ROUND(72.76/9509,3)</f>
        <v>8.0000000000000002E-3</v>
      </c>
      <c r="D60" s="74">
        <f t="shared" si="0"/>
        <v>8.0000000000000002E-3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60" x14ac:dyDescent="0.25">
      <c r="A62" s="35"/>
      <c r="B62" s="40" t="s">
        <v>1968</v>
      </c>
      <c r="C62" s="18">
        <f>ROUND(484.21/9509,3)</f>
        <v>5.0999999999999997E-2</v>
      </c>
      <c r="D62" s="18">
        <f t="shared" si="0"/>
        <v>5.0999999999999997E-2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60" x14ac:dyDescent="0.25">
      <c r="A64" s="35"/>
      <c r="B64" s="40" t="s">
        <v>1969</v>
      </c>
      <c r="C64" s="18">
        <f>ROUND(224.14/9509,3)</f>
        <v>2.4E-2</v>
      </c>
      <c r="D64" s="18">
        <f t="shared" si="0"/>
        <v>2.4E-2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60" x14ac:dyDescent="0.25">
      <c r="A66" s="35"/>
      <c r="B66" s="40" t="s">
        <v>2014</v>
      </c>
      <c r="C66" s="18">
        <f>ROUND(103.21/9509,3)</f>
        <v>1.0999999999999999E-2</v>
      </c>
      <c r="D66" s="74">
        <f t="shared" si="0"/>
        <v>1.0999999999999999E-2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60" x14ac:dyDescent="0.25">
      <c r="A68" s="35"/>
      <c r="B68" s="40" t="s">
        <v>1971</v>
      </c>
      <c r="C68" s="18">
        <f>ROUND(241.97/9509,3)</f>
        <v>2.5000000000000001E-2</v>
      </c>
      <c r="D68" s="18">
        <f t="shared" si="0"/>
        <v>2.5000000000000001E-2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60" x14ac:dyDescent="0.25">
      <c r="A70" s="35"/>
      <c r="B70" s="40" t="s">
        <v>1972</v>
      </c>
      <c r="C70" s="18">
        <f>ROUND(87.42/9509,3)</f>
        <v>8.9999999999999993E-3</v>
      </c>
      <c r="D70" s="18">
        <f t="shared" si="0"/>
        <v>8.9999999999999993E-3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60" x14ac:dyDescent="0.25">
      <c r="A72" s="35"/>
      <c r="B72" s="40" t="s">
        <v>1973</v>
      </c>
      <c r="C72" s="74">
        <f>ROUND(28.69/9509,3)</f>
        <v>3.0000000000000001E-3</v>
      </c>
      <c r="D72" s="74">
        <f t="shared" si="0"/>
        <v>3.0000000000000001E-3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60" x14ac:dyDescent="0.25">
      <c r="A74" s="35"/>
      <c r="B74" s="40" t="s">
        <v>1974</v>
      </c>
      <c r="C74" s="74">
        <f>ROUND(8.56/9509,3)</f>
        <v>1E-3</v>
      </c>
      <c r="D74" s="74">
        <f t="shared" si="0"/>
        <v>1E-3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60" x14ac:dyDescent="0.25">
      <c r="A76" s="35"/>
      <c r="B76" s="40" t="s">
        <v>1975</v>
      </c>
      <c r="C76" s="74">
        <f>ROUND(58.04/9509,3)</f>
        <v>6.0000000000000001E-3</v>
      </c>
      <c r="D76" s="74">
        <f t="shared" si="0"/>
        <v>6.0000000000000001E-3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60" x14ac:dyDescent="0.25">
      <c r="A78" s="35"/>
      <c r="B78" s="40" t="s">
        <v>1976</v>
      </c>
      <c r="C78" s="74">
        <f>ROUND(249.88/9509,3)</f>
        <v>2.5999999999999999E-2</v>
      </c>
      <c r="D78" s="74">
        <f t="shared" si="0"/>
        <v>2.5999999999999999E-2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48" x14ac:dyDescent="0.25">
      <c r="A80" s="35"/>
      <c r="B80" s="40" t="s">
        <v>624</v>
      </c>
      <c r="C80" s="18">
        <v>0</v>
      </c>
      <c r="D80" s="18"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60" x14ac:dyDescent="0.25">
      <c r="A82" s="35"/>
      <c r="B82" s="40" t="s">
        <v>1980</v>
      </c>
      <c r="C82" s="74">
        <f>ROUND(61.55/9509,3)</f>
        <v>6.0000000000000001E-3</v>
      </c>
      <c r="D82" s="74">
        <f t="shared" si="0"/>
        <v>6.0000000000000001E-3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60" x14ac:dyDescent="0.25">
      <c r="A84" s="35"/>
      <c r="B84" s="40" t="s">
        <v>1977</v>
      </c>
      <c r="C84" s="74">
        <f>ROUND(88.34/9509,3)</f>
        <v>8.9999999999999993E-3</v>
      </c>
      <c r="D84" s="74">
        <f t="shared" si="0"/>
        <v>8.9999999999999993E-3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60" x14ac:dyDescent="0.25">
      <c r="A86" s="35"/>
      <c r="B86" s="40" t="s">
        <v>1978</v>
      </c>
      <c r="C86" s="74">
        <f>ROUND(151.09/9509,3)</f>
        <v>1.6E-2</v>
      </c>
      <c r="D86" s="74">
        <f t="shared" si="0"/>
        <v>1.6E-2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0.93</v>
      </c>
    </row>
    <row r="88" spans="1:4" x14ac:dyDescent="0.25">
      <c r="A88" s="83"/>
      <c r="B88" s="84" t="s">
        <v>95</v>
      </c>
      <c r="C88" s="82">
        <f>ROUND(C87+C19,3)</f>
        <v>21.11</v>
      </c>
      <c r="D88" s="82">
        <f>ROUND(D87+D19,3)</f>
        <v>21.11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</v>
      </c>
      <c r="D90" s="89"/>
    </row>
    <row r="91" spans="1:4" ht="34.5" customHeight="1" x14ac:dyDescent="0.25">
      <c r="A91" s="302" t="s">
        <v>113</v>
      </c>
      <c r="B91" s="303"/>
      <c r="C91" s="22">
        <f>D88/C90</f>
        <v>21.11</v>
      </c>
      <c r="D91" s="22"/>
    </row>
    <row r="92" spans="1:4" x14ac:dyDescent="0.25">
      <c r="A92" s="190"/>
      <c r="B92" s="190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E90"/>
  <sheetViews>
    <sheetView topLeftCell="A75" workbookViewId="0">
      <selection activeCell="G84" sqref="G84"/>
    </sheetView>
  </sheetViews>
  <sheetFormatPr defaultRowHeight="15" x14ac:dyDescent="0.25"/>
  <cols>
    <col min="1" max="1" width="6.140625" customWidth="1"/>
    <col min="2" max="2" width="60.7109375" customWidth="1"/>
    <col min="3" max="3" width="10.5703125" customWidth="1"/>
    <col min="4" max="4" width="10" customWidth="1"/>
    <col min="5" max="5" width="15.28515625" customWidth="1"/>
  </cols>
  <sheetData>
    <row r="1" spans="1:5" x14ac:dyDescent="0.25">
      <c r="A1" s="304" t="s">
        <v>78</v>
      </c>
      <c r="B1" s="304"/>
      <c r="C1" s="304"/>
      <c r="D1" s="304"/>
    </row>
    <row r="2" spans="1:5" ht="10.5" customHeight="1" x14ac:dyDescent="0.25">
      <c r="A2" s="55"/>
      <c r="B2" s="55"/>
      <c r="C2" s="305"/>
      <c r="D2" s="306"/>
    </row>
    <row r="3" spans="1:5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47.25" customHeight="1" x14ac:dyDescent="0.25">
      <c r="A5" s="307" t="s">
        <v>484</v>
      </c>
      <c r="B5" s="307"/>
      <c r="C5" s="307"/>
      <c r="D5" s="307"/>
    </row>
    <row r="6" spans="1:5" ht="7.5" customHeight="1" x14ac:dyDescent="0.25">
      <c r="A6" s="117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5.25" customHeight="1" x14ac:dyDescent="0.25">
      <c r="A8" s="55"/>
      <c r="B8" s="61"/>
      <c r="C8" s="62"/>
      <c r="D8" s="59"/>
    </row>
    <row r="9" spans="1:5" x14ac:dyDescent="0.25">
      <c r="A9" s="309" t="s">
        <v>109</v>
      </c>
      <c r="B9" s="309"/>
      <c r="C9" s="62"/>
      <c r="D9" s="59"/>
    </row>
    <row r="10" spans="1:5" ht="83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ht="21" customHeight="1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162.75" customHeight="1" x14ac:dyDescent="0.25">
      <c r="A14" s="50"/>
      <c r="B14" s="72" t="s">
        <v>440</v>
      </c>
      <c r="C14" s="18">
        <f>0.17*6+0.17*6+0.5*24</f>
        <v>14.04</v>
      </c>
      <c r="D14" s="18">
        <f>C14*4</f>
        <v>56.16</v>
      </c>
      <c r="E14" s="226"/>
    </row>
    <row r="15" spans="1:5" ht="27.75" customHeight="1" x14ac:dyDescent="0.25">
      <c r="A15" s="50">
        <v>1200</v>
      </c>
      <c r="B15" s="73" t="s">
        <v>439</v>
      </c>
      <c r="C15" s="18">
        <f>ROUND(C14*0.2359,2)</f>
        <v>3.31</v>
      </c>
      <c r="D15" s="18">
        <f>C15*4</f>
        <v>13.24</v>
      </c>
      <c r="E15" s="217"/>
    </row>
    <row r="16" spans="1:5" x14ac:dyDescent="0.25">
      <c r="A16" s="35">
        <v>2341</v>
      </c>
      <c r="B16" s="35" t="s">
        <v>97</v>
      </c>
      <c r="C16" s="74"/>
      <c r="D16" s="74"/>
      <c r="E16" s="209"/>
    </row>
    <row r="17" spans="1:5" ht="95.25" customHeight="1" x14ac:dyDescent="0.25">
      <c r="A17" s="50"/>
      <c r="B17" s="73" t="s">
        <v>196</v>
      </c>
      <c r="C17" s="18">
        <v>1.08</v>
      </c>
      <c r="D17" s="18">
        <f>C17*4</f>
        <v>4.32</v>
      </c>
      <c r="E17" s="209"/>
    </row>
    <row r="18" spans="1:5" x14ac:dyDescent="0.25">
      <c r="A18" s="50"/>
      <c r="B18" s="75" t="s">
        <v>87</v>
      </c>
      <c r="C18" s="82">
        <f>SUM(C13:C17)</f>
        <v>18.43</v>
      </c>
      <c r="D18" s="82">
        <f>SUM(D13:D17)</f>
        <v>73.72</v>
      </c>
      <c r="E18" s="222"/>
    </row>
    <row r="19" spans="1:5" ht="12.75" customHeight="1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1621</v>
      </c>
      <c r="C21" s="74">
        <f>ROUND(31.85/9509,3)</f>
        <v>3.0000000000000001E-3</v>
      </c>
      <c r="D21" s="18">
        <f>C21*4</f>
        <v>1.2E-2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1622</v>
      </c>
      <c r="C23" s="18">
        <f>ROUND(228.88/9509,3)</f>
        <v>2.4E-2</v>
      </c>
      <c r="D23" s="18">
        <f t="shared" ref="D23:D84" si="0">C23*4</f>
        <v>9.6000000000000002E-2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1623</v>
      </c>
      <c r="C25" s="18">
        <f>ROUND(382.73/9509,3)</f>
        <v>0.04</v>
      </c>
      <c r="D25" s="18">
        <f t="shared" si="0"/>
        <v>0.16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1624</v>
      </c>
      <c r="C27" s="74">
        <f>ROUND(38.69/9509,3)</f>
        <v>4.0000000000000001E-3</v>
      </c>
      <c r="D27" s="18">
        <f t="shared" si="0"/>
        <v>1.6E-2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1650</v>
      </c>
      <c r="C29" s="74">
        <f>ROUND(1004.28/9509,3)</f>
        <v>0.106</v>
      </c>
      <c r="D29" s="18">
        <f t="shared" si="0"/>
        <v>0.42399999999999999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1625</v>
      </c>
      <c r="C31" s="18">
        <f>ROUND(82.8/9509,3)</f>
        <v>8.9999999999999993E-3</v>
      </c>
      <c r="D31" s="18">
        <f t="shared" si="0"/>
        <v>3.5999999999999997E-2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1626</v>
      </c>
      <c r="C33" s="18">
        <f>ROUND(289.4/9509,3)</f>
        <v>0.03</v>
      </c>
      <c r="D33" s="18">
        <f t="shared" si="0"/>
        <v>0.12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1627</v>
      </c>
      <c r="C35" s="74">
        <f>ROUND(20.68/9509,3)</f>
        <v>2E-3</v>
      </c>
      <c r="D35" s="18">
        <f t="shared" si="0"/>
        <v>8.0000000000000002E-3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1628</v>
      </c>
      <c r="C37" s="74">
        <f>ROUND(58.15/9509,3)</f>
        <v>6.0000000000000001E-3</v>
      </c>
      <c r="D37" s="18">
        <f t="shared" si="0"/>
        <v>2.4E-2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1629</v>
      </c>
      <c r="C39" s="74">
        <f>ROUND(524.45/9509,3)</f>
        <v>5.5E-2</v>
      </c>
      <c r="D39" s="18">
        <f t="shared" si="0"/>
        <v>0.22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1630</v>
      </c>
      <c r="C41" s="74">
        <f>ROUND(131.923/9509,3)</f>
        <v>1.4E-2</v>
      </c>
      <c r="D41" s="18">
        <f t="shared" si="0"/>
        <v>5.6000000000000001E-2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1631</v>
      </c>
      <c r="C43" s="18">
        <f>ROUND(360.94/9509,3)</f>
        <v>3.7999999999999999E-2</v>
      </c>
      <c r="D43" s="18">
        <f t="shared" si="0"/>
        <v>0.152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1632</v>
      </c>
      <c r="C45" s="18">
        <f>ROUND(272.76/9509,3)</f>
        <v>2.9000000000000001E-2</v>
      </c>
      <c r="D45" s="18">
        <f t="shared" si="0"/>
        <v>0.11600000000000001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1651</v>
      </c>
      <c r="C47" s="74">
        <f>ROUND(12.06/9509,3)</f>
        <v>1E-3</v>
      </c>
      <c r="D47" s="74">
        <f t="shared" si="0"/>
        <v>4.0000000000000001E-3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1633</v>
      </c>
      <c r="C49" s="74">
        <f>ROUND(23.35/9509,3)</f>
        <v>2E-3</v>
      </c>
      <c r="D49" s="18">
        <f t="shared" si="0"/>
        <v>8.0000000000000002E-3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1634</v>
      </c>
      <c r="C51" s="18">
        <f>ROUND(750.97/9509,3)</f>
        <v>7.9000000000000001E-2</v>
      </c>
      <c r="D51" s="18">
        <f t="shared" si="0"/>
        <v>0.316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1635</v>
      </c>
      <c r="C53" s="18">
        <f>ROUND(2620.34/9509,3)</f>
        <v>0.27600000000000002</v>
      </c>
      <c r="D53" s="18">
        <f t="shared" si="0"/>
        <v>1.1040000000000001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1636</v>
      </c>
      <c r="C55" s="74">
        <f>ROUND(9.91/9509,3)</f>
        <v>1E-3</v>
      </c>
      <c r="D55" s="74">
        <f t="shared" si="0"/>
        <v>4.0000000000000001E-3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1637</v>
      </c>
      <c r="C57" s="18">
        <f>ROUND(132.32/9509,3)</f>
        <v>1.4E-2</v>
      </c>
      <c r="D57" s="18">
        <f t="shared" si="0"/>
        <v>5.6000000000000001E-2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1638</v>
      </c>
      <c r="C59" s="74">
        <f>ROUND(72.76/9509,3)</f>
        <v>8.0000000000000002E-3</v>
      </c>
      <c r="D59" s="18">
        <f t="shared" si="0"/>
        <v>3.2000000000000001E-2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1639</v>
      </c>
      <c r="C61" s="18">
        <f>ROUND(484.21/9509,3)</f>
        <v>5.0999999999999997E-2</v>
      </c>
      <c r="D61" s="18">
        <f t="shared" si="0"/>
        <v>0.20399999999999999</v>
      </c>
    </row>
    <row r="62" spans="1:4" x14ac:dyDescent="0.25">
      <c r="A62" s="35">
        <v>2314</v>
      </c>
      <c r="B62" s="243" t="s">
        <v>576</v>
      </c>
      <c r="C62" s="18"/>
      <c r="D62" s="18"/>
    </row>
    <row r="63" spans="1:4" ht="48" x14ac:dyDescent="0.25">
      <c r="A63" s="35"/>
      <c r="B63" s="40" t="s">
        <v>1640</v>
      </c>
      <c r="C63" s="18">
        <f>ROUND(224.14/9509,3)</f>
        <v>2.4E-2</v>
      </c>
      <c r="D63" s="18">
        <f t="shared" si="0"/>
        <v>9.6000000000000002E-2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1685</v>
      </c>
      <c r="C65" s="18">
        <f>ROUND(103.21/9509,3)</f>
        <v>1.0999999999999999E-2</v>
      </c>
      <c r="D65" s="18">
        <f t="shared" si="0"/>
        <v>4.3999999999999997E-2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1641</v>
      </c>
      <c r="C67" s="18">
        <f>ROUND(241.97/9509,3)</f>
        <v>2.5000000000000001E-2</v>
      </c>
      <c r="D67" s="18">
        <f t="shared" si="0"/>
        <v>0.1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1642</v>
      </c>
      <c r="C69" s="18">
        <f>ROUND(87.42/9509,3)</f>
        <v>8.9999999999999993E-3</v>
      </c>
      <c r="D69" s="18">
        <f t="shared" si="0"/>
        <v>3.5999999999999997E-2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1643</v>
      </c>
      <c r="C71" s="74">
        <f>ROUND(28.69/9509,3)</f>
        <v>3.0000000000000001E-3</v>
      </c>
      <c r="D71" s="18">
        <f t="shared" si="0"/>
        <v>1.2E-2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1644</v>
      </c>
      <c r="C73" s="74">
        <f>ROUND(8.56/9509,3)</f>
        <v>1E-3</v>
      </c>
      <c r="D73" s="74">
        <f t="shared" si="0"/>
        <v>4.0000000000000001E-3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1686</v>
      </c>
      <c r="C75" s="74">
        <f>ROUND(58.04/9509,3)</f>
        <v>6.0000000000000001E-3</v>
      </c>
      <c r="D75" s="18">
        <f t="shared" si="0"/>
        <v>2.4E-2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1646</v>
      </c>
      <c r="C77" s="74">
        <f>ROUND(249.88/9509,3)</f>
        <v>2.5999999999999999E-2</v>
      </c>
      <c r="D77" s="18">
        <f t="shared" si="0"/>
        <v>0.104</v>
      </c>
    </row>
    <row r="78" spans="1:4" ht="16.5" customHeight="1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48" x14ac:dyDescent="0.25">
      <c r="A80" s="35"/>
      <c r="B80" s="40" t="s">
        <v>1647</v>
      </c>
      <c r="C80" s="80">
        <f>ROUND(61.55/9509,5)</f>
        <v>6.4700000000000001E-3</v>
      </c>
      <c r="D80" s="18">
        <f t="shared" si="0"/>
        <v>2.588E-2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48" x14ac:dyDescent="0.25">
      <c r="A82" s="35"/>
      <c r="B82" s="40" t="s">
        <v>1648</v>
      </c>
      <c r="C82" s="74">
        <f>ROUND(88.34/9509,5)</f>
        <v>9.2899999999999996E-3</v>
      </c>
      <c r="D82" s="18">
        <f t="shared" si="0"/>
        <v>3.7159999999999999E-2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48" x14ac:dyDescent="0.25">
      <c r="A84" s="35"/>
      <c r="B84" s="40" t="s">
        <v>1649</v>
      </c>
      <c r="C84" s="74">
        <f>ROUND(151.09/9509,3)</f>
        <v>1.6E-2</v>
      </c>
      <c r="D84" s="18">
        <f t="shared" si="0"/>
        <v>6.4000000000000001E-2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3.72</v>
      </c>
    </row>
    <row r="86" spans="1:4" x14ac:dyDescent="0.25">
      <c r="A86" s="83"/>
      <c r="B86" s="84" t="s">
        <v>95</v>
      </c>
      <c r="C86" s="82">
        <f>ROUND(C85+C18,3)</f>
        <v>19.36</v>
      </c>
      <c r="D86" s="82">
        <f>ROUND(D85+D18,3)</f>
        <v>77.44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4</v>
      </c>
      <c r="D88" s="89"/>
    </row>
    <row r="89" spans="1:4" ht="26.25" customHeight="1" x14ac:dyDescent="0.25">
      <c r="A89" s="302" t="s">
        <v>113</v>
      </c>
      <c r="B89" s="303"/>
      <c r="C89" s="22">
        <f>D86/C88</f>
        <v>19.36</v>
      </c>
      <c r="D89" s="89"/>
    </row>
    <row r="90" spans="1:4" x14ac:dyDescent="0.25">
      <c r="A90" s="247"/>
      <c r="B90" s="247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E91"/>
  <sheetViews>
    <sheetView topLeftCell="A74" workbookViewId="0">
      <selection activeCell="I86" sqref="I86"/>
    </sheetView>
  </sheetViews>
  <sheetFormatPr defaultRowHeight="15" x14ac:dyDescent="0.25"/>
  <cols>
    <col min="2" max="2" width="61" customWidth="1"/>
    <col min="3" max="3" width="14.42578125" customWidth="1"/>
    <col min="4" max="4" width="12.7109375" customWidth="1"/>
  </cols>
  <sheetData>
    <row r="1" spans="1:5" ht="15.75" customHeight="1" x14ac:dyDescent="0.25">
      <c r="A1" s="304" t="s">
        <v>78</v>
      </c>
      <c r="B1" s="304"/>
      <c r="C1" s="304"/>
      <c r="D1" s="304"/>
    </row>
    <row r="2" spans="1:5" x14ac:dyDescent="0.25">
      <c r="A2" s="55"/>
      <c r="B2" s="55"/>
      <c r="C2" s="305"/>
      <c r="D2" s="306"/>
    </row>
    <row r="3" spans="1:5" ht="13.5" customHeight="1" x14ac:dyDescent="0.25">
      <c r="A3" s="56" t="s">
        <v>111</v>
      </c>
      <c r="B3" s="57"/>
      <c r="C3" s="57"/>
      <c r="D3" s="57"/>
    </row>
    <row r="4" spans="1:5" ht="12" customHeight="1" x14ac:dyDescent="0.25">
      <c r="A4" s="55"/>
      <c r="B4" s="58"/>
      <c r="C4" s="58"/>
      <c r="D4" s="59"/>
    </row>
    <row r="5" spans="1:5" ht="45.75" customHeight="1" x14ac:dyDescent="0.25">
      <c r="A5" s="307" t="s">
        <v>485</v>
      </c>
      <c r="B5" s="307"/>
      <c r="C5" s="307"/>
      <c r="D5" s="307"/>
    </row>
    <row r="6" spans="1:5" ht="7.5" customHeight="1" x14ac:dyDescent="0.25">
      <c r="A6" s="117"/>
      <c r="B6" s="60"/>
      <c r="C6" s="60"/>
      <c r="D6" s="59"/>
    </row>
    <row r="7" spans="1:5" x14ac:dyDescent="0.25">
      <c r="A7" s="308" t="s">
        <v>112</v>
      </c>
      <c r="B7" s="310"/>
      <c r="C7" s="60"/>
      <c r="D7" s="59"/>
    </row>
    <row r="8" spans="1:5" ht="6" customHeight="1" x14ac:dyDescent="0.25">
      <c r="A8" s="117"/>
      <c r="B8" s="118"/>
      <c r="C8" s="60"/>
      <c r="D8" s="59"/>
    </row>
    <row r="9" spans="1:5" x14ac:dyDescent="0.25">
      <c r="A9" s="309" t="s">
        <v>125</v>
      </c>
      <c r="B9" s="309"/>
      <c r="C9" s="62"/>
      <c r="D9" s="59"/>
    </row>
    <row r="10" spans="1:5" ht="10.5" customHeight="1" x14ac:dyDescent="0.25">
      <c r="A10" s="309"/>
      <c r="B10" s="309"/>
      <c r="C10" s="62"/>
      <c r="D10" s="59"/>
    </row>
    <row r="11" spans="1:5" ht="96" x14ac:dyDescent="0.25">
      <c r="A11" s="63" t="s">
        <v>80</v>
      </c>
      <c r="B11" s="63" t="s">
        <v>81</v>
      </c>
      <c r="C11" s="63" t="s">
        <v>99</v>
      </c>
      <c r="D11" s="63" t="s">
        <v>83</v>
      </c>
    </row>
    <row r="12" spans="1:5" x14ac:dyDescent="0.25">
      <c r="A12" s="64">
        <v>1</v>
      </c>
      <c r="B12" s="65">
        <v>2</v>
      </c>
      <c r="C12" s="64">
        <v>3</v>
      </c>
      <c r="D12" s="64">
        <v>4</v>
      </c>
    </row>
    <row r="13" spans="1:5" x14ac:dyDescent="0.25">
      <c r="A13" s="66"/>
      <c r="B13" s="67" t="s">
        <v>84</v>
      </c>
      <c r="C13" s="68"/>
      <c r="D13" s="68"/>
    </row>
    <row r="14" spans="1:5" x14ac:dyDescent="0.25">
      <c r="A14" s="69">
        <v>1100</v>
      </c>
      <c r="B14" s="70" t="s">
        <v>85</v>
      </c>
      <c r="C14" s="71"/>
      <c r="D14" s="71"/>
    </row>
    <row r="15" spans="1:5" ht="163.5" customHeight="1" x14ac:dyDescent="0.25">
      <c r="A15" s="50"/>
      <c r="B15" s="72" t="s">
        <v>658</v>
      </c>
      <c r="C15" s="18">
        <f>0.17*20+0.17*20+0.5*24</f>
        <v>18.8</v>
      </c>
      <c r="D15" s="18">
        <f>C15*50</f>
        <v>940</v>
      </c>
    </row>
    <row r="16" spans="1:5" ht="24" x14ac:dyDescent="0.25">
      <c r="A16" s="50">
        <v>1200</v>
      </c>
      <c r="B16" s="73" t="s">
        <v>441</v>
      </c>
      <c r="C16" s="18">
        <f>ROUND(C15*0.2359,2)</f>
        <v>4.43</v>
      </c>
      <c r="D16" s="18">
        <f>C16*50</f>
        <v>221.5</v>
      </c>
      <c r="E16" s="217"/>
    </row>
    <row r="17" spans="1:5" x14ac:dyDescent="0.25">
      <c r="A17" s="50">
        <v>2341</v>
      </c>
      <c r="B17" s="50" t="s">
        <v>97</v>
      </c>
      <c r="C17" s="91"/>
      <c r="D17" s="18"/>
      <c r="E17" s="220"/>
    </row>
    <row r="18" spans="1:5" ht="111.75" customHeight="1" x14ac:dyDescent="0.25">
      <c r="A18" s="50"/>
      <c r="B18" s="73" t="s">
        <v>659</v>
      </c>
      <c r="C18" s="18">
        <v>4.83</v>
      </c>
      <c r="D18" s="18">
        <f>C18*50</f>
        <v>241.5</v>
      </c>
      <c r="E18" s="220"/>
    </row>
    <row r="19" spans="1:5" x14ac:dyDescent="0.25">
      <c r="A19" s="35"/>
      <c r="B19" s="92" t="s">
        <v>87</v>
      </c>
      <c r="C19" s="82">
        <f>SUM(C14:C18)</f>
        <v>28.060000000000002</v>
      </c>
      <c r="D19" s="82">
        <f>SUM(D14:D18)</f>
        <v>1403</v>
      </c>
      <c r="E19" s="222"/>
    </row>
    <row r="20" spans="1:5" x14ac:dyDescent="0.25">
      <c r="A20" s="77"/>
      <c r="B20" s="176" t="s">
        <v>88</v>
      </c>
      <c r="C20" s="78"/>
      <c r="D20" s="78"/>
    </row>
    <row r="21" spans="1:5" x14ac:dyDescent="0.25">
      <c r="A21" s="35">
        <v>2100</v>
      </c>
      <c r="B21" s="244" t="s">
        <v>584</v>
      </c>
      <c r="C21" s="78"/>
      <c r="D21" s="78"/>
    </row>
    <row r="22" spans="1:5" ht="48" x14ac:dyDescent="0.25">
      <c r="A22" s="77"/>
      <c r="B22" s="40" t="s">
        <v>1437</v>
      </c>
      <c r="C22" s="74">
        <f>ROUND(31.85/9509,3)</f>
        <v>3.0000000000000001E-3</v>
      </c>
      <c r="D22" s="18">
        <f>C22*50</f>
        <v>0.15</v>
      </c>
    </row>
    <row r="23" spans="1:5" x14ac:dyDescent="0.25">
      <c r="A23" s="35">
        <v>2210</v>
      </c>
      <c r="B23" s="40" t="s">
        <v>568</v>
      </c>
      <c r="C23" s="74"/>
      <c r="D23" s="74"/>
    </row>
    <row r="24" spans="1:5" ht="48" x14ac:dyDescent="0.25">
      <c r="A24" s="35"/>
      <c r="B24" s="40" t="s">
        <v>1438</v>
      </c>
      <c r="C24" s="18">
        <f>ROUND(228.88/9509,3)</f>
        <v>2.4E-2</v>
      </c>
      <c r="D24" s="18">
        <f t="shared" ref="D24:D86" si="0">C24*50</f>
        <v>1.2</v>
      </c>
    </row>
    <row r="25" spans="1:5" x14ac:dyDescent="0.25">
      <c r="A25" s="35">
        <v>2221</v>
      </c>
      <c r="B25" s="40" t="s">
        <v>89</v>
      </c>
      <c r="C25" s="18"/>
      <c r="D25" s="18"/>
    </row>
    <row r="26" spans="1:5" ht="48" x14ac:dyDescent="0.25">
      <c r="A26" s="35"/>
      <c r="B26" s="40" t="s">
        <v>1439</v>
      </c>
      <c r="C26" s="18">
        <f>ROUND(382.73/9509,3)</f>
        <v>0.04</v>
      </c>
      <c r="D26" s="18">
        <f t="shared" si="0"/>
        <v>2</v>
      </c>
    </row>
    <row r="27" spans="1:5" x14ac:dyDescent="0.25">
      <c r="A27" s="35">
        <v>2222</v>
      </c>
      <c r="B27" s="242" t="s">
        <v>90</v>
      </c>
      <c r="C27" s="18"/>
      <c r="D27" s="18"/>
    </row>
    <row r="28" spans="1:5" ht="48" x14ac:dyDescent="0.25">
      <c r="A28" s="35"/>
      <c r="B28" s="40" t="s">
        <v>1440</v>
      </c>
      <c r="C28" s="74">
        <f>ROUND(38.69/9509,3)</f>
        <v>4.0000000000000001E-3</v>
      </c>
      <c r="D28" s="18">
        <f t="shared" si="0"/>
        <v>0.2</v>
      </c>
    </row>
    <row r="29" spans="1:5" x14ac:dyDescent="0.25">
      <c r="A29" s="35">
        <v>2223</v>
      </c>
      <c r="B29" s="35" t="s">
        <v>91</v>
      </c>
      <c r="C29" s="74"/>
      <c r="D29" s="18"/>
    </row>
    <row r="30" spans="1:5" ht="48" x14ac:dyDescent="0.25">
      <c r="A30" s="35"/>
      <c r="B30" s="40" t="s">
        <v>1441</v>
      </c>
      <c r="C30" s="74">
        <f>ROUND(1004.28/9509,3)</f>
        <v>0.106</v>
      </c>
      <c r="D30" s="18">
        <f t="shared" si="0"/>
        <v>5.3</v>
      </c>
    </row>
    <row r="31" spans="1:5" ht="24" x14ac:dyDescent="0.25">
      <c r="A31" s="35">
        <v>2224</v>
      </c>
      <c r="B31" s="40" t="s">
        <v>115</v>
      </c>
      <c r="C31" s="74"/>
      <c r="D31" s="18"/>
    </row>
    <row r="32" spans="1:5" ht="48" x14ac:dyDescent="0.25">
      <c r="A32" s="34"/>
      <c r="B32" s="40" t="s">
        <v>1442</v>
      </c>
      <c r="C32" s="18">
        <f>ROUND(82.8/9509,3)</f>
        <v>8.9999999999999993E-3</v>
      </c>
      <c r="D32" s="18">
        <f t="shared" si="0"/>
        <v>0.44999999999999996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48" x14ac:dyDescent="0.25">
      <c r="A34" s="35"/>
      <c r="B34" s="40" t="s">
        <v>1443</v>
      </c>
      <c r="C34" s="18">
        <f>ROUND(289.4/9509,3)</f>
        <v>0.03</v>
      </c>
      <c r="D34" s="18">
        <f t="shared" si="0"/>
        <v>1.5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1444</v>
      </c>
      <c r="C36" s="74">
        <f>ROUND(20.68/9509,3)</f>
        <v>2E-3</v>
      </c>
      <c r="D36" s="18">
        <f t="shared" si="0"/>
        <v>0.1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2020</v>
      </c>
      <c r="C38" s="74">
        <f>ROUND(58.15/9509,5)</f>
        <v>6.1199999999999996E-3</v>
      </c>
      <c r="D38" s="18">
        <f t="shared" si="0"/>
        <v>0.30599999999999999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48" x14ac:dyDescent="0.25">
      <c r="A40" s="35"/>
      <c r="B40" s="40" t="s">
        <v>1446</v>
      </c>
      <c r="C40" s="74">
        <f>ROUND(524.45/9509,3)</f>
        <v>5.5E-2</v>
      </c>
      <c r="D40" s="18">
        <f t="shared" si="0"/>
        <v>2.75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48" x14ac:dyDescent="0.25">
      <c r="A42" s="35"/>
      <c r="B42" s="40" t="s">
        <v>1447</v>
      </c>
      <c r="C42" s="74">
        <f>ROUND(131.923/9509,3)</f>
        <v>1.4E-2</v>
      </c>
      <c r="D42" s="18">
        <f t="shared" si="0"/>
        <v>0.70000000000000007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48" x14ac:dyDescent="0.25">
      <c r="A44" s="35"/>
      <c r="B44" s="40" t="s">
        <v>1448</v>
      </c>
      <c r="C44" s="18">
        <f>ROUND(360.94/9509,3)</f>
        <v>3.7999999999999999E-2</v>
      </c>
      <c r="D44" s="18">
        <f t="shared" si="0"/>
        <v>1.9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48" x14ac:dyDescent="0.25">
      <c r="A46" s="79"/>
      <c r="B46" s="40" t="s">
        <v>1449</v>
      </c>
      <c r="C46" s="18">
        <f>ROUND(272.76/9509,3)</f>
        <v>2.9000000000000001E-2</v>
      </c>
      <c r="D46" s="18">
        <f t="shared" si="0"/>
        <v>1.4500000000000002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48" x14ac:dyDescent="0.25">
      <c r="A48" s="79"/>
      <c r="B48" s="40" t="s">
        <v>1450</v>
      </c>
      <c r="C48" s="74">
        <f>ROUND(12.06/9509,3)</f>
        <v>1E-3</v>
      </c>
      <c r="D48" s="18">
        <f t="shared" si="0"/>
        <v>0.05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2021</v>
      </c>
      <c r="C50" s="74">
        <f>ROUND(23.35/9509,5)</f>
        <v>2.4599999999999999E-3</v>
      </c>
      <c r="D50" s="18">
        <f t="shared" si="0"/>
        <v>0.123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48" x14ac:dyDescent="0.25">
      <c r="A52" s="35"/>
      <c r="B52" s="40" t="s">
        <v>1452</v>
      </c>
      <c r="C52" s="18">
        <f>ROUND(750.97/9509,3)</f>
        <v>7.9000000000000001E-2</v>
      </c>
      <c r="D52" s="18">
        <f t="shared" si="0"/>
        <v>3.95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48" x14ac:dyDescent="0.25">
      <c r="A54" s="35"/>
      <c r="B54" s="40" t="s">
        <v>1453</v>
      </c>
      <c r="C54" s="18">
        <f>ROUND(2620.34/9509,3)</f>
        <v>0.27600000000000002</v>
      </c>
      <c r="D54" s="18">
        <f t="shared" si="0"/>
        <v>13.8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48" x14ac:dyDescent="0.25">
      <c r="A56" s="35"/>
      <c r="B56" s="40" t="s">
        <v>1468</v>
      </c>
      <c r="C56" s="74">
        <f>ROUND(9.91/9509,3)</f>
        <v>1E-3</v>
      </c>
      <c r="D56" s="18">
        <f t="shared" si="0"/>
        <v>0.05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1454</v>
      </c>
      <c r="C58" s="18">
        <f>ROUND(132.32/9509,3)</f>
        <v>1.4E-2</v>
      </c>
      <c r="D58" s="18">
        <f t="shared" si="0"/>
        <v>0.70000000000000007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1455</v>
      </c>
      <c r="C60" s="74">
        <f>ROUND(72.76/9509,3)</f>
        <v>8.0000000000000002E-3</v>
      </c>
      <c r="D60" s="18">
        <f t="shared" si="0"/>
        <v>0.4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48" x14ac:dyDescent="0.25">
      <c r="A62" s="35"/>
      <c r="B62" s="40" t="s">
        <v>1456</v>
      </c>
      <c r="C62" s="18">
        <f>ROUND(484.21/9509,3)</f>
        <v>5.0999999999999997E-2</v>
      </c>
      <c r="D62" s="18">
        <f t="shared" si="0"/>
        <v>2.5499999999999998</v>
      </c>
    </row>
    <row r="63" spans="1:4" x14ac:dyDescent="0.25">
      <c r="A63" s="35">
        <v>2314</v>
      </c>
      <c r="B63" s="243" t="s">
        <v>576</v>
      </c>
      <c r="C63" s="18"/>
      <c r="D63" s="18"/>
    </row>
    <row r="64" spans="1:4" ht="48" x14ac:dyDescent="0.25">
      <c r="A64" s="35"/>
      <c r="B64" s="40" t="s">
        <v>1457</v>
      </c>
      <c r="C64" s="18">
        <f>ROUND(224.14/9509,3)</f>
        <v>2.4E-2</v>
      </c>
      <c r="D64" s="18">
        <f t="shared" si="0"/>
        <v>1.2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48" x14ac:dyDescent="0.25">
      <c r="A66" s="35"/>
      <c r="B66" s="40" t="s">
        <v>1458</v>
      </c>
      <c r="C66" s="18">
        <f>ROUND(103.21/9509,3)</f>
        <v>1.0999999999999999E-2</v>
      </c>
      <c r="D66" s="18">
        <f t="shared" si="0"/>
        <v>0.54999999999999993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48" x14ac:dyDescent="0.25">
      <c r="A68" s="35"/>
      <c r="B68" s="40" t="s">
        <v>2022</v>
      </c>
      <c r="C68" s="18">
        <f>ROUND(241.97/9509,5)</f>
        <v>2.545E-2</v>
      </c>
      <c r="D68" s="18">
        <f t="shared" si="0"/>
        <v>1.2725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1460</v>
      </c>
      <c r="C70" s="18">
        <f>ROUND(87.42/9509,3)</f>
        <v>8.9999999999999993E-3</v>
      </c>
      <c r="D70" s="18">
        <f t="shared" si="0"/>
        <v>0.44999999999999996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1461</v>
      </c>
      <c r="C72" s="74">
        <f>ROUND(28.69/9509,5)</f>
        <v>3.0200000000000001E-3</v>
      </c>
      <c r="D72" s="18">
        <f t="shared" si="0"/>
        <v>0.151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48" x14ac:dyDescent="0.25">
      <c r="A74" s="35"/>
      <c r="B74" s="40" t="s">
        <v>1462</v>
      </c>
      <c r="C74" s="74">
        <f>ROUND(8.56/9509,3)</f>
        <v>1E-3</v>
      </c>
      <c r="D74" s="18">
        <f t="shared" si="0"/>
        <v>0.05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2023</v>
      </c>
      <c r="C76" s="74">
        <f>ROUND(58.04/9509,5)</f>
        <v>6.1000000000000004E-3</v>
      </c>
      <c r="D76" s="18">
        <f t="shared" si="0"/>
        <v>0.30499999999999999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1464</v>
      </c>
      <c r="C78" s="74">
        <f>ROUND(249.88/9509,3)</f>
        <v>2.5999999999999999E-2</v>
      </c>
      <c r="D78" s="18">
        <f t="shared" si="0"/>
        <v>1.3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26.25" customHeight="1" x14ac:dyDescent="0.25">
      <c r="A80" s="35"/>
      <c r="B80" s="40" t="s">
        <v>621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48" x14ac:dyDescent="0.25">
      <c r="A82" s="35"/>
      <c r="B82" s="40" t="s">
        <v>2024</v>
      </c>
      <c r="C82" s="74">
        <f>ROUND(61.55/9509,5)</f>
        <v>6.4700000000000001E-3</v>
      </c>
      <c r="D82" s="18">
        <f t="shared" si="0"/>
        <v>0.32350000000000001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48" x14ac:dyDescent="0.25">
      <c r="A84" s="35"/>
      <c r="B84" s="40" t="s">
        <v>2025</v>
      </c>
      <c r="C84" s="74">
        <f>ROUND(88.34/9509,5)</f>
        <v>9.2899999999999996E-3</v>
      </c>
      <c r="D84" s="18">
        <f t="shared" si="0"/>
        <v>0.46449999999999997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48" x14ac:dyDescent="0.25">
      <c r="A86" s="35"/>
      <c r="B86" s="40" t="s">
        <v>1467</v>
      </c>
      <c r="C86" s="74">
        <f>ROUND(151.09/9509,3)</f>
        <v>1.6E-2</v>
      </c>
      <c r="D86" s="18">
        <f t="shared" si="0"/>
        <v>0.8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46.5</v>
      </c>
    </row>
    <row r="88" spans="1:4" x14ac:dyDescent="0.25">
      <c r="A88" s="83"/>
      <c r="B88" s="84" t="s">
        <v>95</v>
      </c>
      <c r="C88" s="82">
        <f>ROUND(C87+C19,3)</f>
        <v>28.99</v>
      </c>
      <c r="D88" s="82">
        <f>ROUND(D87+D19,3)</f>
        <v>1449.5</v>
      </c>
    </row>
    <row r="89" spans="1:4" x14ac:dyDescent="0.25">
      <c r="A89" s="85"/>
      <c r="B89" s="86"/>
      <c r="C89" s="87"/>
      <c r="D89" s="87"/>
    </row>
    <row r="90" spans="1:4" x14ac:dyDescent="0.25">
      <c r="A90" s="311" t="s">
        <v>96</v>
      </c>
      <c r="B90" s="312"/>
      <c r="C90" s="88">
        <v>50</v>
      </c>
      <c r="D90" s="89"/>
    </row>
    <row r="91" spans="1:4" ht="28.5" customHeight="1" x14ac:dyDescent="0.25">
      <c r="A91" s="313" t="s">
        <v>113</v>
      </c>
      <c r="B91" s="314"/>
      <c r="C91" s="22">
        <f>D88/C90</f>
        <v>28.99</v>
      </c>
      <c r="D91" s="89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E89"/>
  <sheetViews>
    <sheetView topLeftCell="A78" workbookViewId="0">
      <selection activeCell="B84" sqref="B84"/>
    </sheetView>
  </sheetViews>
  <sheetFormatPr defaultRowHeight="15" x14ac:dyDescent="0.25"/>
  <cols>
    <col min="2" max="2" width="58.7109375" customWidth="1"/>
    <col min="3" max="3" width="11.140625" customWidth="1"/>
    <col min="4" max="4" width="13.85546875" customWidth="1"/>
  </cols>
  <sheetData>
    <row r="1" spans="1:5" x14ac:dyDescent="0.25">
      <c r="A1" s="304" t="s">
        <v>78</v>
      </c>
      <c r="B1" s="304"/>
      <c r="C1" s="304"/>
      <c r="D1" s="304"/>
    </row>
    <row r="2" spans="1:5" ht="11.25" customHeight="1" x14ac:dyDescent="0.25">
      <c r="A2" s="55"/>
      <c r="B2" s="55"/>
      <c r="C2" s="305"/>
      <c r="D2" s="306"/>
    </row>
    <row r="3" spans="1:5" ht="15" customHeight="1" x14ac:dyDescent="0.25">
      <c r="A3" s="56" t="s">
        <v>111</v>
      </c>
      <c r="B3" s="57"/>
      <c r="C3" s="57"/>
      <c r="D3" s="57"/>
    </row>
    <row r="4" spans="1:5" x14ac:dyDescent="0.25">
      <c r="A4" s="55"/>
      <c r="B4" s="58"/>
      <c r="C4" s="58"/>
      <c r="D4" s="59"/>
    </row>
    <row r="5" spans="1:5" ht="39" customHeight="1" x14ac:dyDescent="0.25">
      <c r="A5" s="307" t="s">
        <v>486</v>
      </c>
      <c r="B5" s="307"/>
      <c r="C5" s="307"/>
      <c r="D5" s="307"/>
    </row>
    <row r="6" spans="1:5" x14ac:dyDescent="0.25">
      <c r="A6" s="117"/>
      <c r="B6" s="60"/>
      <c r="C6" s="60"/>
      <c r="D6" s="59"/>
    </row>
    <row r="7" spans="1:5" ht="9.75" customHeight="1" x14ac:dyDescent="0.25">
      <c r="A7" s="308" t="s">
        <v>112</v>
      </c>
      <c r="B7" s="310"/>
      <c r="C7" s="60"/>
      <c r="D7" s="59"/>
    </row>
    <row r="8" spans="1:5" x14ac:dyDescent="0.25">
      <c r="A8" s="117"/>
      <c r="B8" s="118"/>
      <c r="C8" s="60"/>
      <c r="D8" s="59"/>
    </row>
    <row r="9" spans="1:5" x14ac:dyDescent="0.25">
      <c r="A9" s="309" t="s">
        <v>156</v>
      </c>
      <c r="B9" s="309"/>
      <c r="C9" s="62"/>
      <c r="D9" s="59"/>
    </row>
    <row r="10" spans="1:5" ht="96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69">
        <v>1100</v>
      </c>
      <c r="B13" s="70" t="s">
        <v>85</v>
      </c>
      <c r="C13" s="71"/>
      <c r="D13" s="71"/>
    </row>
    <row r="14" spans="1:5" ht="159.75" customHeight="1" x14ac:dyDescent="0.25">
      <c r="A14" s="50"/>
      <c r="B14" s="90" t="s">
        <v>443</v>
      </c>
      <c r="C14" s="18">
        <f>0.17*20+0.17*20+0.5*24</f>
        <v>18.8</v>
      </c>
      <c r="D14" s="18">
        <f>C14*3</f>
        <v>56.400000000000006</v>
      </c>
    </row>
    <row r="15" spans="1:5" ht="30" customHeight="1" x14ac:dyDescent="0.25">
      <c r="A15" s="50">
        <v>1200</v>
      </c>
      <c r="B15" s="40" t="s">
        <v>442</v>
      </c>
      <c r="C15" s="18">
        <f>ROUND(C14*0.2359,2)</f>
        <v>4.43</v>
      </c>
      <c r="D15" s="18">
        <f>C15*3</f>
        <v>13.29</v>
      </c>
      <c r="E15" s="217"/>
    </row>
    <row r="16" spans="1:5" x14ac:dyDescent="0.25">
      <c r="A16" s="50">
        <v>2341</v>
      </c>
      <c r="B16" s="50" t="s">
        <v>118</v>
      </c>
      <c r="C16" s="91"/>
      <c r="D16" s="18"/>
    </row>
    <row r="17" spans="1:5" ht="84" x14ac:dyDescent="0.25">
      <c r="A17" s="50"/>
      <c r="B17" s="73" t="s">
        <v>201</v>
      </c>
      <c r="C17" s="18">
        <v>0.28000000000000003</v>
      </c>
      <c r="D17" s="18">
        <f>C17*3</f>
        <v>0.84000000000000008</v>
      </c>
    </row>
    <row r="18" spans="1:5" x14ac:dyDescent="0.25">
      <c r="A18" s="50"/>
      <c r="B18" s="92" t="s">
        <v>87</v>
      </c>
      <c r="C18" s="82">
        <f>SUM(C13:C17)</f>
        <v>23.51</v>
      </c>
      <c r="D18" s="82">
        <f>SUM(D13:D17)</f>
        <v>70.53</v>
      </c>
      <c r="E18" s="211"/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2026</v>
      </c>
      <c r="C21" s="74">
        <f>ROUND(31.85/9509,3)</f>
        <v>3.0000000000000001E-3</v>
      </c>
      <c r="D21" s="74">
        <f>C21*3</f>
        <v>9.0000000000000011E-3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60" x14ac:dyDescent="0.25">
      <c r="A23" s="35"/>
      <c r="B23" s="40" t="s">
        <v>2027</v>
      </c>
      <c r="C23" s="18">
        <f>ROUND(228.88/9509,3)</f>
        <v>2.4E-2</v>
      </c>
      <c r="D23" s="74">
        <f t="shared" ref="D23:D84" si="0">C23*3</f>
        <v>7.2000000000000008E-2</v>
      </c>
    </row>
    <row r="24" spans="1:5" x14ac:dyDescent="0.25">
      <c r="A24" s="35">
        <v>2221</v>
      </c>
      <c r="B24" s="40" t="s">
        <v>89</v>
      </c>
      <c r="C24" s="18"/>
      <c r="D24" s="74"/>
    </row>
    <row r="25" spans="1:5" ht="48" x14ac:dyDescent="0.25">
      <c r="A25" s="35"/>
      <c r="B25" s="40" t="s">
        <v>2028</v>
      </c>
      <c r="C25" s="18">
        <f>ROUND(382.73/9509,3)</f>
        <v>0.04</v>
      </c>
      <c r="D25" s="18">
        <f t="shared" si="0"/>
        <v>0.12</v>
      </c>
    </row>
    <row r="26" spans="1:5" x14ac:dyDescent="0.25">
      <c r="A26" s="35">
        <v>2222</v>
      </c>
      <c r="B26" s="242" t="s">
        <v>90</v>
      </c>
      <c r="C26" s="18"/>
      <c r="D26" s="74"/>
    </row>
    <row r="27" spans="1:5" ht="48" x14ac:dyDescent="0.25">
      <c r="A27" s="35"/>
      <c r="B27" s="40" t="s">
        <v>2029</v>
      </c>
      <c r="C27" s="74">
        <f>ROUND(38.69/9509,3)</f>
        <v>4.0000000000000001E-3</v>
      </c>
      <c r="D27" s="74">
        <f t="shared" si="0"/>
        <v>1.2E-2</v>
      </c>
    </row>
    <row r="28" spans="1:5" x14ac:dyDescent="0.25">
      <c r="A28" s="35">
        <v>2223</v>
      </c>
      <c r="B28" s="35" t="s">
        <v>91</v>
      </c>
      <c r="C28" s="74"/>
      <c r="D28" s="74"/>
    </row>
    <row r="29" spans="1:5" ht="60" x14ac:dyDescent="0.25">
      <c r="A29" s="35"/>
      <c r="B29" s="40" t="s">
        <v>2030</v>
      </c>
      <c r="C29" s="74">
        <f>ROUND(1004.28/9509,3)</f>
        <v>0.106</v>
      </c>
      <c r="D29" s="18">
        <f t="shared" si="0"/>
        <v>0.318</v>
      </c>
    </row>
    <row r="30" spans="1:5" ht="24" x14ac:dyDescent="0.25">
      <c r="A30" s="35">
        <v>2224</v>
      </c>
      <c r="B30" s="40" t="s">
        <v>115</v>
      </c>
      <c r="C30" s="74"/>
      <c r="D30" s="74"/>
    </row>
    <row r="31" spans="1:5" ht="48" x14ac:dyDescent="0.25">
      <c r="A31" s="34"/>
      <c r="B31" s="40" t="s">
        <v>2031</v>
      </c>
      <c r="C31" s="18">
        <f>ROUND(82.8/9509,3)</f>
        <v>8.9999999999999993E-3</v>
      </c>
      <c r="D31" s="18">
        <f t="shared" si="0"/>
        <v>2.6999999999999996E-2</v>
      </c>
    </row>
    <row r="32" spans="1:5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2032</v>
      </c>
      <c r="C33" s="18">
        <f>ROUND(289.4/9509,3)</f>
        <v>0.03</v>
      </c>
      <c r="D33" s="18">
        <f t="shared" si="0"/>
        <v>0.09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2033</v>
      </c>
      <c r="C35" s="74">
        <f>ROUND(20.68/9509,3)</f>
        <v>2E-3</v>
      </c>
      <c r="D35" s="74">
        <f t="shared" si="0"/>
        <v>6.0000000000000001E-3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2034</v>
      </c>
      <c r="C37" s="74">
        <f>ROUND(58.15/9509,3)</f>
        <v>6.0000000000000001E-3</v>
      </c>
      <c r="D37" s="74">
        <f t="shared" si="0"/>
        <v>1.8000000000000002E-2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2035</v>
      </c>
      <c r="C39" s="74">
        <f>ROUND(524.45/9509,3)</f>
        <v>5.5E-2</v>
      </c>
      <c r="D39" s="74">
        <f t="shared" si="0"/>
        <v>0.16500000000000001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2036</v>
      </c>
      <c r="C41" s="74">
        <f>ROUND(131.923/9509,3)</f>
        <v>1.4E-2</v>
      </c>
      <c r="D41" s="74">
        <f t="shared" si="0"/>
        <v>4.2000000000000003E-2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2037</v>
      </c>
      <c r="C43" s="18">
        <f>ROUND(360.94/9509,3)</f>
        <v>3.7999999999999999E-2</v>
      </c>
      <c r="D43" s="74">
        <f t="shared" si="0"/>
        <v>0.11399999999999999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2038</v>
      </c>
      <c r="C45" s="18">
        <f>ROUND(272.76/9509,3)</f>
        <v>2.9000000000000001E-2</v>
      </c>
      <c r="D45" s="74">
        <f t="shared" si="0"/>
        <v>8.7000000000000008E-2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2039</v>
      </c>
      <c r="C47" s="74">
        <f>ROUND(12.06/9509,3)</f>
        <v>1E-3</v>
      </c>
      <c r="D47" s="74">
        <f t="shared" si="0"/>
        <v>3.0000000000000001E-3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2040</v>
      </c>
      <c r="C49" s="74">
        <f>ROUND(23.35/9509,3)</f>
        <v>2E-3</v>
      </c>
      <c r="D49" s="74">
        <f t="shared" si="0"/>
        <v>6.0000000000000001E-3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60" x14ac:dyDescent="0.25">
      <c r="A51" s="35"/>
      <c r="B51" s="40" t="s">
        <v>2041</v>
      </c>
      <c r="C51" s="18">
        <f>ROUND(750.97/9509,3)</f>
        <v>7.9000000000000001E-2</v>
      </c>
      <c r="D51" s="18">
        <f t="shared" si="0"/>
        <v>0.23699999999999999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2042</v>
      </c>
      <c r="C53" s="18">
        <f>ROUND(2620.34/9509,3)</f>
        <v>0.27600000000000002</v>
      </c>
      <c r="D53" s="18">
        <f t="shared" si="0"/>
        <v>0.82800000000000007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2043</v>
      </c>
      <c r="C55" s="74">
        <f>ROUND(9.91/9509,3)</f>
        <v>1E-3</v>
      </c>
      <c r="D55" s="74">
        <f t="shared" si="0"/>
        <v>3.0000000000000001E-3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2044</v>
      </c>
      <c r="C57" s="18">
        <f>ROUND(132.32/9509,3)</f>
        <v>1.4E-2</v>
      </c>
      <c r="D57" s="74">
        <f t="shared" si="0"/>
        <v>4.2000000000000003E-2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2045</v>
      </c>
      <c r="C59" s="74">
        <f>ROUND(72.76/9509,3)</f>
        <v>8.0000000000000002E-3</v>
      </c>
      <c r="D59" s="74">
        <f t="shared" si="0"/>
        <v>2.4E-2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2046</v>
      </c>
      <c r="C61" s="18">
        <f>ROUND(484.21/9509,3)</f>
        <v>5.0999999999999997E-2</v>
      </c>
      <c r="D61" s="74">
        <f t="shared" si="0"/>
        <v>0.153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2048</v>
      </c>
      <c r="C63" s="18">
        <f>ROUND(224.14/9509,3)</f>
        <v>2.4E-2</v>
      </c>
      <c r="D63" s="74">
        <f t="shared" si="0"/>
        <v>7.2000000000000008E-2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2047</v>
      </c>
      <c r="C65" s="18">
        <f>ROUND(103.21/9509,3)</f>
        <v>1.0999999999999999E-2</v>
      </c>
      <c r="D65" s="74">
        <f t="shared" si="0"/>
        <v>3.3000000000000002E-2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2049</v>
      </c>
      <c r="C67" s="18">
        <f>ROUND(241.97/9509,3)</f>
        <v>2.5000000000000001E-2</v>
      </c>
      <c r="D67" s="74">
        <f t="shared" si="0"/>
        <v>7.5000000000000011E-2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2050</v>
      </c>
      <c r="C69" s="18">
        <f>ROUND(87.42/9509,3)</f>
        <v>8.9999999999999993E-3</v>
      </c>
      <c r="D69" s="74">
        <f t="shared" si="0"/>
        <v>2.6999999999999996E-2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2051</v>
      </c>
      <c r="C71" s="74">
        <f>ROUND(28.69/9509,3)</f>
        <v>3.0000000000000001E-3</v>
      </c>
      <c r="D71" s="74">
        <f t="shared" si="0"/>
        <v>9.0000000000000011E-3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2052</v>
      </c>
      <c r="C73" s="74">
        <f>ROUND(8.56/9509,3)</f>
        <v>1E-3</v>
      </c>
      <c r="D73" s="74">
        <f t="shared" si="0"/>
        <v>3.0000000000000001E-3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2053</v>
      </c>
      <c r="C75" s="74">
        <f>ROUND(58.04/9509,3)</f>
        <v>6.0000000000000001E-3</v>
      </c>
      <c r="D75" s="74">
        <f t="shared" si="0"/>
        <v>1.8000000000000002E-2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2054</v>
      </c>
      <c r="C77" s="74">
        <f>ROUND(249.88/9509,3)</f>
        <v>2.5999999999999999E-2</v>
      </c>
      <c r="D77" s="74">
        <f t="shared" si="0"/>
        <v>7.8E-2</v>
      </c>
    </row>
    <row r="78" spans="1:4" x14ac:dyDescent="0.25">
      <c r="A78" s="35">
        <v>5220</v>
      </c>
      <c r="B78" s="40" t="s">
        <v>116</v>
      </c>
      <c r="C78" s="18">
        <v>0</v>
      </c>
      <c r="D78" s="74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60" x14ac:dyDescent="0.25">
      <c r="A80" s="35"/>
      <c r="B80" s="40" t="s">
        <v>2055</v>
      </c>
      <c r="C80" s="80">
        <f>ROUND(61.55/9509,5)</f>
        <v>6.4700000000000001E-3</v>
      </c>
      <c r="D80" s="74">
        <f t="shared" si="0"/>
        <v>1.941E-2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60" x14ac:dyDescent="0.25">
      <c r="A82" s="35"/>
      <c r="B82" s="40" t="s">
        <v>2057</v>
      </c>
      <c r="C82" s="74">
        <f>ROUND(88.34/9509,5)</f>
        <v>9.2899999999999996E-3</v>
      </c>
      <c r="D82" s="74">
        <f t="shared" si="0"/>
        <v>2.7869999999999999E-2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60" x14ac:dyDescent="0.25">
      <c r="A84" s="35"/>
      <c r="B84" s="40" t="s">
        <v>2056</v>
      </c>
      <c r="C84" s="74">
        <f>ROUND(151.09/9509,3)</f>
        <v>1.6E-2</v>
      </c>
      <c r="D84" s="74">
        <f t="shared" si="0"/>
        <v>4.8000000000000001E-2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2.79</v>
      </c>
    </row>
    <row r="86" spans="1:4" x14ac:dyDescent="0.25">
      <c r="A86" s="83"/>
      <c r="B86" s="84" t="s">
        <v>95</v>
      </c>
      <c r="C86" s="82">
        <f>ROUND(C85+C18,3)</f>
        <v>24.44</v>
      </c>
      <c r="D86" s="82">
        <f>ROUND(D85+D18,3)</f>
        <v>73.319999999999993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3</v>
      </c>
      <c r="D88" s="89"/>
    </row>
    <row r="89" spans="1:4" ht="27.75" customHeight="1" x14ac:dyDescent="0.25">
      <c r="A89" s="302" t="s">
        <v>113</v>
      </c>
      <c r="B89" s="303"/>
      <c r="C89" s="22">
        <f>D86/C88</f>
        <v>24.439999999999998</v>
      </c>
      <c r="D89" s="22"/>
    </row>
  </sheetData>
  <mergeCells count="7">
    <mergeCell ref="A88:B88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E90"/>
  <sheetViews>
    <sheetView topLeftCell="A75" zoomScale="106" zoomScaleNormal="106" workbookViewId="0">
      <selection activeCell="B21" sqref="B21"/>
    </sheetView>
  </sheetViews>
  <sheetFormatPr defaultRowHeight="15" x14ac:dyDescent="0.25"/>
  <cols>
    <col min="2" max="2" width="61.28515625" customWidth="1"/>
    <col min="3" max="3" width="10.140625" customWidth="1"/>
    <col min="4" max="4" width="15.85546875" customWidth="1"/>
  </cols>
  <sheetData>
    <row r="1" spans="1:5" x14ac:dyDescent="0.25">
      <c r="A1" s="304" t="s">
        <v>78</v>
      </c>
      <c r="B1" s="304"/>
      <c r="C1" s="304"/>
      <c r="D1" s="304"/>
    </row>
    <row r="2" spans="1:5" ht="10.5" customHeight="1" x14ac:dyDescent="0.25">
      <c r="A2" s="55"/>
      <c r="B2" s="55"/>
      <c r="C2" s="305"/>
      <c r="D2" s="306"/>
    </row>
    <row r="3" spans="1:5" ht="15.75" customHeight="1" x14ac:dyDescent="0.25">
      <c r="A3" s="56" t="s">
        <v>111</v>
      </c>
      <c r="B3" s="57"/>
      <c r="C3" s="57"/>
      <c r="D3" s="57"/>
    </row>
    <row r="4" spans="1:5" ht="12.75" customHeight="1" x14ac:dyDescent="0.25">
      <c r="A4" s="55"/>
      <c r="B4" s="58"/>
      <c r="C4" s="58"/>
      <c r="D4" s="59"/>
    </row>
    <row r="5" spans="1:5" ht="39.75" customHeight="1" x14ac:dyDescent="0.25">
      <c r="A5" s="307" t="s">
        <v>487</v>
      </c>
      <c r="B5" s="307"/>
      <c r="C5" s="307"/>
      <c r="D5" s="307"/>
    </row>
    <row r="6" spans="1:5" x14ac:dyDescent="0.25">
      <c r="A6" s="117"/>
      <c r="B6" s="60"/>
      <c r="C6" s="60"/>
      <c r="D6" s="59"/>
    </row>
    <row r="7" spans="1:5" ht="7.5" customHeight="1" x14ac:dyDescent="0.25">
      <c r="A7" s="308" t="s">
        <v>112</v>
      </c>
      <c r="B7" s="310"/>
      <c r="C7" s="60"/>
      <c r="D7" s="59"/>
    </row>
    <row r="8" spans="1:5" ht="7.5" customHeight="1" x14ac:dyDescent="0.25">
      <c r="A8" s="117"/>
      <c r="B8" s="118"/>
      <c r="C8" s="60"/>
      <c r="D8" s="59"/>
    </row>
    <row r="9" spans="1:5" x14ac:dyDescent="0.25">
      <c r="A9" s="309" t="s">
        <v>660</v>
      </c>
      <c r="B9" s="309"/>
      <c r="C9" s="62"/>
      <c r="D9" s="59"/>
    </row>
    <row r="10" spans="1:5" ht="82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6"/>
      <c r="B12" s="67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44" x14ac:dyDescent="0.25">
      <c r="A14" s="35"/>
      <c r="B14" s="90" t="s">
        <v>661</v>
      </c>
      <c r="C14" s="18">
        <f>0.17*20+0.17*20+0.5*24</f>
        <v>18.8</v>
      </c>
      <c r="D14" s="18">
        <f>C14*38</f>
        <v>714.4</v>
      </c>
    </row>
    <row r="15" spans="1:5" ht="24" x14ac:dyDescent="0.25">
      <c r="A15" s="35">
        <v>1200</v>
      </c>
      <c r="B15" s="40" t="s">
        <v>442</v>
      </c>
      <c r="C15" s="18">
        <f>ROUND(C14*0.2359,2)</f>
        <v>4.43</v>
      </c>
      <c r="D15" s="18">
        <f>C15*38</f>
        <v>168.33999999999997</v>
      </c>
      <c r="E15" s="208"/>
    </row>
    <row r="16" spans="1:5" x14ac:dyDescent="0.25">
      <c r="A16" s="35">
        <v>2341</v>
      </c>
      <c r="B16" s="35" t="s">
        <v>97</v>
      </c>
      <c r="C16" s="91"/>
      <c r="D16" s="18"/>
      <c r="E16" s="208"/>
    </row>
    <row r="17" spans="1:5" ht="72" x14ac:dyDescent="0.25">
      <c r="A17" s="35"/>
      <c r="B17" s="73" t="s">
        <v>662</v>
      </c>
      <c r="C17" s="18">
        <v>5.28</v>
      </c>
      <c r="D17" s="18">
        <f>C17*38</f>
        <v>200.64000000000001</v>
      </c>
      <c r="E17" s="208"/>
    </row>
    <row r="18" spans="1:5" x14ac:dyDescent="0.25">
      <c r="A18" s="50"/>
      <c r="B18" s="92" t="s">
        <v>87</v>
      </c>
      <c r="C18" s="82">
        <f>SUM(C13:C17)</f>
        <v>28.51</v>
      </c>
      <c r="D18" s="82">
        <f>SUM(D13:D17)</f>
        <v>1083.3800000000001</v>
      </c>
      <c r="E18" s="211"/>
    </row>
    <row r="19" spans="1:5" x14ac:dyDescent="0.25">
      <c r="A19" s="77"/>
      <c r="B19" s="175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2058</v>
      </c>
      <c r="C21" s="74">
        <f>ROUND(31.85/9509,3)</f>
        <v>3.0000000000000001E-3</v>
      </c>
      <c r="D21" s="18">
        <f>C21*38</f>
        <v>0.114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2059</v>
      </c>
      <c r="C23" s="18">
        <f>ROUND(228.88/9509,3)</f>
        <v>2.4E-2</v>
      </c>
      <c r="D23" s="18">
        <f t="shared" ref="D23:D85" si="0">C23*38</f>
        <v>0.91200000000000003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2060</v>
      </c>
      <c r="C25" s="74">
        <f>ROUND(382.73/9509,5)</f>
        <v>4.0250000000000001E-2</v>
      </c>
      <c r="D25" s="18">
        <f t="shared" si="0"/>
        <v>1.5295000000000001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2061</v>
      </c>
      <c r="C27" s="74">
        <f>ROUND(38.69/9509,3)</f>
        <v>4.0000000000000001E-3</v>
      </c>
      <c r="D27" s="18">
        <f t="shared" si="0"/>
        <v>0.152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2062</v>
      </c>
      <c r="C29" s="18">
        <f>ROUND(1004.28/9509,3)</f>
        <v>0.106</v>
      </c>
      <c r="D29" s="18">
        <f t="shared" si="0"/>
        <v>4.0279999999999996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2063</v>
      </c>
      <c r="C31" s="18">
        <f>ROUND(82.8/9509,3)</f>
        <v>8.9999999999999993E-3</v>
      </c>
      <c r="D31" s="18">
        <f t="shared" si="0"/>
        <v>0.34199999999999997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2064</v>
      </c>
      <c r="C33" s="18">
        <f>ROUND(289.4/9509,3)</f>
        <v>0.03</v>
      </c>
      <c r="D33" s="18">
        <f t="shared" si="0"/>
        <v>1.1399999999999999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2065</v>
      </c>
      <c r="C35" s="74">
        <f>ROUND(20.68/9509,3)</f>
        <v>2E-3</v>
      </c>
      <c r="D35" s="18">
        <f t="shared" si="0"/>
        <v>7.5999999999999998E-2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2066</v>
      </c>
      <c r="C37" s="74">
        <f>ROUND(58.15/9509,3)</f>
        <v>6.0000000000000001E-3</v>
      </c>
      <c r="D37" s="18">
        <f t="shared" si="0"/>
        <v>0.22800000000000001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2067</v>
      </c>
      <c r="C39" s="74">
        <f>ROUND(524.45/9509,3)</f>
        <v>5.5E-2</v>
      </c>
      <c r="D39" s="18">
        <f t="shared" si="0"/>
        <v>2.09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2068</v>
      </c>
      <c r="C41" s="74">
        <f>ROUND(131.923/9509,3)</f>
        <v>1.4E-2</v>
      </c>
      <c r="D41" s="18">
        <f t="shared" si="0"/>
        <v>0.53200000000000003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2069</v>
      </c>
      <c r="C43" s="18">
        <f>ROUND(360.94/9509,3)</f>
        <v>3.7999999999999999E-2</v>
      </c>
      <c r="D43" s="18">
        <f t="shared" si="0"/>
        <v>1.444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2070</v>
      </c>
      <c r="C45" s="18">
        <f>ROUND(272.76/9509,3)</f>
        <v>2.9000000000000001E-2</v>
      </c>
      <c r="D45" s="18">
        <f t="shared" si="0"/>
        <v>1.1020000000000001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2071</v>
      </c>
      <c r="C47" s="74">
        <f>ROUND(12.06/9509,3)</f>
        <v>1E-3</v>
      </c>
      <c r="D47" s="18">
        <f t="shared" si="0"/>
        <v>3.7999999999999999E-2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2072</v>
      </c>
      <c r="C49" s="74">
        <f>ROUND(23.35/9509,3)</f>
        <v>2E-3</v>
      </c>
      <c r="D49" s="18">
        <f t="shared" si="0"/>
        <v>7.5999999999999998E-2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2073</v>
      </c>
      <c r="C51" s="18">
        <f>ROUND(750.97/9509,3)</f>
        <v>7.9000000000000001E-2</v>
      </c>
      <c r="D51" s="18">
        <f t="shared" si="0"/>
        <v>3.0020000000000002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2074</v>
      </c>
      <c r="C53" s="18">
        <f>ROUND(2620.34/9509,3)</f>
        <v>0.27600000000000002</v>
      </c>
      <c r="D53" s="18">
        <f t="shared" si="0"/>
        <v>10.488000000000001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2075</v>
      </c>
      <c r="C55" s="74">
        <f>ROUND(9.91/9509,3)</f>
        <v>1E-3</v>
      </c>
      <c r="D55" s="18">
        <f t="shared" si="0"/>
        <v>3.7999999999999999E-2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2076</v>
      </c>
      <c r="C57" s="18">
        <f>ROUND(132.32/9509,3)</f>
        <v>1.4E-2</v>
      </c>
      <c r="D57" s="18">
        <f t="shared" si="0"/>
        <v>0.53200000000000003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2077</v>
      </c>
      <c r="C59" s="74">
        <f>ROUND(72.76/9509,3)</f>
        <v>8.0000000000000002E-3</v>
      </c>
      <c r="D59" s="18">
        <f t="shared" si="0"/>
        <v>0.30399999999999999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2078</v>
      </c>
      <c r="C61" s="18">
        <f>ROUND(484.21/9509,3)</f>
        <v>5.0999999999999997E-2</v>
      </c>
      <c r="D61" s="18">
        <f t="shared" si="0"/>
        <v>1.9379999999999999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2079</v>
      </c>
      <c r="C63" s="18">
        <f>ROUND(224.14/9509,3)</f>
        <v>2.4E-2</v>
      </c>
      <c r="D63" s="18">
        <f t="shared" si="0"/>
        <v>0.91200000000000003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2080</v>
      </c>
      <c r="C65" s="18">
        <f>ROUND(103.21/9509,3)</f>
        <v>1.0999999999999999E-2</v>
      </c>
      <c r="D65" s="18">
        <f t="shared" si="0"/>
        <v>0.41799999999999998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2081</v>
      </c>
      <c r="C67" s="18">
        <f>ROUND(241.97/9509,5)</f>
        <v>2.545E-2</v>
      </c>
      <c r="D67" s="18">
        <f t="shared" si="0"/>
        <v>0.96710000000000007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2082</v>
      </c>
      <c r="C69" s="18">
        <f>ROUND(87.42/9509,5)</f>
        <v>9.1900000000000003E-3</v>
      </c>
      <c r="D69" s="18">
        <f t="shared" si="0"/>
        <v>0.34922000000000003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2083</v>
      </c>
      <c r="C71" s="74">
        <f>ROUND(28.69/9509,5)</f>
        <v>3.0200000000000001E-3</v>
      </c>
      <c r="D71" s="18">
        <f t="shared" si="0"/>
        <v>0.11476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2084</v>
      </c>
      <c r="C73" s="74">
        <f>ROUND(8.56/9509,5)</f>
        <v>8.9999999999999998E-4</v>
      </c>
      <c r="D73" s="18">
        <f t="shared" si="0"/>
        <v>3.4200000000000001E-2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2085</v>
      </c>
      <c r="C75" s="74">
        <f>ROUND(58.04/9509,5)</f>
        <v>6.1000000000000004E-3</v>
      </c>
      <c r="D75" s="18">
        <f t="shared" si="0"/>
        <v>0.23180000000000001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2086</v>
      </c>
      <c r="C77" s="74">
        <f>ROUND(249.88/9509,5)</f>
        <v>2.6280000000000001E-2</v>
      </c>
      <c r="D77" s="18">
        <f t="shared" si="0"/>
        <v>0.99864000000000008</v>
      </c>
    </row>
    <row r="78" spans="1:4" x14ac:dyDescent="0.25">
      <c r="A78" s="35">
        <v>5220</v>
      </c>
      <c r="B78" s="40" t="s">
        <v>116</v>
      </c>
      <c r="C78" s="18"/>
      <c r="D78" s="18"/>
    </row>
    <row r="79" spans="1:4" ht="24" x14ac:dyDescent="0.25">
      <c r="A79" s="35"/>
      <c r="B79" s="40" t="s">
        <v>622</v>
      </c>
      <c r="C79" s="147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2087</v>
      </c>
      <c r="C81" s="74">
        <f>ROUND(61.55/9509,5)</f>
        <v>6.4700000000000001E-3</v>
      </c>
      <c r="D81" s="18">
        <f t="shared" si="0"/>
        <v>0.24586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2088</v>
      </c>
      <c r="C83" s="74">
        <f>ROUND(88.34/9509,5)</f>
        <v>9.2899999999999996E-3</v>
      </c>
      <c r="D83" s="18">
        <f t="shared" si="0"/>
        <v>0.35302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2089</v>
      </c>
      <c r="C85" s="74">
        <f>ROUND(151.09/9509,3)</f>
        <v>1.6E-2</v>
      </c>
      <c r="D85" s="18">
        <f t="shared" si="0"/>
        <v>0.60799999999999998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35.340000000000003</v>
      </c>
    </row>
    <row r="87" spans="1:4" x14ac:dyDescent="0.25">
      <c r="A87" s="83"/>
      <c r="B87" s="84" t="s">
        <v>95</v>
      </c>
      <c r="C87" s="82">
        <f>ROUND(C86+C18,3)</f>
        <v>29.44</v>
      </c>
      <c r="D87" s="82">
        <f>ROUND(D86+D18,3)</f>
        <v>1118.72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38</v>
      </c>
      <c r="D89" s="89"/>
    </row>
    <row r="90" spans="1:4" ht="33.75" customHeight="1" x14ac:dyDescent="0.25">
      <c r="A90" s="302" t="s">
        <v>113</v>
      </c>
      <c r="B90" s="303"/>
      <c r="C90" s="22">
        <f>D87/C89</f>
        <v>29.44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E89"/>
  <sheetViews>
    <sheetView topLeftCell="A71" workbookViewId="0">
      <selection activeCell="E82" sqref="E82"/>
    </sheetView>
  </sheetViews>
  <sheetFormatPr defaultRowHeight="15" x14ac:dyDescent="0.25"/>
  <cols>
    <col min="2" max="2" width="61.7109375" customWidth="1"/>
  </cols>
  <sheetData>
    <row r="1" spans="1:5" x14ac:dyDescent="0.25">
      <c r="A1" s="315" t="s">
        <v>78</v>
      </c>
      <c r="B1" s="315"/>
      <c r="C1" s="315"/>
      <c r="D1" s="315"/>
    </row>
    <row r="2" spans="1:5" ht="10.5" customHeight="1" x14ac:dyDescent="0.25">
      <c r="A2" s="97"/>
      <c r="B2" s="97"/>
      <c r="C2" s="316"/>
      <c r="D2" s="317"/>
    </row>
    <row r="3" spans="1:5" ht="20.25" customHeight="1" x14ac:dyDescent="0.25">
      <c r="A3" s="98" t="s">
        <v>111</v>
      </c>
      <c r="B3" s="99"/>
      <c r="C3" s="99"/>
      <c r="D3" s="99"/>
    </row>
    <row r="4" spans="1:5" ht="46.5" customHeight="1" x14ac:dyDescent="0.25">
      <c r="A4" s="307" t="s">
        <v>488</v>
      </c>
      <c r="B4" s="307"/>
      <c r="C4" s="307"/>
      <c r="D4" s="307"/>
    </row>
    <row r="5" spans="1:5" x14ac:dyDescent="0.25">
      <c r="A5" s="308" t="s">
        <v>112</v>
      </c>
      <c r="B5" s="310"/>
      <c r="C5" s="60"/>
      <c r="D5" s="96"/>
    </row>
    <row r="6" spans="1:5" ht="10.5" customHeight="1" x14ac:dyDescent="0.25">
      <c r="A6" s="117"/>
      <c r="B6" s="118"/>
      <c r="C6" s="60"/>
      <c r="D6" s="96"/>
    </row>
    <row r="7" spans="1:5" x14ac:dyDescent="0.25">
      <c r="A7" s="318" t="s">
        <v>110</v>
      </c>
      <c r="B7" s="318"/>
      <c r="C7" s="100"/>
      <c r="D7" s="96"/>
    </row>
    <row r="8" spans="1:5" ht="11.25" customHeight="1" x14ac:dyDescent="0.25">
      <c r="A8" s="97"/>
      <c r="B8" s="101"/>
      <c r="C8" s="100"/>
      <c r="D8" s="96"/>
    </row>
    <row r="9" spans="1:5" ht="120" x14ac:dyDescent="0.25">
      <c r="A9" s="63" t="s">
        <v>80</v>
      </c>
      <c r="B9" s="63" t="s">
        <v>81</v>
      </c>
      <c r="C9" s="63" t="s">
        <v>82</v>
      </c>
      <c r="D9" s="63" t="s">
        <v>83</v>
      </c>
    </row>
    <row r="10" spans="1:5" x14ac:dyDescent="0.25">
      <c r="A10" s="64">
        <v>1</v>
      </c>
      <c r="B10" s="65">
        <v>2</v>
      </c>
      <c r="C10" s="64">
        <v>3</v>
      </c>
      <c r="D10" s="64">
        <v>4</v>
      </c>
    </row>
    <row r="11" spans="1:5" x14ac:dyDescent="0.25">
      <c r="A11" s="64"/>
      <c r="B11" s="81" t="s">
        <v>84</v>
      </c>
      <c r="C11" s="68"/>
      <c r="D11" s="68"/>
    </row>
    <row r="12" spans="1:5" x14ac:dyDescent="0.25">
      <c r="A12" s="94">
        <v>1100</v>
      </c>
      <c r="B12" s="95" t="s">
        <v>85</v>
      </c>
      <c r="C12" s="71"/>
      <c r="D12" s="71"/>
    </row>
    <row r="13" spans="1:5" ht="149.25" customHeight="1" x14ac:dyDescent="0.25">
      <c r="A13" s="35"/>
      <c r="B13" s="90" t="s">
        <v>663</v>
      </c>
      <c r="C13" s="18">
        <f>0.17*20+0.17*20+0.5*24</f>
        <v>18.8</v>
      </c>
      <c r="D13" s="18">
        <f>C13*5</f>
        <v>94</v>
      </c>
    </row>
    <row r="14" spans="1:5" ht="24" x14ac:dyDescent="0.25">
      <c r="A14" s="35">
        <v>1200</v>
      </c>
      <c r="B14" s="73" t="s">
        <v>442</v>
      </c>
      <c r="C14" s="18">
        <f>ROUND(C13*0.2359,2)</f>
        <v>4.43</v>
      </c>
      <c r="D14" s="18">
        <f>C14*5</f>
        <v>22.15</v>
      </c>
      <c r="E14" s="181"/>
    </row>
    <row r="15" spans="1:5" x14ac:dyDescent="0.25">
      <c r="A15" s="35">
        <v>2341</v>
      </c>
      <c r="B15" s="35" t="s">
        <v>118</v>
      </c>
      <c r="C15" s="74"/>
      <c r="D15" s="74"/>
    </row>
    <row r="16" spans="1:5" ht="84" x14ac:dyDescent="0.25">
      <c r="A16" s="35"/>
      <c r="B16" s="40" t="s">
        <v>664</v>
      </c>
      <c r="C16" s="18">
        <v>3.85</v>
      </c>
      <c r="D16" s="18">
        <f>C16*5</f>
        <v>19.25</v>
      </c>
      <c r="E16" s="227"/>
    </row>
    <row r="17" spans="1:5" x14ac:dyDescent="0.25">
      <c r="A17" s="84"/>
      <c r="B17" s="92" t="s">
        <v>87</v>
      </c>
      <c r="C17" s="82">
        <f>SUM(C12:C16)</f>
        <v>27.080000000000002</v>
      </c>
      <c r="D17" s="82">
        <f>SUM(D12:D16)</f>
        <v>135.4</v>
      </c>
      <c r="E17" s="183"/>
    </row>
    <row r="18" spans="1:5" x14ac:dyDescent="0.25">
      <c r="A18" s="77"/>
      <c r="B18" s="176" t="s">
        <v>88</v>
      </c>
      <c r="C18" s="78"/>
      <c r="D18" s="78"/>
    </row>
    <row r="19" spans="1:5" x14ac:dyDescent="0.25">
      <c r="A19" s="35">
        <v>2100</v>
      </c>
      <c r="B19" s="244" t="s">
        <v>584</v>
      </c>
      <c r="C19" s="78"/>
      <c r="D19" s="78"/>
    </row>
    <row r="20" spans="1:5" ht="48" x14ac:dyDescent="0.25">
      <c r="A20" s="77"/>
      <c r="B20" s="40" t="s">
        <v>1652</v>
      </c>
      <c r="C20" s="74">
        <f>ROUND(31.85/9509,3)</f>
        <v>3.0000000000000001E-3</v>
      </c>
      <c r="D20" s="18">
        <f>C20*5</f>
        <v>1.4999999999999999E-2</v>
      </c>
    </row>
    <row r="21" spans="1:5" x14ac:dyDescent="0.25">
      <c r="A21" s="35">
        <v>2210</v>
      </c>
      <c r="B21" s="40" t="s">
        <v>568</v>
      </c>
      <c r="C21" s="74"/>
      <c r="D21" s="74"/>
    </row>
    <row r="22" spans="1:5" ht="48" x14ac:dyDescent="0.25">
      <c r="A22" s="35"/>
      <c r="B22" s="40" t="s">
        <v>1653</v>
      </c>
      <c r="C22" s="18">
        <f>ROUND(228.88/9509,3)</f>
        <v>2.4E-2</v>
      </c>
      <c r="D22" s="18">
        <f t="shared" ref="D22:D84" si="0">C22*5</f>
        <v>0.12</v>
      </c>
    </row>
    <row r="23" spans="1:5" x14ac:dyDescent="0.25">
      <c r="A23" s="35">
        <v>2221</v>
      </c>
      <c r="B23" s="40" t="s">
        <v>89</v>
      </c>
      <c r="C23" s="18"/>
      <c r="D23" s="18"/>
    </row>
    <row r="24" spans="1:5" ht="48" x14ac:dyDescent="0.25">
      <c r="A24" s="35"/>
      <c r="B24" s="40" t="s">
        <v>1654</v>
      </c>
      <c r="C24" s="18">
        <f>ROUND(382.73/9509,3)</f>
        <v>0.04</v>
      </c>
      <c r="D24" s="18">
        <f t="shared" si="0"/>
        <v>0.2</v>
      </c>
    </row>
    <row r="25" spans="1:5" x14ac:dyDescent="0.25">
      <c r="A25" s="35">
        <v>2222</v>
      </c>
      <c r="B25" s="242" t="s">
        <v>90</v>
      </c>
      <c r="C25" s="18"/>
      <c r="D25" s="18"/>
    </row>
    <row r="26" spans="1:5" ht="48" x14ac:dyDescent="0.25">
      <c r="A26" s="35"/>
      <c r="B26" s="40" t="s">
        <v>1655</v>
      </c>
      <c r="C26" s="74">
        <f>ROUND(38.69/9509,3)</f>
        <v>4.0000000000000001E-3</v>
      </c>
      <c r="D26" s="18">
        <f t="shared" si="0"/>
        <v>0.02</v>
      </c>
    </row>
    <row r="27" spans="1:5" x14ac:dyDescent="0.25">
      <c r="A27" s="35">
        <v>2223</v>
      </c>
      <c r="B27" s="35" t="s">
        <v>91</v>
      </c>
      <c r="C27" s="74"/>
      <c r="D27" s="18"/>
    </row>
    <row r="28" spans="1:5" ht="48" x14ac:dyDescent="0.25">
      <c r="A28" s="35"/>
      <c r="B28" s="40" t="s">
        <v>1656</v>
      </c>
      <c r="C28" s="74">
        <f>ROUND(1004.28/9509,3)</f>
        <v>0.106</v>
      </c>
      <c r="D28" s="18">
        <f t="shared" si="0"/>
        <v>0.53</v>
      </c>
    </row>
    <row r="29" spans="1:5" ht="24" x14ac:dyDescent="0.25">
      <c r="A29" s="35">
        <v>2224</v>
      </c>
      <c r="B29" s="40" t="s">
        <v>115</v>
      </c>
      <c r="C29" s="74"/>
      <c r="D29" s="18"/>
    </row>
    <row r="30" spans="1:5" ht="48" x14ac:dyDescent="0.25">
      <c r="A30" s="34"/>
      <c r="B30" s="40" t="s">
        <v>1657</v>
      </c>
      <c r="C30" s="18">
        <f>ROUND(82.8/9509,3)</f>
        <v>8.9999999999999993E-3</v>
      </c>
      <c r="D30" s="18">
        <f t="shared" si="0"/>
        <v>4.4999999999999998E-2</v>
      </c>
    </row>
    <row r="31" spans="1:5" x14ac:dyDescent="0.25">
      <c r="A31" s="35">
        <v>2231</v>
      </c>
      <c r="B31" s="40" t="s">
        <v>121</v>
      </c>
      <c r="C31" s="74"/>
      <c r="D31" s="18"/>
    </row>
    <row r="32" spans="1:5" ht="48" x14ac:dyDescent="0.25">
      <c r="A32" s="35"/>
      <c r="B32" s="40" t="s">
        <v>1901</v>
      </c>
      <c r="C32" s="18">
        <f>ROUND(289.4/9509,3)</f>
        <v>0.03</v>
      </c>
      <c r="D32" s="18">
        <f t="shared" si="0"/>
        <v>0.15</v>
      </c>
    </row>
    <row r="33" spans="1:4" x14ac:dyDescent="0.25">
      <c r="A33" s="35">
        <v>2233</v>
      </c>
      <c r="B33" s="242" t="s">
        <v>143</v>
      </c>
      <c r="C33" s="18"/>
      <c r="D33" s="18"/>
    </row>
    <row r="34" spans="1:4" ht="48" x14ac:dyDescent="0.25">
      <c r="A34" s="35"/>
      <c r="B34" s="40" t="s">
        <v>1659</v>
      </c>
      <c r="C34" s="74">
        <f>ROUND(20.68/9509,3)</f>
        <v>2E-3</v>
      </c>
      <c r="D34" s="18">
        <f t="shared" si="0"/>
        <v>0.01</v>
      </c>
    </row>
    <row r="35" spans="1:4" x14ac:dyDescent="0.25">
      <c r="A35" s="35">
        <v>2235</v>
      </c>
      <c r="B35" s="242" t="s">
        <v>569</v>
      </c>
      <c r="C35" s="74"/>
      <c r="D35" s="18"/>
    </row>
    <row r="36" spans="1:4" ht="48" x14ac:dyDescent="0.25">
      <c r="A36" s="35"/>
      <c r="B36" s="40" t="s">
        <v>1660</v>
      </c>
      <c r="C36" s="74">
        <f>ROUND(58.15/9509,3)</f>
        <v>6.0000000000000001E-3</v>
      </c>
      <c r="D36" s="18">
        <f t="shared" si="0"/>
        <v>0.03</v>
      </c>
    </row>
    <row r="37" spans="1:4" x14ac:dyDescent="0.25">
      <c r="A37" s="35">
        <v>2239</v>
      </c>
      <c r="B37" s="242" t="s">
        <v>570</v>
      </c>
      <c r="C37" s="74"/>
      <c r="D37" s="18"/>
    </row>
    <row r="38" spans="1:4" ht="48" x14ac:dyDescent="0.25">
      <c r="A38" s="35"/>
      <c r="B38" s="40" t="s">
        <v>1661</v>
      </c>
      <c r="C38" s="74">
        <f>ROUND(524.45/9509,3)</f>
        <v>5.5E-2</v>
      </c>
      <c r="D38" s="18">
        <f t="shared" si="0"/>
        <v>0.27500000000000002</v>
      </c>
    </row>
    <row r="39" spans="1:4" x14ac:dyDescent="0.25">
      <c r="A39" s="35">
        <v>2242</v>
      </c>
      <c r="B39" s="242" t="s">
        <v>571</v>
      </c>
      <c r="C39" s="74"/>
      <c r="D39" s="18"/>
    </row>
    <row r="40" spans="1:4" ht="48" x14ac:dyDescent="0.25">
      <c r="A40" s="35"/>
      <c r="B40" s="40" t="s">
        <v>2019</v>
      </c>
      <c r="C40" s="74">
        <f>ROUND(131.923/9509,3)</f>
        <v>1.4E-2</v>
      </c>
      <c r="D40" s="18">
        <f t="shared" si="0"/>
        <v>7.0000000000000007E-2</v>
      </c>
    </row>
    <row r="41" spans="1:4" x14ac:dyDescent="0.25">
      <c r="A41" s="35">
        <v>2243</v>
      </c>
      <c r="B41" s="40" t="s">
        <v>100</v>
      </c>
      <c r="C41" s="18"/>
      <c r="D41" s="18"/>
    </row>
    <row r="42" spans="1:4" ht="48" x14ac:dyDescent="0.25">
      <c r="A42" s="35"/>
      <c r="B42" s="40" t="s">
        <v>1663</v>
      </c>
      <c r="C42" s="18">
        <f>ROUND(360.94/9509,3)</f>
        <v>3.7999999999999999E-2</v>
      </c>
      <c r="D42" s="18">
        <f t="shared" si="0"/>
        <v>0.19</v>
      </c>
    </row>
    <row r="43" spans="1:4" x14ac:dyDescent="0.25">
      <c r="A43" s="35">
        <v>2244</v>
      </c>
      <c r="B43" s="40" t="s">
        <v>92</v>
      </c>
      <c r="C43" s="18"/>
      <c r="D43" s="18"/>
    </row>
    <row r="44" spans="1:4" ht="48" x14ac:dyDescent="0.25">
      <c r="A44" s="79"/>
      <c r="B44" s="40" t="s">
        <v>1664</v>
      </c>
      <c r="C44" s="18">
        <f>ROUND(272.76/9509,3)</f>
        <v>2.9000000000000001E-2</v>
      </c>
      <c r="D44" s="18">
        <f t="shared" si="0"/>
        <v>0.14500000000000002</v>
      </c>
    </row>
    <row r="45" spans="1:4" x14ac:dyDescent="0.25">
      <c r="A45" s="35">
        <v>2247</v>
      </c>
      <c r="B45" s="242" t="s">
        <v>572</v>
      </c>
      <c r="C45" s="18"/>
      <c r="D45" s="18"/>
    </row>
    <row r="46" spans="1:4" ht="48" x14ac:dyDescent="0.25">
      <c r="A46" s="79"/>
      <c r="B46" s="40" t="s">
        <v>1665</v>
      </c>
      <c r="C46" s="74">
        <f>ROUND(12.06/9509,3)</f>
        <v>1E-3</v>
      </c>
      <c r="D46" s="18">
        <f t="shared" si="0"/>
        <v>5.0000000000000001E-3</v>
      </c>
    </row>
    <row r="47" spans="1:4" x14ac:dyDescent="0.25">
      <c r="A47" s="35">
        <v>2249</v>
      </c>
      <c r="B47" s="242" t="s">
        <v>573</v>
      </c>
      <c r="C47" s="18"/>
      <c r="D47" s="18"/>
    </row>
    <row r="48" spans="1:4" ht="48" x14ac:dyDescent="0.25">
      <c r="A48" s="79"/>
      <c r="B48" s="40" t="s">
        <v>1666</v>
      </c>
      <c r="C48" s="74">
        <f>ROUND(23.35/9509,3)</f>
        <v>2E-3</v>
      </c>
      <c r="D48" s="18">
        <f t="shared" si="0"/>
        <v>0.01</v>
      </c>
    </row>
    <row r="49" spans="1:4" x14ac:dyDescent="0.25">
      <c r="A49" s="35">
        <v>2250</v>
      </c>
      <c r="B49" s="40" t="s">
        <v>122</v>
      </c>
      <c r="C49" s="74"/>
      <c r="D49" s="18"/>
    </row>
    <row r="50" spans="1:4" ht="48" x14ac:dyDescent="0.25">
      <c r="A50" s="35"/>
      <c r="B50" s="40" t="s">
        <v>1667</v>
      </c>
      <c r="C50" s="18">
        <f>ROUND(750.97/9509,3)</f>
        <v>7.9000000000000001E-2</v>
      </c>
      <c r="D50" s="18">
        <f t="shared" si="0"/>
        <v>0.39500000000000002</v>
      </c>
    </row>
    <row r="51" spans="1:4" x14ac:dyDescent="0.25">
      <c r="A51" s="35">
        <v>2261</v>
      </c>
      <c r="B51" s="242" t="s">
        <v>146</v>
      </c>
      <c r="C51" s="18"/>
      <c r="D51" s="18"/>
    </row>
    <row r="52" spans="1:4" ht="48" x14ac:dyDescent="0.25">
      <c r="A52" s="35"/>
      <c r="B52" s="40" t="s">
        <v>1668</v>
      </c>
      <c r="C52" s="18">
        <f>ROUND(2620.34/9509,3)</f>
        <v>0.27600000000000002</v>
      </c>
      <c r="D52" s="18">
        <f t="shared" si="0"/>
        <v>1.3800000000000001</v>
      </c>
    </row>
    <row r="53" spans="1:4" x14ac:dyDescent="0.25">
      <c r="A53" s="35">
        <v>2263</v>
      </c>
      <c r="B53" s="242" t="s">
        <v>574</v>
      </c>
      <c r="C53" s="18"/>
      <c r="D53" s="18"/>
    </row>
    <row r="54" spans="1:4" ht="48" x14ac:dyDescent="0.25">
      <c r="A54" s="35"/>
      <c r="B54" s="40" t="s">
        <v>1669</v>
      </c>
      <c r="C54" s="74">
        <f>ROUND(9.91/9509,3)</f>
        <v>1E-3</v>
      </c>
      <c r="D54" s="18">
        <f t="shared" si="0"/>
        <v>5.0000000000000001E-3</v>
      </c>
    </row>
    <row r="55" spans="1:4" x14ac:dyDescent="0.25">
      <c r="A55" s="35">
        <v>2264</v>
      </c>
      <c r="B55" s="242" t="s">
        <v>575</v>
      </c>
      <c r="C55" s="18"/>
      <c r="D55" s="18"/>
    </row>
    <row r="56" spans="1:4" ht="48" x14ac:dyDescent="0.25">
      <c r="A56" s="35"/>
      <c r="B56" s="40" t="s">
        <v>1670</v>
      </c>
      <c r="C56" s="18">
        <f>ROUND(132.32/9509,3)</f>
        <v>1.4E-2</v>
      </c>
      <c r="D56" s="18">
        <f t="shared" si="0"/>
        <v>7.0000000000000007E-2</v>
      </c>
    </row>
    <row r="57" spans="1:4" x14ac:dyDescent="0.25">
      <c r="A57" s="35">
        <v>2311</v>
      </c>
      <c r="B57" s="40" t="s">
        <v>93</v>
      </c>
      <c r="C57" s="74"/>
      <c r="D57" s="18"/>
    </row>
    <row r="58" spans="1:4" ht="48" x14ac:dyDescent="0.25">
      <c r="A58" s="35"/>
      <c r="B58" s="40" t="s">
        <v>1671</v>
      </c>
      <c r="C58" s="74">
        <f>ROUND(72.76/9509,3)</f>
        <v>8.0000000000000002E-3</v>
      </c>
      <c r="D58" s="18">
        <f t="shared" si="0"/>
        <v>0.04</v>
      </c>
    </row>
    <row r="59" spans="1:4" x14ac:dyDescent="0.25">
      <c r="A59" s="35">
        <v>2312</v>
      </c>
      <c r="B59" s="40" t="s">
        <v>124</v>
      </c>
      <c r="C59" s="18"/>
      <c r="D59" s="18"/>
    </row>
    <row r="60" spans="1:4" ht="48" x14ac:dyDescent="0.25">
      <c r="A60" s="35"/>
      <c r="B60" s="40" t="s">
        <v>1672</v>
      </c>
      <c r="C60" s="18">
        <f>ROUND(484.21/9509,3)</f>
        <v>5.0999999999999997E-2</v>
      </c>
      <c r="D60" s="18">
        <f t="shared" si="0"/>
        <v>0.255</v>
      </c>
    </row>
    <row r="61" spans="1:4" x14ac:dyDescent="0.25">
      <c r="A61" s="35">
        <v>2314</v>
      </c>
      <c r="B61" s="242" t="s">
        <v>576</v>
      </c>
      <c r="C61" s="18"/>
      <c r="D61" s="18"/>
    </row>
    <row r="62" spans="1:4" ht="48" x14ac:dyDescent="0.25">
      <c r="A62" s="35"/>
      <c r="B62" s="40" t="s">
        <v>1673</v>
      </c>
      <c r="C62" s="18">
        <f>ROUND(224.14/9509,3)</f>
        <v>2.4E-2</v>
      </c>
      <c r="D62" s="18">
        <f t="shared" si="0"/>
        <v>0.12</v>
      </c>
    </row>
    <row r="63" spans="1:4" x14ac:dyDescent="0.25">
      <c r="A63" s="35">
        <v>2322</v>
      </c>
      <c r="B63" s="243" t="s">
        <v>577</v>
      </c>
      <c r="C63" s="18"/>
      <c r="D63" s="18"/>
    </row>
    <row r="64" spans="1:4" ht="48" x14ac:dyDescent="0.25">
      <c r="A64" s="35"/>
      <c r="B64" s="40" t="s">
        <v>1674</v>
      </c>
      <c r="C64" s="18">
        <f>ROUND(103.21/9509,3)</f>
        <v>1.0999999999999999E-2</v>
      </c>
      <c r="D64" s="18">
        <f t="shared" si="0"/>
        <v>5.4999999999999993E-2</v>
      </c>
    </row>
    <row r="65" spans="1:4" x14ac:dyDescent="0.25">
      <c r="A65" s="35">
        <v>2350</v>
      </c>
      <c r="B65" s="40" t="s">
        <v>123</v>
      </c>
      <c r="C65" s="74"/>
      <c r="D65" s="18"/>
    </row>
    <row r="66" spans="1:4" ht="48" x14ac:dyDescent="0.25">
      <c r="A66" s="35"/>
      <c r="B66" s="40" t="s">
        <v>1675</v>
      </c>
      <c r="C66" s="18">
        <f>ROUND(241.97/9509,3)</f>
        <v>2.5000000000000001E-2</v>
      </c>
      <c r="D66" s="18">
        <f t="shared" si="0"/>
        <v>0.125</v>
      </c>
    </row>
    <row r="67" spans="1:4" x14ac:dyDescent="0.25">
      <c r="A67" s="35">
        <v>2361</v>
      </c>
      <c r="B67" s="242" t="s">
        <v>578</v>
      </c>
      <c r="C67" s="18"/>
      <c r="D67" s="18"/>
    </row>
    <row r="68" spans="1:4" ht="48" x14ac:dyDescent="0.25">
      <c r="A68" s="35"/>
      <c r="B68" s="40" t="s">
        <v>1676</v>
      </c>
      <c r="C68" s="18">
        <f>ROUND(87.42/9509,3)</f>
        <v>8.9999999999999993E-3</v>
      </c>
      <c r="D68" s="18">
        <f t="shared" si="0"/>
        <v>4.4999999999999998E-2</v>
      </c>
    </row>
    <row r="69" spans="1:4" x14ac:dyDescent="0.25">
      <c r="A69" s="35">
        <v>2513</v>
      </c>
      <c r="B69" s="242" t="s">
        <v>579</v>
      </c>
      <c r="C69" s="18"/>
      <c r="D69" s="18"/>
    </row>
    <row r="70" spans="1:4" ht="48" x14ac:dyDescent="0.25">
      <c r="A70" s="35"/>
      <c r="B70" s="40" t="s">
        <v>1677</v>
      </c>
      <c r="C70" s="74">
        <f>ROUND(28.69/9509,3)</f>
        <v>3.0000000000000001E-3</v>
      </c>
      <c r="D70" s="18">
        <f t="shared" si="0"/>
        <v>1.4999999999999999E-2</v>
      </c>
    </row>
    <row r="71" spans="1:4" x14ac:dyDescent="0.25">
      <c r="A71" s="35">
        <v>2519</v>
      </c>
      <c r="B71" s="242" t="s">
        <v>580</v>
      </c>
      <c r="C71" s="74"/>
      <c r="D71" s="18"/>
    </row>
    <row r="72" spans="1:4" ht="48" x14ac:dyDescent="0.25">
      <c r="A72" s="35"/>
      <c r="B72" s="40" t="s">
        <v>1678</v>
      </c>
      <c r="C72" s="74">
        <f>ROUND(8.56/9509,3)</f>
        <v>1E-3</v>
      </c>
      <c r="D72" s="18">
        <f t="shared" si="0"/>
        <v>5.0000000000000001E-3</v>
      </c>
    </row>
    <row r="73" spans="1:4" x14ac:dyDescent="0.25">
      <c r="A73" s="35">
        <v>5120</v>
      </c>
      <c r="B73" s="40" t="s">
        <v>101</v>
      </c>
      <c r="C73" s="74"/>
      <c r="D73" s="18"/>
    </row>
    <row r="74" spans="1:4" ht="48" x14ac:dyDescent="0.25">
      <c r="A74" s="35"/>
      <c r="B74" s="40" t="s">
        <v>1679</v>
      </c>
      <c r="C74" s="74">
        <f>ROUND(58.04/9509,3)</f>
        <v>6.0000000000000001E-3</v>
      </c>
      <c r="D74" s="18">
        <f t="shared" si="0"/>
        <v>0.03</v>
      </c>
    </row>
    <row r="75" spans="1:4" x14ac:dyDescent="0.25">
      <c r="A75" s="35">
        <v>5210</v>
      </c>
      <c r="B75" s="243" t="s">
        <v>581</v>
      </c>
      <c r="C75" s="74"/>
      <c r="D75" s="18"/>
    </row>
    <row r="76" spans="1:4" ht="48" x14ac:dyDescent="0.25">
      <c r="A76" s="35"/>
      <c r="B76" s="40" t="s">
        <v>1680</v>
      </c>
      <c r="C76" s="74">
        <f>ROUND(249.88/9509,5)</f>
        <v>2.6280000000000001E-2</v>
      </c>
      <c r="D76" s="18">
        <f t="shared" si="0"/>
        <v>0.13140000000000002</v>
      </c>
    </row>
    <row r="77" spans="1:4" x14ac:dyDescent="0.25">
      <c r="A77" s="35">
        <v>5220</v>
      </c>
      <c r="B77" s="40" t="s">
        <v>119</v>
      </c>
      <c r="C77" s="18"/>
      <c r="D77" s="18"/>
    </row>
    <row r="78" spans="1:4" ht="36" x14ac:dyDescent="0.25">
      <c r="A78" s="35"/>
      <c r="B78" s="40" t="s">
        <v>623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48" x14ac:dyDescent="0.25">
      <c r="A80" s="35"/>
      <c r="B80" s="40" t="s">
        <v>1681</v>
      </c>
      <c r="C80" s="74">
        <f>ROUND(61.55/9509,5)</f>
        <v>6.4700000000000001E-3</v>
      </c>
      <c r="D80" s="18">
        <f t="shared" si="0"/>
        <v>3.2350000000000004E-2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48" x14ac:dyDescent="0.25">
      <c r="A82" s="35"/>
      <c r="B82" s="40" t="s">
        <v>1682</v>
      </c>
      <c r="C82" s="74">
        <f>ROUND(88.34/9509,5)</f>
        <v>9.2899999999999996E-3</v>
      </c>
      <c r="D82" s="18">
        <f t="shared" si="0"/>
        <v>4.6449999999999998E-2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48" x14ac:dyDescent="0.25">
      <c r="A84" s="35"/>
      <c r="B84" s="40" t="s">
        <v>1683</v>
      </c>
      <c r="C84" s="74">
        <f>ROUND(151.09/9509,3)</f>
        <v>1.6E-2</v>
      </c>
      <c r="D84" s="18">
        <f t="shared" si="0"/>
        <v>0.08</v>
      </c>
    </row>
    <row r="85" spans="1:4" x14ac:dyDescent="0.25">
      <c r="A85" s="35"/>
      <c r="B85" s="81" t="s">
        <v>94</v>
      </c>
      <c r="C85" s="82">
        <f>ROUND(C20+C22+C24+C26+C28+C30+C32+C34+C36+C38+C40+C42+C44+C46+C48+C50+C52+C54+C56+C58+C60+C62+C64+C66+C68+C70+C72+C74+C76+C80+C82+C84,2)</f>
        <v>0.93</v>
      </c>
      <c r="D85" s="82">
        <f>ROUND(D20+D22+D24+D26+D28+D30+D32+D34+D36+D38+D40+D42+D44+D46+D48+D50+D52+D54+D56+D58+D60+D62+D64+D66+D68+D70+D72+D74+D76+D80+D82+D84,2)</f>
        <v>4.6500000000000004</v>
      </c>
    </row>
    <row r="86" spans="1:4" x14ac:dyDescent="0.25">
      <c r="A86" s="83"/>
      <c r="B86" s="84" t="s">
        <v>95</v>
      </c>
      <c r="C86" s="82">
        <f>ROUND(C85+C17,3)</f>
        <v>28.01</v>
      </c>
      <c r="D86" s="82">
        <f>ROUND(D85+D17,3)</f>
        <v>140.05000000000001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5</v>
      </c>
      <c r="D88" s="89"/>
    </row>
    <row r="89" spans="1:4" ht="24" customHeight="1" x14ac:dyDescent="0.25">
      <c r="A89" s="302" t="s">
        <v>113</v>
      </c>
      <c r="B89" s="303"/>
      <c r="C89" s="22">
        <f>D86/C88</f>
        <v>28.01</v>
      </c>
      <c r="D89" s="89"/>
    </row>
  </sheetData>
  <mergeCells count="7">
    <mergeCell ref="A88:B88"/>
    <mergeCell ref="A89:B89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G88"/>
  <sheetViews>
    <sheetView topLeftCell="A71" workbookViewId="0">
      <selection activeCell="F85" sqref="F85"/>
    </sheetView>
  </sheetViews>
  <sheetFormatPr defaultRowHeight="15" x14ac:dyDescent="0.25"/>
  <cols>
    <col min="2" max="2" width="60.140625" customWidth="1"/>
    <col min="3" max="3" width="12" customWidth="1"/>
    <col min="4" max="4" width="15.7109375" customWidth="1"/>
  </cols>
  <sheetData>
    <row r="1" spans="1:7" x14ac:dyDescent="0.25">
      <c r="A1" s="315" t="s">
        <v>78</v>
      </c>
      <c r="B1" s="315"/>
      <c r="C1" s="315"/>
      <c r="D1" s="315"/>
    </row>
    <row r="2" spans="1:7" ht="10.5" customHeight="1" x14ac:dyDescent="0.25">
      <c r="A2" s="97"/>
      <c r="B2" s="97"/>
      <c r="C2" s="316"/>
      <c r="D2" s="316"/>
    </row>
    <row r="3" spans="1:7" x14ac:dyDescent="0.25">
      <c r="A3" s="98" t="s">
        <v>111</v>
      </c>
      <c r="B3" s="99"/>
      <c r="C3" s="60"/>
      <c r="D3" s="60"/>
    </row>
    <row r="4" spans="1:7" ht="37.5" customHeight="1" x14ac:dyDescent="0.25">
      <c r="A4" s="307" t="s">
        <v>489</v>
      </c>
      <c r="B4" s="307"/>
      <c r="C4" s="307"/>
      <c r="D4" s="307"/>
    </row>
    <row r="5" spans="1:7" x14ac:dyDescent="0.25">
      <c r="A5" s="308" t="s">
        <v>112</v>
      </c>
      <c r="B5" s="310"/>
      <c r="C5" s="60"/>
      <c r="D5" s="60"/>
    </row>
    <row r="6" spans="1:7" x14ac:dyDescent="0.25">
      <c r="A6" s="117"/>
      <c r="B6" s="118"/>
      <c r="C6" s="60"/>
      <c r="D6" s="60"/>
    </row>
    <row r="7" spans="1:7" x14ac:dyDescent="0.25">
      <c r="A7" s="318" t="s">
        <v>125</v>
      </c>
      <c r="B7" s="318"/>
      <c r="C7" s="100"/>
      <c r="D7" s="100"/>
    </row>
    <row r="8" spans="1:7" ht="99" customHeight="1" x14ac:dyDescent="0.25">
      <c r="A8" s="63" t="s">
        <v>80</v>
      </c>
      <c r="B8" s="63" t="s">
        <v>81</v>
      </c>
      <c r="C8" s="63" t="s">
        <v>82</v>
      </c>
      <c r="D8" s="63" t="s">
        <v>83</v>
      </c>
    </row>
    <row r="9" spans="1:7" x14ac:dyDescent="0.25">
      <c r="A9" s="64">
        <v>1</v>
      </c>
      <c r="B9" s="65">
        <v>2</v>
      </c>
      <c r="C9" s="64">
        <v>3</v>
      </c>
      <c r="D9" s="64">
        <v>4</v>
      </c>
    </row>
    <row r="10" spans="1:7" x14ac:dyDescent="0.25">
      <c r="A10" s="64"/>
      <c r="B10" s="81" t="s">
        <v>84</v>
      </c>
      <c r="C10" s="68"/>
      <c r="D10" s="68"/>
    </row>
    <row r="11" spans="1:7" x14ac:dyDescent="0.25">
      <c r="A11" s="94">
        <v>1100</v>
      </c>
      <c r="B11" s="95" t="s">
        <v>85</v>
      </c>
      <c r="C11" s="71"/>
      <c r="D11" s="71"/>
    </row>
    <row r="12" spans="1:7" ht="158.25" customHeight="1" x14ac:dyDescent="0.25">
      <c r="A12" s="35"/>
      <c r="B12" s="90" t="s">
        <v>665</v>
      </c>
      <c r="C12" s="18">
        <f>0.17*20+0.17*20+0.5*24</f>
        <v>18.8</v>
      </c>
      <c r="D12" s="18">
        <f>C12*50</f>
        <v>940</v>
      </c>
      <c r="E12" s="49"/>
      <c r="F12" s="49"/>
      <c r="G12" s="49"/>
    </row>
    <row r="13" spans="1:7" ht="24" x14ac:dyDescent="0.25">
      <c r="A13" s="35">
        <v>1200</v>
      </c>
      <c r="B13" s="40" t="s">
        <v>442</v>
      </c>
      <c r="C13" s="18">
        <f>ROUND(C12*0.2359,2)</f>
        <v>4.43</v>
      </c>
      <c r="D13" s="18">
        <f>C13*50</f>
        <v>221.5</v>
      </c>
      <c r="E13" s="181"/>
    </row>
    <row r="14" spans="1:7" x14ac:dyDescent="0.25">
      <c r="A14" s="35">
        <v>2341</v>
      </c>
      <c r="B14" s="35" t="s">
        <v>97</v>
      </c>
      <c r="C14" s="74"/>
      <c r="D14" s="74"/>
    </row>
    <row r="15" spans="1:7" ht="120" x14ac:dyDescent="0.25">
      <c r="A15" s="35"/>
      <c r="B15" s="40" t="s">
        <v>666</v>
      </c>
      <c r="C15" s="18">
        <v>17.21</v>
      </c>
      <c r="D15" s="18">
        <f>C15*50</f>
        <v>860.5</v>
      </c>
      <c r="E15" s="227"/>
    </row>
    <row r="16" spans="1:7" x14ac:dyDescent="0.25">
      <c r="A16" s="35"/>
      <c r="B16" s="92" t="s">
        <v>87</v>
      </c>
      <c r="C16" s="82">
        <f>SUM(C11:C15)</f>
        <v>40.44</v>
      </c>
      <c r="D16" s="82">
        <f>SUM(D11:D15)</f>
        <v>2022</v>
      </c>
      <c r="E16" s="183"/>
    </row>
    <row r="17" spans="1:4" x14ac:dyDescent="0.25">
      <c r="A17" s="77"/>
      <c r="B17" s="176" t="s">
        <v>88</v>
      </c>
      <c r="C17" s="78"/>
      <c r="D17" s="78"/>
    </row>
    <row r="18" spans="1:4" x14ac:dyDescent="0.25">
      <c r="A18" s="35">
        <v>2100</v>
      </c>
      <c r="B18" s="244" t="s">
        <v>584</v>
      </c>
      <c r="C18" s="78"/>
      <c r="D18" s="78"/>
    </row>
    <row r="19" spans="1:4" ht="48" x14ac:dyDescent="0.25">
      <c r="A19" s="77"/>
      <c r="B19" s="40" t="s">
        <v>1437</v>
      </c>
      <c r="C19" s="74">
        <f>ROUND(31.85/9509,3)</f>
        <v>3.0000000000000001E-3</v>
      </c>
      <c r="D19" s="18">
        <f>C19*50</f>
        <v>0.15</v>
      </c>
    </row>
    <row r="20" spans="1:4" x14ac:dyDescent="0.25">
      <c r="A20" s="35">
        <v>2210</v>
      </c>
      <c r="B20" s="40" t="s">
        <v>568</v>
      </c>
      <c r="C20" s="74"/>
      <c r="D20" s="74"/>
    </row>
    <row r="21" spans="1:4" ht="48" x14ac:dyDescent="0.25">
      <c r="A21" s="35"/>
      <c r="B21" s="40" t="s">
        <v>1438</v>
      </c>
      <c r="C21" s="18">
        <f>ROUND(228.88/9509,3)</f>
        <v>2.4E-2</v>
      </c>
      <c r="D21" s="18">
        <f t="shared" ref="D21:D83" si="0">C21*50</f>
        <v>1.2</v>
      </c>
    </row>
    <row r="22" spans="1:4" x14ac:dyDescent="0.25">
      <c r="A22" s="35">
        <v>2221</v>
      </c>
      <c r="B22" s="40" t="s">
        <v>89</v>
      </c>
      <c r="C22" s="18"/>
      <c r="D22" s="18"/>
    </row>
    <row r="23" spans="1:4" ht="48" x14ac:dyDescent="0.25">
      <c r="A23" s="35"/>
      <c r="B23" s="40" t="s">
        <v>1439</v>
      </c>
      <c r="C23" s="18">
        <f>ROUND(382.73/9509,3)</f>
        <v>0.04</v>
      </c>
      <c r="D23" s="18">
        <f t="shared" si="0"/>
        <v>2</v>
      </c>
    </row>
    <row r="24" spans="1:4" x14ac:dyDescent="0.25">
      <c r="A24" s="35">
        <v>2222</v>
      </c>
      <c r="B24" s="242" t="s">
        <v>90</v>
      </c>
      <c r="C24" s="18"/>
      <c r="D24" s="18"/>
    </row>
    <row r="25" spans="1:4" ht="48" x14ac:dyDescent="0.25">
      <c r="A25" s="35"/>
      <c r="B25" s="40" t="s">
        <v>1440</v>
      </c>
      <c r="C25" s="74">
        <f>ROUND(38.69/9509,3)</f>
        <v>4.0000000000000001E-3</v>
      </c>
      <c r="D25" s="18">
        <f t="shared" si="0"/>
        <v>0.2</v>
      </c>
    </row>
    <row r="26" spans="1:4" x14ac:dyDescent="0.25">
      <c r="A26" s="35">
        <v>2223</v>
      </c>
      <c r="B26" s="35" t="s">
        <v>91</v>
      </c>
      <c r="C26" s="74"/>
      <c r="D26" s="18"/>
    </row>
    <row r="27" spans="1:4" ht="48" x14ac:dyDescent="0.25">
      <c r="A27" s="35"/>
      <c r="B27" s="40" t="s">
        <v>1441</v>
      </c>
      <c r="C27" s="74">
        <f>ROUND(1004.28/9509,3)</f>
        <v>0.106</v>
      </c>
      <c r="D27" s="18">
        <f t="shared" si="0"/>
        <v>5.3</v>
      </c>
    </row>
    <row r="28" spans="1:4" ht="24" x14ac:dyDescent="0.25">
      <c r="A28" s="35">
        <v>2224</v>
      </c>
      <c r="B28" s="40" t="s">
        <v>115</v>
      </c>
      <c r="C28" s="74"/>
      <c r="D28" s="18"/>
    </row>
    <row r="29" spans="1:4" ht="48" x14ac:dyDescent="0.25">
      <c r="A29" s="34"/>
      <c r="B29" s="40" t="s">
        <v>1442</v>
      </c>
      <c r="C29" s="18">
        <f>ROUND(82.8/9509,3)</f>
        <v>8.9999999999999993E-3</v>
      </c>
      <c r="D29" s="18">
        <f t="shared" si="0"/>
        <v>0.44999999999999996</v>
      </c>
    </row>
    <row r="30" spans="1:4" x14ac:dyDescent="0.25">
      <c r="A30" s="35">
        <v>2231</v>
      </c>
      <c r="B30" s="40" t="s">
        <v>121</v>
      </c>
      <c r="C30" s="74"/>
      <c r="D30" s="18"/>
    </row>
    <row r="31" spans="1:4" ht="48" x14ac:dyDescent="0.25">
      <c r="A31" s="35"/>
      <c r="B31" s="40" t="s">
        <v>1443</v>
      </c>
      <c r="C31" s="18">
        <f>ROUND(289.4/9509,3)</f>
        <v>0.03</v>
      </c>
      <c r="D31" s="18">
        <f t="shared" si="0"/>
        <v>1.5</v>
      </c>
    </row>
    <row r="32" spans="1:4" x14ac:dyDescent="0.25">
      <c r="A32" s="35">
        <v>2233</v>
      </c>
      <c r="B32" s="242" t="s">
        <v>143</v>
      </c>
      <c r="C32" s="18"/>
      <c r="D32" s="18"/>
    </row>
    <row r="33" spans="1:4" ht="48" x14ac:dyDescent="0.25">
      <c r="A33" s="35"/>
      <c r="B33" s="40" t="s">
        <v>1444</v>
      </c>
      <c r="C33" s="74">
        <f>ROUND(20.68/9509,3)</f>
        <v>2E-3</v>
      </c>
      <c r="D33" s="18">
        <f t="shared" si="0"/>
        <v>0.1</v>
      </c>
    </row>
    <row r="34" spans="1:4" x14ac:dyDescent="0.25">
      <c r="A34" s="35">
        <v>2235</v>
      </c>
      <c r="B34" s="242" t="s">
        <v>569</v>
      </c>
      <c r="C34" s="74"/>
      <c r="D34" s="18"/>
    </row>
    <row r="35" spans="1:4" ht="48" x14ac:dyDescent="0.25">
      <c r="A35" s="35"/>
      <c r="B35" s="40" t="s">
        <v>2020</v>
      </c>
      <c r="C35" s="74">
        <f>ROUND(58.15/9509,5)</f>
        <v>6.1199999999999996E-3</v>
      </c>
      <c r="D35" s="18">
        <f t="shared" si="0"/>
        <v>0.30599999999999999</v>
      </c>
    </row>
    <row r="36" spans="1:4" x14ac:dyDescent="0.25">
      <c r="A36" s="35">
        <v>2239</v>
      </c>
      <c r="B36" s="242" t="s">
        <v>570</v>
      </c>
      <c r="C36" s="74"/>
      <c r="D36" s="18"/>
    </row>
    <row r="37" spans="1:4" ht="48" x14ac:dyDescent="0.25">
      <c r="A37" s="35"/>
      <c r="B37" s="40" t="s">
        <v>1446</v>
      </c>
      <c r="C37" s="74">
        <f>ROUND(524.45/9509,3)</f>
        <v>5.5E-2</v>
      </c>
      <c r="D37" s="18">
        <f t="shared" si="0"/>
        <v>2.75</v>
      </c>
    </row>
    <row r="38" spans="1:4" x14ac:dyDescent="0.25">
      <c r="A38" s="35">
        <v>2242</v>
      </c>
      <c r="B38" s="242" t="s">
        <v>571</v>
      </c>
      <c r="C38" s="74"/>
      <c r="D38" s="18"/>
    </row>
    <row r="39" spans="1:4" ht="48" x14ac:dyDescent="0.25">
      <c r="A39" s="35"/>
      <c r="B39" s="40" t="s">
        <v>1447</v>
      </c>
      <c r="C39" s="74">
        <f>ROUND(131.923/9509,3)</f>
        <v>1.4E-2</v>
      </c>
      <c r="D39" s="18">
        <f t="shared" si="0"/>
        <v>0.70000000000000007</v>
      </c>
    </row>
    <row r="40" spans="1:4" x14ac:dyDescent="0.25">
      <c r="A40" s="35">
        <v>2243</v>
      </c>
      <c r="B40" s="40" t="s">
        <v>100</v>
      </c>
      <c r="C40" s="18"/>
      <c r="D40" s="18"/>
    </row>
    <row r="41" spans="1:4" ht="48" x14ac:dyDescent="0.25">
      <c r="A41" s="35"/>
      <c r="B41" s="40" t="s">
        <v>1448</v>
      </c>
      <c r="C41" s="18">
        <f>ROUND(360.94/9509,3)</f>
        <v>3.7999999999999999E-2</v>
      </c>
      <c r="D41" s="18">
        <f t="shared" si="0"/>
        <v>1.9</v>
      </c>
    </row>
    <row r="42" spans="1:4" x14ac:dyDescent="0.25">
      <c r="A42" s="35">
        <v>2244</v>
      </c>
      <c r="B42" s="40" t="s">
        <v>92</v>
      </c>
      <c r="C42" s="18"/>
      <c r="D42" s="18"/>
    </row>
    <row r="43" spans="1:4" ht="48" x14ac:dyDescent="0.25">
      <c r="A43" s="79"/>
      <c r="B43" s="40" t="s">
        <v>1449</v>
      </c>
      <c r="C43" s="18">
        <f>ROUND(272.76/9509,3)</f>
        <v>2.9000000000000001E-2</v>
      </c>
      <c r="D43" s="18">
        <f t="shared" si="0"/>
        <v>1.4500000000000002</v>
      </c>
    </row>
    <row r="44" spans="1:4" x14ac:dyDescent="0.25">
      <c r="A44" s="35">
        <v>2247</v>
      </c>
      <c r="B44" s="242" t="s">
        <v>572</v>
      </c>
      <c r="C44" s="18"/>
      <c r="D44" s="18"/>
    </row>
    <row r="45" spans="1:4" ht="48" x14ac:dyDescent="0.25">
      <c r="A45" s="79"/>
      <c r="B45" s="40" t="s">
        <v>1450</v>
      </c>
      <c r="C45" s="74">
        <f>ROUND(12.06/9509,3)</f>
        <v>1E-3</v>
      </c>
      <c r="D45" s="18">
        <f t="shared" si="0"/>
        <v>0.05</v>
      </c>
    </row>
    <row r="46" spans="1:4" x14ac:dyDescent="0.25">
      <c r="A46" s="35">
        <v>2249</v>
      </c>
      <c r="B46" s="242" t="s">
        <v>573</v>
      </c>
      <c r="C46" s="18"/>
      <c r="D46" s="18"/>
    </row>
    <row r="47" spans="1:4" ht="48" x14ac:dyDescent="0.25">
      <c r="A47" s="79"/>
      <c r="B47" s="40" t="s">
        <v>2021</v>
      </c>
      <c r="C47" s="74">
        <f>ROUND(23.35/9509,5)</f>
        <v>2.4599999999999999E-3</v>
      </c>
      <c r="D47" s="18">
        <f t="shared" si="0"/>
        <v>0.123</v>
      </c>
    </row>
    <row r="48" spans="1:4" x14ac:dyDescent="0.25">
      <c r="A48" s="35">
        <v>2250</v>
      </c>
      <c r="B48" s="40" t="s">
        <v>122</v>
      </c>
      <c r="C48" s="74"/>
      <c r="D48" s="18"/>
    </row>
    <row r="49" spans="1:4" ht="48" x14ac:dyDescent="0.25">
      <c r="A49" s="35"/>
      <c r="B49" s="40" t="s">
        <v>1452</v>
      </c>
      <c r="C49" s="18">
        <f>ROUND(750.97/9509,3)</f>
        <v>7.9000000000000001E-2</v>
      </c>
      <c r="D49" s="18">
        <f t="shared" si="0"/>
        <v>3.95</v>
      </c>
    </row>
    <row r="50" spans="1:4" x14ac:dyDescent="0.25">
      <c r="A50" s="35">
        <v>2261</v>
      </c>
      <c r="B50" s="242" t="s">
        <v>146</v>
      </c>
      <c r="C50" s="18"/>
      <c r="D50" s="18"/>
    </row>
    <row r="51" spans="1:4" ht="48" x14ac:dyDescent="0.25">
      <c r="A51" s="35"/>
      <c r="B51" s="40" t="s">
        <v>1453</v>
      </c>
      <c r="C51" s="18">
        <f>ROUND(2620.34/9509,3)</f>
        <v>0.27600000000000002</v>
      </c>
      <c r="D51" s="18">
        <f t="shared" si="0"/>
        <v>13.8</v>
      </c>
    </row>
    <row r="52" spans="1:4" x14ac:dyDescent="0.25">
      <c r="A52" s="35">
        <v>2263</v>
      </c>
      <c r="B52" s="242" t="s">
        <v>574</v>
      </c>
      <c r="C52" s="18"/>
      <c r="D52" s="18"/>
    </row>
    <row r="53" spans="1:4" ht="48" x14ac:dyDescent="0.25">
      <c r="A53" s="35"/>
      <c r="B53" s="40" t="s">
        <v>1468</v>
      </c>
      <c r="C53" s="74">
        <f>ROUND(9.91/9509,3)</f>
        <v>1E-3</v>
      </c>
      <c r="D53" s="18">
        <f t="shared" si="0"/>
        <v>0.05</v>
      </c>
    </row>
    <row r="54" spans="1:4" x14ac:dyDescent="0.25">
      <c r="A54" s="35">
        <v>2264</v>
      </c>
      <c r="B54" s="242" t="s">
        <v>575</v>
      </c>
      <c r="C54" s="18"/>
      <c r="D54" s="18"/>
    </row>
    <row r="55" spans="1:4" ht="48" x14ac:dyDescent="0.25">
      <c r="A55" s="35"/>
      <c r="B55" s="40" t="s">
        <v>1454</v>
      </c>
      <c r="C55" s="18">
        <f>ROUND(132.32/9509,3)</f>
        <v>1.4E-2</v>
      </c>
      <c r="D55" s="18">
        <f t="shared" si="0"/>
        <v>0.70000000000000007</v>
      </c>
    </row>
    <row r="56" spans="1:4" x14ac:dyDescent="0.25">
      <c r="A56" s="35">
        <v>2311</v>
      </c>
      <c r="B56" s="40" t="s">
        <v>93</v>
      </c>
      <c r="C56" s="74"/>
      <c r="D56" s="18"/>
    </row>
    <row r="57" spans="1:4" ht="48" x14ac:dyDescent="0.25">
      <c r="A57" s="35"/>
      <c r="B57" s="40" t="s">
        <v>1455</v>
      </c>
      <c r="C57" s="74">
        <f>ROUND(72.76/9509,3)</f>
        <v>8.0000000000000002E-3</v>
      </c>
      <c r="D57" s="18">
        <f t="shared" si="0"/>
        <v>0.4</v>
      </c>
    </row>
    <row r="58" spans="1:4" x14ac:dyDescent="0.25">
      <c r="A58" s="35">
        <v>2312</v>
      </c>
      <c r="B58" s="40" t="s">
        <v>124</v>
      </c>
      <c r="C58" s="18"/>
      <c r="D58" s="18"/>
    </row>
    <row r="59" spans="1:4" ht="48" x14ac:dyDescent="0.25">
      <c r="A59" s="35"/>
      <c r="B59" s="40" t="s">
        <v>1456</v>
      </c>
      <c r="C59" s="18">
        <f>ROUND(484.21/9509,3)</f>
        <v>5.0999999999999997E-2</v>
      </c>
      <c r="D59" s="18">
        <f t="shared" si="0"/>
        <v>2.5499999999999998</v>
      </c>
    </row>
    <row r="60" spans="1:4" x14ac:dyDescent="0.25">
      <c r="A60" s="35">
        <v>2314</v>
      </c>
      <c r="B60" s="243" t="s">
        <v>576</v>
      </c>
      <c r="C60" s="18"/>
      <c r="D60" s="18"/>
    </row>
    <row r="61" spans="1:4" ht="48" x14ac:dyDescent="0.25">
      <c r="A61" s="35"/>
      <c r="B61" s="40" t="s">
        <v>1457</v>
      </c>
      <c r="C61" s="18">
        <f>ROUND(224.14/9509,3)</f>
        <v>2.4E-2</v>
      </c>
      <c r="D61" s="18">
        <f t="shared" si="0"/>
        <v>1.2</v>
      </c>
    </row>
    <row r="62" spans="1:4" x14ac:dyDescent="0.25">
      <c r="A62" s="35">
        <v>2322</v>
      </c>
      <c r="B62" s="243" t="s">
        <v>577</v>
      </c>
      <c r="C62" s="18"/>
      <c r="D62" s="18"/>
    </row>
    <row r="63" spans="1:4" ht="48" x14ac:dyDescent="0.25">
      <c r="A63" s="35"/>
      <c r="B63" s="40" t="s">
        <v>1458</v>
      </c>
      <c r="C63" s="18">
        <f>ROUND(103.21/9509,3)</f>
        <v>1.0999999999999999E-2</v>
      </c>
      <c r="D63" s="18">
        <f t="shared" si="0"/>
        <v>0.54999999999999993</v>
      </c>
    </row>
    <row r="64" spans="1:4" x14ac:dyDescent="0.25">
      <c r="A64" s="35">
        <v>2350</v>
      </c>
      <c r="B64" s="40" t="s">
        <v>123</v>
      </c>
      <c r="C64" s="74"/>
      <c r="D64" s="18"/>
    </row>
    <row r="65" spans="1:4" ht="48" x14ac:dyDescent="0.25">
      <c r="A65" s="35"/>
      <c r="B65" s="40" t="s">
        <v>2022</v>
      </c>
      <c r="C65" s="18">
        <f>ROUND(241.97/9509,5)</f>
        <v>2.545E-2</v>
      </c>
      <c r="D65" s="18">
        <f t="shared" si="0"/>
        <v>1.2725</v>
      </c>
    </row>
    <row r="66" spans="1:4" x14ac:dyDescent="0.25">
      <c r="A66" s="35">
        <v>2361</v>
      </c>
      <c r="B66" s="242" t="s">
        <v>578</v>
      </c>
      <c r="C66" s="18"/>
      <c r="D66" s="18"/>
    </row>
    <row r="67" spans="1:4" ht="48" x14ac:dyDescent="0.25">
      <c r="A67" s="35"/>
      <c r="B67" s="40" t="s">
        <v>1460</v>
      </c>
      <c r="C67" s="18">
        <f>ROUND(87.42/9509,3)</f>
        <v>8.9999999999999993E-3</v>
      </c>
      <c r="D67" s="18">
        <f t="shared" si="0"/>
        <v>0.44999999999999996</v>
      </c>
    </row>
    <row r="68" spans="1:4" x14ac:dyDescent="0.25">
      <c r="A68" s="35">
        <v>2513</v>
      </c>
      <c r="B68" s="242" t="s">
        <v>579</v>
      </c>
      <c r="C68" s="18"/>
      <c r="D68" s="18"/>
    </row>
    <row r="69" spans="1:4" ht="48" x14ac:dyDescent="0.25">
      <c r="A69" s="35"/>
      <c r="B69" s="40" t="s">
        <v>1461</v>
      </c>
      <c r="C69" s="74">
        <f>ROUND(28.69/9509,5)</f>
        <v>3.0200000000000001E-3</v>
      </c>
      <c r="D69" s="18">
        <f t="shared" si="0"/>
        <v>0.151</v>
      </c>
    </row>
    <row r="70" spans="1:4" x14ac:dyDescent="0.25">
      <c r="A70" s="35">
        <v>2519</v>
      </c>
      <c r="B70" s="242" t="s">
        <v>580</v>
      </c>
      <c r="C70" s="74"/>
      <c r="D70" s="18"/>
    </row>
    <row r="71" spans="1:4" ht="48" x14ac:dyDescent="0.25">
      <c r="A71" s="35"/>
      <c r="B71" s="40" t="s">
        <v>1462</v>
      </c>
      <c r="C71" s="74">
        <f>ROUND(8.56/9509,3)</f>
        <v>1E-3</v>
      </c>
      <c r="D71" s="18">
        <f t="shared" si="0"/>
        <v>0.05</v>
      </c>
    </row>
    <row r="72" spans="1:4" x14ac:dyDescent="0.25">
      <c r="A72" s="35">
        <v>5120</v>
      </c>
      <c r="B72" s="40" t="s">
        <v>101</v>
      </c>
      <c r="C72" s="74"/>
      <c r="D72" s="18"/>
    </row>
    <row r="73" spans="1:4" ht="48" x14ac:dyDescent="0.25">
      <c r="A73" s="35"/>
      <c r="B73" s="40" t="s">
        <v>2023</v>
      </c>
      <c r="C73" s="74">
        <f>ROUND(58.04/9509,5)</f>
        <v>6.1000000000000004E-3</v>
      </c>
      <c r="D73" s="18">
        <f t="shared" si="0"/>
        <v>0.30499999999999999</v>
      </c>
    </row>
    <row r="74" spans="1:4" x14ac:dyDescent="0.25">
      <c r="A74" s="35">
        <v>5210</v>
      </c>
      <c r="B74" s="243" t="s">
        <v>581</v>
      </c>
      <c r="C74" s="74"/>
      <c r="D74" s="18"/>
    </row>
    <row r="75" spans="1:4" ht="48" x14ac:dyDescent="0.25">
      <c r="A75" s="35"/>
      <c r="B75" s="40" t="s">
        <v>1464</v>
      </c>
      <c r="C75" s="74">
        <f>ROUND(249.88/9509,3)</f>
        <v>2.5999999999999999E-2</v>
      </c>
      <c r="D75" s="18">
        <f t="shared" si="0"/>
        <v>1.3</v>
      </c>
    </row>
    <row r="76" spans="1:4" x14ac:dyDescent="0.25">
      <c r="A76" s="35">
        <v>5220</v>
      </c>
      <c r="B76" s="40" t="s">
        <v>119</v>
      </c>
      <c r="C76" s="18"/>
      <c r="D76" s="18"/>
    </row>
    <row r="77" spans="1:4" ht="36" x14ac:dyDescent="0.25">
      <c r="A77" s="35"/>
      <c r="B77" s="40" t="s">
        <v>621</v>
      </c>
      <c r="C77" s="18">
        <v>0</v>
      </c>
      <c r="D77" s="18">
        <f t="shared" si="0"/>
        <v>0</v>
      </c>
    </row>
    <row r="78" spans="1:4" x14ac:dyDescent="0.25">
      <c r="A78" s="35">
        <v>5231</v>
      </c>
      <c r="B78" s="243" t="s">
        <v>582</v>
      </c>
      <c r="C78" s="18"/>
      <c r="D78" s="18"/>
    </row>
    <row r="79" spans="1:4" ht="48" x14ac:dyDescent="0.25">
      <c r="A79" s="35"/>
      <c r="B79" s="40" t="s">
        <v>2024</v>
      </c>
      <c r="C79" s="253">
        <f>ROUND(61.55/9509,5)</f>
        <v>6.4700000000000001E-3</v>
      </c>
      <c r="D79" s="18">
        <f t="shared" si="0"/>
        <v>0.32350000000000001</v>
      </c>
    </row>
    <row r="80" spans="1:4" x14ac:dyDescent="0.25">
      <c r="A80" s="35">
        <v>5238</v>
      </c>
      <c r="B80" s="40" t="s">
        <v>117</v>
      </c>
      <c r="C80" s="80"/>
      <c r="D80" s="18"/>
    </row>
    <row r="81" spans="1:4" ht="48" x14ac:dyDescent="0.25">
      <c r="A81" s="35"/>
      <c r="B81" s="40" t="s">
        <v>2025</v>
      </c>
      <c r="C81" s="74">
        <f>ROUND(88.34/9509,5)</f>
        <v>9.2899999999999996E-3</v>
      </c>
      <c r="D81" s="18">
        <f t="shared" si="0"/>
        <v>0.46449999999999997</v>
      </c>
    </row>
    <row r="82" spans="1:4" x14ac:dyDescent="0.25">
      <c r="A82" s="35">
        <v>5239</v>
      </c>
      <c r="B82" s="243" t="s">
        <v>583</v>
      </c>
      <c r="C82" s="74"/>
      <c r="D82" s="18"/>
    </row>
    <row r="83" spans="1:4" ht="48" x14ac:dyDescent="0.25">
      <c r="A83" s="35"/>
      <c r="B83" s="40" t="s">
        <v>1467</v>
      </c>
      <c r="C83" s="74">
        <f>ROUND(151.09/9509,3)</f>
        <v>1.6E-2</v>
      </c>
      <c r="D83" s="18">
        <f t="shared" si="0"/>
        <v>0.8</v>
      </c>
    </row>
    <row r="84" spans="1:4" x14ac:dyDescent="0.25">
      <c r="A84" s="35"/>
      <c r="B84" s="81" t="s">
        <v>94</v>
      </c>
      <c r="C84" s="82">
        <f>ROUND(C19+C21+C23+C25+C27+C29+C31+C33+C35+C37+C39+C41+C43+C45+C47+C49+C51+C53+C55+C57+C59+C61+C63+C65+C67+C69+C71+C73+C75+C79+C81+C83,2)</f>
        <v>0.93</v>
      </c>
      <c r="D84" s="82">
        <f>ROUND(D19+D21+D23+D25+D27+D29+D31+D33+D35+D37+D39+D41+D43+D45+D47+D49+D51+D53+D55+D57+D59+D61+D63+D65+D67+D69+D71+D73+D75+D79+D81+D83,2)</f>
        <v>46.5</v>
      </c>
    </row>
    <row r="85" spans="1:4" x14ac:dyDescent="0.25">
      <c r="A85" s="83"/>
      <c r="B85" s="84" t="s">
        <v>95</v>
      </c>
      <c r="C85" s="82">
        <f>ROUND(C84+C16,3)</f>
        <v>41.37</v>
      </c>
      <c r="D85" s="82">
        <f>ROUND(D84+D16,3)</f>
        <v>2068.5</v>
      </c>
    </row>
    <row r="86" spans="1:4" x14ac:dyDescent="0.25">
      <c r="A86" s="85"/>
      <c r="B86" s="86"/>
      <c r="C86" s="87"/>
      <c r="D86" s="87"/>
    </row>
    <row r="87" spans="1:4" x14ac:dyDescent="0.25">
      <c r="A87" s="302" t="s">
        <v>96</v>
      </c>
      <c r="B87" s="303"/>
      <c r="C87" s="88">
        <v>50</v>
      </c>
      <c r="D87" s="89"/>
    </row>
    <row r="88" spans="1:4" ht="24" customHeight="1" x14ac:dyDescent="0.25">
      <c r="A88" s="302" t="s">
        <v>113</v>
      </c>
      <c r="B88" s="303"/>
      <c r="C88" s="22">
        <f>D85/C87</f>
        <v>41.37</v>
      </c>
      <c r="D88" s="89"/>
    </row>
  </sheetData>
  <mergeCells count="7">
    <mergeCell ref="A87:B87"/>
    <mergeCell ref="A88:B88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E89"/>
  <sheetViews>
    <sheetView topLeftCell="A76" workbookViewId="0">
      <selection activeCell="B82" sqref="B82"/>
    </sheetView>
  </sheetViews>
  <sheetFormatPr defaultRowHeight="15" x14ac:dyDescent="0.25"/>
  <cols>
    <col min="1" max="1" width="9.7109375" customWidth="1"/>
    <col min="2" max="2" width="58.7109375" customWidth="1"/>
    <col min="3" max="4" width="10.85546875" customWidth="1"/>
  </cols>
  <sheetData>
    <row r="1" spans="1:5" x14ac:dyDescent="0.25">
      <c r="A1" s="319" t="s">
        <v>78</v>
      </c>
      <c r="B1" s="319"/>
      <c r="C1" s="319"/>
      <c r="D1" s="319"/>
    </row>
    <row r="2" spans="1:5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96"/>
    </row>
    <row r="5" spans="1:5" ht="45" customHeight="1" x14ac:dyDescent="0.25">
      <c r="A5" s="307" t="s">
        <v>490</v>
      </c>
      <c r="B5" s="307"/>
      <c r="C5" s="307"/>
      <c r="D5" s="307"/>
    </row>
    <row r="6" spans="1:5" x14ac:dyDescent="0.25">
      <c r="A6" s="308" t="s">
        <v>112</v>
      </c>
      <c r="B6" s="310"/>
      <c r="C6" s="60"/>
      <c r="D6" s="96"/>
    </row>
    <row r="7" spans="1:5" ht="8.25" customHeight="1" x14ac:dyDescent="0.25">
      <c r="A7" s="157"/>
      <c r="B7" s="158"/>
      <c r="C7" s="60"/>
      <c r="D7" s="96"/>
    </row>
    <row r="8" spans="1:5" x14ac:dyDescent="0.25">
      <c r="A8" s="318" t="s">
        <v>125</v>
      </c>
      <c r="B8" s="318"/>
      <c r="C8" s="100"/>
      <c r="D8" s="96"/>
    </row>
    <row r="9" spans="1:5" ht="108" x14ac:dyDescent="0.25">
      <c r="A9" s="63" t="s">
        <v>80</v>
      </c>
      <c r="B9" s="63" t="s">
        <v>81</v>
      </c>
      <c r="C9" s="63" t="s">
        <v>82</v>
      </c>
      <c r="D9" s="63" t="s">
        <v>83</v>
      </c>
    </row>
    <row r="10" spans="1:5" x14ac:dyDescent="0.25">
      <c r="A10" s="64">
        <v>1</v>
      </c>
      <c r="B10" s="65">
        <v>2</v>
      </c>
      <c r="C10" s="64">
        <v>3</v>
      </c>
      <c r="D10" s="64">
        <v>4</v>
      </c>
    </row>
    <row r="11" spans="1:5" x14ac:dyDescent="0.25">
      <c r="A11" s="64"/>
      <c r="B11" s="81" t="s">
        <v>84</v>
      </c>
      <c r="C11" s="68"/>
      <c r="D11" s="68"/>
    </row>
    <row r="12" spans="1:5" x14ac:dyDescent="0.25">
      <c r="A12" s="94">
        <v>1100</v>
      </c>
      <c r="B12" s="95" t="s">
        <v>85</v>
      </c>
      <c r="C12" s="71"/>
      <c r="D12" s="71"/>
    </row>
    <row r="13" spans="1:5" ht="147" customHeight="1" x14ac:dyDescent="0.25">
      <c r="A13" s="35"/>
      <c r="B13" s="90" t="s">
        <v>665</v>
      </c>
      <c r="C13" s="18">
        <f>0.17*20+0.17*20+0.5*24</f>
        <v>18.8</v>
      </c>
      <c r="D13" s="18">
        <f>C13*50</f>
        <v>940</v>
      </c>
    </row>
    <row r="14" spans="1:5" ht="24" x14ac:dyDescent="0.25">
      <c r="A14" s="35">
        <v>1200</v>
      </c>
      <c r="B14" s="40" t="s">
        <v>442</v>
      </c>
      <c r="C14" s="18">
        <f>ROUND(C13*0.2359,2)</f>
        <v>4.43</v>
      </c>
      <c r="D14" s="18">
        <f>C14*50</f>
        <v>221.5</v>
      </c>
    </row>
    <row r="15" spans="1:5" x14ac:dyDescent="0.25">
      <c r="A15" s="35">
        <v>2341</v>
      </c>
      <c r="B15" s="35" t="s">
        <v>118</v>
      </c>
      <c r="C15" s="18"/>
      <c r="D15" s="74"/>
    </row>
    <row r="16" spans="1:5" ht="108" x14ac:dyDescent="0.25">
      <c r="A16" s="35"/>
      <c r="B16" s="40" t="s">
        <v>667</v>
      </c>
      <c r="C16" s="18">
        <v>14.67</v>
      </c>
      <c r="D16" s="18">
        <f>C16*50</f>
        <v>733.5</v>
      </c>
      <c r="E16" s="184"/>
    </row>
    <row r="17" spans="1:5" x14ac:dyDescent="0.25">
      <c r="A17" s="84"/>
      <c r="B17" s="92" t="s">
        <v>87</v>
      </c>
      <c r="C17" s="82">
        <f>SUM(C12:C16)</f>
        <v>37.9</v>
      </c>
      <c r="D17" s="82">
        <f>SUM(D12:D16)</f>
        <v>1895</v>
      </c>
      <c r="E17" s="183"/>
    </row>
    <row r="18" spans="1:5" x14ac:dyDescent="0.25">
      <c r="A18" s="77"/>
      <c r="B18" s="176" t="s">
        <v>88</v>
      </c>
      <c r="C18" s="78"/>
      <c r="D18" s="78"/>
    </row>
    <row r="19" spans="1:5" x14ac:dyDescent="0.25">
      <c r="A19" s="35">
        <v>2100</v>
      </c>
      <c r="B19" s="244" t="s">
        <v>584</v>
      </c>
      <c r="C19" s="78"/>
      <c r="D19" s="78"/>
    </row>
    <row r="20" spans="1:5" ht="48" x14ac:dyDescent="0.25">
      <c r="A20" s="77"/>
      <c r="B20" s="40" t="s">
        <v>1437</v>
      </c>
      <c r="C20" s="74">
        <f>ROUND(31.85/9509,3)</f>
        <v>3.0000000000000001E-3</v>
      </c>
      <c r="D20" s="18">
        <f>C20*50</f>
        <v>0.15</v>
      </c>
    </row>
    <row r="21" spans="1:5" x14ac:dyDescent="0.25">
      <c r="A21" s="35">
        <v>2210</v>
      </c>
      <c r="B21" s="40" t="s">
        <v>568</v>
      </c>
      <c r="C21" s="74"/>
      <c r="D21" s="74"/>
    </row>
    <row r="22" spans="1:5" ht="60" x14ac:dyDescent="0.25">
      <c r="A22" s="35"/>
      <c r="B22" s="40" t="s">
        <v>1438</v>
      </c>
      <c r="C22" s="18">
        <f>ROUND(228.88/9509,3)</f>
        <v>2.4E-2</v>
      </c>
      <c r="D22" s="18">
        <f t="shared" ref="D22:D84" si="0">C22*50</f>
        <v>1.2</v>
      </c>
    </row>
    <row r="23" spans="1:5" x14ac:dyDescent="0.25">
      <c r="A23" s="35">
        <v>2221</v>
      </c>
      <c r="B23" s="40" t="s">
        <v>89</v>
      </c>
      <c r="C23" s="18"/>
      <c r="D23" s="18"/>
    </row>
    <row r="24" spans="1:5" ht="60" x14ac:dyDescent="0.25">
      <c r="A24" s="35"/>
      <c r="B24" s="40" t="s">
        <v>1439</v>
      </c>
      <c r="C24" s="18">
        <f>ROUND(382.73/9509,3)</f>
        <v>0.04</v>
      </c>
      <c r="D24" s="18">
        <f t="shared" si="0"/>
        <v>2</v>
      </c>
    </row>
    <row r="25" spans="1:5" x14ac:dyDescent="0.25">
      <c r="A25" s="35">
        <v>2222</v>
      </c>
      <c r="B25" s="242" t="s">
        <v>90</v>
      </c>
      <c r="C25" s="18"/>
      <c r="D25" s="18"/>
    </row>
    <row r="26" spans="1:5" ht="48" x14ac:dyDescent="0.25">
      <c r="A26" s="35"/>
      <c r="B26" s="40" t="s">
        <v>1440</v>
      </c>
      <c r="C26" s="74">
        <f>ROUND(38.69/9509,3)</f>
        <v>4.0000000000000001E-3</v>
      </c>
      <c r="D26" s="18">
        <f t="shared" si="0"/>
        <v>0.2</v>
      </c>
    </row>
    <row r="27" spans="1:5" x14ac:dyDescent="0.25">
      <c r="A27" s="35">
        <v>2223</v>
      </c>
      <c r="B27" s="35" t="s">
        <v>91</v>
      </c>
      <c r="C27" s="74"/>
      <c r="D27" s="18"/>
    </row>
    <row r="28" spans="1:5" ht="60" x14ac:dyDescent="0.25">
      <c r="A28" s="35"/>
      <c r="B28" s="40" t="s">
        <v>1441</v>
      </c>
      <c r="C28" s="74">
        <f>ROUND(1004.28/9509,3)</f>
        <v>0.106</v>
      </c>
      <c r="D28" s="18">
        <f t="shared" si="0"/>
        <v>5.3</v>
      </c>
    </row>
    <row r="29" spans="1:5" ht="24" x14ac:dyDescent="0.25">
      <c r="A29" s="35">
        <v>2224</v>
      </c>
      <c r="B29" s="40" t="s">
        <v>115</v>
      </c>
      <c r="C29" s="74"/>
      <c r="D29" s="18"/>
    </row>
    <row r="30" spans="1:5" ht="48" x14ac:dyDescent="0.25">
      <c r="A30" s="34"/>
      <c r="B30" s="40" t="s">
        <v>1442</v>
      </c>
      <c r="C30" s="18">
        <f>ROUND(82.8/9509,3)</f>
        <v>8.9999999999999993E-3</v>
      </c>
      <c r="D30" s="18">
        <f t="shared" si="0"/>
        <v>0.44999999999999996</v>
      </c>
    </row>
    <row r="31" spans="1:5" x14ac:dyDescent="0.25">
      <c r="A31" s="35">
        <v>2231</v>
      </c>
      <c r="B31" s="40" t="s">
        <v>121</v>
      </c>
      <c r="C31" s="74"/>
      <c r="D31" s="18"/>
    </row>
    <row r="32" spans="1:5" ht="60" x14ac:dyDescent="0.25">
      <c r="A32" s="35"/>
      <c r="B32" s="40" t="s">
        <v>1443</v>
      </c>
      <c r="C32" s="18">
        <f>ROUND(289.4/9509,3)</f>
        <v>0.03</v>
      </c>
      <c r="D32" s="18">
        <f t="shared" si="0"/>
        <v>1.5</v>
      </c>
    </row>
    <row r="33" spans="1:4" x14ac:dyDescent="0.25">
      <c r="A33" s="35">
        <v>2233</v>
      </c>
      <c r="B33" s="242" t="s">
        <v>143</v>
      </c>
      <c r="C33" s="18"/>
      <c r="D33" s="18"/>
    </row>
    <row r="34" spans="1:4" ht="48" x14ac:dyDescent="0.25">
      <c r="A34" s="35"/>
      <c r="B34" s="40" t="s">
        <v>1444</v>
      </c>
      <c r="C34" s="74">
        <f>ROUND(20.68/9509,3)</f>
        <v>2E-3</v>
      </c>
      <c r="D34" s="18">
        <f t="shared" si="0"/>
        <v>0.1</v>
      </c>
    </row>
    <row r="35" spans="1:4" x14ac:dyDescent="0.25">
      <c r="A35" s="35">
        <v>2235</v>
      </c>
      <c r="B35" s="242" t="s">
        <v>569</v>
      </c>
      <c r="C35" s="74"/>
      <c r="D35" s="18"/>
    </row>
    <row r="36" spans="1:4" ht="48" x14ac:dyDescent="0.25">
      <c r="A36" s="35"/>
      <c r="B36" s="40" t="s">
        <v>2020</v>
      </c>
      <c r="C36" s="74">
        <f>ROUND(58.15/9509,5)</f>
        <v>6.1199999999999996E-3</v>
      </c>
      <c r="D36" s="18">
        <f t="shared" si="0"/>
        <v>0.30599999999999999</v>
      </c>
    </row>
    <row r="37" spans="1:4" x14ac:dyDescent="0.25">
      <c r="A37" s="35">
        <v>2239</v>
      </c>
      <c r="B37" s="242" t="s">
        <v>570</v>
      </c>
      <c r="C37" s="74"/>
      <c r="D37" s="18"/>
    </row>
    <row r="38" spans="1:4" ht="60" x14ac:dyDescent="0.25">
      <c r="A38" s="35"/>
      <c r="B38" s="40" t="s">
        <v>1446</v>
      </c>
      <c r="C38" s="74">
        <f>ROUND(524.45/9509,3)</f>
        <v>5.5E-2</v>
      </c>
      <c r="D38" s="18">
        <f t="shared" si="0"/>
        <v>2.75</v>
      </c>
    </row>
    <row r="39" spans="1:4" x14ac:dyDescent="0.25">
      <c r="A39" s="35">
        <v>2242</v>
      </c>
      <c r="B39" s="242" t="s">
        <v>571</v>
      </c>
      <c r="C39" s="74"/>
      <c r="D39" s="18"/>
    </row>
    <row r="40" spans="1:4" ht="60" x14ac:dyDescent="0.25">
      <c r="A40" s="35"/>
      <c r="B40" s="40" t="s">
        <v>1447</v>
      </c>
      <c r="C40" s="74">
        <f>ROUND(131.923/9509,3)</f>
        <v>1.4E-2</v>
      </c>
      <c r="D40" s="18">
        <f t="shared" si="0"/>
        <v>0.70000000000000007</v>
      </c>
    </row>
    <row r="41" spans="1:4" x14ac:dyDescent="0.25">
      <c r="A41" s="35">
        <v>2243</v>
      </c>
      <c r="B41" s="40" t="s">
        <v>100</v>
      </c>
      <c r="C41" s="18"/>
      <c r="D41" s="18"/>
    </row>
    <row r="42" spans="1:4" ht="60" x14ac:dyDescent="0.25">
      <c r="A42" s="35"/>
      <c r="B42" s="40" t="s">
        <v>1448</v>
      </c>
      <c r="C42" s="18">
        <f>ROUND(360.94/9509,3)</f>
        <v>3.7999999999999999E-2</v>
      </c>
      <c r="D42" s="18">
        <f t="shared" si="0"/>
        <v>1.9</v>
      </c>
    </row>
    <row r="43" spans="1:4" x14ac:dyDescent="0.25">
      <c r="A43" s="35">
        <v>2244</v>
      </c>
      <c r="B43" s="40" t="s">
        <v>92</v>
      </c>
      <c r="C43" s="18"/>
      <c r="D43" s="18"/>
    </row>
    <row r="44" spans="1:4" ht="60" x14ac:dyDescent="0.25">
      <c r="A44" s="79"/>
      <c r="B44" s="40" t="s">
        <v>1449</v>
      </c>
      <c r="C44" s="18">
        <f>ROUND(272.76/9509,3)</f>
        <v>2.9000000000000001E-2</v>
      </c>
      <c r="D44" s="18">
        <f t="shared" si="0"/>
        <v>1.4500000000000002</v>
      </c>
    </row>
    <row r="45" spans="1:4" x14ac:dyDescent="0.25">
      <c r="A45" s="35">
        <v>2247</v>
      </c>
      <c r="B45" s="242" t="s">
        <v>572</v>
      </c>
      <c r="C45" s="18"/>
      <c r="D45" s="18"/>
    </row>
    <row r="46" spans="1:4" ht="48" x14ac:dyDescent="0.25">
      <c r="A46" s="79"/>
      <c r="B46" s="40" t="s">
        <v>1450</v>
      </c>
      <c r="C46" s="74">
        <f>ROUND(12.06/9509,3)</f>
        <v>1E-3</v>
      </c>
      <c r="D46" s="18">
        <f t="shared" si="0"/>
        <v>0.05</v>
      </c>
    </row>
    <row r="47" spans="1:4" x14ac:dyDescent="0.25">
      <c r="A47" s="35">
        <v>2249</v>
      </c>
      <c r="B47" s="242" t="s">
        <v>573</v>
      </c>
      <c r="C47" s="18"/>
      <c r="D47" s="18"/>
    </row>
    <row r="48" spans="1:4" ht="48" x14ac:dyDescent="0.25">
      <c r="A48" s="79"/>
      <c r="B48" s="40" t="s">
        <v>2021</v>
      </c>
      <c r="C48" s="74">
        <f>ROUND(23.35/9509,5)</f>
        <v>2.4599999999999999E-3</v>
      </c>
      <c r="D48" s="18">
        <f t="shared" si="0"/>
        <v>0.123</v>
      </c>
    </row>
    <row r="49" spans="1:4" x14ac:dyDescent="0.25">
      <c r="A49" s="35">
        <v>2250</v>
      </c>
      <c r="B49" s="40" t="s">
        <v>122</v>
      </c>
      <c r="C49" s="74"/>
      <c r="D49" s="18"/>
    </row>
    <row r="50" spans="1:4" ht="60" x14ac:dyDescent="0.25">
      <c r="A50" s="35"/>
      <c r="B50" s="40" t="s">
        <v>1452</v>
      </c>
      <c r="C50" s="18">
        <f>ROUND(750.97/9509,3)</f>
        <v>7.9000000000000001E-2</v>
      </c>
      <c r="D50" s="18">
        <f t="shared" si="0"/>
        <v>3.95</v>
      </c>
    </row>
    <row r="51" spans="1:4" x14ac:dyDescent="0.25">
      <c r="A51" s="35">
        <v>2261</v>
      </c>
      <c r="B51" s="242" t="s">
        <v>146</v>
      </c>
      <c r="C51" s="18"/>
      <c r="D51" s="18"/>
    </row>
    <row r="52" spans="1:4" ht="60" x14ac:dyDescent="0.25">
      <c r="A52" s="35"/>
      <c r="B52" s="40" t="s">
        <v>1453</v>
      </c>
      <c r="C52" s="18">
        <f>ROUND(2620.34/9509,3)</f>
        <v>0.27600000000000002</v>
      </c>
      <c r="D52" s="18">
        <f t="shared" si="0"/>
        <v>13.8</v>
      </c>
    </row>
    <row r="53" spans="1:4" x14ac:dyDescent="0.25">
      <c r="A53" s="35">
        <v>2263</v>
      </c>
      <c r="B53" s="242" t="s">
        <v>574</v>
      </c>
      <c r="C53" s="18"/>
      <c r="D53" s="18"/>
    </row>
    <row r="54" spans="1:4" ht="48" x14ac:dyDescent="0.25">
      <c r="A54" s="35"/>
      <c r="B54" s="40" t="s">
        <v>1468</v>
      </c>
      <c r="C54" s="74">
        <f>ROUND(9.91/9509,3)</f>
        <v>1E-3</v>
      </c>
      <c r="D54" s="18">
        <f t="shared" si="0"/>
        <v>0.05</v>
      </c>
    </row>
    <row r="55" spans="1:4" x14ac:dyDescent="0.25">
      <c r="A55" s="35">
        <v>2264</v>
      </c>
      <c r="B55" s="242" t="s">
        <v>575</v>
      </c>
      <c r="C55" s="18"/>
      <c r="D55" s="18"/>
    </row>
    <row r="56" spans="1:4" ht="48" x14ac:dyDescent="0.25">
      <c r="A56" s="35"/>
      <c r="B56" s="40" t="s">
        <v>1454</v>
      </c>
      <c r="C56" s="18">
        <f>ROUND(132.32/9509,3)</f>
        <v>1.4E-2</v>
      </c>
      <c r="D56" s="18">
        <f t="shared" si="0"/>
        <v>0.70000000000000007</v>
      </c>
    </row>
    <row r="57" spans="1:4" x14ac:dyDescent="0.25">
      <c r="A57" s="35">
        <v>2311</v>
      </c>
      <c r="B57" s="40" t="s">
        <v>93</v>
      </c>
      <c r="C57" s="74"/>
      <c r="D57" s="18"/>
    </row>
    <row r="58" spans="1:4" ht="48" x14ac:dyDescent="0.25">
      <c r="A58" s="35"/>
      <c r="B58" s="40" t="s">
        <v>1455</v>
      </c>
      <c r="C58" s="74">
        <f>ROUND(72.76/9509,3)</f>
        <v>8.0000000000000002E-3</v>
      </c>
      <c r="D58" s="18">
        <f t="shared" si="0"/>
        <v>0.4</v>
      </c>
    </row>
    <row r="59" spans="1:4" x14ac:dyDescent="0.25">
      <c r="A59" s="35">
        <v>2312</v>
      </c>
      <c r="B59" s="40" t="s">
        <v>124</v>
      </c>
      <c r="C59" s="18"/>
      <c r="D59" s="18"/>
    </row>
    <row r="60" spans="1:4" ht="60" x14ac:dyDescent="0.25">
      <c r="A60" s="35"/>
      <c r="B60" s="40" t="s">
        <v>1456</v>
      </c>
      <c r="C60" s="18">
        <f>ROUND(484.21/9509,3)</f>
        <v>5.0999999999999997E-2</v>
      </c>
      <c r="D60" s="18">
        <f t="shared" si="0"/>
        <v>2.5499999999999998</v>
      </c>
    </row>
    <row r="61" spans="1:4" x14ac:dyDescent="0.25">
      <c r="A61" s="35">
        <v>2314</v>
      </c>
      <c r="B61" s="243" t="s">
        <v>576</v>
      </c>
      <c r="C61" s="18"/>
      <c r="D61" s="18"/>
    </row>
    <row r="62" spans="1:4" ht="60" x14ac:dyDescent="0.25">
      <c r="A62" s="35"/>
      <c r="B62" s="40" t="s">
        <v>1457</v>
      </c>
      <c r="C62" s="18">
        <f>ROUND(224.14/9509,3)</f>
        <v>2.4E-2</v>
      </c>
      <c r="D62" s="18">
        <f t="shared" si="0"/>
        <v>1.2</v>
      </c>
    </row>
    <row r="63" spans="1:4" x14ac:dyDescent="0.25">
      <c r="A63" s="35">
        <v>2322</v>
      </c>
      <c r="B63" s="243" t="s">
        <v>577</v>
      </c>
      <c r="C63" s="18"/>
      <c r="D63" s="18"/>
    </row>
    <row r="64" spans="1:4" ht="60" x14ac:dyDescent="0.25">
      <c r="A64" s="35"/>
      <c r="B64" s="40" t="s">
        <v>1458</v>
      </c>
      <c r="C64" s="18">
        <f>ROUND(103.21/9509,3)</f>
        <v>1.0999999999999999E-2</v>
      </c>
      <c r="D64" s="18">
        <f t="shared" si="0"/>
        <v>0.54999999999999993</v>
      </c>
    </row>
    <row r="65" spans="1:4" x14ac:dyDescent="0.25">
      <c r="A65" s="35">
        <v>2350</v>
      </c>
      <c r="B65" s="40" t="s">
        <v>123</v>
      </c>
      <c r="C65" s="74"/>
      <c r="D65" s="18"/>
    </row>
    <row r="66" spans="1:4" ht="60" x14ac:dyDescent="0.25">
      <c r="A66" s="35"/>
      <c r="B66" s="40" t="s">
        <v>2022</v>
      </c>
      <c r="C66" s="18">
        <f>ROUND(241.97/9509,5)</f>
        <v>2.545E-2</v>
      </c>
      <c r="D66" s="18">
        <f t="shared" si="0"/>
        <v>1.2725</v>
      </c>
    </row>
    <row r="67" spans="1:4" x14ac:dyDescent="0.25">
      <c r="A67" s="35">
        <v>2361</v>
      </c>
      <c r="B67" s="242" t="s">
        <v>578</v>
      </c>
      <c r="C67" s="18"/>
      <c r="D67" s="18"/>
    </row>
    <row r="68" spans="1:4" ht="48" x14ac:dyDescent="0.25">
      <c r="A68" s="35"/>
      <c r="B68" s="40" t="s">
        <v>1460</v>
      </c>
      <c r="C68" s="18">
        <f>ROUND(87.42/9509,3)</f>
        <v>8.9999999999999993E-3</v>
      </c>
      <c r="D68" s="18">
        <f t="shared" si="0"/>
        <v>0.44999999999999996</v>
      </c>
    </row>
    <row r="69" spans="1:4" x14ac:dyDescent="0.25">
      <c r="A69" s="35">
        <v>2513</v>
      </c>
      <c r="B69" s="242" t="s">
        <v>579</v>
      </c>
      <c r="C69" s="18"/>
      <c r="D69" s="18"/>
    </row>
    <row r="70" spans="1:4" ht="48" x14ac:dyDescent="0.25">
      <c r="A70" s="35"/>
      <c r="B70" s="40" t="s">
        <v>1461</v>
      </c>
      <c r="C70" s="74">
        <f>ROUND(28.69/9509,5)</f>
        <v>3.0200000000000001E-3</v>
      </c>
      <c r="D70" s="18">
        <f t="shared" si="0"/>
        <v>0.151</v>
      </c>
    </row>
    <row r="71" spans="1:4" x14ac:dyDescent="0.25">
      <c r="A71" s="35">
        <v>2519</v>
      </c>
      <c r="B71" s="242" t="s">
        <v>580</v>
      </c>
      <c r="C71" s="74"/>
      <c r="D71" s="18"/>
    </row>
    <row r="72" spans="1:4" ht="48" x14ac:dyDescent="0.25">
      <c r="A72" s="35"/>
      <c r="B72" s="40" t="s">
        <v>1462</v>
      </c>
      <c r="C72" s="74">
        <f>ROUND(8.56/9509,3)</f>
        <v>1E-3</v>
      </c>
      <c r="D72" s="18">
        <f t="shared" si="0"/>
        <v>0.05</v>
      </c>
    </row>
    <row r="73" spans="1:4" x14ac:dyDescent="0.25">
      <c r="A73" s="35">
        <v>5120</v>
      </c>
      <c r="B73" s="40" t="s">
        <v>101</v>
      </c>
      <c r="C73" s="74"/>
      <c r="D73" s="18"/>
    </row>
    <row r="74" spans="1:4" ht="60" x14ac:dyDescent="0.25">
      <c r="A74" s="35"/>
      <c r="B74" s="40" t="s">
        <v>2023</v>
      </c>
      <c r="C74" s="74">
        <f>ROUND(58.04/9509,5)</f>
        <v>6.1000000000000004E-3</v>
      </c>
      <c r="D74" s="18">
        <f t="shared" si="0"/>
        <v>0.30499999999999999</v>
      </c>
    </row>
    <row r="75" spans="1:4" x14ac:dyDescent="0.25">
      <c r="A75" s="35">
        <v>5210</v>
      </c>
      <c r="B75" s="243" t="s">
        <v>581</v>
      </c>
      <c r="C75" s="74"/>
      <c r="D75" s="18"/>
    </row>
    <row r="76" spans="1:4" ht="48" x14ac:dyDescent="0.25">
      <c r="A76" s="35"/>
      <c r="B76" s="40" t="s">
        <v>1464</v>
      </c>
      <c r="C76" s="74">
        <f>ROUND(249.88/9509,3)</f>
        <v>2.5999999999999999E-2</v>
      </c>
      <c r="D76" s="18">
        <f t="shared" si="0"/>
        <v>1.3</v>
      </c>
    </row>
    <row r="77" spans="1:4" x14ac:dyDescent="0.25">
      <c r="A77" s="35">
        <v>5220</v>
      </c>
      <c r="B77" s="40" t="s">
        <v>119</v>
      </c>
      <c r="C77" s="18"/>
      <c r="D77" s="18"/>
    </row>
    <row r="78" spans="1:4" ht="36" x14ac:dyDescent="0.25">
      <c r="A78" s="35"/>
      <c r="B78" s="40" t="s">
        <v>621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48" x14ac:dyDescent="0.25">
      <c r="A80" s="35"/>
      <c r="B80" s="40" t="s">
        <v>2024</v>
      </c>
      <c r="C80" s="74">
        <f>ROUND(61.55/9509,5)</f>
        <v>6.4700000000000001E-3</v>
      </c>
      <c r="D80" s="18">
        <f t="shared" si="0"/>
        <v>0.32350000000000001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2025</v>
      </c>
      <c r="C82" s="74">
        <f>ROUND(88.34/9509,5)</f>
        <v>9.2899999999999996E-3</v>
      </c>
      <c r="D82" s="18">
        <f t="shared" si="0"/>
        <v>0.46449999999999997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1467</v>
      </c>
      <c r="C84" s="74">
        <f>ROUND(151.09/9509,3)</f>
        <v>1.6E-2</v>
      </c>
      <c r="D84" s="18">
        <f t="shared" si="0"/>
        <v>0.8</v>
      </c>
    </row>
    <row r="85" spans="1:4" x14ac:dyDescent="0.25">
      <c r="A85" s="35"/>
      <c r="B85" s="81" t="s">
        <v>94</v>
      </c>
      <c r="C85" s="82">
        <f>ROUND(C20+C22+C24+C26+C28+C30+C32+C34+C36+C38+C40+C42+C44+C46+C48+C50+C52+C54+C56+C58+C60+C62+C64+C66+C68+C70+C72+C74+C76+C80+C82+C84,2)</f>
        <v>0.93</v>
      </c>
      <c r="D85" s="82">
        <f>ROUND(D20+D22+D24+D26+D28+D30+D32+D34+D36+D38+D40+D42+D44+D46+D48+D50+D52+D54+D56+D58+D60+D62+D64+D66+D68+D70+D72+D74+D76+D80+D82+D84,2)</f>
        <v>46.5</v>
      </c>
    </row>
    <row r="86" spans="1:4" x14ac:dyDescent="0.25">
      <c r="A86" s="83"/>
      <c r="B86" s="84" t="s">
        <v>95</v>
      </c>
      <c r="C86" s="82">
        <f>ROUND(C85+C17,3)</f>
        <v>38.83</v>
      </c>
      <c r="D86" s="82">
        <f>ROUND(D85+D17,3)</f>
        <v>1941.5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50</v>
      </c>
      <c r="D88" s="89"/>
    </row>
    <row r="89" spans="1:4" ht="29.25" customHeight="1" x14ac:dyDescent="0.25">
      <c r="A89" s="302" t="s">
        <v>113</v>
      </c>
      <c r="B89" s="303"/>
      <c r="C89" s="22">
        <f>D86/C88</f>
        <v>38.83</v>
      </c>
      <c r="D89" s="89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90"/>
  <sheetViews>
    <sheetView topLeftCell="A73" workbookViewId="0">
      <selection activeCell="G88" sqref="G88"/>
    </sheetView>
  </sheetViews>
  <sheetFormatPr defaultRowHeight="15" x14ac:dyDescent="0.25"/>
  <cols>
    <col min="1" max="1" width="9.5703125" customWidth="1"/>
    <col min="2" max="2" width="62.7109375" customWidth="1"/>
    <col min="3" max="3" width="11" customWidth="1"/>
    <col min="4" max="4" width="11.28515625" customWidth="1"/>
  </cols>
  <sheetData>
    <row r="1" spans="1:5" x14ac:dyDescent="0.25">
      <c r="A1" s="319" t="s">
        <v>78</v>
      </c>
      <c r="B1" s="319"/>
      <c r="C1" s="319"/>
      <c r="D1" s="319"/>
    </row>
    <row r="2" spans="1:5" x14ac:dyDescent="0.25">
      <c r="A2" s="97"/>
      <c r="B2" s="97"/>
      <c r="C2" s="316"/>
      <c r="D2" s="316"/>
    </row>
    <row r="3" spans="1:5" x14ac:dyDescent="0.25">
      <c r="A3" s="98" t="s">
        <v>111</v>
      </c>
      <c r="B3" s="99"/>
      <c r="C3" s="99"/>
      <c r="D3" s="99"/>
    </row>
    <row r="4" spans="1:5" x14ac:dyDescent="0.25">
      <c r="A4" s="97"/>
      <c r="B4" s="60"/>
      <c r="C4" s="60"/>
      <c r="D4" s="60"/>
    </row>
    <row r="5" spans="1:5" ht="35.25" customHeight="1" x14ac:dyDescent="0.25">
      <c r="A5" s="307" t="s">
        <v>491</v>
      </c>
      <c r="B5" s="307"/>
      <c r="C5" s="307"/>
      <c r="D5" s="307"/>
    </row>
    <row r="6" spans="1:5" x14ac:dyDescent="0.25">
      <c r="A6" s="117"/>
      <c r="B6" s="60"/>
      <c r="C6" s="60"/>
      <c r="D6" s="60"/>
    </row>
    <row r="7" spans="1:5" x14ac:dyDescent="0.25">
      <c r="A7" s="308" t="s">
        <v>112</v>
      </c>
      <c r="B7" s="310"/>
      <c r="C7" s="60"/>
      <c r="D7" s="60"/>
    </row>
    <row r="8" spans="1:5" x14ac:dyDescent="0.25">
      <c r="A8" s="117"/>
      <c r="B8" s="118"/>
      <c r="C8" s="60"/>
      <c r="D8" s="60"/>
    </row>
    <row r="9" spans="1:5" x14ac:dyDescent="0.25">
      <c r="A9" s="318" t="s">
        <v>184</v>
      </c>
      <c r="B9" s="318"/>
      <c r="C9" s="100"/>
      <c r="D9" s="100"/>
    </row>
    <row r="10" spans="1:5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5" x14ac:dyDescent="0.25">
      <c r="A11" s="64">
        <v>1</v>
      </c>
      <c r="B11" s="65">
        <v>2</v>
      </c>
      <c r="C11" s="64">
        <v>3</v>
      </c>
      <c r="D11" s="64">
        <v>4</v>
      </c>
    </row>
    <row r="12" spans="1:5" x14ac:dyDescent="0.25">
      <c r="A12" s="64"/>
      <c r="B12" s="81" t="s">
        <v>84</v>
      </c>
      <c r="C12" s="68"/>
      <c r="D12" s="68"/>
    </row>
    <row r="13" spans="1:5" x14ac:dyDescent="0.25">
      <c r="A13" s="94">
        <v>1100</v>
      </c>
      <c r="B13" s="95" t="s">
        <v>85</v>
      </c>
      <c r="C13" s="71"/>
      <c r="D13" s="71"/>
    </row>
    <row r="14" spans="1:5" ht="159" customHeight="1" x14ac:dyDescent="0.25">
      <c r="A14" s="35"/>
      <c r="B14" s="90" t="s">
        <v>445</v>
      </c>
      <c r="C14" s="18">
        <f>0.17*20+0.17*20+0.5*24</f>
        <v>18.8</v>
      </c>
      <c r="D14" s="18">
        <f>C14*1</f>
        <v>18.8</v>
      </c>
      <c r="E14" s="49"/>
    </row>
    <row r="15" spans="1:5" ht="24" x14ac:dyDescent="0.25">
      <c r="A15" s="35">
        <v>1200</v>
      </c>
      <c r="B15" s="40" t="s">
        <v>442</v>
      </c>
      <c r="C15" s="18">
        <f>ROUND(C14*0.2359,2)</f>
        <v>4.43</v>
      </c>
      <c r="D15" s="18">
        <f>C15*1</f>
        <v>4.43</v>
      </c>
    </row>
    <row r="16" spans="1:5" x14ac:dyDescent="0.25">
      <c r="A16" s="35">
        <v>2341</v>
      </c>
      <c r="B16" s="35" t="s">
        <v>118</v>
      </c>
      <c r="C16" s="74"/>
      <c r="D16" s="74"/>
    </row>
    <row r="17" spans="1:6" ht="96.6" customHeight="1" x14ac:dyDescent="0.25">
      <c r="A17" s="35"/>
      <c r="B17" s="40" t="s">
        <v>432</v>
      </c>
      <c r="C17" s="18">
        <v>10.96</v>
      </c>
      <c r="D17" s="18">
        <f>C17*1</f>
        <v>10.96</v>
      </c>
      <c r="E17" s="352"/>
      <c r="F17" s="353"/>
    </row>
    <row r="18" spans="1:6" x14ac:dyDescent="0.25">
      <c r="A18" s="35"/>
      <c r="B18" s="92" t="s">
        <v>87</v>
      </c>
      <c r="C18" s="82">
        <f>SUM(C13:C17)</f>
        <v>34.19</v>
      </c>
      <c r="D18" s="82">
        <f>SUM(D13:D17)</f>
        <v>34.19</v>
      </c>
    </row>
    <row r="19" spans="1:6" x14ac:dyDescent="0.25">
      <c r="A19" s="77"/>
      <c r="B19" s="176" t="s">
        <v>88</v>
      </c>
      <c r="C19" s="78"/>
      <c r="D19" s="78"/>
    </row>
    <row r="20" spans="1:6" x14ac:dyDescent="0.25">
      <c r="A20" s="35">
        <v>2100</v>
      </c>
      <c r="B20" s="244" t="s">
        <v>584</v>
      </c>
      <c r="C20" s="78"/>
      <c r="D20" s="78"/>
    </row>
    <row r="21" spans="1:6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6" x14ac:dyDescent="0.25">
      <c r="A22" s="35">
        <v>2210</v>
      </c>
      <c r="B22" s="40" t="s">
        <v>568</v>
      </c>
      <c r="C22" s="74"/>
      <c r="D22" s="74"/>
    </row>
    <row r="23" spans="1:6" ht="48" x14ac:dyDescent="0.25">
      <c r="A23" s="35"/>
      <c r="B23" s="40" t="s">
        <v>1950</v>
      </c>
      <c r="C23" s="18">
        <f>ROUND(228.88/9509,3)</f>
        <v>2.4E-2</v>
      </c>
      <c r="D23" s="74">
        <f t="shared" ref="D23:D85" si="0">C23*1</f>
        <v>2.4E-2</v>
      </c>
    </row>
    <row r="24" spans="1:6" x14ac:dyDescent="0.25">
      <c r="A24" s="35">
        <v>2221</v>
      </c>
      <c r="B24" s="40" t="s">
        <v>89</v>
      </c>
      <c r="C24" s="18"/>
      <c r="D24" s="74"/>
    </row>
    <row r="25" spans="1:6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6" x14ac:dyDescent="0.25">
      <c r="A26" s="35">
        <v>2222</v>
      </c>
      <c r="B26" s="242" t="s">
        <v>90</v>
      </c>
      <c r="C26" s="18"/>
      <c r="D26" s="74"/>
    </row>
    <row r="27" spans="1:6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6" x14ac:dyDescent="0.25">
      <c r="A28" s="35">
        <v>2223</v>
      </c>
      <c r="B28" s="35" t="s">
        <v>91</v>
      </c>
      <c r="C28" s="74"/>
      <c r="D28" s="74"/>
    </row>
    <row r="29" spans="1:6" ht="48" x14ac:dyDescent="0.25">
      <c r="A29" s="35"/>
      <c r="B29" s="40" t="s">
        <v>1953</v>
      </c>
      <c r="C29" s="74">
        <f>ROUND(1004.28/9509,3)</f>
        <v>0.106</v>
      </c>
      <c r="D29" s="18">
        <f t="shared" si="0"/>
        <v>0.106</v>
      </c>
    </row>
    <row r="30" spans="1:6" ht="24" x14ac:dyDescent="0.25">
      <c r="A30" s="35">
        <v>2224</v>
      </c>
      <c r="B30" s="40" t="s">
        <v>115</v>
      </c>
      <c r="C30" s="74"/>
      <c r="D30" s="74"/>
    </row>
    <row r="31" spans="1:6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6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18">
        <f>ROUND(750.97/9509,3)</f>
        <v>7.9000000000000001E-2</v>
      </c>
      <c r="D51" s="18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18">
        <f>ROUND(2620.34/9509,3)</f>
        <v>0.27600000000000002</v>
      </c>
      <c r="D53" s="18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18">
        <f>ROUND(484.21/9509,3)</f>
        <v>5.0999999999999997E-2</v>
      </c>
      <c r="D61" s="18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18">
        <f>ROUND(224.14/9509,3)</f>
        <v>2.4E-2</v>
      </c>
      <c r="D63" s="18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18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18">
        <f>ROUND(241.97/9509,3)</f>
        <v>2.5000000000000001E-2</v>
      </c>
      <c r="D67" s="18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18">
        <f>ROUND(87.42/9509,3)</f>
        <v>8.9999999999999993E-3</v>
      </c>
      <c r="D69" s="18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35.119999999999997</v>
      </c>
      <c r="D87" s="82">
        <f>ROUND(D86+D18,3)</f>
        <v>35.119999999999997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35.119999999999997</v>
      </c>
      <c r="D90" s="22"/>
    </row>
  </sheetData>
  <mergeCells count="8">
    <mergeCell ref="A89:B89"/>
    <mergeCell ref="A90:B90"/>
    <mergeCell ref="E17:F17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E90"/>
  <sheetViews>
    <sheetView topLeftCell="A77" workbookViewId="0">
      <selection activeCell="H85" sqref="H85"/>
    </sheetView>
  </sheetViews>
  <sheetFormatPr defaultRowHeight="15" x14ac:dyDescent="0.25"/>
  <cols>
    <col min="2" max="2" width="59.5703125" customWidth="1"/>
    <col min="3" max="3" width="11.85546875" customWidth="1"/>
    <col min="4" max="4" width="15.7109375" customWidth="1"/>
  </cols>
  <sheetData>
    <row r="1" spans="1:4" x14ac:dyDescent="0.25">
      <c r="A1" s="319" t="s">
        <v>78</v>
      </c>
      <c r="B1" s="319"/>
      <c r="C1" s="319"/>
      <c r="D1" s="319"/>
    </row>
    <row r="2" spans="1:4" ht="6.75" customHeight="1" x14ac:dyDescent="0.25">
      <c r="A2" s="97"/>
      <c r="B2" s="97"/>
      <c r="C2" s="316"/>
      <c r="D2" s="317"/>
    </row>
    <row r="3" spans="1:4" x14ac:dyDescent="0.25">
      <c r="A3" s="98" t="s">
        <v>111</v>
      </c>
      <c r="B3" s="99"/>
      <c r="C3" s="99"/>
      <c r="D3" s="99"/>
    </row>
    <row r="4" spans="1:4" ht="8.25" customHeight="1" x14ac:dyDescent="0.25">
      <c r="A4" s="97"/>
      <c r="B4" s="60"/>
      <c r="C4" s="60"/>
      <c r="D4" s="96"/>
    </row>
    <row r="5" spans="1:4" ht="40.5" customHeight="1" x14ac:dyDescent="0.25">
      <c r="A5" s="307" t="s">
        <v>492</v>
      </c>
      <c r="B5" s="307"/>
      <c r="C5" s="307"/>
      <c r="D5" s="307"/>
    </row>
    <row r="6" spans="1:4" ht="8.25" customHeight="1" x14ac:dyDescent="0.25">
      <c r="A6" s="117"/>
      <c r="B6" s="60"/>
      <c r="C6" s="60"/>
      <c r="D6" s="96"/>
    </row>
    <row r="7" spans="1:4" x14ac:dyDescent="0.25">
      <c r="A7" s="308" t="s">
        <v>112</v>
      </c>
      <c r="B7" s="310"/>
      <c r="C7" s="60"/>
      <c r="D7" s="96"/>
    </row>
    <row r="8" spans="1:4" ht="12.75" customHeight="1" x14ac:dyDescent="0.25">
      <c r="A8" s="117"/>
      <c r="B8" s="118"/>
      <c r="C8" s="60"/>
      <c r="D8" s="96"/>
    </row>
    <row r="9" spans="1:4" x14ac:dyDescent="0.25">
      <c r="A9" s="318" t="s">
        <v>156</v>
      </c>
      <c r="B9" s="318"/>
      <c r="C9" s="100"/>
      <c r="D9" s="96"/>
    </row>
    <row r="10" spans="1:4" ht="68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145.5" customHeight="1" x14ac:dyDescent="0.25">
      <c r="A14" s="35"/>
      <c r="B14" s="90" t="s">
        <v>443</v>
      </c>
      <c r="C14" s="18">
        <f>0.17*20+0.17*20+0.5*24</f>
        <v>18.8</v>
      </c>
      <c r="D14" s="18">
        <f>C14*3</f>
        <v>56.400000000000006</v>
      </c>
    </row>
    <row r="15" spans="1:4" ht="24" x14ac:dyDescent="0.25">
      <c r="A15" s="35">
        <v>1200</v>
      </c>
      <c r="B15" s="40" t="s">
        <v>442</v>
      </c>
      <c r="C15" s="18">
        <f>ROUND(C14*0.2359,2)</f>
        <v>4.43</v>
      </c>
      <c r="D15" s="18">
        <f>C15*3</f>
        <v>13.29</v>
      </c>
    </row>
    <row r="16" spans="1:4" x14ac:dyDescent="0.25">
      <c r="A16" s="35">
        <v>2341</v>
      </c>
      <c r="B16" s="35" t="s">
        <v>118</v>
      </c>
      <c r="C16" s="74"/>
      <c r="D16" s="74"/>
    </row>
    <row r="17" spans="1:5" ht="111.75" customHeight="1" x14ac:dyDescent="0.25">
      <c r="A17" s="35"/>
      <c r="B17" s="40" t="s">
        <v>668</v>
      </c>
      <c r="C17" s="18">
        <v>23.72</v>
      </c>
      <c r="D17" s="18">
        <f>C17*3</f>
        <v>71.16</v>
      </c>
      <c r="E17" s="185"/>
    </row>
    <row r="18" spans="1:5" x14ac:dyDescent="0.25">
      <c r="A18" s="35"/>
      <c r="B18" s="92" t="s">
        <v>87</v>
      </c>
      <c r="C18" s="82">
        <f>SUM(C13:C17)</f>
        <v>46.95</v>
      </c>
      <c r="D18" s="82">
        <f>SUM(D13:D17)</f>
        <v>140.85</v>
      </c>
    </row>
    <row r="19" spans="1:5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2026</v>
      </c>
      <c r="C21" s="74">
        <f>ROUND(31.85/9509,3)</f>
        <v>3.0000000000000001E-3</v>
      </c>
      <c r="D21" s="74">
        <f>C21*3</f>
        <v>9.0000000000000011E-3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2027</v>
      </c>
      <c r="C23" s="18">
        <f>ROUND(228.88/9509,3)</f>
        <v>2.4E-2</v>
      </c>
      <c r="D23" s="74">
        <f t="shared" ref="D23:D85" si="0">C23*3</f>
        <v>7.2000000000000008E-2</v>
      </c>
    </row>
    <row r="24" spans="1:5" x14ac:dyDescent="0.25">
      <c r="A24" s="35">
        <v>2221</v>
      </c>
      <c r="B24" s="40" t="s">
        <v>89</v>
      </c>
      <c r="C24" s="18"/>
      <c r="D24" s="74"/>
    </row>
    <row r="25" spans="1:5" ht="48" x14ac:dyDescent="0.25">
      <c r="A25" s="35"/>
      <c r="B25" s="40" t="s">
        <v>2028</v>
      </c>
      <c r="C25" s="18">
        <f>ROUND(382.73/9509,3)</f>
        <v>0.04</v>
      </c>
      <c r="D25" s="18">
        <f t="shared" si="0"/>
        <v>0.12</v>
      </c>
    </row>
    <row r="26" spans="1:5" x14ac:dyDescent="0.25">
      <c r="A26" s="35">
        <v>2222</v>
      </c>
      <c r="B26" s="242" t="s">
        <v>90</v>
      </c>
      <c r="C26" s="18"/>
      <c r="D26" s="74"/>
    </row>
    <row r="27" spans="1:5" ht="48" x14ac:dyDescent="0.25">
      <c r="A27" s="35"/>
      <c r="B27" s="40" t="s">
        <v>2029</v>
      </c>
      <c r="C27" s="74">
        <f>ROUND(38.69/9509,3)</f>
        <v>4.0000000000000001E-3</v>
      </c>
      <c r="D27" s="74">
        <f t="shared" si="0"/>
        <v>1.2E-2</v>
      </c>
    </row>
    <row r="28" spans="1:5" x14ac:dyDescent="0.25">
      <c r="A28" s="35">
        <v>2223</v>
      </c>
      <c r="B28" s="35" t="s">
        <v>91</v>
      </c>
      <c r="C28" s="74"/>
      <c r="D28" s="74"/>
    </row>
    <row r="29" spans="1:5" ht="48" x14ac:dyDescent="0.25">
      <c r="A29" s="35"/>
      <c r="B29" s="40" t="s">
        <v>2030</v>
      </c>
      <c r="C29" s="74">
        <f>ROUND(1004.28/9509,3)</f>
        <v>0.106</v>
      </c>
      <c r="D29" s="74">
        <f t="shared" si="0"/>
        <v>0.318</v>
      </c>
    </row>
    <row r="30" spans="1:5" ht="24" x14ac:dyDescent="0.25">
      <c r="A30" s="35">
        <v>2224</v>
      </c>
      <c r="B30" s="40" t="s">
        <v>115</v>
      </c>
      <c r="C30" s="74"/>
      <c r="D30" s="74"/>
    </row>
    <row r="31" spans="1:5" ht="48" x14ac:dyDescent="0.25">
      <c r="A31" s="34"/>
      <c r="B31" s="40" t="s">
        <v>2031</v>
      </c>
      <c r="C31" s="18">
        <f>ROUND(82.8/9509,3)</f>
        <v>8.9999999999999993E-3</v>
      </c>
      <c r="D31" s="18">
        <f t="shared" si="0"/>
        <v>2.6999999999999996E-2</v>
      </c>
    </row>
    <row r="32" spans="1:5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2090</v>
      </c>
      <c r="C33" s="18">
        <f>ROUND(289.4/9509,3)</f>
        <v>0.03</v>
      </c>
      <c r="D33" s="74">
        <f t="shared" si="0"/>
        <v>0.09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2033</v>
      </c>
      <c r="C35" s="74">
        <f>ROUND(20.68/9509,3)</f>
        <v>2E-3</v>
      </c>
      <c r="D35" s="74">
        <f t="shared" si="0"/>
        <v>6.0000000000000001E-3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2034</v>
      </c>
      <c r="C37" s="74">
        <f>ROUND(58.15/9509,3)</f>
        <v>6.0000000000000001E-3</v>
      </c>
      <c r="D37" s="74">
        <f t="shared" si="0"/>
        <v>1.8000000000000002E-2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2035</v>
      </c>
      <c r="C39" s="74">
        <f>ROUND(524.45/9509,3)</f>
        <v>5.5E-2</v>
      </c>
      <c r="D39" s="74">
        <f t="shared" si="0"/>
        <v>0.16500000000000001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2036</v>
      </c>
      <c r="C41" s="74">
        <f>ROUND(131.923/9509,3)</f>
        <v>1.4E-2</v>
      </c>
      <c r="D41" s="74">
        <f t="shared" si="0"/>
        <v>4.2000000000000003E-2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2037</v>
      </c>
      <c r="C43" s="18">
        <f>ROUND(360.94/9509,3)</f>
        <v>3.7999999999999999E-2</v>
      </c>
      <c r="D43" s="74">
        <f t="shared" si="0"/>
        <v>0.11399999999999999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2038</v>
      </c>
      <c r="C45" s="18">
        <f>ROUND(272.76/9509,3)</f>
        <v>2.9000000000000001E-2</v>
      </c>
      <c r="D45" s="74">
        <f t="shared" si="0"/>
        <v>8.7000000000000008E-2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2039</v>
      </c>
      <c r="C47" s="74">
        <f>ROUND(12.06/9509,3)</f>
        <v>1E-3</v>
      </c>
      <c r="D47" s="74">
        <f t="shared" si="0"/>
        <v>3.0000000000000001E-3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2040</v>
      </c>
      <c r="C49" s="74">
        <f>ROUND(23.35/9509,3)</f>
        <v>2E-3</v>
      </c>
      <c r="D49" s="74">
        <f t="shared" si="0"/>
        <v>6.0000000000000001E-3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2041</v>
      </c>
      <c r="C51" s="18">
        <f>ROUND(750.97/9509,3)</f>
        <v>7.9000000000000001E-2</v>
      </c>
      <c r="D51" s="74">
        <f t="shared" si="0"/>
        <v>0.23699999999999999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2042</v>
      </c>
      <c r="C53" s="18">
        <f>ROUND(2620.34/9509,3)</f>
        <v>0.27600000000000002</v>
      </c>
      <c r="D53" s="74">
        <f t="shared" si="0"/>
        <v>0.82800000000000007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2043</v>
      </c>
      <c r="C55" s="74">
        <f>ROUND(9.91/9509,3)</f>
        <v>1E-3</v>
      </c>
      <c r="D55" s="74">
        <f t="shared" si="0"/>
        <v>3.0000000000000001E-3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2044</v>
      </c>
      <c r="C57" s="18">
        <f>ROUND(132.32/9509,3)</f>
        <v>1.4E-2</v>
      </c>
      <c r="D57" s="74">
        <f t="shared" si="0"/>
        <v>4.2000000000000003E-2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2045</v>
      </c>
      <c r="C59" s="74">
        <f>ROUND(72.76/9509,3)</f>
        <v>8.0000000000000002E-3</v>
      </c>
      <c r="D59" s="74">
        <f t="shared" si="0"/>
        <v>2.4E-2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2046</v>
      </c>
      <c r="C61" s="18">
        <f>ROUND(484.21/9509,3)</f>
        <v>5.0999999999999997E-2</v>
      </c>
      <c r="D61" s="74">
        <f t="shared" si="0"/>
        <v>0.153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2048</v>
      </c>
      <c r="C63" s="18">
        <f>ROUND(224.14/9509,3)</f>
        <v>2.4E-2</v>
      </c>
      <c r="D63" s="74">
        <f t="shared" si="0"/>
        <v>7.2000000000000008E-2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2047</v>
      </c>
      <c r="C65" s="18">
        <f>ROUND(103.21/9509,3)</f>
        <v>1.0999999999999999E-2</v>
      </c>
      <c r="D65" s="74">
        <f t="shared" si="0"/>
        <v>3.3000000000000002E-2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2049</v>
      </c>
      <c r="C67" s="18">
        <f>ROUND(241.97/9509,3)</f>
        <v>2.5000000000000001E-2</v>
      </c>
      <c r="D67" s="74">
        <f t="shared" si="0"/>
        <v>7.5000000000000011E-2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2050</v>
      </c>
      <c r="C69" s="18">
        <f>ROUND(87.42/9509,3)</f>
        <v>8.9999999999999993E-3</v>
      </c>
      <c r="D69" s="74">
        <f t="shared" si="0"/>
        <v>2.6999999999999996E-2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2051</v>
      </c>
      <c r="C71" s="74">
        <f>ROUND(28.69/9509,3)</f>
        <v>3.0000000000000001E-3</v>
      </c>
      <c r="D71" s="74">
        <f t="shared" si="0"/>
        <v>9.0000000000000011E-3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2052</v>
      </c>
      <c r="C73" s="74">
        <f>ROUND(8.56/9509,3)</f>
        <v>1E-3</v>
      </c>
      <c r="D73" s="74">
        <f t="shared" si="0"/>
        <v>3.0000000000000001E-3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2053</v>
      </c>
      <c r="C75" s="74">
        <f>ROUND(58.04/9509,3)</f>
        <v>6.0000000000000001E-3</v>
      </c>
      <c r="D75" s="74">
        <f t="shared" si="0"/>
        <v>1.8000000000000002E-2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2054</v>
      </c>
      <c r="C77" s="74">
        <f>ROUND(249.88/9509,3)</f>
        <v>2.5999999999999999E-2</v>
      </c>
      <c r="D77" s="74">
        <f t="shared" si="0"/>
        <v>7.8E-2</v>
      </c>
    </row>
    <row r="78" spans="1:4" x14ac:dyDescent="0.25">
      <c r="A78" s="35">
        <v>5220</v>
      </c>
      <c r="B78" s="40" t="s">
        <v>119</v>
      </c>
      <c r="C78" s="18"/>
      <c r="D78" s="74"/>
    </row>
    <row r="79" spans="1:4" ht="39.75" customHeight="1" x14ac:dyDescent="0.25">
      <c r="A79" s="35"/>
      <c r="B79" s="40" t="s">
        <v>623</v>
      </c>
      <c r="C79" s="18">
        <v>0</v>
      </c>
      <c r="D79" s="74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2091</v>
      </c>
      <c r="C81" s="74">
        <f>ROUND(61.55/9509,5)</f>
        <v>6.4700000000000001E-3</v>
      </c>
      <c r="D81" s="74">
        <f t="shared" si="0"/>
        <v>1.941E-2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2092</v>
      </c>
      <c r="C83" s="74">
        <f>ROUND(88.34/9509,5)</f>
        <v>9.2899999999999996E-3</v>
      </c>
      <c r="D83" s="74">
        <f t="shared" si="0"/>
        <v>2.7869999999999999E-2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2056</v>
      </c>
      <c r="C85" s="74">
        <f>ROUND(151.09/9509,3)</f>
        <v>1.6E-2</v>
      </c>
      <c r="D85" s="74">
        <f t="shared" si="0"/>
        <v>4.8000000000000001E-2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2.79</v>
      </c>
    </row>
    <row r="87" spans="1:4" x14ac:dyDescent="0.25">
      <c r="A87" s="83"/>
      <c r="B87" s="84" t="s">
        <v>95</v>
      </c>
      <c r="C87" s="82">
        <f>ROUND(C86+C18,3)</f>
        <v>47.88</v>
      </c>
      <c r="D87" s="82">
        <f>ROUND(D86+D18,3)</f>
        <v>143.63999999999999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3</v>
      </c>
      <c r="D89" s="89"/>
    </row>
    <row r="90" spans="1:4" ht="22.5" customHeight="1" x14ac:dyDescent="0.25">
      <c r="A90" s="302" t="s">
        <v>113</v>
      </c>
      <c r="B90" s="303"/>
      <c r="C90" s="22">
        <f>D87/C89</f>
        <v>47.879999999999995</v>
      </c>
      <c r="D90" s="22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E89"/>
  <sheetViews>
    <sheetView topLeftCell="A74" workbookViewId="0">
      <selection activeCell="B20" sqref="B20"/>
    </sheetView>
  </sheetViews>
  <sheetFormatPr defaultRowHeight="15" x14ac:dyDescent="0.25"/>
  <cols>
    <col min="1" max="1" width="9.5703125" customWidth="1"/>
    <col min="2" max="2" width="56.85546875" customWidth="1"/>
    <col min="3" max="3" width="10.7109375" customWidth="1"/>
    <col min="4" max="4" width="10.85546875" customWidth="1"/>
  </cols>
  <sheetData>
    <row r="1" spans="1:5" x14ac:dyDescent="0.25">
      <c r="A1" s="315" t="s">
        <v>78</v>
      </c>
      <c r="B1" s="315"/>
      <c r="C1" s="315"/>
      <c r="D1" s="315"/>
    </row>
    <row r="2" spans="1:5" ht="9.75" customHeight="1" x14ac:dyDescent="0.25">
      <c r="A2" s="97"/>
      <c r="B2" s="97"/>
      <c r="C2" s="316"/>
      <c r="D2" s="317"/>
    </row>
    <row r="3" spans="1:5" x14ac:dyDescent="0.25">
      <c r="A3" s="98" t="s">
        <v>111</v>
      </c>
      <c r="B3" s="99"/>
      <c r="C3" s="99"/>
      <c r="D3" s="99"/>
    </row>
    <row r="4" spans="1:5" ht="9.75" customHeight="1" x14ac:dyDescent="0.25">
      <c r="A4" s="97"/>
      <c r="B4" s="60"/>
      <c r="C4" s="60"/>
      <c r="D4" s="96"/>
    </row>
    <row r="5" spans="1:5" ht="47.25" customHeight="1" x14ac:dyDescent="0.25">
      <c r="A5" s="307" t="s">
        <v>493</v>
      </c>
      <c r="B5" s="307"/>
      <c r="C5" s="307"/>
      <c r="D5" s="307"/>
    </row>
    <row r="6" spans="1:5" x14ac:dyDescent="0.25">
      <c r="A6" s="308" t="s">
        <v>112</v>
      </c>
      <c r="B6" s="310"/>
      <c r="C6" s="60"/>
      <c r="D6" s="96"/>
    </row>
    <row r="7" spans="1:5" ht="12.75" customHeight="1" x14ac:dyDescent="0.25">
      <c r="A7" s="117"/>
      <c r="B7" s="118"/>
      <c r="C7" s="60"/>
      <c r="D7" s="96"/>
    </row>
    <row r="8" spans="1:5" ht="18.75" customHeight="1" x14ac:dyDescent="0.25">
      <c r="A8" s="318" t="s">
        <v>669</v>
      </c>
      <c r="B8" s="318"/>
      <c r="C8" s="100"/>
      <c r="D8" s="96"/>
    </row>
    <row r="9" spans="1:5" ht="111.75" customHeight="1" x14ac:dyDescent="0.25">
      <c r="A9" s="63" t="s">
        <v>80</v>
      </c>
      <c r="B9" s="63" t="s">
        <v>81</v>
      </c>
      <c r="C9" s="63" t="s">
        <v>82</v>
      </c>
      <c r="D9" s="63" t="s">
        <v>83</v>
      </c>
    </row>
    <row r="10" spans="1:5" x14ac:dyDescent="0.25">
      <c r="A10" s="64">
        <v>1</v>
      </c>
      <c r="B10" s="65">
        <v>2</v>
      </c>
      <c r="C10" s="64">
        <v>3</v>
      </c>
      <c r="D10" s="64">
        <v>4</v>
      </c>
    </row>
    <row r="11" spans="1:5" x14ac:dyDescent="0.25">
      <c r="A11" s="64"/>
      <c r="B11" s="81" t="s">
        <v>84</v>
      </c>
      <c r="C11" s="68"/>
      <c r="D11" s="68"/>
    </row>
    <row r="12" spans="1:5" x14ac:dyDescent="0.25">
      <c r="A12" s="94">
        <v>1100</v>
      </c>
      <c r="B12" s="95" t="s">
        <v>85</v>
      </c>
      <c r="C12" s="71"/>
      <c r="D12" s="71"/>
    </row>
    <row r="13" spans="1:5" ht="157.5" customHeight="1" x14ac:dyDescent="0.25">
      <c r="A13" s="35"/>
      <c r="B13" s="90" t="s">
        <v>670</v>
      </c>
      <c r="C13" s="18">
        <f>0.17*20+0.17*20+0.5*24</f>
        <v>18.8</v>
      </c>
      <c r="D13" s="18">
        <f>C13*150</f>
        <v>2820</v>
      </c>
    </row>
    <row r="14" spans="1:5" ht="26.25" customHeight="1" x14ac:dyDescent="0.25">
      <c r="A14" s="35">
        <v>1200</v>
      </c>
      <c r="B14" s="40" t="s">
        <v>442</v>
      </c>
      <c r="C14" s="18">
        <f>ROUND(C13*0.2359,2)</f>
        <v>4.43</v>
      </c>
      <c r="D14" s="18">
        <f>C14*150</f>
        <v>664.5</v>
      </c>
      <c r="E14" s="181"/>
    </row>
    <row r="15" spans="1:5" x14ac:dyDescent="0.25">
      <c r="A15" s="35">
        <v>2341</v>
      </c>
      <c r="B15" s="35" t="s">
        <v>118</v>
      </c>
      <c r="C15" s="74"/>
      <c r="D15" s="74"/>
    </row>
    <row r="16" spans="1:5" ht="89.25" customHeight="1" x14ac:dyDescent="0.25">
      <c r="A16" s="35"/>
      <c r="B16" s="40" t="s">
        <v>671</v>
      </c>
      <c r="C16" s="18">
        <v>2.0099999999999998</v>
      </c>
      <c r="D16" s="18">
        <f>C16*150</f>
        <v>301.49999999999994</v>
      </c>
    </row>
    <row r="17" spans="1:5" x14ac:dyDescent="0.25">
      <c r="A17" s="84"/>
      <c r="B17" s="92" t="s">
        <v>87</v>
      </c>
      <c r="C17" s="82">
        <f>SUM(C12:C16)</f>
        <v>25.240000000000002</v>
      </c>
      <c r="D17" s="82">
        <f>SUM(D12:D16)</f>
        <v>3786</v>
      </c>
      <c r="E17" s="183"/>
    </row>
    <row r="18" spans="1:5" x14ac:dyDescent="0.25">
      <c r="A18" s="77"/>
      <c r="B18" s="176" t="s">
        <v>88</v>
      </c>
      <c r="C18" s="78"/>
      <c r="D18" s="78"/>
    </row>
    <row r="19" spans="1:5" x14ac:dyDescent="0.25">
      <c r="A19" s="35">
        <v>2100</v>
      </c>
      <c r="B19" s="246" t="s">
        <v>584</v>
      </c>
      <c r="C19" s="78"/>
      <c r="D19" s="78"/>
    </row>
    <row r="20" spans="1:5" ht="60" x14ac:dyDescent="0.25">
      <c r="A20" s="77"/>
      <c r="B20" s="40" t="s">
        <v>2093</v>
      </c>
      <c r="C20" s="74">
        <f>ROUND(31.85/9509,5)</f>
        <v>3.3500000000000001E-3</v>
      </c>
      <c r="D20" s="18">
        <f>C20*150</f>
        <v>0.50250000000000006</v>
      </c>
    </row>
    <row r="21" spans="1:5" x14ac:dyDescent="0.25">
      <c r="A21" s="35">
        <v>2210</v>
      </c>
      <c r="B21" s="40" t="s">
        <v>568</v>
      </c>
      <c r="C21" s="74"/>
      <c r="D21" s="74"/>
    </row>
    <row r="22" spans="1:5" ht="60" x14ac:dyDescent="0.25">
      <c r="A22" s="35"/>
      <c r="B22" s="40" t="s">
        <v>2094</v>
      </c>
      <c r="C22" s="74">
        <f>ROUND(228.88/9509,5)</f>
        <v>2.4070000000000001E-2</v>
      </c>
      <c r="D22" s="18">
        <f t="shared" ref="D22:D84" si="0">C22*150</f>
        <v>3.6105</v>
      </c>
    </row>
    <row r="23" spans="1:5" x14ac:dyDescent="0.25">
      <c r="A23" s="35">
        <v>2221</v>
      </c>
      <c r="B23" s="40" t="s">
        <v>89</v>
      </c>
      <c r="C23" s="18"/>
      <c r="D23" s="18"/>
    </row>
    <row r="24" spans="1:5" ht="60" x14ac:dyDescent="0.25">
      <c r="A24" s="35"/>
      <c r="B24" s="40" t="s">
        <v>2095</v>
      </c>
      <c r="C24" s="74">
        <f>ROUND(382.73/9509,5)</f>
        <v>4.0250000000000001E-2</v>
      </c>
      <c r="D24" s="18">
        <f t="shared" si="0"/>
        <v>6.0375000000000005</v>
      </c>
    </row>
    <row r="25" spans="1:5" x14ac:dyDescent="0.25">
      <c r="A25" s="35">
        <v>2222</v>
      </c>
      <c r="B25" s="242" t="s">
        <v>90</v>
      </c>
      <c r="C25" s="18"/>
      <c r="D25" s="18"/>
    </row>
    <row r="26" spans="1:5" ht="60" x14ac:dyDescent="0.25">
      <c r="A26" s="35"/>
      <c r="B26" s="40" t="s">
        <v>2096</v>
      </c>
      <c r="C26" s="74">
        <f>ROUND(38.69/9509,5)</f>
        <v>4.0699999999999998E-3</v>
      </c>
      <c r="D26" s="18">
        <f t="shared" si="0"/>
        <v>0.61049999999999993</v>
      </c>
    </row>
    <row r="27" spans="1:5" x14ac:dyDescent="0.25">
      <c r="A27" s="35">
        <v>2223</v>
      </c>
      <c r="B27" s="35" t="s">
        <v>91</v>
      </c>
      <c r="C27" s="74"/>
      <c r="D27" s="18"/>
    </row>
    <row r="28" spans="1:5" ht="60" x14ac:dyDescent="0.25">
      <c r="A28" s="35"/>
      <c r="B28" s="40" t="s">
        <v>2097</v>
      </c>
      <c r="C28" s="74">
        <f>ROUND(1004.28/9509,3)</f>
        <v>0.106</v>
      </c>
      <c r="D28" s="18">
        <f t="shared" si="0"/>
        <v>15.9</v>
      </c>
    </row>
    <row r="29" spans="1:5" ht="24" x14ac:dyDescent="0.25">
      <c r="A29" s="35">
        <v>2224</v>
      </c>
      <c r="B29" s="40" t="s">
        <v>115</v>
      </c>
      <c r="C29" s="74"/>
      <c r="D29" s="18"/>
    </row>
    <row r="30" spans="1:5" ht="60" x14ac:dyDescent="0.25">
      <c r="A30" s="34"/>
      <c r="B30" s="40" t="s">
        <v>2098</v>
      </c>
      <c r="C30" s="18">
        <f>ROUND(82.8/9509,3)</f>
        <v>8.9999999999999993E-3</v>
      </c>
      <c r="D30" s="18">
        <f t="shared" si="0"/>
        <v>1.3499999999999999</v>
      </c>
    </row>
    <row r="31" spans="1:5" x14ac:dyDescent="0.25">
      <c r="A31" s="35">
        <v>2231</v>
      </c>
      <c r="B31" s="40" t="s">
        <v>121</v>
      </c>
      <c r="C31" s="74"/>
      <c r="D31" s="18"/>
    </row>
    <row r="32" spans="1:5" ht="60" x14ac:dyDescent="0.25">
      <c r="A32" s="35"/>
      <c r="B32" s="40" t="s">
        <v>2099</v>
      </c>
      <c r="C32" s="18">
        <f>ROUND(289.4/9509,3)</f>
        <v>0.03</v>
      </c>
      <c r="D32" s="18">
        <f t="shared" si="0"/>
        <v>4.5</v>
      </c>
    </row>
    <row r="33" spans="1:4" x14ac:dyDescent="0.25">
      <c r="A33" s="35">
        <v>2233</v>
      </c>
      <c r="B33" s="242" t="s">
        <v>143</v>
      </c>
      <c r="C33" s="18"/>
      <c r="D33" s="18"/>
    </row>
    <row r="34" spans="1:4" ht="60" x14ac:dyDescent="0.25">
      <c r="A34" s="35"/>
      <c r="B34" s="40" t="s">
        <v>2100</v>
      </c>
      <c r="C34" s="74">
        <f>ROUND(20.68/9509,5)</f>
        <v>2.1700000000000001E-3</v>
      </c>
      <c r="D34" s="18">
        <f t="shared" si="0"/>
        <v>0.32550000000000001</v>
      </c>
    </row>
    <row r="35" spans="1:4" x14ac:dyDescent="0.25">
      <c r="A35" s="35">
        <v>2235</v>
      </c>
      <c r="B35" s="242" t="s">
        <v>569</v>
      </c>
      <c r="C35" s="74"/>
      <c r="D35" s="18"/>
    </row>
    <row r="36" spans="1:4" ht="60" x14ac:dyDescent="0.25">
      <c r="A36" s="35"/>
      <c r="B36" s="40" t="s">
        <v>2101</v>
      </c>
      <c r="C36" s="74">
        <f>ROUND(58.15/9509,3)</f>
        <v>6.0000000000000001E-3</v>
      </c>
      <c r="D36" s="18">
        <f t="shared" si="0"/>
        <v>0.9</v>
      </c>
    </row>
    <row r="37" spans="1:4" x14ac:dyDescent="0.25">
      <c r="A37" s="35">
        <v>2239</v>
      </c>
      <c r="B37" s="242" t="s">
        <v>570</v>
      </c>
      <c r="C37" s="74"/>
      <c r="D37" s="18"/>
    </row>
    <row r="38" spans="1:4" ht="60" x14ac:dyDescent="0.25">
      <c r="A38" s="35"/>
      <c r="B38" s="40" t="s">
        <v>2102</v>
      </c>
      <c r="C38" s="74">
        <f>ROUND(524.45/9509,3)</f>
        <v>5.5E-2</v>
      </c>
      <c r="D38" s="18">
        <f t="shared" si="0"/>
        <v>8.25</v>
      </c>
    </row>
    <row r="39" spans="1:4" x14ac:dyDescent="0.25">
      <c r="A39" s="35">
        <v>2242</v>
      </c>
      <c r="B39" s="242" t="s">
        <v>571</v>
      </c>
      <c r="C39" s="74"/>
      <c r="D39" s="18"/>
    </row>
    <row r="40" spans="1:4" ht="60" x14ac:dyDescent="0.25">
      <c r="A40" s="35"/>
      <c r="B40" s="40" t="s">
        <v>2103</v>
      </c>
      <c r="C40" s="74">
        <f>ROUND(131.923/9509,3)</f>
        <v>1.4E-2</v>
      </c>
      <c r="D40" s="18">
        <f t="shared" si="0"/>
        <v>2.1</v>
      </c>
    </row>
    <row r="41" spans="1:4" x14ac:dyDescent="0.25">
      <c r="A41" s="35">
        <v>2243</v>
      </c>
      <c r="B41" s="40" t="s">
        <v>100</v>
      </c>
      <c r="C41" s="18"/>
      <c r="D41" s="18"/>
    </row>
    <row r="42" spans="1:4" ht="60" x14ac:dyDescent="0.25">
      <c r="A42" s="35"/>
      <c r="B42" s="40" t="s">
        <v>2104</v>
      </c>
      <c r="C42" s="74">
        <f>ROUND(360.94/9509,5)</f>
        <v>3.7960000000000001E-2</v>
      </c>
      <c r="D42" s="18">
        <f t="shared" si="0"/>
        <v>5.694</v>
      </c>
    </row>
    <row r="43" spans="1:4" x14ac:dyDescent="0.25">
      <c r="A43" s="35">
        <v>2244</v>
      </c>
      <c r="B43" s="40" t="s">
        <v>92</v>
      </c>
      <c r="C43" s="18"/>
      <c r="D43" s="18"/>
    </row>
    <row r="44" spans="1:4" ht="60" x14ac:dyDescent="0.25">
      <c r="A44" s="79"/>
      <c r="B44" s="40" t="s">
        <v>2105</v>
      </c>
      <c r="C44" s="18">
        <f>ROUND(272.76/9509,3)</f>
        <v>2.9000000000000001E-2</v>
      </c>
      <c r="D44" s="18">
        <f t="shared" si="0"/>
        <v>4.3500000000000005</v>
      </c>
    </row>
    <row r="45" spans="1:4" x14ac:dyDescent="0.25">
      <c r="A45" s="35">
        <v>2247</v>
      </c>
      <c r="B45" s="242" t="s">
        <v>572</v>
      </c>
      <c r="C45" s="18"/>
      <c r="D45" s="18"/>
    </row>
    <row r="46" spans="1:4" ht="60" x14ac:dyDescent="0.25">
      <c r="A46" s="79"/>
      <c r="B46" s="40" t="s">
        <v>2106</v>
      </c>
      <c r="C46" s="74">
        <f>ROUND(12.06/9509,3)</f>
        <v>1E-3</v>
      </c>
      <c r="D46" s="18">
        <f t="shared" si="0"/>
        <v>0.15</v>
      </c>
    </row>
    <row r="47" spans="1:4" x14ac:dyDescent="0.25">
      <c r="A47" s="35">
        <v>2249</v>
      </c>
      <c r="B47" s="242" t="s">
        <v>573</v>
      </c>
      <c r="C47" s="18"/>
      <c r="D47" s="18"/>
    </row>
    <row r="48" spans="1:4" ht="66" customHeight="1" x14ac:dyDescent="0.25">
      <c r="A48" s="79"/>
      <c r="B48" s="40" t="s">
        <v>2107</v>
      </c>
      <c r="C48" s="80">
        <f>ROUND(23.35/9509,5)</f>
        <v>2.4599999999999999E-3</v>
      </c>
      <c r="D48" s="18">
        <f t="shared" si="0"/>
        <v>0.36899999999999999</v>
      </c>
    </row>
    <row r="49" spans="1:4" x14ac:dyDescent="0.25">
      <c r="A49" s="35">
        <v>2250</v>
      </c>
      <c r="B49" s="40" t="s">
        <v>122</v>
      </c>
      <c r="C49" s="74"/>
      <c r="D49" s="18"/>
    </row>
    <row r="50" spans="1:4" ht="60" x14ac:dyDescent="0.25">
      <c r="A50" s="35"/>
      <c r="B50" s="40" t="s">
        <v>2108</v>
      </c>
      <c r="C50" s="18">
        <f>ROUND(750.97/9509,5)</f>
        <v>7.8969999999999999E-2</v>
      </c>
      <c r="D50" s="18">
        <f t="shared" si="0"/>
        <v>11.845499999999999</v>
      </c>
    </row>
    <row r="51" spans="1:4" x14ac:dyDescent="0.25">
      <c r="A51" s="35">
        <v>2261</v>
      </c>
      <c r="B51" s="242" t="s">
        <v>146</v>
      </c>
      <c r="C51" s="18"/>
      <c r="D51" s="18"/>
    </row>
    <row r="52" spans="1:4" ht="60" x14ac:dyDescent="0.25">
      <c r="A52" s="35"/>
      <c r="B52" s="40" t="s">
        <v>2109</v>
      </c>
      <c r="C52" s="18">
        <f>ROUND(2620.34/9509,3)</f>
        <v>0.27600000000000002</v>
      </c>
      <c r="D52" s="18">
        <f t="shared" si="0"/>
        <v>41.400000000000006</v>
      </c>
    </row>
    <row r="53" spans="1:4" x14ac:dyDescent="0.25">
      <c r="A53" s="35">
        <v>2263</v>
      </c>
      <c r="B53" s="242" t="s">
        <v>574</v>
      </c>
      <c r="C53" s="18"/>
      <c r="D53" s="18"/>
    </row>
    <row r="54" spans="1:4" ht="60" x14ac:dyDescent="0.25">
      <c r="A54" s="35"/>
      <c r="B54" s="40" t="s">
        <v>2110</v>
      </c>
      <c r="C54" s="74">
        <f>ROUND(9.91/9509,5)</f>
        <v>1.0399999999999999E-3</v>
      </c>
      <c r="D54" s="18">
        <f t="shared" si="0"/>
        <v>0.156</v>
      </c>
    </row>
    <row r="55" spans="1:4" x14ac:dyDescent="0.25">
      <c r="A55" s="35">
        <v>2264</v>
      </c>
      <c r="B55" s="242" t="s">
        <v>575</v>
      </c>
      <c r="C55" s="18"/>
      <c r="D55" s="18"/>
    </row>
    <row r="56" spans="1:4" ht="60" x14ac:dyDescent="0.25">
      <c r="A56" s="35"/>
      <c r="B56" s="40" t="s">
        <v>2111</v>
      </c>
      <c r="C56" s="18">
        <f>ROUND(132.32/9509,3)</f>
        <v>1.4E-2</v>
      </c>
      <c r="D56" s="18">
        <f t="shared" si="0"/>
        <v>2.1</v>
      </c>
    </row>
    <row r="57" spans="1:4" x14ac:dyDescent="0.25">
      <c r="A57" s="35">
        <v>2311</v>
      </c>
      <c r="B57" s="40" t="s">
        <v>93</v>
      </c>
      <c r="C57" s="74"/>
      <c r="D57" s="18"/>
    </row>
    <row r="58" spans="1:4" ht="60" x14ac:dyDescent="0.25">
      <c r="A58" s="35"/>
      <c r="B58" s="40" t="s">
        <v>2112</v>
      </c>
      <c r="C58" s="74">
        <f>ROUND(72.76/9509,3)</f>
        <v>8.0000000000000002E-3</v>
      </c>
      <c r="D58" s="18">
        <f t="shared" si="0"/>
        <v>1.2</v>
      </c>
    </row>
    <row r="59" spans="1:4" x14ac:dyDescent="0.25">
      <c r="A59" s="35">
        <v>2312</v>
      </c>
      <c r="B59" s="40" t="s">
        <v>124</v>
      </c>
      <c r="C59" s="18"/>
      <c r="D59" s="18"/>
    </row>
    <row r="60" spans="1:4" ht="60" x14ac:dyDescent="0.25">
      <c r="A60" s="35"/>
      <c r="B60" s="40" t="s">
        <v>2113</v>
      </c>
      <c r="C60" s="18">
        <f>ROUND(484.21/9509,5)</f>
        <v>5.092E-2</v>
      </c>
      <c r="D60" s="18">
        <f t="shared" si="0"/>
        <v>7.6379999999999999</v>
      </c>
    </row>
    <row r="61" spans="1:4" x14ac:dyDescent="0.25">
      <c r="A61" s="35">
        <v>2314</v>
      </c>
      <c r="B61" s="242" t="s">
        <v>576</v>
      </c>
      <c r="C61" s="18"/>
      <c r="D61" s="18"/>
    </row>
    <row r="62" spans="1:4" ht="60" x14ac:dyDescent="0.25">
      <c r="A62" s="35"/>
      <c r="B62" s="40" t="s">
        <v>672</v>
      </c>
      <c r="C62" s="18">
        <f>ROUND(224.14/9509,5)</f>
        <v>2.3570000000000001E-2</v>
      </c>
      <c r="D62" s="18">
        <f t="shared" si="0"/>
        <v>3.5355000000000003</v>
      </c>
    </row>
    <row r="63" spans="1:4" x14ac:dyDescent="0.25">
      <c r="A63" s="35">
        <v>2322</v>
      </c>
      <c r="B63" s="243" t="s">
        <v>577</v>
      </c>
      <c r="C63" s="18"/>
      <c r="D63" s="18"/>
    </row>
    <row r="64" spans="1:4" ht="60" x14ac:dyDescent="0.25">
      <c r="A64" s="35"/>
      <c r="B64" s="40" t="s">
        <v>2114</v>
      </c>
      <c r="C64" s="18">
        <f>ROUND(103.21/9509,5)</f>
        <v>1.085E-2</v>
      </c>
      <c r="D64" s="18">
        <f t="shared" si="0"/>
        <v>1.6274999999999999</v>
      </c>
    </row>
    <row r="65" spans="1:4" x14ac:dyDescent="0.25">
      <c r="A65" s="35">
        <v>2350</v>
      </c>
      <c r="B65" s="40" t="s">
        <v>123</v>
      </c>
      <c r="C65" s="74"/>
      <c r="D65" s="18"/>
    </row>
    <row r="66" spans="1:4" ht="60" x14ac:dyDescent="0.25">
      <c r="A66" s="35"/>
      <c r="B66" s="40" t="s">
        <v>2115</v>
      </c>
      <c r="C66" s="18">
        <f>ROUND(241.97/9509,5)</f>
        <v>2.545E-2</v>
      </c>
      <c r="D66" s="18">
        <f t="shared" si="0"/>
        <v>3.8174999999999999</v>
      </c>
    </row>
    <row r="67" spans="1:4" x14ac:dyDescent="0.25">
      <c r="A67" s="35">
        <v>2361</v>
      </c>
      <c r="B67" s="242" t="s">
        <v>578</v>
      </c>
      <c r="C67" s="18"/>
      <c r="D67" s="18"/>
    </row>
    <row r="68" spans="1:4" ht="60" x14ac:dyDescent="0.25">
      <c r="A68" s="35"/>
      <c r="B68" s="40" t="s">
        <v>2116</v>
      </c>
      <c r="C68" s="18">
        <f>ROUND(87.42/9509,5)</f>
        <v>9.1900000000000003E-3</v>
      </c>
      <c r="D68" s="18">
        <f t="shared" si="0"/>
        <v>1.3785000000000001</v>
      </c>
    </row>
    <row r="69" spans="1:4" x14ac:dyDescent="0.25">
      <c r="A69" s="35">
        <v>2513</v>
      </c>
      <c r="B69" s="242" t="s">
        <v>579</v>
      </c>
      <c r="C69" s="18"/>
      <c r="D69" s="18"/>
    </row>
    <row r="70" spans="1:4" ht="60" x14ac:dyDescent="0.25">
      <c r="A70" s="35"/>
      <c r="B70" s="40" t="s">
        <v>2117</v>
      </c>
      <c r="C70" s="74">
        <f>ROUND(28.69/9509,5)</f>
        <v>3.0200000000000001E-3</v>
      </c>
      <c r="D70" s="18">
        <f t="shared" si="0"/>
        <v>0.45300000000000001</v>
      </c>
    </row>
    <row r="71" spans="1:4" x14ac:dyDescent="0.25">
      <c r="A71" s="35">
        <v>2519</v>
      </c>
      <c r="B71" s="242" t="s">
        <v>580</v>
      </c>
      <c r="C71" s="74"/>
      <c r="D71" s="18"/>
    </row>
    <row r="72" spans="1:4" ht="60" x14ac:dyDescent="0.25">
      <c r="A72" s="35"/>
      <c r="B72" s="40" t="s">
        <v>2118</v>
      </c>
      <c r="C72" s="74">
        <f>ROUND(8.56/9509,5)</f>
        <v>8.9999999999999998E-4</v>
      </c>
      <c r="D72" s="18">
        <f t="shared" si="0"/>
        <v>0.13500000000000001</v>
      </c>
    </row>
    <row r="73" spans="1:4" x14ac:dyDescent="0.25">
      <c r="A73" s="35">
        <v>5120</v>
      </c>
      <c r="B73" s="40" t="s">
        <v>101</v>
      </c>
      <c r="C73" s="74"/>
      <c r="D73" s="18"/>
    </row>
    <row r="74" spans="1:4" ht="60" x14ac:dyDescent="0.25">
      <c r="A74" s="35"/>
      <c r="B74" s="40" t="s">
        <v>2119</v>
      </c>
      <c r="C74" s="74">
        <f>ROUND(58.04/9509,5)</f>
        <v>6.1000000000000004E-3</v>
      </c>
      <c r="D74" s="18">
        <f t="shared" si="0"/>
        <v>0.91500000000000004</v>
      </c>
    </row>
    <row r="75" spans="1:4" x14ac:dyDescent="0.25">
      <c r="A75" s="35">
        <v>5210</v>
      </c>
      <c r="B75" s="243" t="s">
        <v>581</v>
      </c>
      <c r="C75" s="74"/>
      <c r="D75" s="18"/>
    </row>
    <row r="76" spans="1:4" ht="60" x14ac:dyDescent="0.25">
      <c r="A76" s="35"/>
      <c r="B76" s="40" t="s">
        <v>2120</v>
      </c>
      <c r="C76" s="74">
        <f>ROUND(249.88/9509,3)</f>
        <v>2.5999999999999999E-2</v>
      </c>
      <c r="D76" s="18">
        <f t="shared" si="0"/>
        <v>3.9</v>
      </c>
    </row>
    <row r="77" spans="1:4" x14ac:dyDescent="0.25">
      <c r="A77" s="35">
        <v>5220</v>
      </c>
      <c r="B77" s="248" t="s">
        <v>120</v>
      </c>
      <c r="C77" s="18"/>
      <c r="D77" s="18"/>
    </row>
    <row r="78" spans="1:4" ht="47.25" customHeight="1" x14ac:dyDescent="0.25">
      <c r="A78" s="35"/>
      <c r="B78" s="40" t="s">
        <v>626</v>
      </c>
      <c r="C78" s="18">
        <v>0</v>
      </c>
      <c r="D78" s="18">
        <f t="shared" si="0"/>
        <v>0</v>
      </c>
    </row>
    <row r="79" spans="1:4" x14ac:dyDescent="0.25">
      <c r="A79" s="35">
        <v>5231</v>
      </c>
      <c r="B79" s="243" t="s">
        <v>582</v>
      </c>
      <c r="C79" s="18"/>
      <c r="D79" s="18"/>
    </row>
    <row r="80" spans="1:4" ht="64.5" customHeight="1" x14ac:dyDescent="0.25">
      <c r="A80" s="35"/>
      <c r="B80" s="40" t="s">
        <v>2121</v>
      </c>
      <c r="C80" s="74">
        <f>ROUND(61.55/9509,5)</f>
        <v>6.4700000000000001E-3</v>
      </c>
      <c r="D80" s="18">
        <f t="shared" si="0"/>
        <v>0.97050000000000003</v>
      </c>
    </row>
    <row r="81" spans="1:4" x14ac:dyDescent="0.25">
      <c r="A81" s="35">
        <v>5238</v>
      </c>
      <c r="B81" s="40" t="s">
        <v>117</v>
      </c>
      <c r="C81" s="80"/>
      <c r="D81" s="18"/>
    </row>
    <row r="82" spans="1:4" ht="60" x14ac:dyDescent="0.25">
      <c r="A82" s="35"/>
      <c r="B82" s="40" t="s">
        <v>2122</v>
      </c>
      <c r="C82" s="253">
        <f>ROUND(88.34/9509,4)</f>
        <v>9.2999999999999992E-3</v>
      </c>
      <c r="D82" s="18">
        <f t="shared" si="0"/>
        <v>1.3949999999999998</v>
      </c>
    </row>
    <row r="83" spans="1:4" x14ac:dyDescent="0.25">
      <c r="A83" s="35">
        <v>5239</v>
      </c>
      <c r="B83" s="243" t="s">
        <v>583</v>
      </c>
      <c r="C83" s="74"/>
      <c r="D83" s="18"/>
    </row>
    <row r="84" spans="1:4" ht="60" x14ac:dyDescent="0.25">
      <c r="A84" s="35"/>
      <c r="B84" s="40" t="s">
        <v>2123</v>
      </c>
      <c r="C84" s="74">
        <f>ROUND(151.09/9509,4)</f>
        <v>1.5900000000000001E-2</v>
      </c>
      <c r="D84" s="18">
        <f t="shared" si="0"/>
        <v>2.3850000000000002</v>
      </c>
    </row>
    <row r="85" spans="1:4" x14ac:dyDescent="0.25">
      <c r="A85" s="35"/>
      <c r="B85" s="81" t="s">
        <v>94</v>
      </c>
      <c r="C85" s="82">
        <f>ROUND(C20+C22+C24+C26+C28+C30+C32+C34+C36+C38+C40+C42+C44+C46+C48+C50+C52+C54+C56+C58+C60+C62+C64+C66+C68+C70+C72+C74+C76+C80+C82+C84,2)</f>
        <v>0.93</v>
      </c>
      <c r="D85" s="82">
        <f>ROUND(D20+D22+D24+D26+D28+D30+D32+D34+D36+D38+D40+D42+D44+D46+D48+D50+D52+D54+D56+D58+D60+D62+D64+D66+D68+D70+D72+D74+D76+D80+D82+D84,2)</f>
        <v>139.5</v>
      </c>
    </row>
    <row r="86" spans="1:4" x14ac:dyDescent="0.25">
      <c r="A86" s="83"/>
      <c r="B86" s="84" t="s">
        <v>95</v>
      </c>
      <c r="C86" s="82">
        <f>ROUND(C85+C17,3)</f>
        <v>26.17</v>
      </c>
      <c r="D86" s="82">
        <f>ROUND(D85+D17,3)</f>
        <v>3925.5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150</v>
      </c>
      <c r="D88" s="89"/>
    </row>
    <row r="89" spans="1:4" ht="27.75" customHeight="1" x14ac:dyDescent="0.25">
      <c r="A89" s="302" t="s">
        <v>113</v>
      </c>
      <c r="B89" s="303"/>
      <c r="C89" s="22">
        <f>D86/C88</f>
        <v>26.17</v>
      </c>
      <c r="D89" s="89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D90"/>
  <sheetViews>
    <sheetView topLeftCell="A77" workbookViewId="0">
      <selection activeCell="G88" sqref="G88"/>
    </sheetView>
  </sheetViews>
  <sheetFormatPr defaultRowHeight="15" x14ac:dyDescent="0.25"/>
  <cols>
    <col min="1" max="1" width="9.7109375" customWidth="1"/>
    <col min="2" max="2" width="54.42578125" customWidth="1"/>
    <col min="4" max="4" width="11" customWidth="1"/>
  </cols>
  <sheetData>
    <row r="1" spans="1:4" x14ac:dyDescent="0.25">
      <c r="A1" s="319" t="s">
        <v>78</v>
      </c>
      <c r="B1" s="319"/>
      <c r="C1" s="319"/>
      <c r="D1" s="319"/>
    </row>
    <row r="2" spans="1:4" ht="16.5" customHeight="1" x14ac:dyDescent="0.25">
      <c r="A2" s="97"/>
      <c r="B2" s="97"/>
      <c r="C2" s="316"/>
      <c r="D2" s="316"/>
    </row>
    <row r="3" spans="1:4" x14ac:dyDescent="0.25">
      <c r="A3" s="98" t="s">
        <v>111</v>
      </c>
      <c r="B3" s="99"/>
      <c r="C3" s="99"/>
      <c r="D3" s="99"/>
    </row>
    <row r="4" spans="1:4" ht="7.5" customHeight="1" x14ac:dyDescent="0.25">
      <c r="A4" s="97"/>
      <c r="B4" s="60"/>
      <c r="C4" s="60"/>
      <c r="D4" s="60"/>
    </row>
    <row r="5" spans="1:4" ht="43.5" customHeight="1" x14ac:dyDescent="0.25">
      <c r="A5" s="307" t="s">
        <v>494</v>
      </c>
      <c r="B5" s="307"/>
      <c r="C5" s="307"/>
      <c r="D5" s="307"/>
    </row>
    <row r="6" spans="1:4" ht="14.25" customHeight="1" x14ac:dyDescent="0.25">
      <c r="A6" s="117"/>
      <c r="B6" s="60"/>
      <c r="C6" s="60"/>
      <c r="D6" s="60"/>
    </row>
    <row r="7" spans="1:4" x14ac:dyDescent="0.25">
      <c r="A7" s="308" t="s">
        <v>112</v>
      </c>
      <c r="B7" s="310"/>
      <c r="C7" s="60"/>
      <c r="D7" s="60"/>
    </row>
    <row r="8" spans="1:4" ht="10.5" customHeight="1" x14ac:dyDescent="0.25">
      <c r="A8" s="117"/>
      <c r="B8" s="118"/>
      <c r="C8" s="60"/>
      <c r="D8" s="60"/>
    </row>
    <row r="9" spans="1:4" x14ac:dyDescent="0.25">
      <c r="A9" s="318" t="s">
        <v>106</v>
      </c>
      <c r="B9" s="318"/>
      <c r="C9" s="100"/>
      <c r="D9" s="100"/>
    </row>
    <row r="10" spans="1:4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162" customHeight="1" x14ac:dyDescent="0.25">
      <c r="A14" s="35"/>
      <c r="B14" s="90" t="s">
        <v>673</v>
      </c>
      <c r="C14" s="18">
        <f>0.17*10+0.17*10+0.5*24</f>
        <v>15.4</v>
      </c>
      <c r="D14" s="18">
        <f>C14*10</f>
        <v>154</v>
      </c>
    </row>
    <row r="15" spans="1:4" ht="24" x14ac:dyDescent="0.25">
      <c r="A15" s="35">
        <v>1200</v>
      </c>
      <c r="B15" s="40" t="s">
        <v>448</v>
      </c>
      <c r="C15" s="18">
        <f>ROUND(C14*0.2359,2)</f>
        <v>3.63</v>
      </c>
      <c r="D15" s="18">
        <f>C15*10</f>
        <v>36.299999999999997</v>
      </c>
    </row>
    <row r="16" spans="1:4" x14ac:dyDescent="0.25">
      <c r="A16" s="35">
        <v>2341</v>
      </c>
      <c r="B16" s="35" t="s">
        <v>118</v>
      </c>
      <c r="C16" s="74"/>
      <c r="D16" s="74"/>
    </row>
    <row r="17" spans="1:4" ht="99" customHeight="1" x14ac:dyDescent="0.25">
      <c r="A17" s="35"/>
      <c r="B17" s="40" t="s">
        <v>428</v>
      </c>
      <c r="C17" s="18">
        <v>1.43</v>
      </c>
      <c r="D17" s="18">
        <f>C17*10</f>
        <v>14.299999999999999</v>
      </c>
    </row>
    <row r="18" spans="1:4" x14ac:dyDescent="0.25">
      <c r="A18" s="35"/>
      <c r="B18" s="92" t="s">
        <v>87</v>
      </c>
      <c r="C18" s="82">
        <f>SUM(C13:C17)</f>
        <v>20.46</v>
      </c>
      <c r="D18" s="82">
        <f>SUM(D13:D17)</f>
        <v>204.60000000000002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60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60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60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60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60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60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60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60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60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60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60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60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60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60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60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60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60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60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60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60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60" x14ac:dyDescent="0.25">
      <c r="A63" s="35"/>
      <c r="B63" s="40" t="s">
        <v>1578</v>
      </c>
      <c r="C63" s="18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60" x14ac:dyDescent="0.25">
      <c r="A65" s="35"/>
      <c r="B65" s="40" t="s">
        <v>1577</v>
      </c>
      <c r="C65" s="18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60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60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60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60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60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60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60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60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60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21.39</v>
      </c>
      <c r="D87" s="82">
        <f>ROUND(D86+D18,3)</f>
        <v>213.9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5.5" customHeight="1" x14ac:dyDescent="0.25">
      <c r="A90" s="302" t="s">
        <v>113</v>
      </c>
      <c r="B90" s="303"/>
      <c r="C90" s="22">
        <f>D87/C89</f>
        <v>21.39</v>
      </c>
      <c r="D90" s="89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E90"/>
  <sheetViews>
    <sheetView topLeftCell="A75" workbookViewId="0">
      <selection activeCell="F85" sqref="F85"/>
    </sheetView>
  </sheetViews>
  <sheetFormatPr defaultRowHeight="15" x14ac:dyDescent="0.25"/>
  <cols>
    <col min="2" max="2" width="60" customWidth="1"/>
    <col min="3" max="3" width="12.42578125" customWidth="1"/>
    <col min="4" max="4" width="13" customWidth="1"/>
  </cols>
  <sheetData>
    <row r="1" spans="1:4" x14ac:dyDescent="0.25">
      <c r="A1" s="319" t="s">
        <v>78</v>
      </c>
      <c r="B1" s="319"/>
      <c r="C1" s="319"/>
      <c r="D1" s="319"/>
    </row>
    <row r="2" spans="1:4" x14ac:dyDescent="0.25">
      <c r="A2" s="119"/>
      <c r="B2" s="119"/>
      <c r="C2" s="119"/>
      <c r="D2" s="119"/>
    </row>
    <row r="3" spans="1:4" x14ac:dyDescent="0.25">
      <c r="A3" s="98" t="s">
        <v>111</v>
      </c>
      <c r="B3" s="119"/>
      <c r="C3" s="119"/>
      <c r="D3" s="119"/>
    </row>
    <row r="4" spans="1:4" ht="41.25" customHeight="1" x14ac:dyDescent="0.25">
      <c r="A4" s="307" t="s">
        <v>495</v>
      </c>
      <c r="B4" s="307"/>
      <c r="C4" s="307"/>
      <c r="D4" s="307"/>
    </row>
    <row r="5" spans="1:4" ht="9" customHeight="1" x14ac:dyDescent="0.25">
      <c r="A5" s="117"/>
      <c r="B5" s="60"/>
      <c r="C5" s="60"/>
      <c r="D5" s="96"/>
    </row>
    <row r="6" spans="1:4" x14ac:dyDescent="0.25">
      <c r="A6" s="308" t="s">
        <v>112</v>
      </c>
      <c r="B6" s="310"/>
      <c r="C6" s="60"/>
      <c r="D6" s="96"/>
    </row>
    <row r="7" spans="1:4" ht="9" customHeight="1" x14ac:dyDescent="0.25">
      <c r="A7" s="117"/>
      <c r="B7" s="118"/>
      <c r="C7" s="60"/>
      <c r="D7" s="96"/>
    </row>
    <row r="8" spans="1:4" x14ac:dyDescent="0.25">
      <c r="A8" s="318" t="s">
        <v>110</v>
      </c>
      <c r="B8" s="318"/>
      <c r="C8" s="60"/>
      <c r="D8" s="96"/>
    </row>
    <row r="9" spans="1:4" ht="9" customHeight="1" x14ac:dyDescent="0.25">
      <c r="A9" s="97"/>
      <c r="B9" s="101"/>
      <c r="C9" s="100"/>
      <c r="D9" s="96"/>
    </row>
    <row r="10" spans="1:4" ht="106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71"/>
    </row>
    <row r="14" spans="1:4" ht="149.25" customHeight="1" x14ac:dyDescent="0.25">
      <c r="A14" s="35"/>
      <c r="B14" s="90" t="s">
        <v>674</v>
      </c>
      <c r="C14" s="18">
        <f>0.17*15+0.17*15+0.5*24</f>
        <v>17.100000000000001</v>
      </c>
      <c r="D14" s="18">
        <f>C14*5</f>
        <v>85.5</v>
      </c>
    </row>
    <row r="15" spans="1:4" ht="24" x14ac:dyDescent="0.25">
      <c r="A15" s="35">
        <v>1200</v>
      </c>
      <c r="B15" s="40" t="s">
        <v>449</v>
      </c>
      <c r="C15" s="18">
        <f>ROUND(C14*0.2359,2)</f>
        <v>4.03</v>
      </c>
      <c r="D15" s="18">
        <f>C15*5</f>
        <v>20.150000000000002</v>
      </c>
    </row>
    <row r="16" spans="1:4" x14ac:dyDescent="0.25">
      <c r="A16" s="35">
        <v>2341</v>
      </c>
      <c r="B16" s="35" t="s">
        <v>107</v>
      </c>
      <c r="C16" s="74"/>
      <c r="D16" s="74"/>
    </row>
    <row r="17" spans="1:5" ht="93.75" customHeight="1" x14ac:dyDescent="0.25">
      <c r="A17" s="35"/>
      <c r="B17" s="40" t="s">
        <v>657</v>
      </c>
      <c r="C17" s="18">
        <v>5.24</v>
      </c>
      <c r="D17" s="18">
        <f>C17*5</f>
        <v>26.200000000000003</v>
      </c>
      <c r="E17" s="186"/>
    </row>
    <row r="18" spans="1:5" x14ac:dyDescent="0.25">
      <c r="A18" s="35"/>
      <c r="B18" s="92" t="s">
        <v>87</v>
      </c>
      <c r="C18" s="82">
        <f>SUM(C13:C17)</f>
        <v>26.370000000000005</v>
      </c>
      <c r="D18" s="82">
        <f>SUM(D13:D17)</f>
        <v>131.85000000000002</v>
      </c>
    </row>
    <row r="19" spans="1:5" ht="18" customHeight="1" x14ac:dyDescent="0.25">
      <c r="A19" s="77"/>
      <c r="B19" s="176" t="s">
        <v>88</v>
      </c>
      <c r="C19" s="78"/>
      <c r="D19" s="78"/>
    </row>
    <row r="20" spans="1:5" x14ac:dyDescent="0.25">
      <c r="A20" s="35">
        <v>2100</v>
      </c>
      <c r="B20" s="244" t="s">
        <v>584</v>
      </c>
      <c r="C20" s="78"/>
      <c r="D20" s="78"/>
    </row>
    <row r="21" spans="1:5" ht="48" x14ac:dyDescent="0.25">
      <c r="A21" s="77"/>
      <c r="B21" s="40" t="s">
        <v>1652</v>
      </c>
      <c r="C21" s="74">
        <f>ROUND(31.85/9509,5)</f>
        <v>3.3500000000000001E-3</v>
      </c>
      <c r="D21" s="18">
        <f>C21*5</f>
        <v>1.6750000000000001E-2</v>
      </c>
    </row>
    <row r="22" spans="1:5" x14ac:dyDescent="0.25">
      <c r="A22" s="35">
        <v>2210</v>
      </c>
      <c r="B22" s="40" t="s">
        <v>568</v>
      </c>
      <c r="C22" s="74"/>
      <c r="D22" s="74"/>
    </row>
    <row r="23" spans="1:5" ht="48" x14ac:dyDescent="0.25">
      <c r="A23" s="35"/>
      <c r="B23" s="40" t="s">
        <v>1653</v>
      </c>
      <c r="C23" s="18">
        <f>ROUND(228.88/9509,5)</f>
        <v>2.4070000000000001E-2</v>
      </c>
      <c r="D23" s="18">
        <f t="shared" ref="D23:D85" si="0">C23*5</f>
        <v>0.12035000000000001</v>
      </c>
    </row>
    <row r="24" spans="1:5" x14ac:dyDescent="0.25">
      <c r="A24" s="35">
        <v>2221</v>
      </c>
      <c r="B24" s="40" t="s">
        <v>89</v>
      </c>
      <c r="C24" s="18"/>
      <c r="D24" s="18"/>
    </row>
    <row r="25" spans="1:5" ht="48" x14ac:dyDescent="0.25">
      <c r="A25" s="35"/>
      <c r="B25" s="40" t="s">
        <v>1654</v>
      </c>
      <c r="C25" s="18">
        <f>ROUND(382.73/9509,5)</f>
        <v>4.0250000000000001E-2</v>
      </c>
      <c r="D25" s="18">
        <f t="shared" si="0"/>
        <v>0.20125000000000001</v>
      </c>
    </row>
    <row r="26" spans="1:5" x14ac:dyDescent="0.25">
      <c r="A26" s="35">
        <v>2222</v>
      </c>
      <c r="B26" s="242" t="s">
        <v>90</v>
      </c>
      <c r="C26" s="18"/>
      <c r="D26" s="18"/>
    </row>
    <row r="27" spans="1:5" ht="48" x14ac:dyDescent="0.25">
      <c r="A27" s="35"/>
      <c r="B27" s="40" t="s">
        <v>1655</v>
      </c>
      <c r="C27" s="74">
        <f>ROUND(38.69/9509,5)</f>
        <v>4.0699999999999998E-3</v>
      </c>
      <c r="D27" s="18">
        <f t="shared" si="0"/>
        <v>2.035E-2</v>
      </c>
    </row>
    <row r="28" spans="1:5" x14ac:dyDescent="0.25">
      <c r="A28" s="35">
        <v>2223</v>
      </c>
      <c r="B28" s="35" t="s">
        <v>91</v>
      </c>
      <c r="C28" s="74"/>
      <c r="D28" s="18"/>
    </row>
    <row r="29" spans="1:5" ht="48" x14ac:dyDescent="0.25">
      <c r="A29" s="35"/>
      <c r="B29" s="40" t="s">
        <v>1656</v>
      </c>
      <c r="C29" s="74">
        <f>ROUND(1004.28/9509,5)</f>
        <v>0.10561</v>
      </c>
      <c r="D29" s="18">
        <f t="shared" si="0"/>
        <v>0.52805000000000002</v>
      </c>
    </row>
    <row r="30" spans="1:5" ht="24" x14ac:dyDescent="0.25">
      <c r="A30" s="35">
        <v>2224</v>
      </c>
      <c r="B30" s="40" t="s">
        <v>115</v>
      </c>
      <c r="C30" s="74"/>
      <c r="D30" s="18"/>
    </row>
    <row r="31" spans="1:5" ht="48" x14ac:dyDescent="0.25">
      <c r="A31" s="34"/>
      <c r="B31" s="40" t="s">
        <v>1657</v>
      </c>
      <c r="C31" s="18">
        <f>ROUND(82.8/9509,5)</f>
        <v>8.7100000000000007E-3</v>
      </c>
      <c r="D31" s="18">
        <f t="shared" si="0"/>
        <v>4.3550000000000005E-2</v>
      </c>
    </row>
    <row r="32" spans="1:5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1901</v>
      </c>
      <c r="C33" s="18">
        <f>ROUND(289.4/9509,5)</f>
        <v>3.0429999999999999E-2</v>
      </c>
      <c r="D33" s="18">
        <f t="shared" si="0"/>
        <v>0.15215000000000001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2019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1663</v>
      </c>
      <c r="C43" s="18">
        <f>ROUND(360.94/9509,5)</f>
        <v>3.7960000000000001E-2</v>
      </c>
      <c r="D43" s="18">
        <f t="shared" si="0"/>
        <v>0.1898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1664</v>
      </c>
      <c r="C45" s="18">
        <f>ROUND(272.76/9509,5)</f>
        <v>2.8680000000000001E-2</v>
      </c>
      <c r="D45" s="18">
        <f t="shared" si="0"/>
        <v>0.1434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1665</v>
      </c>
      <c r="C47" s="74">
        <f>ROUND(12.06/9509,5)</f>
        <v>1.2700000000000001E-3</v>
      </c>
      <c r="D47" s="18">
        <f t="shared" si="0"/>
        <v>6.3500000000000006E-3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1666</v>
      </c>
      <c r="C49" s="74">
        <f>ROUND(23.35/9509,5)</f>
        <v>2.4599999999999999E-3</v>
      </c>
      <c r="D49" s="18">
        <f t="shared" si="0"/>
        <v>1.23E-2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1675</v>
      </c>
      <c r="C67" s="18">
        <f>ROUND(241.97/9509,5)</f>
        <v>2.545E-2</v>
      </c>
      <c r="D67" s="18">
        <f t="shared" si="0"/>
        <v>0.12725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1676</v>
      </c>
      <c r="C69" s="18">
        <f>ROUND(87.42/9509,5)</f>
        <v>9.1900000000000003E-3</v>
      </c>
      <c r="D69" s="18">
        <f t="shared" si="0"/>
        <v>4.5950000000000005E-2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1677</v>
      </c>
      <c r="C71" s="74">
        <f>ROUND(28.69/9509,5)</f>
        <v>3.0200000000000001E-3</v>
      </c>
      <c r="D71" s="18">
        <f t="shared" si="0"/>
        <v>1.5100000000000001E-2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1679</v>
      </c>
      <c r="C75" s="74">
        <f>ROUND(58.04/9509,5)</f>
        <v>6.1000000000000004E-3</v>
      </c>
      <c r="D75" s="18">
        <f t="shared" si="0"/>
        <v>3.0500000000000003E-2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1680</v>
      </c>
      <c r="C77" s="74">
        <f>ROUND(249.88/9509,3)</f>
        <v>2.5999999999999999E-2</v>
      </c>
      <c r="D77" s="18">
        <f t="shared" si="0"/>
        <v>0.13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1683</v>
      </c>
      <c r="C85" s="74">
        <f>ROUND(151.09/9509,5)</f>
        <v>1.5890000000000001E-2</v>
      </c>
      <c r="D85" s="18">
        <f t="shared" si="0"/>
        <v>7.9450000000000007E-2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27.3</v>
      </c>
      <c r="D87" s="82">
        <f>ROUND(D86+D18,3)</f>
        <v>136.5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27.3</v>
      </c>
      <c r="D90" s="89"/>
    </row>
  </sheetData>
  <mergeCells count="6">
    <mergeCell ref="A89:B89"/>
    <mergeCell ref="A90:B90"/>
    <mergeCell ref="A1:D1"/>
    <mergeCell ref="A4:D4"/>
    <mergeCell ref="A6:B6"/>
    <mergeCell ref="A8:B8"/>
  </mergeCells>
  <pageMargins left="0.7" right="0.7" top="0.75" bottom="0.75" header="0.3" footer="0.3"/>
  <pageSetup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J91"/>
  <sheetViews>
    <sheetView topLeftCell="A75" workbookViewId="0">
      <selection activeCell="F85" sqref="F85"/>
    </sheetView>
  </sheetViews>
  <sheetFormatPr defaultRowHeight="15" x14ac:dyDescent="0.25"/>
  <cols>
    <col min="1" max="1" width="9.5703125" customWidth="1"/>
    <col min="2" max="2" width="58.85546875" customWidth="1"/>
    <col min="3" max="3" width="10.7109375" customWidth="1"/>
    <col min="4" max="4" width="15.42578125" customWidth="1"/>
  </cols>
  <sheetData>
    <row r="1" spans="1:4" x14ac:dyDescent="0.25">
      <c r="A1" s="319" t="s">
        <v>78</v>
      </c>
      <c r="B1" s="319"/>
      <c r="C1" s="319"/>
      <c r="D1" s="319"/>
    </row>
    <row r="2" spans="1:4" ht="11.25" customHeight="1" x14ac:dyDescent="0.25">
      <c r="A2" s="119"/>
      <c r="B2" s="119"/>
      <c r="C2" s="119"/>
      <c r="D2" s="119"/>
    </row>
    <row r="3" spans="1:4" x14ac:dyDescent="0.25">
      <c r="A3" s="98" t="s">
        <v>111</v>
      </c>
      <c r="B3" s="99"/>
      <c r="C3" s="99"/>
      <c r="D3" s="99"/>
    </row>
    <row r="4" spans="1:4" ht="12.75" customHeight="1" x14ac:dyDescent="0.25">
      <c r="A4" s="97"/>
      <c r="B4" s="60"/>
      <c r="C4" s="60"/>
      <c r="D4" s="96"/>
    </row>
    <row r="5" spans="1:4" ht="54" customHeight="1" x14ac:dyDescent="0.25">
      <c r="A5" s="307" t="s">
        <v>496</v>
      </c>
      <c r="B5" s="307"/>
      <c r="C5" s="307"/>
      <c r="D5" s="307"/>
    </row>
    <row r="6" spans="1:4" ht="6.75" customHeight="1" x14ac:dyDescent="0.25">
      <c r="A6" s="117"/>
      <c r="B6" s="60"/>
      <c r="C6" s="60"/>
      <c r="D6" s="96"/>
    </row>
    <row r="7" spans="1:4" x14ac:dyDescent="0.25">
      <c r="A7" s="308" t="s">
        <v>112</v>
      </c>
      <c r="B7" s="310"/>
      <c r="C7" s="60"/>
      <c r="D7" s="96"/>
    </row>
    <row r="8" spans="1:4" ht="3.75" customHeight="1" x14ac:dyDescent="0.25">
      <c r="A8" s="117"/>
      <c r="B8" s="118"/>
      <c r="C8" s="60"/>
      <c r="D8" s="96"/>
    </row>
    <row r="9" spans="1:4" x14ac:dyDescent="0.25">
      <c r="A9" s="318" t="s">
        <v>184</v>
      </c>
      <c r="B9" s="318"/>
      <c r="C9" s="60"/>
      <c r="D9" s="96"/>
    </row>
    <row r="10" spans="1:4" ht="73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4" x14ac:dyDescent="0.25">
      <c r="A11" s="64">
        <v>1</v>
      </c>
      <c r="B11" s="65">
        <v>2</v>
      </c>
      <c r="C11" s="64">
        <v>3</v>
      </c>
      <c r="D11" s="64">
        <v>4</v>
      </c>
    </row>
    <row r="12" spans="1:4" x14ac:dyDescent="0.25">
      <c r="A12" s="64"/>
      <c r="B12" s="81" t="s">
        <v>84</v>
      </c>
      <c r="C12" s="68"/>
      <c r="D12" s="68"/>
    </row>
    <row r="13" spans="1:4" x14ac:dyDescent="0.25">
      <c r="A13" s="94">
        <v>1100</v>
      </c>
      <c r="B13" s="95" t="s">
        <v>85</v>
      </c>
      <c r="C13" s="71"/>
      <c r="D13" s="68"/>
    </row>
    <row r="14" spans="1:4" ht="159" customHeight="1" x14ac:dyDescent="0.25">
      <c r="A14" s="35"/>
      <c r="B14" s="90" t="s">
        <v>447</v>
      </c>
      <c r="C14" s="18">
        <f>0.17*10+0.17*10+0.5*24</f>
        <v>15.4</v>
      </c>
      <c r="D14" s="18">
        <f>C14*1</f>
        <v>15.4</v>
      </c>
    </row>
    <row r="15" spans="1:4" ht="24" x14ac:dyDescent="0.25">
      <c r="A15" s="35">
        <v>1200</v>
      </c>
      <c r="B15" s="40" t="s">
        <v>448</v>
      </c>
      <c r="C15" s="18">
        <f>ROUND(C14*0.2359,2)</f>
        <v>3.63</v>
      </c>
      <c r="D15" s="18">
        <f t="shared" ref="D15:D17" si="0">C15*1</f>
        <v>3.63</v>
      </c>
    </row>
    <row r="16" spans="1:4" x14ac:dyDescent="0.25">
      <c r="A16" s="35">
        <v>2341</v>
      </c>
      <c r="B16" s="35" t="s">
        <v>97</v>
      </c>
      <c r="C16" s="74"/>
      <c r="D16" s="18"/>
    </row>
    <row r="17" spans="1:10" ht="77.25" customHeight="1" x14ac:dyDescent="0.25">
      <c r="A17" s="35"/>
      <c r="B17" s="40" t="s">
        <v>451</v>
      </c>
      <c r="C17" s="18">
        <v>5.66</v>
      </c>
      <c r="D17" s="18">
        <f t="shared" si="0"/>
        <v>5.66</v>
      </c>
      <c r="E17" s="189"/>
      <c r="F17" s="190"/>
      <c r="G17" s="190"/>
      <c r="H17" s="190"/>
      <c r="I17" s="190"/>
      <c r="J17" s="190"/>
    </row>
    <row r="18" spans="1:10" x14ac:dyDescent="0.25">
      <c r="A18" s="84"/>
      <c r="B18" s="92" t="s">
        <v>87</v>
      </c>
      <c r="C18" s="82">
        <f>SUM(C13:C17)</f>
        <v>24.69</v>
      </c>
      <c r="D18" s="82">
        <f>SUM(D13:D17)</f>
        <v>24.69</v>
      </c>
    </row>
    <row r="19" spans="1:10" x14ac:dyDescent="0.25">
      <c r="A19" s="77"/>
      <c r="B19" s="176" t="s">
        <v>88</v>
      </c>
      <c r="C19" s="78"/>
      <c r="D19" s="78"/>
    </row>
    <row r="20" spans="1:10" x14ac:dyDescent="0.25">
      <c r="A20" s="35">
        <v>2100</v>
      </c>
      <c r="B20" s="244" t="s">
        <v>584</v>
      </c>
      <c r="C20" s="78"/>
      <c r="D20" s="78"/>
    </row>
    <row r="21" spans="1:10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10" x14ac:dyDescent="0.25">
      <c r="A22" s="35">
        <v>2210</v>
      </c>
      <c r="B22" s="40" t="s">
        <v>568</v>
      </c>
      <c r="C22" s="74"/>
      <c r="D22" s="74"/>
    </row>
    <row r="23" spans="1:10" ht="60" x14ac:dyDescent="0.25">
      <c r="A23" s="35"/>
      <c r="B23" s="40" t="s">
        <v>1950</v>
      </c>
      <c r="C23" s="74">
        <f>ROUND(228.88/9509,3)</f>
        <v>2.4E-2</v>
      </c>
      <c r="D23" s="74">
        <f t="shared" ref="D23:D85" si="1">C23*1</f>
        <v>2.4E-2</v>
      </c>
    </row>
    <row r="24" spans="1:10" x14ac:dyDescent="0.25">
      <c r="A24" s="35">
        <v>2221</v>
      </c>
      <c r="B24" s="40" t="s">
        <v>89</v>
      </c>
      <c r="C24" s="18"/>
      <c r="D24" s="74"/>
    </row>
    <row r="25" spans="1:10" ht="48" x14ac:dyDescent="0.25">
      <c r="A25" s="35"/>
      <c r="B25" s="40" t="s">
        <v>1951</v>
      </c>
      <c r="C25" s="18">
        <f>ROUND(382.73/9509,3)</f>
        <v>0.04</v>
      </c>
      <c r="D25" s="18">
        <f t="shared" si="1"/>
        <v>0.04</v>
      </c>
    </row>
    <row r="26" spans="1:10" x14ac:dyDescent="0.25">
      <c r="A26" s="35">
        <v>2222</v>
      </c>
      <c r="B26" s="242" t="s">
        <v>90</v>
      </c>
      <c r="C26" s="18"/>
      <c r="D26" s="74"/>
    </row>
    <row r="27" spans="1:10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1"/>
        <v>4.0000000000000001E-3</v>
      </c>
    </row>
    <row r="28" spans="1:10" x14ac:dyDescent="0.25">
      <c r="A28" s="35">
        <v>2223</v>
      </c>
      <c r="B28" s="35" t="s">
        <v>91</v>
      </c>
      <c r="C28" s="74"/>
      <c r="D28" s="74"/>
    </row>
    <row r="29" spans="1:10" ht="60" x14ac:dyDescent="0.25">
      <c r="A29" s="35"/>
      <c r="B29" s="40" t="s">
        <v>1953</v>
      </c>
      <c r="C29" s="74">
        <f>ROUND(1004.28/9509,3)</f>
        <v>0.106</v>
      </c>
      <c r="D29" s="74">
        <f t="shared" si="1"/>
        <v>0.106</v>
      </c>
    </row>
    <row r="30" spans="1:10" ht="24" x14ac:dyDescent="0.25">
      <c r="A30" s="35">
        <v>2224</v>
      </c>
      <c r="B30" s="40" t="s">
        <v>115</v>
      </c>
      <c r="C30" s="74"/>
      <c r="D30" s="74"/>
    </row>
    <row r="31" spans="1:10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1"/>
        <v>8.9999999999999993E-3</v>
      </c>
    </row>
    <row r="32" spans="1:10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1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1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1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1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1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1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1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1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1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1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18">
        <f>ROUND(2620.34/9509,3)</f>
        <v>0.27600000000000002</v>
      </c>
      <c r="D53" s="18">
        <f t="shared" si="1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1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1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1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74">
        <f>ROUND(484.21/9509,3)</f>
        <v>5.0999999999999997E-2</v>
      </c>
      <c r="D61" s="74">
        <f t="shared" si="1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74">
        <f>ROUND(224.14/9509,3)</f>
        <v>2.4E-2</v>
      </c>
      <c r="D63" s="74">
        <f t="shared" si="1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2014</v>
      </c>
      <c r="C65" s="18">
        <f>ROUND(103.21/9509,3)</f>
        <v>1.0999999999999999E-2</v>
      </c>
      <c r="D65" s="74">
        <f t="shared" si="1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18">
        <f>ROUND(241.97/9509,3)</f>
        <v>2.5000000000000001E-2</v>
      </c>
      <c r="D67" s="18">
        <f t="shared" si="1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1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1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1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1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1"/>
        <v>2.5999999999999999E-2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624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1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60" x14ac:dyDescent="0.25">
      <c r="A83" s="35"/>
      <c r="B83" s="40" t="s">
        <v>1977</v>
      </c>
      <c r="C83" s="74">
        <f>ROUND(88.34/9509,3)</f>
        <v>8.9999999999999993E-3</v>
      </c>
      <c r="D83" s="74">
        <f t="shared" si="1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60" x14ac:dyDescent="0.25">
      <c r="A85" s="35"/>
      <c r="B85" s="40" t="s">
        <v>1978</v>
      </c>
      <c r="C85" s="74">
        <f>ROUND(151.09/9509,3)</f>
        <v>1.6E-2</v>
      </c>
      <c r="D85" s="74">
        <f t="shared" si="1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25.62</v>
      </c>
      <c r="D87" s="82">
        <f>ROUND(D86+D18,3)</f>
        <v>25.62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5.25" customHeight="1" x14ac:dyDescent="0.25">
      <c r="A90" s="302" t="s">
        <v>113</v>
      </c>
      <c r="B90" s="303"/>
      <c r="C90" s="22">
        <f>D87/C89</f>
        <v>25.62</v>
      </c>
      <c r="D90" s="22"/>
    </row>
    <row r="91" spans="1:4" x14ac:dyDescent="0.25">
      <c r="A91" s="190"/>
      <c r="B91" s="190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G89"/>
  <sheetViews>
    <sheetView topLeftCell="A75" workbookViewId="0">
      <selection activeCell="F89" sqref="F89"/>
    </sheetView>
  </sheetViews>
  <sheetFormatPr defaultRowHeight="15" x14ac:dyDescent="0.25"/>
  <cols>
    <col min="1" max="1" width="5.85546875" customWidth="1"/>
    <col min="2" max="2" width="60.28515625" customWidth="1"/>
    <col min="4" max="4" width="10.42578125" customWidth="1"/>
    <col min="6" max="6" width="11.42578125" customWidth="1"/>
    <col min="7" max="7" width="13.710937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42.75" customHeight="1" x14ac:dyDescent="0.25">
      <c r="A5" s="307" t="s">
        <v>510</v>
      </c>
      <c r="B5" s="307"/>
      <c r="C5" s="307"/>
      <c r="D5" s="307"/>
    </row>
    <row r="6" spans="1:7" ht="9" customHeight="1" x14ac:dyDescent="0.25">
      <c r="A6" s="126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ht="7.5" customHeight="1" x14ac:dyDescent="0.25">
      <c r="A8" s="55"/>
      <c r="B8" s="61"/>
      <c r="C8" s="62"/>
      <c r="D8" s="59"/>
    </row>
    <row r="9" spans="1:7" x14ac:dyDescent="0.25">
      <c r="A9" s="309" t="s">
        <v>184</v>
      </c>
      <c r="B9" s="309"/>
      <c r="C9" s="62"/>
      <c r="D9" s="59"/>
    </row>
    <row r="10" spans="1:7" ht="108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77" customHeight="1" x14ac:dyDescent="0.25">
      <c r="A14" s="50"/>
      <c r="B14" s="72" t="s">
        <v>460</v>
      </c>
      <c r="C14" s="18">
        <f>0.17*6+0.17*6+ 1.02/2+0.5*24</f>
        <v>14.55</v>
      </c>
      <c r="D14" s="18">
        <f>C14*1</f>
        <v>14.55</v>
      </c>
      <c r="E14" s="354"/>
      <c r="F14" s="351"/>
      <c r="G14" s="351"/>
    </row>
    <row r="15" spans="1:7" ht="24" x14ac:dyDescent="0.25">
      <c r="A15" s="50">
        <v>1200</v>
      </c>
      <c r="B15" s="73" t="s">
        <v>461</v>
      </c>
      <c r="C15" s="18">
        <f>ROUND(C14*0.2359,2)</f>
        <v>3.43</v>
      </c>
      <c r="D15" s="18">
        <f>C15*1</f>
        <v>3.43</v>
      </c>
    </row>
    <row r="16" spans="1:7" x14ac:dyDescent="0.25">
      <c r="A16" s="35">
        <v>2341</v>
      </c>
      <c r="B16" s="35" t="s">
        <v>97</v>
      </c>
      <c r="C16" s="74"/>
      <c r="D16" s="74"/>
    </row>
    <row r="17" spans="1:4" ht="87.75" customHeight="1" x14ac:dyDescent="0.25">
      <c r="A17" s="50"/>
      <c r="B17" s="73" t="s">
        <v>199</v>
      </c>
      <c r="C17" s="18">
        <v>1.08</v>
      </c>
      <c r="D17" s="18">
        <f>C17*1</f>
        <v>1.08</v>
      </c>
    </row>
    <row r="18" spans="1:4" x14ac:dyDescent="0.25">
      <c r="A18" s="35"/>
      <c r="B18" s="92" t="s">
        <v>87</v>
      </c>
      <c r="C18" s="82">
        <f>SUM(C13:C17)</f>
        <v>19.060000000000002</v>
      </c>
      <c r="D18" s="82">
        <f>SUM(D13:D17)</f>
        <v>19.060000000000002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18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18">
        <f>ROUND(750.97/9509,3)</f>
        <v>7.9000000000000001E-2</v>
      </c>
      <c r="D51" s="18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18">
        <f>ROUND(2620.34/9509,3)</f>
        <v>0.27600000000000002</v>
      </c>
      <c r="D53" s="18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54" customHeight="1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54" customHeight="1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19.989999999999998</v>
      </c>
      <c r="D86" s="82">
        <f>ROUND(D85+D18,3)</f>
        <v>19.989999999999998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7" customHeight="1" x14ac:dyDescent="0.25">
      <c r="A89" s="302" t="s">
        <v>113</v>
      </c>
      <c r="B89" s="303"/>
      <c r="C89" s="22">
        <f>D86/C88</f>
        <v>19.989999999999998</v>
      </c>
      <c r="D89" s="22"/>
    </row>
  </sheetData>
  <mergeCells count="8">
    <mergeCell ref="A88:B88"/>
    <mergeCell ref="A89:B89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G90"/>
  <sheetViews>
    <sheetView topLeftCell="A75" workbookViewId="0">
      <selection activeCell="I88" sqref="I88"/>
    </sheetView>
  </sheetViews>
  <sheetFormatPr defaultRowHeight="15" x14ac:dyDescent="0.25"/>
  <cols>
    <col min="2" max="2" width="62.28515625" customWidth="1"/>
    <col min="3" max="3" width="10.28515625" customWidth="1"/>
    <col min="4" max="4" width="12.710937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41.25" customHeight="1" x14ac:dyDescent="0.25">
      <c r="A5" s="307" t="s">
        <v>511</v>
      </c>
      <c r="B5" s="307"/>
      <c r="C5" s="307"/>
      <c r="D5" s="307"/>
    </row>
    <row r="6" spans="1:7" x14ac:dyDescent="0.25">
      <c r="A6" s="126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x14ac:dyDescent="0.25">
      <c r="A8" s="126"/>
      <c r="B8" s="127"/>
      <c r="C8" s="60"/>
      <c r="D8" s="59"/>
    </row>
    <row r="9" spans="1:7" x14ac:dyDescent="0.25">
      <c r="A9" s="309" t="s">
        <v>675</v>
      </c>
      <c r="B9" s="309"/>
      <c r="C9" s="62"/>
      <c r="D9" s="59"/>
    </row>
    <row r="10" spans="1:7" ht="108" customHeight="1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73.25" customHeight="1" x14ac:dyDescent="0.25">
      <c r="A14" s="50"/>
      <c r="B14" s="90" t="s">
        <v>676</v>
      </c>
      <c r="C14" s="18">
        <f>0.17*20+0.17*20+ 3.4/2+0.5*24</f>
        <v>20.5</v>
      </c>
      <c r="D14" s="18">
        <f>C14*10</f>
        <v>205</v>
      </c>
      <c r="E14" s="355"/>
      <c r="F14" s="356"/>
      <c r="G14" s="356"/>
    </row>
    <row r="15" spans="1:7" ht="24" x14ac:dyDescent="0.25">
      <c r="A15" s="50">
        <v>1200</v>
      </c>
      <c r="B15" s="73" t="s">
        <v>462</v>
      </c>
      <c r="C15" s="18">
        <f>ROUND(C14*0.2359,2)</f>
        <v>4.84</v>
      </c>
      <c r="D15" s="18">
        <f>C15*10</f>
        <v>48.4</v>
      </c>
    </row>
    <row r="16" spans="1:7" x14ac:dyDescent="0.25">
      <c r="A16" s="50">
        <v>2341</v>
      </c>
      <c r="B16" s="50" t="s">
        <v>97</v>
      </c>
      <c r="C16" s="91"/>
      <c r="D16" s="18"/>
    </row>
    <row r="17" spans="1:4" ht="112.5" customHeight="1" x14ac:dyDescent="0.25">
      <c r="A17" s="50"/>
      <c r="B17" s="73" t="s">
        <v>677</v>
      </c>
      <c r="C17" s="18">
        <v>4.83</v>
      </c>
      <c r="D17" s="18">
        <f>C17*10</f>
        <v>48.3</v>
      </c>
    </row>
    <row r="18" spans="1:4" x14ac:dyDescent="0.25">
      <c r="A18" s="35"/>
      <c r="B18" s="92" t="s">
        <v>87</v>
      </c>
      <c r="C18" s="82">
        <f>SUM(C13:C17)</f>
        <v>30.17</v>
      </c>
      <c r="D18" s="82">
        <f>SUM(D13:D17)</f>
        <v>301.7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1558</v>
      </c>
      <c r="C23" s="74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74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74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74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74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18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18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8.25" x14ac:dyDescent="0.25">
      <c r="A79" s="35"/>
      <c r="B79" s="248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31.1</v>
      </c>
      <c r="D87" s="82">
        <f>ROUND(D86+D18,3)</f>
        <v>311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34.5" customHeight="1" x14ac:dyDescent="0.25">
      <c r="A90" s="302" t="s">
        <v>113</v>
      </c>
      <c r="B90" s="303"/>
      <c r="C90" s="22">
        <f>D87/C89</f>
        <v>31.1</v>
      </c>
      <c r="D90" s="89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I89"/>
  <sheetViews>
    <sheetView topLeftCell="A73" workbookViewId="0">
      <selection activeCell="E86" sqref="E86"/>
    </sheetView>
  </sheetViews>
  <sheetFormatPr defaultRowHeight="15" x14ac:dyDescent="0.25"/>
  <cols>
    <col min="2" max="2" width="59.140625" customWidth="1"/>
    <col min="4" max="4" width="14.140625" customWidth="1"/>
    <col min="9" max="9" width="10.855468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3" customHeight="1" x14ac:dyDescent="0.25">
      <c r="A5" s="307" t="s">
        <v>512</v>
      </c>
      <c r="B5" s="307"/>
      <c r="C5" s="307"/>
      <c r="D5" s="307"/>
    </row>
    <row r="6" spans="1:8" ht="11.25" customHeight="1" x14ac:dyDescent="0.25">
      <c r="A6" s="126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ht="6.75" customHeight="1" x14ac:dyDescent="0.25">
      <c r="A8" s="126"/>
      <c r="B8" s="127"/>
      <c r="C8" s="60"/>
      <c r="D8" s="59"/>
    </row>
    <row r="9" spans="1:8" x14ac:dyDescent="0.25">
      <c r="A9" s="318" t="s">
        <v>184</v>
      </c>
      <c r="B9" s="318"/>
      <c r="C9" s="62"/>
      <c r="D9" s="59"/>
    </row>
    <row r="10" spans="1:8" ht="99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80" x14ac:dyDescent="0.25">
      <c r="A14" s="50"/>
      <c r="B14" s="90" t="s">
        <v>567</v>
      </c>
      <c r="C14" s="18">
        <f>0.17*20+0.17*20+ 3.4/2+0.5*24</f>
        <v>20.5</v>
      </c>
      <c r="D14" s="18">
        <f>C14*1</f>
        <v>20.5</v>
      </c>
      <c r="E14" s="357"/>
      <c r="F14" s="358"/>
      <c r="G14" s="358"/>
      <c r="H14" s="358"/>
    </row>
    <row r="15" spans="1:8" ht="24" x14ac:dyDescent="0.25">
      <c r="A15" s="50">
        <v>1200</v>
      </c>
      <c r="B15" s="73" t="s">
        <v>462</v>
      </c>
      <c r="C15" s="18">
        <f>ROUND(C14*0.2359,2)</f>
        <v>4.84</v>
      </c>
      <c r="D15" s="18">
        <f>C15*1</f>
        <v>4.84</v>
      </c>
    </row>
    <row r="16" spans="1:8" x14ac:dyDescent="0.25">
      <c r="A16" s="50">
        <v>2341</v>
      </c>
      <c r="B16" s="50" t="s">
        <v>118</v>
      </c>
      <c r="C16" s="91"/>
      <c r="D16" s="18"/>
    </row>
    <row r="17" spans="1:9" ht="84" x14ac:dyDescent="0.25">
      <c r="A17" s="50"/>
      <c r="B17" s="73" t="s">
        <v>276</v>
      </c>
      <c r="C17" s="18">
        <v>0.28000000000000003</v>
      </c>
      <c r="D17" s="18">
        <f>C17*1</f>
        <v>0.28000000000000003</v>
      </c>
      <c r="I17" s="190"/>
    </row>
    <row r="18" spans="1:9" x14ac:dyDescent="0.25">
      <c r="A18" s="50"/>
      <c r="B18" s="92" t="s">
        <v>87</v>
      </c>
      <c r="C18" s="76">
        <f>SUM(C13:C17)</f>
        <v>25.62</v>
      </c>
      <c r="D18" s="76">
        <f>SUM(D13:D17)</f>
        <v>25.62</v>
      </c>
    </row>
    <row r="19" spans="1:9" x14ac:dyDescent="0.25">
      <c r="A19" s="77"/>
      <c r="B19" s="176" t="s">
        <v>88</v>
      </c>
      <c r="C19" s="78"/>
      <c r="D19" s="78"/>
    </row>
    <row r="20" spans="1:9" x14ac:dyDescent="0.25">
      <c r="A20" s="35">
        <v>2100</v>
      </c>
      <c r="B20" s="244" t="s">
        <v>584</v>
      </c>
      <c r="C20" s="78"/>
      <c r="D20" s="78"/>
    </row>
    <row r="21" spans="1:9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48" x14ac:dyDescent="0.25">
      <c r="A23" s="35"/>
      <c r="B23" s="40" t="s">
        <v>1950</v>
      </c>
      <c r="C23" s="18">
        <f>ROUND(228.88/9509,3)</f>
        <v>2.4E-2</v>
      </c>
      <c r="D23" s="74">
        <f t="shared" ref="D23:D84" si="0">C23*1</f>
        <v>2.4E-2</v>
      </c>
    </row>
    <row r="24" spans="1:9" x14ac:dyDescent="0.25">
      <c r="A24" s="35">
        <v>2221</v>
      </c>
      <c r="B24" s="40" t="s">
        <v>89</v>
      </c>
      <c r="C24" s="18"/>
      <c r="D24" s="74"/>
    </row>
    <row r="25" spans="1:9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9" x14ac:dyDescent="0.25">
      <c r="A26" s="35">
        <v>2222</v>
      </c>
      <c r="B26" s="242" t="s">
        <v>90</v>
      </c>
      <c r="C26" s="18"/>
      <c r="D26" s="74"/>
    </row>
    <row r="27" spans="1:9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9" x14ac:dyDescent="0.25">
      <c r="A28" s="35">
        <v>2223</v>
      </c>
      <c r="B28" s="35" t="s">
        <v>91</v>
      </c>
      <c r="C28" s="74"/>
      <c r="D28" s="74"/>
    </row>
    <row r="29" spans="1:9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9" ht="24" x14ac:dyDescent="0.25">
      <c r="A30" s="35">
        <v>2224</v>
      </c>
      <c r="B30" s="40" t="s">
        <v>115</v>
      </c>
      <c r="C30" s="74"/>
      <c r="D30" s="74"/>
    </row>
    <row r="31" spans="1:9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9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48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26.55</v>
      </c>
      <c r="D86" s="82">
        <f>ROUND(D85+D18,3)</f>
        <v>26.55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2.5" customHeight="1" x14ac:dyDescent="0.25">
      <c r="A89" s="302" t="s">
        <v>113</v>
      </c>
      <c r="B89" s="303"/>
      <c r="C89" s="22">
        <f>D86/C88</f>
        <v>26.55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H91"/>
  <sheetViews>
    <sheetView topLeftCell="A78" workbookViewId="0">
      <selection activeCell="G91" sqref="G91"/>
    </sheetView>
  </sheetViews>
  <sheetFormatPr defaultRowHeight="15" x14ac:dyDescent="0.25"/>
  <cols>
    <col min="2" max="2" width="65.140625" customWidth="1"/>
    <col min="4" max="4" width="15.14062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5.25" customHeight="1" x14ac:dyDescent="0.25">
      <c r="A5" s="307" t="s">
        <v>513</v>
      </c>
      <c r="B5" s="307"/>
      <c r="C5" s="307"/>
      <c r="D5" s="307"/>
    </row>
    <row r="6" spans="1:8" x14ac:dyDescent="0.25">
      <c r="A6" s="126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x14ac:dyDescent="0.25">
      <c r="A8" s="126"/>
      <c r="B8" s="127"/>
      <c r="C8" s="60"/>
      <c r="D8" s="59"/>
    </row>
    <row r="9" spans="1:8" x14ac:dyDescent="0.25">
      <c r="A9" s="309" t="s">
        <v>678</v>
      </c>
      <c r="B9" s="309"/>
      <c r="C9" s="62"/>
      <c r="D9" s="59"/>
    </row>
    <row r="10" spans="1:8" x14ac:dyDescent="0.25">
      <c r="A10" s="55"/>
      <c r="B10" s="61"/>
      <c r="C10" s="62"/>
      <c r="D10" s="59"/>
    </row>
    <row r="11" spans="1:8" ht="100.5" customHeight="1" x14ac:dyDescent="0.25">
      <c r="A11" s="63" t="s">
        <v>80</v>
      </c>
      <c r="B11" s="63" t="s">
        <v>81</v>
      </c>
      <c r="C11" s="63" t="s">
        <v>99</v>
      </c>
      <c r="D11" s="63" t="s">
        <v>83</v>
      </c>
    </row>
    <row r="12" spans="1:8" x14ac:dyDescent="0.25">
      <c r="A12" s="64">
        <v>1</v>
      </c>
      <c r="B12" s="65">
        <v>2</v>
      </c>
      <c r="C12" s="64">
        <v>3</v>
      </c>
      <c r="D12" s="64">
        <v>4</v>
      </c>
    </row>
    <row r="13" spans="1:8" x14ac:dyDescent="0.25">
      <c r="A13" s="66"/>
      <c r="B13" s="67" t="s">
        <v>84</v>
      </c>
      <c r="C13" s="68"/>
      <c r="D13" s="68"/>
    </row>
    <row r="14" spans="1:8" x14ac:dyDescent="0.25">
      <c r="A14" s="69">
        <v>1100</v>
      </c>
      <c r="B14" s="70" t="s">
        <v>85</v>
      </c>
      <c r="C14" s="71"/>
      <c r="D14" s="71"/>
    </row>
    <row r="15" spans="1:8" ht="180" customHeight="1" x14ac:dyDescent="0.25">
      <c r="A15" s="50"/>
      <c r="B15" s="90" t="s">
        <v>679</v>
      </c>
      <c r="C15" s="18">
        <f>0.17*20+0.17*20+ 3.4/2+0.5*24</f>
        <v>20.5</v>
      </c>
      <c r="D15" s="18">
        <f>C15*8</f>
        <v>164</v>
      </c>
      <c r="E15" s="359"/>
      <c r="F15" s="360"/>
      <c r="G15" s="360"/>
      <c r="H15" s="360"/>
    </row>
    <row r="16" spans="1:8" ht="24" x14ac:dyDescent="0.25">
      <c r="A16" s="50">
        <v>1200</v>
      </c>
      <c r="B16" s="73" t="s">
        <v>462</v>
      </c>
      <c r="C16" s="18">
        <f>ROUND(C15*0.2359,2)</f>
        <v>4.84</v>
      </c>
      <c r="D16" s="18">
        <f>C16*8</f>
        <v>38.72</v>
      </c>
    </row>
    <row r="17" spans="1:4" x14ac:dyDescent="0.25">
      <c r="A17" s="50">
        <v>2341</v>
      </c>
      <c r="B17" s="50" t="s">
        <v>97</v>
      </c>
      <c r="C17" s="91"/>
      <c r="D17" s="91"/>
    </row>
    <row r="18" spans="1:4" ht="87.75" customHeight="1" x14ac:dyDescent="0.25">
      <c r="A18" s="50"/>
      <c r="B18" s="73" t="s">
        <v>680</v>
      </c>
      <c r="C18" s="18">
        <v>5.28</v>
      </c>
      <c r="D18" s="18">
        <f>C18*8</f>
        <v>42.24</v>
      </c>
    </row>
    <row r="19" spans="1:4" x14ac:dyDescent="0.25">
      <c r="A19" s="50"/>
      <c r="B19" s="92" t="s">
        <v>87</v>
      </c>
      <c r="C19" s="82">
        <f>SUM(C14:C18)</f>
        <v>30.62</v>
      </c>
      <c r="D19" s="82">
        <f>SUM(D14:D18)</f>
        <v>244.96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60" x14ac:dyDescent="0.25">
      <c r="A22" s="77"/>
      <c r="B22" s="40" t="s">
        <v>2124</v>
      </c>
      <c r="C22" s="80">
        <f>ROUND(31.85/9509,5)</f>
        <v>3.3500000000000001E-3</v>
      </c>
      <c r="D22" s="74">
        <f>C22*8</f>
        <v>2.6800000000000001E-2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60" x14ac:dyDescent="0.25">
      <c r="A24" s="35"/>
      <c r="B24" s="40" t="s">
        <v>2125</v>
      </c>
      <c r="C24" s="74">
        <f>ROUND(228.88/9509,5)</f>
        <v>2.4070000000000001E-2</v>
      </c>
      <c r="D24" s="74">
        <f t="shared" ref="D24:D86" si="0">C24*8</f>
        <v>0.19256000000000001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60" x14ac:dyDescent="0.25">
      <c r="A26" s="35"/>
      <c r="B26" s="40" t="s">
        <v>2126</v>
      </c>
      <c r="C26" s="18">
        <f>ROUND(382.73/9509,5)</f>
        <v>4.0250000000000001E-2</v>
      </c>
      <c r="D26" s="18">
        <f t="shared" si="0"/>
        <v>0.32200000000000001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60" x14ac:dyDescent="0.25">
      <c r="A28" s="35"/>
      <c r="B28" s="40" t="s">
        <v>2127</v>
      </c>
      <c r="C28" s="74">
        <f>ROUND(38.69/9509,5)</f>
        <v>4.0699999999999998E-3</v>
      </c>
      <c r="D28" s="74">
        <f t="shared" si="0"/>
        <v>3.2559999999999999E-2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60" x14ac:dyDescent="0.25">
      <c r="A30" s="35"/>
      <c r="B30" s="40" t="s">
        <v>2128</v>
      </c>
      <c r="C30" s="74">
        <f>ROUND(1004.28/9509,3)</f>
        <v>0.106</v>
      </c>
      <c r="D30" s="18">
        <f t="shared" si="0"/>
        <v>0.84799999999999998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60" x14ac:dyDescent="0.25">
      <c r="A32" s="34"/>
      <c r="B32" s="40" t="s">
        <v>2129</v>
      </c>
      <c r="C32" s="18">
        <f>ROUND(82.8/9509,3)</f>
        <v>8.9999999999999993E-3</v>
      </c>
      <c r="D32" s="74">
        <f t="shared" si="0"/>
        <v>7.1999999999999995E-2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60" x14ac:dyDescent="0.25">
      <c r="A34" s="35"/>
      <c r="B34" s="40" t="s">
        <v>2130</v>
      </c>
      <c r="C34" s="18">
        <f>ROUND(289.4/9509,3)</f>
        <v>0.03</v>
      </c>
      <c r="D34" s="18">
        <f t="shared" si="0"/>
        <v>0.24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60" x14ac:dyDescent="0.25">
      <c r="A36" s="35"/>
      <c r="B36" s="40" t="s">
        <v>2131</v>
      </c>
      <c r="C36" s="80">
        <f>ROUND(20.68/9509,5)</f>
        <v>2.1700000000000001E-3</v>
      </c>
      <c r="D36" s="74">
        <f t="shared" si="0"/>
        <v>1.736E-2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60" x14ac:dyDescent="0.25">
      <c r="A38" s="35"/>
      <c r="B38" s="40" t="s">
        <v>2133</v>
      </c>
      <c r="C38" s="74">
        <f>ROUND(58.15/9509,3)</f>
        <v>6.0000000000000001E-3</v>
      </c>
      <c r="D38" s="74">
        <f t="shared" si="0"/>
        <v>4.8000000000000001E-2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60" x14ac:dyDescent="0.25">
      <c r="A40" s="35"/>
      <c r="B40" s="40" t="s">
        <v>2132</v>
      </c>
      <c r="C40" s="74">
        <f>ROUND(524.45/9509,3)</f>
        <v>5.5E-2</v>
      </c>
      <c r="D40" s="18">
        <f t="shared" si="0"/>
        <v>0.44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60" x14ac:dyDescent="0.25">
      <c r="A42" s="35"/>
      <c r="B42" s="40" t="s">
        <v>2134</v>
      </c>
      <c r="C42" s="74">
        <f>ROUND(131.923/9509,3)</f>
        <v>1.4E-2</v>
      </c>
      <c r="D42" s="18">
        <f t="shared" si="0"/>
        <v>0.112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60" x14ac:dyDescent="0.25">
      <c r="A44" s="35"/>
      <c r="B44" s="40" t="s">
        <v>2135</v>
      </c>
      <c r="C44" s="18">
        <f>ROUND(360.94/9509,3)</f>
        <v>3.7999999999999999E-2</v>
      </c>
      <c r="D44" s="18">
        <f t="shared" si="0"/>
        <v>0.30399999999999999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60" x14ac:dyDescent="0.25">
      <c r="A46" s="79"/>
      <c r="B46" s="40" t="s">
        <v>2136</v>
      </c>
      <c r="C46" s="18">
        <f>ROUND(272.76/9509,3)</f>
        <v>2.9000000000000001E-2</v>
      </c>
      <c r="D46" s="18">
        <f t="shared" si="0"/>
        <v>0.23200000000000001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60" x14ac:dyDescent="0.25">
      <c r="A48" s="79"/>
      <c r="B48" s="40" t="s">
        <v>2137</v>
      </c>
      <c r="C48" s="74">
        <f>ROUND(12.06/9509,3)</f>
        <v>1E-3</v>
      </c>
      <c r="D48" s="74">
        <f t="shared" si="0"/>
        <v>8.0000000000000002E-3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60" x14ac:dyDescent="0.25">
      <c r="A50" s="79"/>
      <c r="B50" s="40" t="s">
        <v>2138</v>
      </c>
      <c r="C50" s="74">
        <f>ROUND(23.35/9509,3)</f>
        <v>2E-3</v>
      </c>
      <c r="D50" s="74">
        <f t="shared" si="0"/>
        <v>1.6E-2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60" x14ac:dyDescent="0.25">
      <c r="A52" s="35"/>
      <c r="B52" s="40" t="s">
        <v>2139</v>
      </c>
      <c r="C52" s="18">
        <f>ROUND(750.97/9509,3)</f>
        <v>7.9000000000000001E-2</v>
      </c>
      <c r="D52" s="74">
        <f t="shared" si="0"/>
        <v>0.63200000000000001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60" x14ac:dyDescent="0.25">
      <c r="A54" s="35"/>
      <c r="B54" s="40" t="s">
        <v>2140</v>
      </c>
      <c r="C54" s="18">
        <f>ROUND(2620.34/9509,3)</f>
        <v>0.27600000000000002</v>
      </c>
      <c r="D54" s="18">
        <f t="shared" si="0"/>
        <v>2.2080000000000002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60" x14ac:dyDescent="0.25">
      <c r="A56" s="35"/>
      <c r="B56" s="40" t="s">
        <v>2141</v>
      </c>
      <c r="C56" s="74">
        <f>ROUND(9.91/9509,3)</f>
        <v>1E-3</v>
      </c>
      <c r="D56" s="74">
        <f t="shared" si="0"/>
        <v>8.0000000000000002E-3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60" x14ac:dyDescent="0.25">
      <c r="A58" s="35"/>
      <c r="B58" s="40" t="s">
        <v>2142</v>
      </c>
      <c r="C58" s="18">
        <f>ROUND(132.32/9509,3)</f>
        <v>1.4E-2</v>
      </c>
      <c r="D58" s="74">
        <f t="shared" si="0"/>
        <v>0.112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60" x14ac:dyDescent="0.25">
      <c r="A60" s="35"/>
      <c r="B60" s="40" t="s">
        <v>2143</v>
      </c>
      <c r="C60" s="74">
        <f>ROUND(72.76/9509,3)</f>
        <v>8.0000000000000002E-3</v>
      </c>
      <c r="D60" s="74">
        <f t="shared" si="0"/>
        <v>6.4000000000000001E-2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60" x14ac:dyDescent="0.25">
      <c r="A62" s="35"/>
      <c r="B62" s="40" t="s">
        <v>2144</v>
      </c>
      <c r="C62" s="80">
        <f>ROUND(484.21/9509,5)</f>
        <v>5.092E-2</v>
      </c>
      <c r="D62" s="18">
        <f t="shared" si="0"/>
        <v>0.40736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60" x14ac:dyDescent="0.25">
      <c r="A64" s="35"/>
      <c r="B64" s="40" t="s">
        <v>2145</v>
      </c>
      <c r="C64" s="18">
        <f>ROUND(224.14/9509,3)</f>
        <v>2.4E-2</v>
      </c>
      <c r="D64" s="18">
        <f t="shared" si="0"/>
        <v>0.192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60" x14ac:dyDescent="0.25">
      <c r="A66" s="35"/>
      <c r="B66" s="40" t="s">
        <v>2146</v>
      </c>
      <c r="C66" s="18">
        <f>ROUND(103.21/9509,3)</f>
        <v>1.0999999999999999E-2</v>
      </c>
      <c r="D66" s="74">
        <f t="shared" si="0"/>
        <v>8.7999999999999995E-2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60" x14ac:dyDescent="0.25">
      <c r="A68" s="35"/>
      <c r="B68" s="40" t="s">
        <v>2147</v>
      </c>
      <c r="C68" s="18">
        <f>ROUND(241.97/9509,3)</f>
        <v>2.5000000000000001E-2</v>
      </c>
      <c r="D68" s="18">
        <f t="shared" si="0"/>
        <v>0.2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60" x14ac:dyDescent="0.25">
      <c r="A70" s="35"/>
      <c r="B70" s="40" t="s">
        <v>2148</v>
      </c>
      <c r="C70" s="18">
        <f>ROUND(87.42/9509,3)</f>
        <v>8.9999999999999993E-3</v>
      </c>
      <c r="D70" s="74">
        <f t="shared" si="0"/>
        <v>7.1999999999999995E-2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60" x14ac:dyDescent="0.25">
      <c r="A72" s="35"/>
      <c r="B72" s="40" t="s">
        <v>2149</v>
      </c>
      <c r="C72" s="74">
        <f>ROUND(28.69/9509,3)</f>
        <v>3.0000000000000001E-3</v>
      </c>
      <c r="D72" s="74">
        <f t="shared" si="0"/>
        <v>2.4E-2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60" x14ac:dyDescent="0.25">
      <c r="A74" s="35"/>
      <c r="B74" s="40" t="s">
        <v>2150</v>
      </c>
      <c r="C74" s="80">
        <f>ROUND(8.56/9509,5)</f>
        <v>8.9999999999999998E-4</v>
      </c>
      <c r="D74" s="74">
        <f t="shared" si="0"/>
        <v>7.1999999999999998E-3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60" x14ac:dyDescent="0.25">
      <c r="A76" s="35"/>
      <c r="B76" s="40" t="s">
        <v>2151</v>
      </c>
      <c r="C76" s="80">
        <f>ROUND(58.04/9509,5)</f>
        <v>6.1000000000000004E-3</v>
      </c>
      <c r="D76" s="74">
        <f t="shared" si="0"/>
        <v>4.8800000000000003E-2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60" x14ac:dyDescent="0.25">
      <c r="A78" s="35"/>
      <c r="B78" s="40" t="s">
        <v>2152</v>
      </c>
      <c r="C78" s="74">
        <f>ROUND(249.88/9509,5)</f>
        <v>2.6280000000000001E-2</v>
      </c>
      <c r="D78" s="18">
        <f t="shared" si="0"/>
        <v>0.21024000000000001</v>
      </c>
    </row>
    <row r="79" spans="1:4" x14ac:dyDescent="0.25">
      <c r="A79" s="35">
        <v>5220</v>
      </c>
      <c r="B79" s="248" t="s">
        <v>119</v>
      </c>
      <c r="C79" s="18"/>
      <c r="D79" s="74"/>
    </row>
    <row r="80" spans="1:4" ht="36" x14ac:dyDescent="0.25">
      <c r="A80" s="35"/>
      <c r="B80" s="40" t="s">
        <v>621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60" x14ac:dyDescent="0.25">
      <c r="A82" s="35"/>
      <c r="B82" s="40" t="s">
        <v>2153</v>
      </c>
      <c r="C82" s="74">
        <f>ROUND(61.55/9509,5)</f>
        <v>6.4700000000000001E-3</v>
      </c>
      <c r="D82" s="74">
        <f t="shared" si="0"/>
        <v>5.176E-2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60" x14ac:dyDescent="0.25">
      <c r="A84" s="35"/>
      <c r="B84" s="40" t="s">
        <v>2154</v>
      </c>
      <c r="C84" s="74">
        <f>ROUND(88.34/9509,5)</f>
        <v>9.2899999999999996E-3</v>
      </c>
      <c r="D84" s="74">
        <f t="shared" si="0"/>
        <v>7.4319999999999997E-2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60" x14ac:dyDescent="0.25">
      <c r="A86" s="35"/>
      <c r="B86" s="40" t="s">
        <v>2155</v>
      </c>
      <c r="C86" s="74">
        <f>ROUND(151.09/9509,5)</f>
        <v>1.5890000000000001E-2</v>
      </c>
      <c r="D86" s="74">
        <f t="shared" si="0"/>
        <v>0.12712000000000001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7.44</v>
      </c>
    </row>
    <row r="88" spans="1:4" x14ac:dyDescent="0.25">
      <c r="A88" s="83"/>
      <c r="B88" s="84" t="s">
        <v>95</v>
      </c>
      <c r="C88" s="82">
        <f>ROUND(C87+C19,3)</f>
        <v>31.55</v>
      </c>
      <c r="D88" s="82">
        <f>ROUND(D87+D19,3)</f>
        <v>252.4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8</v>
      </c>
      <c r="D90" s="89"/>
    </row>
    <row r="91" spans="1:4" ht="30" customHeight="1" x14ac:dyDescent="0.25">
      <c r="A91" s="302" t="s">
        <v>113</v>
      </c>
      <c r="B91" s="303"/>
      <c r="C91" s="22">
        <f>D88/C90</f>
        <v>31.55</v>
      </c>
      <c r="D91" s="22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H91"/>
  <sheetViews>
    <sheetView topLeftCell="A78" workbookViewId="0">
      <selection activeCell="H93" sqref="H93"/>
    </sheetView>
  </sheetViews>
  <sheetFormatPr defaultRowHeight="15" x14ac:dyDescent="0.25"/>
  <cols>
    <col min="2" max="2" width="61.42578125" customWidth="1"/>
    <col min="3" max="3" width="11.42578125" customWidth="1"/>
    <col min="4" max="4" width="13.7109375" customWidth="1"/>
    <col min="7" max="7" width="9.140625" customWidth="1"/>
    <col min="8" max="8" width="12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38.25" customHeight="1" x14ac:dyDescent="0.25">
      <c r="A5" s="332" t="s">
        <v>514</v>
      </c>
      <c r="B5" s="332"/>
      <c r="C5" s="332"/>
      <c r="D5" s="332"/>
    </row>
    <row r="6" spans="1:8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128"/>
      <c r="B8" s="129"/>
      <c r="C8" s="7"/>
      <c r="D8" s="26"/>
    </row>
    <row r="9" spans="1:8" x14ac:dyDescent="0.25">
      <c r="A9" s="335" t="s">
        <v>184</v>
      </c>
      <c r="B9" s="335"/>
      <c r="C9" s="25"/>
      <c r="D9" s="26"/>
    </row>
    <row r="10" spans="1:8" x14ac:dyDescent="0.25">
      <c r="A10" s="41"/>
      <c r="B10" s="44"/>
      <c r="C10" s="25"/>
      <c r="D10" s="26"/>
    </row>
    <row r="11" spans="1:8" ht="105.75" customHeight="1" x14ac:dyDescent="0.25">
      <c r="A11" s="10" t="s">
        <v>80</v>
      </c>
      <c r="B11" s="10" t="s">
        <v>81</v>
      </c>
      <c r="C11" s="10" t="s">
        <v>82</v>
      </c>
      <c r="D11" s="10" t="s">
        <v>83</v>
      </c>
    </row>
    <row r="12" spans="1:8" x14ac:dyDescent="0.25">
      <c r="A12" s="11">
        <v>1</v>
      </c>
      <c r="B12" s="12">
        <v>2</v>
      </c>
      <c r="C12" s="11">
        <v>3</v>
      </c>
      <c r="D12" s="11">
        <v>4</v>
      </c>
    </row>
    <row r="13" spans="1:8" x14ac:dyDescent="0.25">
      <c r="A13" s="11"/>
      <c r="B13" s="27" t="s">
        <v>84</v>
      </c>
      <c r="C13" s="13"/>
      <c r="D13" s="13"/>
    </row>
    <row r="14" spans="1:8" x14ac:dyDescent="0.25">
      <c r="A14" s="28">
        <v>1100</v>
      </c>
      <c r="B14" s="29" t="s">
        <v>85</v>
      </c>
      <c r="C14" s="14"/>
      <c r="D14" s="14"/>
    </row>
    <row r="15" spans="1:8" ht="192" x14ac:dyDescent="0.25">
      <c r="A15" s="30"/>
      <c r="B15" s="90" t="s">
        <v>567</v>
      </c>
      <c r="C15" s="18">
        <f>0.17*20+0.17*20+ 3.4/2+0.5*24</f>
        <v>20.5</v>
      </c>
      <c r="D15" s="18">
        <f>C15*1</f>
        <v>20.5</v>
      </c>
      <c r="E15" s="357"/>
      <c r="F15" s="358"/>
      <c r="G15" s="358"/>
      <c r="H15" s="358"/>
    </row>
    <row r="16" spans="1:8" ht="24" x14ac:dyDescent="0.25">
      <c r="A16" s="30">
        <v>1200</v>
      </c>
      <c r="B16" s="73" t="s">
        <v>462</v>
      </c>
      <c r="C16" s="18">
        <f>ROUND(C15*0.2359,2)</f>
        <v>4.84</v>
      </c>
      <c r="D16" s="18">
        <f>C16*1</f>
        <v>4.84</v>
      </c>
    </row>
    <row r="17" spans="1:4" x14ac:dyDescent="0.25">
      <c r="A17" s="30">
        <v>2341</v>
      </c>
      <c r="B17" s="30" t="s">
        <v>118</v>
      </c>
      <c r="C17" s="19"/>
      <c r="D17" s="19"/>
    </row>
    <row r="18" spans="1:4" ht="103.5" customHeight="1" x14ac:dyDescent="0.25">
      <c r="A18" s="30"/>
      <c r="B18" s="40" t="s">
        <v>457</v>
      </c>
      <c r="C18" s="16">
        <v>3.85</v>
      </c>
      <c r="D18" s="16">
        <f>C18*1</f>
        <v>3.85</v>
      </c>
    </row>
    <row r="19" spans="1:4" x14ac:dyDescent="0.25">
      <c r="A19" s="45"/>
      <c r="B19" s="32" t="s">
        <v>87</v>
      </c>
      <c r="C19" s="33">
        <f>SUM(C14:C18)</f>
        <v>29.19</v>
      </c>
      <c r="D19" s="33">
        <f>SUM(D14:D18)</f>
        <v>29.19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48" x14ac:dyDescent="0.25">
      <c r="A22" s="77"/>
      <c r="B22" s="40" t="s">
        <v>1949</v>
      </c>
      <c r="C22" s="74">
        <f>ROUND(31.85/9509,3)</f>
        <v>3.0000000000000001E-3</v>
      </c>
      <c r="D22" s="74">
        <f>C22*1</f>
        <v>3.0000000000000001E-3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48" x14ac:dyDescent="0.25">
      <c r="A24" s="35"/>
      <c r="B24" s="40" t="s">
        <v>1950</v>
      </c>
      <c r="C24" s="74">
        <f>ROUND(228.88/9509,3)</f>
        <v>2.4E-2</v>
      </c>
      <c r="D24" s="74">
        <f t="shared" ref="D24:D86" si="0">C24*1</f>
        <v>2.4E-2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48" x14ac:dyDescent="0.25">
      <c r="A26" s="35"/>
      <c r="B26" s="40" t="s">
        <v>1951</v>
      </c>
      <c r="C26" s="18">
        <f>ROUND(382.73/9509,3)</f>
        <v>0.04</v>
      </c>
      <c r="D26" s="18">
        <f t="shared" si="0"/>
        <v>0.04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48" x14ac:dyDescent="0.25">
      <c r="A28" s="35"/>
      <c r="B28" s="40" t="s">
        <v>1952</v>
      </c>
      <c r="C28" s="74">
        <f>ROUND(38.69/9509,3)</f>
        <v>4.0000000000000001E-3</v>
      </c>
      <c r="D28" s="74">
        <f t="shared" si="0"/>
        <v>4.0000000000000001E-3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48" x14ac:dyDescent="0.25">
      <c r="A30" s="35"/>
      <c r="B30" s="40" t="s">
        <v>1953</v>
      </c>
      <c r="C30" s="74">
        <f>ROUND(1004.28/9509,3)</f>
        <v>0.106</v>
      </c>
      <c r="D30" s="74">
        <f t="shared" si="0"/>
        <v>0.106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48" x14ac:dyDescent="0.25">
      <c r="A32" s="34"/>
      <c r="B32" s="40" t="s">
        <v>1954</v>
      </c>
      <c r="C32" s="18">
        <f>ROUND(82.8/9509,3)</f>
        <v>8.9999999999999993E-3</v>
      </c>
      <c r="D32" s="18">
        <f t="shared" si="0"/>
        <v>8.9999999999999993E-3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48" x14ac:dyDescent="0.25">
      <c r="A34" s="35"/>
      <c r="B34" s="40" t="s">
        <v>1955</v>
      </c>
      <c r="C34" s="18">
        <f>ROUND(289.4/9509,3)</f>
        <v>0.03</v>
      </c>
      <c r="D34" s="18">
        <f t="shared" si="0"/>
        <v>0.03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48" x14ac:dyDescent="0.25">
      <c r="A36" s="35"/>
      <c r="B36" s="40" t="s">
        <v>1956</v>
      </c>
      <c r="C36" s="74">
        <f>ROUND(20.68/9509,3)</f>
        <v>2E-3</v>
      </c>
      <c r="D36" s="74">
        <f t="shared" si="0"/>
        <v>2E-3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48" x14ac:dyDescent="0.25">
      <c r="A38" s="35"/>
      <c r="B38" s="40" t="s">
        <v>1957</v>
      </c>
      <c r="C38" s="74">
        <f>ROUND(58.15/9509,3)</f>
        <v>6.0000000000000001E-3</v>
      </c>
      <c r="D38" s="74">
        <f t="shared" si="0"/>
        <v>6.0000000000000001E-3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48" x14ac:dyDescent="0.25">
      <c r="A40" s="35"/>
      <c r="B40" s="40" t="s">
        <v>1958</v>
      </c>
      <c r="C40" s="74">
        <f>ROUND(524.45/9509,3)</f>
        <v>5.5E-2</v>
      </c>
      <c r="D40" s="74">
        <f t="shared" si="0"/>
        <v>5.5E-2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48" x14ac:dyDescent="0.25">
      <c r="A42" s="35"/>
      <c r="B42" s="40" t="s">
        <v>1979</v>
      </c>
      <c r="C42" s="74">
        <f>ROUND(131.923/9509,3)</f>
        <v>1.4E-2</v>
      </c>
      <c r="D42" s="74">
        <f t="shared" si="0"/>
        <v>1.4E-2</v>
      </c>
    </row>
    <row r="43" spans="1:4" x14ac:dyDescent="0.25">
      <c r="A43" s="35">
        <v>2243</v>
      </c>
      <c r="B43" s="40" t="s">
        <v>100</v>
      </c>
      <c r="C43" s="18"/>
      <c r="D43" s="74"/>
    </row>
    <row r="44" spans="1:4" ht="48" x14ac:dyDescent="0.25">
      <c r="A44" s="35"/>
      <c r="B44" s="40" t="s">
        <v>1959</v>
      </c>
      <c r="C44" s="74">
        <f>ROUND(360.94/9509,3)</f>
        <v>3.7999999999999999E-2</v>
      </c>
      <c r="D44" s="74">
        <f t="shared" si="0"/>
        <v>3.7999999999999999E-2</v>
      </c>
    </row>
    <row r="45" spans="1:4" x14ac:dyDescent="0.25">
      <c r="A45" s="35">
        <v>2244</v>
      </c>
      <c r="B45" s="40" t="s">
        <v>92</v>
      </c>
      <c r="C45" s="18"/>
      <c r="D45" s="74"/>
    </row>
    <row r="46" spans="1:4" ht="48" x14ac:dyDescent="0.25">
      <c r="A46" s="79"/>
      <c r="B46" s="40" t="s">
        <v>1960</v>
      </c>
      <c r="C46" s="74">
        <f>ROUND(272.76/9509,3)</f>
        <v>2.9000000000000001E-2</v>
      </c>
      <c r="D46" s="74">
        <f t="shared" si="0"/>
        <v>2.9000000000000001E-2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48" x14ac:dyDescent="0.25">
      <c r="A48" s="79"/>
      <c r="B48" s="40" t="s">
        <v>1961</v>
      </c>
      <c r="C48" s="74">
        <f>ROUND(12.06/9509,3)</f>
        <v>1E-3</v>
      </c>
      <c r="D48" s="74">
        <f t="shared" si="0"/>
        <v>1E-3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48" x14ac:dyDescent="0.25">
      <c r="A50" s="79"/>
      <c r="B50" s="40" t="s">
        <v>1962</v>
      </c>
      <c r="C50" s="74">
        <f>ROUND(23.35/9509,3)</f>
        <v>2E-3</v>
      </c>
      <c r="D50" s="74">
        <f t="shared" si="0"/>
        <v>2E-3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48" x14ac:dyDescent="0.25">
      <c r="A52" s="35"/>
      <c r="B52" s="40" t="s">
        <v>1963</v>
      </c>
      <c r="C52" s="74">
        <f>ROUND(750.97/9509,3)</f>
        <v>7.9000000000000001E-2</v>
      </c>
      <c r="D52" s="74">
        <f t="shared" si="0"/>
        <v>7.9000000000000001E-2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48" x14ac:dyDescent="0.25">
      <c r="A54" s="35"/>
      <c r="B54" s="40" t="s">
        <v>1965</v>
      </c>
      <c r="C54" s="74">
        <f>ROUND(2620.34/9509,3)</f>
        <v>0.27600000000000002</v>
      </c>
      <c r="D54" s="74">
        <f t="shared" si="0"/>
        <v>0.27600000000000002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48" x14ac:dyDescent="0.25">
      <c r="A56" s="35"/>
      <c r="B56" s="40" t="s">
        <v>1964</v>
      </c>
      <c r="C56" s="74">
        <f>ROUND(9.91/9509,3)</f>
        <v>1E-3</v>
      </c>
      <c r="D56" s="74">
        <f t="shared" si="0"/>
        <v>1E-3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48" x14ac:dyDescent="0.25">
      <c r="A58" s="35"/>
      <c r="B58" s="40" t="s">
        <v>1966</v>
      </c>
      <c r="C58" s="74">
        <f>ROUND(132.32/9509,3)</f>
        <v>1.4E-2</v>
      </c>
      <c r="D58" s="74">
        <f t="shared" si="0"/>
        <v>1.4E-2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48" x14ac:dyDescent="0.25">
      <c r="A60" s="35"/>
      <c r="B60" s="40" t="s">
        <v>1967</v>
      </c>
      <c r="C60" s="74">
        <f>ROUND(72.76/9509,3)</f>
        <v>8.0000000000000002E-3</v>
      </c>
      <c r="D60" s="74">
        <f t="shared" si="0"/>
        <v>8.0000000000000002E-3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48" x14ac:dyDescent="0.25">
      <c r="A62" s="35"/>
      <c r="B62" s="40" t="s">
        <v>1968</v>
      </c>
      <c r="C62" s="74">
        <f>ROUND(484.21/9509,3)</f>
        <v>5.0999999999999997E-2</v>
      </c>
      <c r="D62" s="74">
        <f t="shared" si="0"/>
        <v>5.0999999999999997E-2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48" x14ac:dyDescent="0.25">
      <c r="A64" s="35"/>
      <c r="B64" s="40" t="s">
        <v>1969</v>
      </c>
      <c r="C64" s="74">
        <f>ROUND(224.14/9509,3)</f>
        <v>2.4E-2</v>
      </c>
      <c r="D64" s="74">
        <f t="shared" si="0"/>
        <v>2.4E-2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48" x14ac:dyDescent="0.25">
      <c r="A66" s="35"/>
      <c r="B66" s="40" t="s">
        <v>2014</v>
      </c>
      <c r="C66" s="74">
        <f>ROUND(103.21/9509,3)</f>
        <v>1.0999999999999999E-2</v>
      </c>
      <c r="D66" s="74">
        <f t="shared" si="0"/>
        <v>1.0999999999999999E-2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48" x14ac:dyDescent="0.25">
      <c r="A68" s="35"/>
      <c r="B68" s="40" t="s">
        <v>1971</v>
      </c>
      <c r="C68" s="74">
        <f>ROUND(241.97/9509,3)</f>
        <v>2.5000000000000001E-2</v>
      </c>
      <c r="D68" s="74">
        <f t="shared" si="0"/>
        <v>2.5000000000000001E-2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48" x14ac:dyDescent="0.25">
      <c r="A70" s="35"/>
      <c r="B70" s="40" t="s">
        <v>1972</v>
      </c>
      <c r="C70" s="74">
        <f>ROUND(87.42/9509,3)</f>
        <v>8.9999999999999993E-3</v>
      </c>
      <c r="D70" s="74">
        <f t="shared" si="0"/>
        <v>8.9999999999999993E-3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48" x14ac:dyDescent="0.25">
      <c r="A72" s="35"/>
      <c r="B72" s="40" t="s">
        <v>1973</v>
      </c>
      <c r="C72" s="74">
        <f>ROUND(28.69/9509,3)</f>
        <v>3.0000000000000001E-3</v>
      </c>
      <c r="D72" s="74">
        <f t="shared" si="0"/>
        <v>3.0000000000000001E-3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48" x14ac:dyDescent="0.25">
      <c r="A74" s="35"/>
      <c r="B74" s="40" t="s">
        <v>1974</v>
      </c>
      <c r="C74" s="74">
        <f>ROUND(8.56/9509,3)</f>
        <v>1E-3</v>
      </c>
      <c r="D74" s="74">
        <f t="shared" si="0"/>
        <v>1E-3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48" x14ac:dyDescent="0.25">
      <c r="A76" s="35"/>
      <c r="B76" s="40" t="s">
        <v>1975</v>
      </c>
      <c r="C76" s="74">
        <f>ROUND(58.04/9509,3)</f>
        <v>6.0000000000000001E-3</v>
      </c>
      <c r="D76" s="74">
        <f t="shared" si="0"/>
        <v>6.0000000000000001E-3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48" x14ac:dyDescent="0.25">
      <c r="A78" s="35"/>
      <c r="B78" s="40" t="s">
        <v>1976</v>
      </c>
      <c r="C78" s="74">
        <f>ROUND(249.88/9509,3)</f>
        <v>2.5999999999999999E-2</v>
      </c>
      <c r="D78" s="74">
        <f t="shared" si="0"/>
        <v>2.5999999999999999E-2</v>
      </c>
    </row>
    <row r="79" spans="1:4" x14ac:dyDescent="0.25">
      <c r="A79" s="35">
        <v>5220</v>
      </c>
      <c r="B79" s="248" t="s">
        <v>119</v>
      </c>
      <c r="C79" s="18"/>
      <c r="D79" s="18"/>
    </row>
    <row r="80" spans="1:4" ht="51" x14ac:dyDescent="0.25">
      <c r="A80" s="35"/>
      <c r="B80" s="248" t="s">
        <v>623</v>
      </c>
      <c r="C80" s="18">
        <v>0</v>
      </c>
      <c r="D80" s="18"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48" x14ac:dyDescent="0.25">
      <c r="A82" s="35"/>
      <c r="B82" s="40" t="s">
        <v>1980</v>
      </c>
      <c r="C82" s="74">
        <f>ROUND(61.55/9509,3)</f>
        <v>6.0000000000000001E-3</v>
      </c>
      <c r="D82" s="74">
        <f t="shared" si="0"/>
        <v>6.0000000000000001E-3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48" x14ac:dyDescent="0.25">
      <c r="A84" s="35"/>
      <c r="B84" s="40" t="s">
        <v>1977</v>
      </c>
      <c r="C84" s="74">
        <f>ROUND(88.34/9509,3)</f>
        <v>8.9999999999999993E-3</v>
      </c>
      <c r="D84" s="74">
        <f t="shared" si="0"/>
        <v>8.9999999999999993E-3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48" x14ac:dyDescent="0.25">
      <c r="A86" s="35"/>
      <c r="B86" s="40" t="s">
        <v>1978</v>
      </c>
      <c r="C86" s="74">
        <f>ROUND(151.09/9509,3)</f>
        <v>1.6E-2</v>
      </c>
      <c r="D86" s="74">
        <f t="shared" si="0"/>
        <v>1.6E-2</v>
      </c>
    </row>
    <row r="87" spans="1:4" x14ac:dyDescent="0.25">
      <c r="A87" s="35"/>
      <c r="B87" s="81" t="s">
        <v>94</v>
      </c>
      <c r="C87" s="249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0.93</v>
      </c>
    </row>
    <row r="88" spans="1:4" x14ac:dyDescent="0.25">
      <c r="A88" s="83"/>
      <c r="B88" s="84" t="s">
        <v>95</v>
      </c>
      <c r="C88" s="82">
        <f>ROUND(C87+C19,3)</f>
        <v>30.12</v>
      </c>
      <c r="D88" s="82">
        <f>ROUND(D87+D19,3)</f>
        <v>30.12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</v>
      </c>
      <c r="D90" s="89"/>
    </row>
    <row r="91" spans="1:4" ht="31.5" customHeight="1" x14ac:dyDescent="0.25">
      <c r="A91" s="302" t="s">
        <v>113</v>
      </c>
      <c r="B91" s="303"/>
      <c r="C91" s="22">
        <f>D88/C90</f>
        <v>30.12</v>
      </c>
      <c r="D91" s="22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H90"/>
  <sheetViews>
    <sheetView topLeftCell="A73" workbookViewId="0">
      <selection activeCell="J89" sqref="J89:J90"/>
    </sheetView>
  </sheetViews>
  <sheetFormatPr defaultRowHeight="15" x14ac:dyDescent="0.25"/>
  <cols>
    <col min="2" max="2" width="63.7109375" customWidth="1"/>
    <col min="3" max="3" width="11" customWidth="1"/>
    <col min="4" max="4" width="14.5703125" customWidth="1"/>
  </cols>
  <sheetData>
    <row r="1" spans="1:8" x14ac:dyDescent="0.25">
      <c r="A1" s="315" t="s">
        <v>78</v>
      </c>
      <c r="B1" s="315"/>
      <c r="C1" s="315"/>
      <c r="D1" s="121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ht="10.5" customHeight="1" x14ac:dyDescent="0.25">
      <c r="A4" s="97"/>
      <c r="B4" s="60"/>
      <c r="C4" s="60"/>
      <c r="D4" s="96"/>
    </row>
    <row r="5" spans="1:8" ht="35.25" customHeight="1" x14ac:dyDescent="0.25">
      <c r="A5" s="307" t="s">
        <v>515</v>
      </c>
      <c r="B5" s="307"/>
      <c r="C5" s="307"/>
      <c r="D5" s="307"/>
    </row>
    <row r="6" spans="1:8" ht="9" customHeight="1" x14ac:dyDescent="0.25">
      <c r="A6" s="126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126"/>
      <c r="B8" s="127"/>
      <c r="C8" s="60"/>
      <c r="D8" s="96"/>
    </row>
    <row r="9" spans="1:8" x14ac:dyDescent="0.25">
      <c r="A9" s="318" t="s">
        <v>106</v>
      </c>
      <c r="B9" s="318"/>
      <c r="C9" s="100"/>
      <c r="D9" s="96"/>
    </row>
    <row r="10" spans="1:8" ht="91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1" customHeight="1" x14ac:dyDescent="0.25">
      <c r="A14" s="35"/>
      <c r="B14" s="90" t="s">
        <v>681</v>
      </c>
      <c r="C14" s="18">
        <f>0.17*20+0.17*20+ 3.4/2+0.5*24</f>
        <v>20.5</v>
      </c>
      <c r="D14" s="18">
        <f>C14*10</f>
        <v>205</v>
      </c>
      <c r="E14" s="355"/>
      <c r="F14" s="356"/>
      <c r="G14" s="356"/>
      <c r="H14" s="356"/>
    </row>
    <row r="15" spans="1:8" ht="24" x14ac:dyDescent="0.25">
      <c r="A15" s="35">
        <v>1200</v>
      </c>
      <c r="B15" s="73" t="s">
        <v>462</v>
      </c>
      <c r="C15" s="18">
        <f>ROUND(C14*0.2359,2)</f>
        <v>4.84</v>
      </c>
      <c r="D15" s="18">
        <f>C15*10</f>
        <v>48.4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08" x14ac:dyDescent="0.25">
      <c r="A17" s="35"/>
      <c r="B17" s="40" t="s">
        <v>444</v>
      </c>
      <c r="C17" s="18">
        <v>17.21</v>
      </c>
      <c r="D17" s="18">
        <f>C17*10</f>
        <v>172.10000000000002</v>
      </c>
    </row>
    <row r="18" spans="1:4" x14ac:dyDescent="0.25">
      <c r="A18" s="84"/>
      <c r="B18" s="92" t="s">
        <v>87</v>
      </c>
      <c r="C18" s="82">
        <f>SUM(C13:C17)</f>
        <v>42.55</v>
      </c>
      <c r="D18" s="82">
        <f>SUM(D13:D17)</f>
        <v>425.5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1562</v>
      </c>
      <c r="C31" s="74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74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74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74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74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74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74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74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74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74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74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8.25" x14ac:dyDescent="0.25">
      <c r="A79" s="35"/>
      <c r="B79" s="248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43.48</v>
      </c>
      <c r="D87" s="82">
        <f>ROUND(D86+D18,3)</f>
        <v>434.8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32.25" customHeight="1" x14ac:dyDescent="0.25">
      <c r="A90" s="302" t="s">
        <v>113</v>
      </c>
      <c r="B90" s="303"/>
      <c r="C90" s="22">
        <f>D87/C89</f>
        <v>43.480000000000004</v>
      </c>
      <c r="D90" s="89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H90"/>
  <sheetViews>
    <sheetView topLeftCell="A75" workbookViewId="0">
      <selection activeCell="F85" sqref="F85"/>
    </sheetView>
  </sheetViews>
  <sheetFormatPr defaultRowHeight="15" x14ac:dyDescent="0.25"/>
  <cols>
    <col min="2" max="2" width="62.140625" customWidth="1"/>
    <col min="3" max="3" width="12.7109375" customWidth="1"/>
    <col min="4" max="4" width="15.425781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31.5" customHeight="1" x14ac:dyDescent="0.25">
      <c r="A5" s="307" t="s">
        <v>516</v>
      </c>
      <c r="B5" s="307"/>
      <c r="C5" s="307"/>
      <c r="D5" s="307"/>
    </row>
    <row r="6" spans="1:8" x14ac:dyDescent="0.25">
      <c r="A6" s="126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126"/>
      <c r="B8" s="127"/>
      <c r="C8" s="60"/>
      <c r="D8" s="96"/>
    </row>
    <row r="9" spans="1:8" x14ac:dyDescent="0.25">
      <c r="A9" s="318" t="s">
        <v>106</v>
      </c>
      <c r="B9" s="318"/>
      <c r="C9" s="100"/>
      <c r="D9" s="96"/>
    </row>
    <row r="10" spans="1:8" ht="82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80" x14ac:dyDescent="0.25">
      <c r="A14" s="35"/>
      <c r="B14" s="90" t="s">
        <v>681</v>
      </c>
      <c r="C14" s="18">
        <f>0.17*20+0.17*20+ 3.4/2+0.5*24</f>
        <v>20.5</v>
      </c>
      <c r="D14" s="18">
        <f>C14*10</f>
        <v>205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462</v>
      </c>
      <c r="C15" s="18">
        <f>ROUND(C14*0.2359,2)</f>
        <v>4.84</v>
      </c>
      <c r="D15" s="18">
        <f>C15*10</f>
        <v>48.4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20" x14ac:dyDescent="0.25">
      <c r="A17" s="35"/>
      <c r="B17" s="40" t="s">
        <v>682</v>
      </c>
      <c r="C17" s="18">
        <v>14.67</v>
      </c>
      <c r="D17" s="18">
        <f>C17*10</f>
        <v>146.69999999999999</v>
      </c>
    </row>
    <row r="18" spans="1:4" x14ac:dyDescent="0.25">
      <c r="A18" s="84"/>
      <c r="B18" s="92" t="s">
        <v>87</v>
      </c>
      <c r="C18" s="82">
        <f>SUM(C13:C17)</f>
        <v>40.01</v>
      </c>
      <c r="D18" s="82">
        <f>SUM(D13:D17)</f>
        <v>400.1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74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74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74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74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74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74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74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74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74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74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24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40.94</v>
      </c>
      <c r="D87" s="82">
        <f>ROUND(D86+D18,3)</f>
        <v>409.4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7" customHeight="1" x14ac:dyDescent="0.25">
      <c r="A90" s="302" t="s">
        <v>113</v>
      </c>
      <c r="B90" s="303"/>
      <c r="C90" s="22">
        <f>D87/C89</f>
        <v>40.94</v>
      </c>
      <c r="D90" s="89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H90"/>
  <sheetViews>
    <sheetView topLeftCell="A77" workbookViewId="0">
      <selection activeCell="J92" sqref="J92"/>
    </sheetView>
  </sheetViews>
  <sheetFormatPr defaultRowHeight="15" x14ac:dyDescent="0.25"/>
  <cols>
    <col min="2" max="2" width="60.7109375" customWidth="1"/>
    <col min="3" max="3" width="11.42578125" customWidth="1"/>
    <col min="4" max="4" width="14.1406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133"/>
      <c r="B2" s="133"/>
      <c r="C2" s="133"/>
      <c r="D2" s="133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51" customHeight="1" x14ac:dyDescent="0.25">
      <c r="A5" s="307" t="s">
        <v>517</v>
      </c>
      <c r="B5" s="307"/>
      <c r="C5" s="307"/>
      <c r="D5" s="307"/>
    </row>
    <row r="6" spans="1:8" x14ac:dyDescent="0.25">
      <c r="A6" s="131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x14ac:dyDescent="0.25">
      <c r="A8" s="131"/>
      <c r="B8" s="132"/>
      <c r="C8" s="60"/>
      <c r="D8" s="60"/>
    </row>
    <row r="9" spans="1:8" x14ac:dyDescent="0.25">
      <c r="A9" s="318" t="s">
        <v>185</v>
      </c>
      <c r="B9" s="318"/>
      <c r="C9" s="100"/>
      <c r="D9" s="100"/>
    </row>
    <row r="10" spans="1:8" ht="72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1.75" customHeight="1" x14ac:dyDescent="0.25">
      <c r="A14" s="35"/>
      <c r="B14" s="90" t="s">
        <v>567</v>
      </c>
      <c r="C14" s="18">
        <f>0.17*20+0.17*20+ 3.4/2+0.5*24</f>
        <v>20.5</v>
      </c>
      <c r="D14" s="18">
        <f>C14*1</f>
        <v>20.5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462</v>
      </c>
      <c r="C15" s="18">
        <f>ROUND(C14*0.2359,2)</f>
        <v>4.84</v>
      </c>
      <c r="D15" s="18">
        <f>C15*1</f>
        <v>4.84</v>
      </c>
    </row>
    <row r="16" spans="1:8" x14ac:dyDescent="0.25">
      <c r="A16" s="35">
        <v>2341</v>
      </c>
      <c r="B16" s="35" t="s">
        <v>97</v>
      </c>
      <c r="C16" s="74"/>
      <c r="D16" s="71"/>
    </row>
    <row r="17" spans="1:4" ht="96" x14ac:dyDescent="0.25">
      <c r="A17" s="35"/>
      <c r="B17" s="40" t="s">
        <v>432</v>
      </c>
      <c r="C17" s="18">
        <v>10.96</v>
      </c>
      <c r="D17" s="71">
        <f>C17*1</f>
        <v>10.96</v>
      </c>
    </row>
    <row r="18" spans="1:4" x14ac:dyDescent="0.25">
      <c r="A18" s="35"/>
      <c r="B18" s="92" t="s">
        <v>87</v>
      </c>
      <c r="C18" s="82">
        <f>SUM(C13:C17)</f>
        <v>36.299999999999997</v>
      </c>
      <c r="D18" s="82">
        <f>SUM(D13:D17)</f>
        <v>36.299999999999997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37.229999999999997</v>
      </c>
      <c r="D87" s="82">
        <f>ROUND(D86+D18,3)</f>
        <v>37.229999999999997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37.229999999999997</v>
      </c>
      <c r="D90" s="22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H90"/>
  <sheetViews>
    <sheetView topLeftCell="A77" workbookViewId="0">
      <selection activeCell="F90" sqref="F90"/>
    </sheetView>
  </sheetViews>
  <sheetFormatPr defaultRowHeight="15" x14ac:dyDescent="0.25"/>
  <cols>
    <col min="2" max="2" width="60.85546875" customWidth="1"/>
    <col min="3" max="3" width="11.5703125" customWidth="1"/>
    <col min="4" max="4" width="15.8554687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45.75" customHeight="1" x14ac:dyDescent="0.25">
      <c r="A5" s="307" t="s">
        <v>518</v>
      </c>
      <c r="B5" s="307"/>
      <c r="C5" s="307"/>
      <c r="D5" s="307"/>
    </row>
    <row r="6" spans="1:8" x14ac:dyDescent="0.25">
      <c r="A6" s="131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131"/>
      <c r="B8" s="132"/>
      <c r="C8" s="60"/>
      <c r="D8" s="96"/>
    </row>
    <row r="9" spans="1:8" x14ac:dyDescent="0.25">
      <c r="A9" s="318" t="s">
        <v>184</v>
      </c>
      <c r="B9" s="318"/>
      <c r="C9" s="100"/>
      <c r="D9" s="96"/>
    </row>
    <row r="10" spans="1:8" ht="81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68" x14ac:dyDescent="0.25">
      <c r="A14" s="35"/>
      <c r="B14" s="90" t="s">
        <v>567</v>
      </c>
      <c r="C14" s="18">
        <f>0.17*20+0.17*20+ 3.4/2+0.5*24</f>
        <v>20.5</v>
      </c>
      <c r="D14" s="18">
        <f>C14*1</f>
        <v>20.5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462</v>
      </c>
      <c r="C15" s="18">
        <f>ROUND(C14*0.2359,2)</f>
        <v>4.84</v>
      </c>
      <c r="D15" s="18">
        <f>C15*1</f>
        <v>4.84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20" x14ac:dyDescent="0.25">
      <c r="A17" s="35"/>
      <c r="B17" s="40" t="s">
        <v>446</v>
      </c>
      <c r="C17" s="18">
        <v>23.72</v>
      </c>
      <c r="D17" s="18">
        <f>C17*1</f>
        <v>23.72</v>
      </c>
    </row>
    <row r="18" spans="1:4" x14ac:dyDescent="0.25">
      <c r="A18" s="35"/>
      <c r="B18" s="92" t="s">
        <v>87</v>
      </c>
      <c r="C18" s="82">
        <f>SUM(C13:C17)</f>
        <v>49.06</v>
      </c>
      <c r="D18" s="82">
        <f>SUM(D13:D17)</f>
        <v>49.06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36.75" customHeight="1" x14ac:dyDescent="0.25">
      <c r="A79" s="35"/>
      <c r="B79" s="40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51" customHeight="1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66.75" customHeight="1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49.99</v>
      </c>
      <c r="D87" s="82">
        <f>ROUND(D86+D18,3)</f>
        <v>49.99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49.99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H90"/>
  <sheetViews>
    <sheetView topLeftCell="A75" workbookViewId="0">
      <selection activeCell="D87" sqref="D87"/>
    </sheetView>
  </sheetViews>
  <sheetFormatPr defaultRowHeight="15" x14ac:dyDescent="0.25"/>
  <cols>
    <col min="2" max="2" width="63" customWidth="1"/>
    <col min="3" max="3" width="11.42578125" customWidth="1"/>
    <col min="4" max="4" width="15.28515625" customWidth="1"/>
    <col min="5" max="5" width="9" customWidth="1"/>
    <col min="6" max="7" width="9.7109375" customWidth="1"/>
    <col min="8" max="8" width="9.4257812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ht="9.75" customHeight="1" x14ac:dyDescent="0.25">
      <c r="A4" s="97"/>
      <c r="B4" s="60"/>
      <c r="C4" s="60"/>
      <c r="D4" s="96"/>
    </row>
    <row r="5" spans="1:8" ht="39.75" customHeight="1" x14ac:dyDescent="0.25">
      <c r="A5" s="307" t="s">
        <v>683</v>
      </c>
      <c r="B5" s="307"/>
      <c r="C5" s="307"/>
      <c r="D5" s="307"/>
    </row>
    <row r="6" spans="1:8" ht="8.25" customHeight="1" x14ac:dyDescent="0.25">
      <c r="A6" s="131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ht="3" customHeight="1" x14ac:dyDescent="0.25">
      <c r="A8" s="131"/>
      <c r="B8" s="132"/>
      <c r="C8" s="60"/>
      <c r="D8" s="96"/>
    </row>
    <row r="9" spans="1:8" x14ac:dyDescent="0.25">
      <c r="A9" s="318" t="s">
        <v>684</v>
      </c>
      <c r="B9" s="318"/>
      <c r="C9" s="100"/>
      <c r="D9" s="96"/>
    </row>
    <row r="10" spans="1:8" ht="91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1.75" customHeight="1" x14ac:dyDescent="0.25">
      <c r="A14" s="35"/>
      <c r="B14" s="90" t="s">
        <v>685</v>
      </c>
      <c r="C14" s="18">
        <f>0.17*20+0.17*20+ 3.4/2+0.5*24</f>
        <v>20.5</v>
      </c>
      <c r="D14" s="18">
        <f>C14*30</f>
        <v>615</v>
      </c>
      <c r="E14" s="355"/>
      <c r="F14" s="356"/>
      <c r="G14" s="356"/>
      <c r="H14" s="356"/>
    </row>
    <row r="15" spans="1:8" ht="24" x14ac:dyDescent="0.25">
      <c r="A15" s="35">
        <v>1200</v>
      </c>
      <c r="B15" s="73" t="s">
        <v>462</v>
      </c>
      <c r="C15" s="18">
        <f>ROUND(C14*0.2359,2)</f>
        <v>4.84</v>
      </c>
      <c r="D15" s="18">
        <f>C15*30</f>
        <v>145.19999999999999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686</v>
      </c>
      <c r="C17" s="18">
        <v>2.0099999999999998</v>
      </c>
      <c r="D17" s="18">
        <f>C17*30</f>
        <v>60.3</v>
      </c>
    </row>
    <row r="18" spans="1:4" x14ac:dyDescent="0.25">
      <c r="A18" s="84"/>
      <c r="B18" s="92" t="s">
        <v>87</v>
      </c>
      <c r="C18" s="82">
        <f>SUM(C13:C17)</f>
        <v>27.35</v>
      </c>
      <c r="D18" s="82">
        <f>SUM(D13:D17)</f>
        <v>820.5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1501</v>
      </c>
      <c r="C21" s="80">
        <f>ROUND(31.85/9509,5)</f>
        <v>3.3500000000000001E-3</v>
      </c>
      <c r="D21" s="18">
        <f>C21*30</f>
        <v>0.10050000000000001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2156</v>
      </c>
      <c r="C23" s="74">
        <f>ROUND(228.88/9509,5)</f>
        <v>2.4070000000000001E-2</v>
      </c>
      <c r="D23" s="18">
        <f t="shared" ref="D23:D85" si="0">C23*30</f>
        <v>0.72210000000000008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2157</v>
      </c>
      <c r="C25" s="18">
        <f>ROUND(382.73/9509,5)</f>
        <v>4.0250000000000001E-2</v>
      </c>
      <c r="D25" s="18">
        <f t="shared" si="0"/>
        <v>1.2075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2158</v>
      </c>
      <c r="C27" s="74">
        <f>ROUND(38.69/9509,5)</f>
        <v>4.0699999999999998E-3</v>
      </c>
      <c r="D27" s="18">
        <f t="shared" si="0"/>
        <v>0.1221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1505</v>
      </c>
      <c r="C29" s="74">
        <f>ROUND(1004.28/9509,3)</f>
        <v>0.106</v>
      </c>
      <c r="D29" s="18">
        <f t="shared" si="0"/>
        <v>3.1799999999999997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1506</v>
      </c>
      <c r="C31" s="18">
        <f>ROUND(82.8/9509,3)</f>
        <v>8.9999999999999993E-3</v>
      </c>
      <c r="D31" s="18">
        <f t="shared" si="0"/>
        <v>0.26999999999999996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2159</v>
      </c>
      <c r="C33" s="18">
        <f>ROUND(289.4/9509,3)</f>
        <v>0.03</v>
      </c>
      <c r="D33" s="18">
        <f t="shared" si="0"/>
        <v>0.89999999999999991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1508</v>
      </c>
      <c r="C35" s="74">
        <f>ROUND(20.68/9509,3)</f>
        <v>2E-3</v>
      </c>
      <c r="D35" s="18">
        <f t="shared" si="0"/>
        <v>0.06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1509</v>
      </c>
      <c r="C37" s="74">
        <f>ROUND(58.15/9509,3)</f>
        <v>6.0000000000000001E-3</v>
      </c>
      <c r="D37" s="18">
        <f t="shared" si="0"/>
        <v>0.18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2160</v>
      </c>
      <c r="C39" s="74">
        <f>ROUND(524.45/9509,3)</f>
        <v>5.5E-2</v>
      </c>
      <c r="D39" s="18">
        <f t="shared" si="0"/>
        <v>1.65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1533</v>
      </c>
      <c r="C41" s="74">
        <f>ROUND(131.923/9509,5)</f>
        <v>1.387E-2</v>
      </c>
      <c r="D41" s="18">
        <f t="shared" si="0"/>
        <v>0.41610000000000003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1512</v>
      </c>
      <c r="C43" s="74">
        <f>ROUND(360.94/9509,5)</f>
        <v>3.7960000000000001E-2</v>
      </c>
      <c r="D43" s="18">
        <f t="shared" si="0"/>
        <v>1.1388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1513</v>
      </c>
      <c r="C45" s="74">
        <f>ROUND(272.76/9509,3)</f>
        <v>2.9000000000000001E-2</v>
      </c>
      <c r="D45" s="18">
        <f t="shared" si="0"/>
        <v>0.87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1514</v>
      </c>
      <c r="C47" s="74">
        <f>ROUND(12.06/9509,3)</f>
        <v>1E-3</v>
      </c>
      <c r="D47" s="18">
        <f t="shared" si="0"/>
        <v>0.03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1515</v>
      </c>
      <c r="C49" s="74">
        <f>ROUND(23.35/9509,3)</f>
        <v>2E-3</v>
      </c>
      <c r="D49" s="18">
        <f t="shared" si="0"/>
        <v>0.06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1516</v>
      </c>
      <c r="C51" s="74">
        <f>ROUND(750.97/9509,5)</f>
        <v>7.8969999999999999E-2</v>
      </c>
      <c r="D51" s="18">
        <f t="shared" si="0"/>
        <v>2.3691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1517</v>
      </c>
      <c r="C53" s="74">
        <f>ROUND(2620.34/9509,3)</f>
        <v>0.27600000000000002</v>
      </c>
      <c r="D53" s="18">
        <f t="shared" si="0"/>
        <v>8.2800000000000011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1518</v>
      </c>
      <c r="C55" s="74">
        <f>ROUND(9.91/9509,3)</f>
        <v>1E-3</v>
      </c>
      <c r="D55" s="18">
        <f t="shared" si="0"/>
        <v>0.03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1519</v>
      </c>
      <c r="C57" s="74">
        <f>ROUND(132.32/9509,5)</f>
        <v>1.392E-2</v>
      </c>
      <c r="D57" s="18">
        <f t="shared" si="0"/>
        <v>0.41760000000000003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1520</v>
      </c>
      <c r="C59" s="74">
        <f>ROUND(72.76/9509,3)</f>
        <v>8.0000000000000002E-3</v>
      </c>
      <c r="D59" s="18">
        <f t="shared" si="0"/>
        <v>0.24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1521</v>
      </c>
      <c r="C61" s="74">
        <f>ROUND(484.21/9509,4)</f>
        <v>5.0900000000000001E-2</v>
      </c>
      <c r="D61" s="18">
        <f t="shared" si="0"/>
        <v>1.5270000000000001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1522</v>
      </c>
      <c r="C63" s="74">
        <f>ROUND(224.14/9509,3)</f>
        <v>2.4E-2</v>
      </c>
      <c r="D63" s="18">
        <f t="shared" si="0"/>
        <v>0.72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1523</v>
      </c>
      <c r="C65" s="74">
        <f>ROUND(103.21/9509,3)</f>
        <v>1.0999999999999999E-2</v>
      </c>
      <c r="D65" s="18">
        <f t="shared" si="0"/>
        <v>0.32999999999999996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2161</v>
      </c>
      <c r="C67" s="74">
        <f>ROUND(241.97/9509,5)</f>
        <v>2.545E-2</v>
      </c>
      <c r="D67" s="18">
        <f t="shared" si="0"/>
        <v>0.76350000000000007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2162</v>
      </c>
      <c r="C69" s="74">
        <f>ROUND(87.42/9509,5)</f>
        <v>9.1900000000000003E-3</v>
      </c>
      <c r="D69" s="18">
        <f t="shared" si="0"/>
        <v>0.2757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1525</v>
      </c>
      <c r="C71" s="74">
        <f>ROUND(28.69/9509,5)</f>
        <v>3.0200000000000001E-3</v>
      </c>
      <c r="D71" s="18">
        <f t="shared" si="0"/>
        <v>9.06E-2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1526</v>
      </c>
      <c r="C73" s="74">
        <f>ROUND(8.56/9509,5)</f>
        <v>8.9999999999999998E-4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2163</v>
      </c>
      <c r="C75" s="74">
        <f>ROUND(58.04/9509,5)</f>
        <v>6.1000000000000004E-3</v>
      </c>
      <c r="D75" s="18">
        <f t="shared" si="0"/>
        <v>0.18300000000000002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1690</v>
      </c>
      <c r="C77" s="74">
        <f>ROUND(249.88/9509,4)</f>
        <v>2.63E-2</v>
      </c>
      <c r="D77" s="18">
        <f t="shared" si="0"/>
        <v>0.78900000000000003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1536</v>
      </c>
      <c r="C81" s="74">
        <f>ROUND(61.55/9509,5)</f>
        <v>6.4700000000000001E-3</v>
      </c>
      <c r="D81" s="18">
        <f t="shared" si="0"/>
        <v>0.19409999999999999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1530</v>
      </c>
      <c r="C83" s="74">
        <f>ROUND(88.34/9509,5)</f>
        <v>9.2899999999999996E-3</v>
      </c>
      <c r="D83" s="18">
        <f t="shared" si="0"/>
        <v>0.2787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2164</v>
      </c>
      <c r="C85" s="74">
        <f>ROUND(151.09/9509,5)</f>
        <v>1.5890000000000001E-2</v>
      </c>
      <c r="D85" s="18">
        <f t="shared" si="0"/>
        <v>0.47670000000000001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27.9</v>
      </c>
    </row>
    <row r="87" spans="1:4" x14ac:dyDescent="0.25">
      <c r="A87" s="83"/>
      <c r="B87" s="84" t="s">
        <v>95</v>
      </c>
      <c r="C87" s="82">
        <f>ROUND(C86+C18,3)</f>
        <v>28.28</v>
      </c>
      <c r="D87" s="82">
        <f>ROUND(D86+D18,3)</f>
        <v>848.4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30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28.279999999999998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G90"/>
  <sheetViews>
    <sheetView topLeftCell="A73" workbookViewId="0">
      <selection activeCell="H85" sqref="H85"/>
    </sheetView>
  </sheetViews>
  <sheetFormatPr defaultRowHeight="15" x14ac:dyDescent="0.25"/>
  <cols>
    <col min="2" max="2" width="63.42578125" customWidth="1"/>
    <col min="3" max="3" width="12.5703125" customWidth="1"/>
    <col min="4" max="4" width="14.85546875" customWidth="1"/>
  </cols>
  <sheetData>
    <row r="1" spans="1:7" x14ac:dyDescent="0.25">
      <c r="A1" s="319" t="s">
        <v>78</v>
      </c>
      <c r="B1" s="319"/>
      <c r="C1" s="319"/>
      <c r="D1" s="319"/>
    </row>
    <row r="2" spans="1:7" x14ac:dyDescent="0.25">
      <c r="A2" s="97"/>
      <c r="B2" s="97"/>
      <c r="C2" s="120"/>
      <c r="D2" s="120"/>
    </row>
    <row r="3" spans="1:7" x14ac:dyDescent="0.25">
      <c r="A3" s="98" t="s">
        <v>111</v>
      </c>
      <c r="B3" s="99"/>
      <c r="C3" s="99"/>
      <c r="D3" s="99"/>
    </row>
    <row r="4" spans="1:7" ht="12" customHeight="1" x14ac:dyDescent="0.25">
      <c r="A4" s="97"/>
      <c r="B4" s="60"/>
      <c r="C4" s="60"/>
      <c r="D4" s="60"/>
    </row>
    <row r="5" spans="1:7" ht="40.5" customHeight="1" x14ac:dyDescent="0.25">
      <c r="A5" s="307" t="s">
        <v>519</v>
      </c>
      <c r="B5" s="307"/>
      <c r="C5" s="307"/>
      <c r="D5" s="307"/>
    </row>
    <row r="6" spans="1:7" ht="3.75" customHeight="1" x14ac:dyDescent="0.25">
      <c r="A6" s="131"/>
      <c r="B6" s="60"/>
      <c r="C6" s="60"/>
      <c r="D6" s="60"/>
    </row>
    <row r="7" spans="1:7" ht="12.75" customHeight="1" x14ac:dyDescent="0.25">
      <c r="A7" s="308" t="s">
        <v>112</v>
      </c>
      <c r="B7" s="310"/>
      <c r="C7" s="60"/>
      <c r="D7" s="60"/>
    </row>
    <row r="8" spans="1:7" x14ac:dyDescent="0.25">
      <c r="A8" s="131"/>
      <c r="B8" s="132"/>
      <c r="C8" s="60"/>
      <c r="D8" s="60"/>
    </row>
    <row r="9" spans="1:7" x14ac:dyDescent="0.25">
      <c r="A9" s="318" t="s">
        <v>162</v>
      </c>
      <c r="B9" s="318"/>
      <c r="C9" s="100"/>
      <c r="D9" s="96"/>
    </row>
    <row r="10" spans="1:7" ht="89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4"/>
      <c r="B12" s="81" t="s">
        <v>84</v>
      </c>
      <c r="C12" s="68"/>
      <c r="D12" s="68"/>
    </row>
    <row r="13" spans="1:7" x14ac:dyDescent="0.25">
      <c r="A13" s="94">
        <v>1100</v>
      </c>
      <c r="B13" s="95" t="s">
        <v>85</v>
      </c>
      <c r="C13" s="71"/>
      <c r="D13" s="71"/>
    </row>
    <row r="14" spans="1:7" ht="176.25" customHeight="1" x14ac:dyDescent="0.25">
      <c r="A14" s="35"/>
      <c r="B14" s="40" t="s">
        <v>687</v>
      </c>
      <c r="C14" s="18">
        <f>0.17*10+0.17*10+ 1.7/2+0.5*24</f>
        <v>16.25</v>
      </c>
      <c r="D14" s="18">
        <f>C14*2</f>
        <v>32.5</v>
      </c>
      <c r="E14" s="350"/>
      <c r="F14" s="351"/>
      <c r="G14" s="351"/>
    </row>
    <row r="15" spans="1:7" ht="24" x14ac:dyDescent="0.25">
      <c r="A15" s="35">
        <v>1200</v>
      </c>
      <c r="B15" s="40" t="s">
        <v>463</v>
      </c>
      <c r="C15" s="18">
        <f>ROUND(C14*0.2359,2)</f>
        <v>3.83</v>
      </c>
      <c r="D15" s="18">
        <f>C15*2</f>
        <v>7.66</v>
      </c>
    </row>
    <row r="16" spans="1:7" x14ac:dyDescent="0.25">
      <c r="A16" s="35">
        <v>2341</v>
      </c>
      <c r="B16" s="35" t="s">
        <v>118</v>
      </c>
      <c r="C16" s="74"/>
      <c r="D16" s="74"/>
    </row>
    <row r="17" spans="1:4" ht="98.25" customHeight="1" x14ac:dyDescent="0.25">
      <c r="A17" s="35"/>
      <c r="B17" s="40" t="s">
        <v>688</v>
      </c>
      <c r="C17" s="18">
        <v>1.43</v>
      </c>
      <c r="D17" s="18">
        <f>C17*2</f>
        <v>2.86</v>
      </c>
    </row>
    <row r="18" spans="1:4" x14ac:dyDescent="0.25">
      <c r="A18" s="35"/>
      <c r="B18" s="92" t="s">
        <v>87</v>
      </c>
      <c r="C18" s="82">
        <f>SUM(C13:C17)</f>
        <v>21.509999999999998</v>
      </c>
      <c r="D18" s="82">
        <f>SUM(D13:D17)</f>
        <v>43.019999999999996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52.5" customHeight="1" x14ac:dyDescent="0.25">
      <c r="A21" s="77"/>
      <c r="B21" s="40" t="s">
        <v>1902</v>
      </c>
      <c r="C21" s="74">
        <f>ROUND(31.85/9509,3)</f>
        <v>3.0000000000000001E-3</v>
      </c>
      <c r="D21" s="74">
        <f>C21*2</f>
        <v>6.0000000000000001E-3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1903</v>
      </c>
      <c r="C23" s="74">
        <f>ROUND(228.88/9509,3)</f>
        <v>2.4E-2</v>
      </c>
      <c r="D23" s="74">
        <f t="shared" ref="D23:D85" si="0">C23*2</f>
        <v>4.8000000000000001E-2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1904</v>
      </c>
      <c r="C25" s="18">
        <f>ROUND(382.73/9509,3)</f>
        <v>0.04</v>
      </c>
      <c r="D25" s="18">
        <f t="shared" si="0"/>
        <v>0.08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1905</v>
      </c>
      <c r="C27" s="74">
        <f>ROUND(38.69/9509,3)</f>
        <v>4.0000000000000001E-3</v>
      </c>
      <c r="D27" s="74">
        <f t="shared" si="0"/>
        <v>8.0000000000000002E-3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1906</v>
      </c>
      <c r="C29" s="74">
        <f>ROUND(1004.28/9509,3)</f>
        <v>0.106</v>
      </c>
      <c r="D29" s="74">
        <f t="shared" si="0"/>
        <v>0.21199999999999999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1907</v>
      </c>
      <c r="C31" s="18">
        <f>ROUND(82.8/9509,3)</f>
        <v>8.9999999999999993E-3</v>
      </c>
      <c r="D31" s="18">
        <f t="shared" si="0"/>
        <v>1.7999999999999999E-2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1908</v>
      </c>
      <c r="C33" s="18">
        <f>ROUND(289.4/9509,3)</f>
        <v>0.03</v>
      </c>
      <c r="D33" s="18">
        <f t="shared" si="0"/>
        <v>0.06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1909</v>
      </c>
      <c r="C35" s="74">
        <f>ROUND(20.68/9509,3)</f>
        <v>2E-3</v>
      </c>
      <c r="D35" s="74">
        <f t="shared" si="0"/>
        <v>4.0000000000000001E-3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1910</v>
      </c>
      <c r="C37" s="74">
        <f>ROUND(58.15/9509,3)</f>
        <v>6.0000000000000001E-3</v>
      </c>
      <c r="D37" s="74">
        <f t="shared" si="0"/>
        <v>1.2E-2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1911</v>
      </c>
      <c r="C39" s="74">
        <f>ROUND(524.45/9509,3)</f>
        <v>5.5E-2</v>
      </c>
      <c r="D39" s="18">
        <f t="shared" si="0"/>
        <v>0.11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1912</v>
      </c>
      <c r="C41" s="74">
        <f>ROUND(131.923/9509,3)</f>
        <v>1.4E-2</v>
      </c>
      <c r="D41" s="74">
        <f t="shared" si="0"/>
        <v>2.8000000000000001E-2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1913</v>
      </c>
      <c r="C43" s="74">
        <f>ROUND(360.94/9509,3)</f>
        <v>3.7999999999999999E-2</v>
      </c>
      <c r="D43" s="74">
        <f t="shared" si="0"/>
        <v>7.5999999999999998E-2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1914</v>
      </c>
      <c r="C45" s="74">
        <f>ROUND(272.76/9509,3)</f>
        <v>2.9000000000000001E-2</v>
      </c>
      <c r="D45" s="74">
        <f t="shared" si="0"/>
        <v>5.8000000000000003E-2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1915</v>
      </c>
      <c r="C47" s="74">
        <f>ROUND(12.06/9509,3)</f>
        <v>1E-3</v>
      </c>
      <c r="D47" s="74">
        <f t="shared" si="0"/>
        <v>2E-3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1916</v>
      </c>
      <c r="C49" s="74">
        <f>ROUND(23.35/9509,3)</f>
        <v>2E-3</v>
      </c>
      <c r="D49" s="74">
        <f t="shared" si="0"/>
        <v>4.0000000000000001E-3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1917</v>
      </c>
      <c r="C51" s="74">
        <f>ROUND(750.97/9509,3)</f>
        <v>7.9000000000000001E-2</v>
      </c>
      <c r="D51" s="74">
        <f t="shared" si="0"/>
        <v>0.158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1918</v>
      </c>
      <c r="C53" s="74">
        <f>ROUND(2620.34/9509,3)</f>
        <v>0.27600000000000002</v>
      </c>
      <c r="D53" s="74">
        <f t="shared" si="0"/>
        <v>0.55200000000000005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1919</v>
      </c>
      <c r="C55" s="74">
        <f>ROUND(9.91/9509,3)</f>
        <v>1E-3</v>
      </c>
      <c r="D55" s="74">
        <f t="shared" si="0"/>
        <v>2E-3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1920</v>
      </c>
      <c r="C57" s="74">
        <f>ROUND(132.32/9509,3)</f>
        <v>1.4E-2</v>
      </c>
      <c r="D57" s="74">
        <f t="shared" si="0"/>
        <v>2.8000000000000001E-2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1921</v>
      </c>
      <c r="C59" s="74">
        <f>ROUND(72.76/9509,3)</f>
        <v>8.0000000000000002E-3</v>
      </c>
      <c r="D59" s="74">
        <f t="shared" si="0"/>
        <v>1.6E-2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1922</v>
      </c>
      <c r="C61" s="74">
        <f>ROUND(484.21/9509,3)</f>
        <v>5.0999999999999997E-2</v>
      </c>
      <c r="D61" s="74">
        <f t="shared" si="0"/>
        <v>0.10199999999999999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1923</v>
      </c>
      <c r="C63" s="74">
        <f>ROUND(224.14/9509,3)</f>
        <v>2.4E-2</v>
      </c>
      <c r="D63" s="74">
        <f t="shared" si="0"/>
        <v>4.8000000000000001E-2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1924</v>
      </c>
      <c r="C65" s="74">
        <f>ROUND(103.21/9509,3)</f>
        <v>1.0999999999999999E-2</v>
      </c>
      <c r="D65" s="74">
        <f t="shared" si="0"/>
        <v>2.1999999999999999E-2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1925</v>
      </c>
      <c r="C67" s="74">
        <f>ROUND(241.97/9509,3)</f>
        <v>2.5000000000000001E-2</v>
      </c>
      <c r="D67" s="18">
        <f t="shared" si="0"/>
        <v>0.05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1926</v>
      </c>
      <c r="C69" s="74">
        <f>ROUND(87.42/9509,3)</f>
        <v>8.9999999999999993E-3</v>
      </c>
      <c r="D69" s="74">
        <f t="shared" si="0"/>
        <v>1.7999999999999999E-2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1927</v>
      </c>
      <c r="C71" s="74">
        <f>ROUND(28.69/9509,3)</f>
        <v>3.0000000000000001E-3</v>
      </c>
      <c r="D71" s="74">
        <f t="shared" si="0"/>
        <v>6.0000000000000001E-3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1928</v>
      </c>
      <c r="C73" s="74">
        <f>ROUND(8.56/9509,3)</f>
        <v>1E-3</v>
      </c>
      <c r="D73" s="74">
        <f t="shared" si="0"/>
        <v>2E-3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1929</v>
      </c>
      <c r="C75" s="74">
        <f>ROUND(58.04/9509,3)</f>
        <v>6.0000000000000001E-3</v>
      </c>
      <c r="D75" s="74">
        <f t="shared" si="0"/>
        <v>1.2E-2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1930</v>
      </c>
      <c r="C77" s="74">
        <f>ROUND(249.88/9509,3)</f>
        <v>2.5999999999999999E-2</v>
      </c>
      <c r="D77" s="74">
        <f t="shared" si="0"/>
        <v>5.1999999999999998E-2</v>
      </c>
    </row>
    <row r="78" spans="1:4" x14ac:dyDescent="0.25">
      <c r="A78" s="35">
        <v>5220</v>
      </c>
      <c r="B78" s="40" t="s">
        <v>120</v>
      </c>
      <c r="C78" s="18"/>
      <c r="D78" s="74"/>
    </row>
    <row r="79" spans="1:4" ht="39.75" customHeight="1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1931</v>
      </c>
      <c r="C81" s="74">
        <f>ROUND(61.55/9509,3)</f>
        <v>6.0000000000000001E-3</v>
      </c>
      <c r="D81" s="74">
        <f t="shared" si="0"/>
        <v>1.2E-2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1932</v>
      </c>
      <c r="C83" s="74">
        <f>ROUND(88.34/9509,3)</f>
        <v>8.9999999999999993E-3</v>
      </c>
      <c r="D83" s="74">
        <f t="shared" si="0"/>
        <v>1.7999999999999999E-2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1933</v>
      </c>
      <c r="C85" s="74">
        <f>ROUND(151.09/9509,3)</f>
        <v>1.6E-2</v>
      </c>
      <c r="D85" s="74">
        <f t="shared" si="0"/>
        <v>3.2000000000000001E-2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1.86</v>
      </c>
    </row>
    <row r="87" spans="1:4" x14ac:dyDescent="0.25">
      <c r="A87" s="83"/>
      <c r="B87" s="84" t="s">
        <v>95</v>
      </c>
      <c r="C87" s="82">
        <f>ROUND(C86+C18,3)</f>
        <v>22.44</v>
      </c>
      <c r="D87" s="82">
        <f>ROUND(D86+D18,3)</f>
        <v>44.88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2</v>
      </c>
      <c r="D89" s="89"/>
    </row>
    <row r="90" spans="1:4" ht="31.5" customHeight="1" x14ac:dyDescent="0.25">
      <c r="A90" s="302" t="s">
        <v>113</v>
      </c>
      <c r="B90" s="303"/>
      <c r="C90" s="22">
        <f>D87/C89</f>
        <v>22.44</v>
      </c>
      <c r="D90" s="22"/>
    </row>
  </sheetData>
  <mergeCells count="7">
    <mergeCell ref="A89:B89"/>
    <mergeCell ref="A90:B90"/>
    <mergeCell ref="E14:G14"/>
    <mergeCell ref="A1:D1"/>
    <mergeCell ref="A5:D5"/>
    <mergeCell ref="A7:B7"/>
    <mergeCell ref="A9:B9"/>
  </mergeCells>
  <pageMargins left="0.7" right="0.7" top="0.75" bottom="0.75" header="0.3" footer="0.3"/>
  <pageSetup orientation="portrait" verticalDpi="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H90"/>
  <sheetViews>
    <sheetView topLeftCell="A73" workbookViewId="0">
      <selection activeCell="G90" sqref="G90"/>
    </sheetView>
  </sheetViews>
  <sheetFormatPr defaultRowHeight="15" x14ac:dyDescent="0.25"/>
  <cols>
    <col min="2" max="2" width="63.28515625" customWidth="1"/>
    <col min="3" max="3" width="10.42578125" customWidth="1"/>
    <col min="4" max="4" width="1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31.5" customHeight="1" x14ac:dyDescent="0.25">
      <c r="A5" s="307" t="s">
        <v>520</v>
      </c>
      <c r="B5" s="307"/>
      <c r="C5" s="307"/>
      <c r="D5" s="307"/>
    </row>
    <row r="6" spans="1:8" x14ac:dyDescent="0.25">
      <c r="A6" s="126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126"/>
      <c r="B8" s="127"/>
      <c r="C8" s="60"/>
      <c r="D8" s="96"/>
    </row>
    <row r="9" spans="1:8" x14ac:dyDescent="0.25">
      <c r="A9" s="318" t="s">
        <v>186</v>
      </c>
      <c r="B9" s="318"/>
      <c r="C9" s="60"/>
      <c r="D9" s="96"/>
    </row>
    <row r="10" spans="1:8" ht="90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3">
        <v>1</v>
      </c>
      <c r="B11" s="254">
        <v>2</v>
      </c>
      <c r="C11" s="63">
        <v>3</v>
      </c>
      <c r="D11" s="63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68"/>
    </row>
    <row r="14" spans="1:8" ht="189" customHeight="1" x14ac:dyDescent="0.25">
      <c r="A14" s="35"/>
      <c r="B14" s="40" t="s">
        <v>465</v>
      </c>
      <c r="C14" s="18">
        <f>0.17*15+0.17*15+ 2.55/2+0.5*24</f>
        <v>18.375</v>
      </c>
      <c r="D14" s="18">
        <f>C14*1</f>
        <v>18.375</v>
      </c>
      <c r="E14" s="357"/>
      <c r="F14" s="358"/>
      <c r="G14" s="358"/>
      <c r="H14" s="358"/>
    </row>
    <row r="15" spans="1:8" ht="24" x14ac:dyDescent="0.25">
      <c r="A15" s="35">
        <v>1200</v>
      </c>
      <c r="B15" s="40" t="s">
        <v>466</v>
      </c>
      <c r="C15" s="18">
        <f>ROUND(C14*0.2359,2)+0.01</f>
        <v>4.34</v>
      </c>
      <c r="D15" s="18">
        <f>C15*1</f>
        <v>4.34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450</v>
      </c>
      <c r="C17" s="18">
        <v>5.24</v>
      </c>
      <c r="D17" s="18">
        <f>C17*1</f>
        <v>5.24</v>
      </c>
    </row>
    <row r="18" spans="1:4" x14ac:dyDescent="0.25">
      <c r="A18" s="35"/>
      <c r="B18" s="136" t="s">
        <v>87</v>
      </c>
      <c r="C18" s="82">
        <f>SUM(C13:C17)</f>
        <v>27.954999999999998</v>
      </c>
      <c r="D18" s="82">
        <f>SUM(D13:D17)</f>
        <v>27.954999999999998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28.885000000000002</v>
      </c>
      <c r="D87" s="82">
        <f>ROUND(D86+D18,3)</f>
        <v>28.885000000000002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</v>
      </c>
      <c r="D89" s="89"/>
    </row>
    <row r="90" spans="1:4" ht="28.5" customHeight="1" x14ac:dyDescent="0.25">
      <c r="A90" s="311" t="s">
        <v>113</v>
      </c>
      <c r="B90" s="312"/>
      <c r="C90" s="22">
        <f>D87/C89</f>
        <v>28.885000000000002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H91"/>
  <sheetViews>
    <sheetView topLeftCell="A75" workbookViewId="0">
      <selection activeCell="H90" sqref="H90"/>
    </sheetView>
  </sheetViews>
  <sheetFormatPr defaultRowHeight="15" x14ac:dyDescent="0.25"/>
  <cols>
    <col min="2" max="2" width="60.140625" customWidth="1"/>
    <col min="3" max="3" width="11.140625" customWidth="1"/>
    <col min="4" max="4" width="14.5703125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37.5" customHeight="1" x14ac:dyDescent="0.25">
      <c r="A5" s="332" t="s">
        <v>521</v>
      </c>
      <c r="B5" s="332"/>
      <c r="C5" s="332"/>
      <c r="D5" s="332"/>
    </row>
    <row r="6" spans="1:8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134"/>
      <c r="B8" s="135"/>
      <c r="C8" s="7"/>
      <c r="D8" s="26"/>
    </row>
    <row r="9" spans="1:8" x14ac:dyDescent="0.25">
      <c r="A9" s="335" t="s">
        <v>184</v>
      </c>
      <c r="B9" s="335"/>
      <c r="C9" s="7"/>
      <c r="D9" s="26"/>
    </row>
    <row r="10" spans="1:8" ht="92.25" customHeight="1" x14ac:dyDescent="0.25">
      <c r="A10" s="10" t="s">
        <v>80</v>
      </c>
      <c r="B10" s="10" t="s">
        <v>81</v>
      </c>
      <c r="C10" s="10" t="s">
        <v>82</v>
      </c>
      <c r="D10" s="10" t="s">
        <v>83</v>
      </c>
    </row>
    <row r="11" spans="1:8" x14ac:dyDescent="0.25">
      <c r="A11" s="10">
        <v>1</v>
      </c>
      <c r="B11" s="255">
        <v>2</v>
      </c>
      <c r="C11" s="10">
        <v>3</v>
      </c>
      <c r="D11" s="10">
        <v>4</v>
      </c>
    </row>
    <row r="12" spans="1:8" x14ac:dyDescent="0.25">
      <c r="A12" s="11"/>
      <c r="B12" s="27" t="s">
        <v>84</v>
      </c>
      <c r="C12" s="13"/>
      <c r="D12" s="13"/>
    </row>
    <row r="13" spans="1:8" x14ac:dyDescent="0.25">
      <c r="A13" s="28">
        <v>1100</v>
      </c>
      <c r="B13" s="29" t="s">
        <v>85</v>
      </c>
      <c r="C13" s="14"/>
      <c r="D13" s="14"/>
    </row>
    <row r="14" spans="1:8" ht="171.75" customHeight="1" x14ac:dyDescent="0.25">
      <c r="A14" s="30"/>
      <c r="B14" s="40" t="s">
        <v>479</v>
      </c>
      <c r="C14" s="18">
        <f>0.17*10+0.17*10+ 1.7/2+0.5*24</f>
        <v>16.25</v>
      </c>
      <c r="D14" s="18">
        <f>C14*1</f>
        <v>16.25</v>
      </c>
      <c r="E14" s="357"/>
      <c r="F14" s="358"/>
      <c r="G14" s="358"/>
      <c r="H14" s="358"/>
    </row>
    <row r="15" spans="1:8" ht="24" x14ac:dyDescent="0.25">
      <c r="A15" s="30">
        <v>1200</v>
      </c>
      <c r="B15" s="40" t="s">
        <v>463</v>
      </c>
      <c r="C15" s="18">
        <f>ROUND(C14*0.2359,2)</f>
        <v>3.83</v>
      </c>
      <c r="D15" s="18">
        <f>C15*1</f>
        <v>3.83</v>
      </c>
    </row>
    <row r="16" spans="1:8" x14ac:dyDescent="0.25">
      <c r="A16" s="30">
        <v>2341</v>
      </c>
      <c r="B16" s="30" t="s">
        <v>86</v>
      </c>
      <c r="C16" s="19"/>
      <c r="D16" s="19"/>
    </row>
    <row r="17" spans="1:4" ht="72" x14ac:dyDescent="0.25">
      <c r="A17" s="30"/>
      <c r="B17" s="40" t="s">
        <v>451</v>
      </c>
      <c r="C17" s="16">
        <v>5.66</v>
      </c>
      <c r="D17" s="16">
        <f>C17*1</f>
        <v>5.66</v>
      </c>
    </row>
    <row r="18" spans="1:4" x14ac:dyDescent="0.25">
      <c r="A18" s="34"/>
      <c r="B18" s="136" t="s">
        <v>87</v>
      </c>
      <c r="C18" s="137">
        <f>SUM(C13:C17)</f>
        <v>25.74</v>
      </c>
      <c r="D18" s="137">
        <f>SUM(D13:D17)</f>
        <v>25.74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48" x14ac:dyDescent="0.25">
      <c r="A79" s="35"/>
      <c r="B79" s="40" t="s">
        <v>624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26.67</v>
      </c>
      <c r="D87" s="82">
        <f>ROUND(D86+D18,3)</f>
        <v>26.67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</v>
      </c>
      <c r="D89" s="89"/>
    </row>
    <row r="90" spans="1:4" ht="26.25" customHeight="1" x14ac:dyDescent="0.25">
      <c r="A90" s="311" t="s">
        <v>113</v>
      </c>
      <c r="B90" s="312"/>
      <c r="C90" s="22">
        <f>D87/C89</f>
        <v>26.67</v>
      </c>
      <c r="D90" s="22"/>
    </row>
    <row r="91" spans="1:4" x14ac:dyDescent="0.25">
      <c r="A91" s="190"/>
      <c r="B91" s="190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82B9-8AFB-47D2-870B-B78062DAF5A5}">
  <dimension ref="A1:H89"/>
  <sheetViews>
    <sheetView topLeftCell="A73" workbookViewId="0">
      <selection activeCell="F86" sqref="F86"/>
    </sheetView>
  </sheetViews>
  <sheetFormatPr defaultRowHeight="15" x14ac:dyDescent="0.25"/>
  <cols>
    <col min="1" max="1" width="5.85546875" customWidth="1"/>
    <col min="2" max="2" width="60.140625" customWidth="1"/>
    <col min="3" max="3" width="13.140625" customWidth="1"/>
    <col min="4" max="4" width="14.140625" customWidth="1"/>
    <col min="6" max="6" width="11.42578125" customWidth="1"/>
    <col min="7" max="7" width="11" customWidth="1"/>
    <col min="8" max="8" width="14.855468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42.75" customHeight="1" x14ac:dyDescent="0.25">
      <c r="A5" s="307" t="s">
        <v>522</v>
      </c>
      <c r="B5" s="307"/>
      <c r="C5" s="307"/>
      <c r="D5" s="307"/>
    </row>
    <row r="6" spans="1:8" ht="9" customHeight="1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ht="7.5" customHeight="1" x14ac:dyDescent="0.25">
      <c r="A8" s="55"/>
      <c r="B8" s="61"/>
      <c r="C8" s="62"/>
      <c r="D8" s="59"/>
    </row>
    <row r="9" spans="1:8" x14ac:dyDescent="0.25">
      <c r="A9" s="309" t="s">
        <v>184</v>
      </c>
      <c r="B9" s="309"/>
      <c r="C9" s="62"/>
      <c r="D9" s="59"/>
    </row>
    <row r="10" spans="1:8" ht="92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77" customHeight="1" x14ac:dyDescent="0.25">
      <c r="A14" s="50"/>
      <c r="B14" s="72" t="s">
        <v>467</v>
      </c>
      <c r="C14" s="18">
        <f>0.17*6+0.17*6+ 0.17*6+24</f>
        <v>27.06</v>
      </c>
      <c r="D14" s="18">
        <f>C14*1</f>
        <v>27.06</v>
      </c>
      <c r="E14" s="354"/>
      <c r="F14" s="351"/>
      <c r="G14" s="351"/>
      <c r="H14" s="351"/>
    </row>
    <row r="15" spans="1:8" ht="24" x14ac:dyDescent="0.25">
      <c r="A15" s="50">
        <v>1200</v>
      </c>
      <c r="B15" s="73" t="s">
        <v>468</v>
      </c>
      <c r="C15" s="18">
        <f>ROUND(C14*0.2359,2)</f>
        <v>6.38</v>
      </c>
      <c r="D15" s="18">
        <f>C15*1</f>
        <v>6.38</v>
      </c>
    </row>
    <row r="16" spans="1:8" x14ac:dyDescent="0.25">
      <c r="A16" s="35">
        <v>2341</v>
      </c>
      <c r="B16" s="35" t="s">
        <v>97</v>
      </c>
      <c r="C16" s="74"/>
      <c r="D16" s="74"/>
    </row>
    <row r="17" spans="1:4" ht="96" x14ac:dyDescent="0.25">
      <c r="A17" s="50"/>
      <c r="B17" s="73" t="s">
        <v>199</v>
      </c>
      <c r="C17" s="18">
        <v>1.08</v>
      </c>
      <c r="D17" s="18">
        <f>C17*1</f>
        <v>1.08</v>
      </c>
    </row>
    <row r="18" spans="1:4" x14ac:dyDescent="0.25">
      <c r="A18" s="35"/>
      <c r="B18" s="92" t="s">
        <v>87</v>
      </c>
      <c r="C18" s="82">
        <f>SUM(C13:C17)</f>
        <v>34.519999999999996</v>
      </c>
      <c r="D18" s="82">
        <f>SUM(D13:D17)</f>
        <v>34.519999999999996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18">
        <f>ROUND(224.14/9509,3)</f>
        <v>2.4E-2</v>
      </c>
      <c r="D63" s="18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48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v>0.93</v>
      </c>
    </row>
    <row r="86" spans="1:4" x14ac:dyDescent="0.25">
      <c r="A86" s="83"/>
      <c r="B86" s="84" t="s">
        <v>95</v>
      </c>
      <c r="C86" s="82">
        <f>ROUND(C85+C18,3)</f>
        <v>35.450000000000003</v>
      </c>
      <c r="D86" s="82">
        <f>ROUND(D85+D18,3)</f>
        <v>35.450000000000003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8.5" customHeight="1" x14ac:dyDescent="0.25">
      <c r="A89" s="302" t="s">
        <v>113</v>
      </c>
      <c r="B89" s="303"/>
      <c r="C89" s="22">
        <f>D86/C88</f>
        <v>35.450000000000003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F035-8FF5-4B81-9EEE-D82AB7371EBD}">
  <dimension ref="A1:H91"/>
  <sheetViews>
    <sheetView topLeftCell="A76" workbookViewId="0">
      <selection activeCell="G82" sqref="G82"/>
    </sheetView>
  </sheetViews>
  <sheetFormatPr defaultRowHeight="15" x14ac:dyDescent="0.25"/>
  <cols>
    <col min="2" max="2" width="59.85546875" customWidth="1"/>
    <col min="3" max="3" width="13.140625" customWidth="1"/>
    <col min="4" max="4" width="11.855468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41.25" customHeight="1" x14ac:dyDescent="0.25">
      <c r="A5" s="307" t="s">
        <v>523</v>
      </c>
      <c r="B5" s="307"/>
      <c r="C5" s="307"/>
      <c r="D5" s="307"/>
    </row>
    <row r="6" spans="1:8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x14ac:dyDescent="0.25">
      <c r="A8" s="230"/>
      <c r="B8" s="231"/>
      <c r="C8" s="60"/>
      <c r="D8" s="59"/>
    </row>
    <row r="9" spans="1:8" x14ac:dyDescent="0.25">
      <c r="A9" s="309" t="s">
        <v>675</v>
      </c>
      <c r="B9" s="309"/>
      <c r="C9" s="62"/>
      <c r="D9" s="59"/>
    </row>
    <row r="10" spans="1:8" x14ac:dyDescent="0.25">
      <c r="A10" s="309"/>
      <c r="B10" s="309"/>
      <c r="C10" s="62"/>
      <c r="D10" s="59"/>
    </row>
    <row r="11" spans="1:8" ht="108" x14ac:dyDescent="0.25">
      <c r="A11" s="63" t="s">
        <v>80</v>
      </c>
      <c r="B11" s="63" t="s">
        <v>81</v>
      </c>
      <c r="C11" s="63" t="s">
        <v>99</v>
      </c>
      <c r="D11" s="63" t="s">
        <v>83</v>
      </c>
    </row>
    <row r="12" spans="1:8" x14ac:dyDescent="0.25">
      <c r="A12" s="64">
        <v>1</v>
      </c>
      <c r="B12" s="65">
        <v>2</v>
      </c>
      <c r="C12" s="64">
        <v>3</v>
      </c>
      <c r="D12" s="64">
        <v>4</v>
      </c>
    </row>
    <row r="13" spans="1:8" x14ac:dyDescent="0.25">
      <c r="A13" s="66"/>
      <c r="B13" s="67" t="s">
        <v>84</v>
      </c>
      <c r="C13" s="68"/>
      <c r="D13" s="68"/>
    </row>
    <row r="14" spans="1:8" x14ac:dyDescent="0.25">
      <c r="A14" s="69">
        <v>1100</v>
      </c>
      <c r="B14" s="70" t="s">
        <v>85</v>
      </c>
      <c r="C14" s="71"/>
      <c r="D14" s="71"/>
    </row>
    <row r="15" spans="1:8" ht="168" customHeight="1" x14ac:dyDescent="0.25">
      <c r="A15" s="50"/>
      <c r="B15" s="90" t="s">
        <v>689</v>
      </c>
      <c r="C15" s="18">
        <f>0.17*20+0.17*20+ 0.17*20+24</f>
        <v>34.200000000000003</v>
      </c>
      <c r="D15" s="18">
        <f>C15*10</f>
        <v>342</v>
      </c>
      <c r="E15" s="355"/>
      <c r="F15" s="356"/>
      <c r="G15" s="356"/>
      <c r="H15" s="356"/>
    </row>
    <row r="16" spans="1:8" ht="24" x14ac:dyDescent="0.25">
      <c r="A16" s="50">
        <v>1200</v>
      </c>
      <c r="B16" s="73" t="s">
        <v>470</v>
      </c>
      <c r="C16" s="18">
        <f>ROUND(C15*0.2359,2)</f>
        <v>8.07</v>
      </c>
      <c r="D16" s="18">
        <f>C16*10</f>
        <v>80.7</v>
      </c>
    </row>
    <row r="17" spans="1:4" x14ac:dyDescent="0.25">
      <c r="A17" s="50">
        <v>2341</v>
      </c>
      <c r="B17" s="50" t="s">
        <v>97</v>
      </c>
      <c r="C17" s="91"/>
      <c r="D17" s="18"/>
    </row>
    <row r="18" spans="1:4" ht="120" x14ac:dyDescent="0.25">
      <c r="A18" s="50"/>
      <c r="B18" s="73" t="s">
        <v>690</v>
      </c>
      <c r="C18" s="18">
        <v>4.83</v>
      </c>
      <c r="D18" s="18">
        <f>C18*10</f>
        <v>48.3</v>
      </c>
    </row>
    <row r="19" spans="1:4" x14ac:dyDescent="0.25">
      <c r="A19" s="35"/>
      <c r="B19" s="92" t="s">
        <v>87</v>
      </c>
      <c r="C19" s="82">
        <f>SUM(C14:C18)</f>
        <v>47.1</v>
      </c>
      <c r="D19" s="82">
        <f>SUM(D14:D18)</f>
        <v>471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6" t="s">
        <v>584</v>
      </c>
      <c r="C21" s="78"/>
      <c r="D21" s="78"/>
    </row>
    <row r="22" spans="1:4" ht="48" x14ac:dyDescent="0.25">
      <c r="A22" s="77"/>
      <c r="B22" s="40" t="s">
        <v>1557</v>
      </c>
      <c r="C22" s="74">
        <f>ROUND(31.85/9509,3)</f>
        <v>3.0000000000000001E-3</v>
      </c>
      <c r="D22" s="18">
        <f>C22*10</f>
        <v>0.03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48" x14ac:dyDescent="0.25">
      <c r="A24" s="35"/>
      <c r="B24" s="40" t="s">
        <v>1558</v>
      </c>
      <c r="C24" s="74">
        <f>ROUND(228.88/9509,3)</f>
        <v>2.4E-2</v>
      </c>
      <c r="D24" s="18">
        <f t="shared" ref="D24:D86" si="0">C24*10</f>
        <v>0.24</v>
      </c>
    </row>
    <row r="25" spans="1:4" x14ac:dyDescent="0.25">
      <c r="A25" s="35">
        <v>2221</v>
      </c>
      <c r="B25" s="40" t="s">
        <v>89</v>
      </c>
      <c r="C25" s="18"/>
      <c r="D25" s="18"/>
    </row>
    <row r="26" spans="1:4" ht="48" x14ac:dyDescent="0.25">
      <c r="A26" s="35"/>
      <c r="B26" s="40" t="s">
        <v>1559</v>
      </c>
      <c r="C26" s="18">
        <f>ROUND(382.73/9509,3)</f>
        <v>0.04</v>
      </c>
      <c r="D26" s="18">
        <f t="shared" si="0"/>
        <v>0.4</v>
      </c>
    </row>
    <row r="27" spans="1:4" x14ac:dyDescent="0.25">
      <c r="A27" s="35">
        <v>2222</v>
      </c>
      <c r="B27" s="242" t="s">
        <v>90</v>
      </c>
      <c r="C27" s="18"/>
      <c r="D27" s="18"/>
    </row>
    <row r="28" spans="1:4" ht="48" x14ac:dyDescent="0.25">
      <c r="A28" s="35"/>
      <c r="B28" s="40" t="s">
        <v>1560</v>
      </c>
      <c r="C28" s="74">
        <f>ROUND(38.69/9509,3)</f>
        <v>4.0000000000000001E-3</v>
      </c>
      <c r="D28" s="18">
        <f t="shared" si="0"/>
        <v>0.04</v>
      </c>
    </row>
    <row r="29" spans="1:4" x14ac:dyDescent="0.25">
      <c r="A29" s="35">
        <v>2223</v>
      </c>
      <c r="B29" s="35" t="s">
        <v>91</v>
      </c>
      <c r="C29" s="74"/>
      <c r="D29" s="18"/>
    </row>
    <row r="30" spans="1:4" ht="48" x14ac:dyDescent="0.25">
      <c r="A30" s="35"/>
      <c r="B30" s="40" t="s">
        <v>1561</v>
      </c>
      <c r="C30" s="74">
        <f>ROUND(1004.28/9509,3)</f>
        <v>0.106</v>
      </c>
      <c r="D30" s="18">
        <f t="shared" si="0"/>
        <v>1.06</v>
      </c>
    </row>
    <row r="31" spans="1:4" ht="24" x14ac:dyDescent="0.25">
      <c r="A31" s="35">
        <v>2224</v>
      </c>
      <c r="B31" s="40" t="s">
        <v>115</v>
      </c>
      <c r="C31" s="74"/>
      <c r="D31" s="18"/>
    </row>
    <row r="32" spans="1:4" ht="48" x14ac:dyDescent="0.25">
      <c r="A32" s="34"/>
      <c r="B32" s="40" t="s">
        <v>1562</v>
      </c>
      <c r="C32" s="74">
        <f>ROUND(82.8/9509,3)</f>
        <v>8.9999999999999993E-3</v>
      </c>
      <c r="D32" s="18">
        <f t="shared" si="0"/>
        <v>0.09</v>
      </c>
    </row>
    <row r="33" spans="1:4" x14ac:dyDescent="0.25">
      <c r="A33" s="35">
        <v>2231</v>
      </c>
      <c r="B33" s="40" t="s">
        <v>121</v>
      </c>
      <c r="C33" s="74"/>
      <c r="D33" s="18"/>
    </row>
    <row r="34" spans="1:4" ht="48" x14ac:dyDescent="0.25">
      <c r="A34" s="35"/>
      <c r="B34" s="40" t="s">
        <v>1563</v>
      </c>
      <c r="C34" s="18">
        <f>ROUND(289.4/9509,3)</f>
        <v>0.03</v>
      </c>
      <c r="D34" s="18">
        <f t="shared" si="0"/>
        <v>0.3</v>
      </c>
    </row>
    <row r="35" spans="1:4" x14ac:dyDescent="0.25">
      <c r="A35" s="35">
        <v>2233</v>
      </c>
      <c r="B35" s="242" t="s">
        <v>143</v>
      </c>
      <c r="C35" s="18"/>
      <c r="D35" s="18"/>
    </row>
    <row r="36" spans="1:4" ht="48" x14ac:dyDescent="0.25">
      <c r="A36" s="35"/>
      <c r="B36" s="40" t="s">
        <v>1588</v>
      </c>
      <c r="C36" s="74">
        <f>ROUND(20.68/9509,3)</f>
        <v>2E-3</v>
      </c>
      <c r="D36" s="18">
        <f t="shared" si="0"/>
        <v>0.02</v>
      </c>
    </row>
    <row r="37" spans="1:4" x14ac:dyDescent="0.25">
      <c r="A37" s="35">
        <v>2235</v>
      </c>
      <c r="B37" s="242" t="s">
        <v>569</v>
      </c>
      <c r="C37" s="74"/>
      <c r="D37" s="18"/>
    </row>
    <row r="38" spans="1:4" ht="48" x14ac:dyDescent="0.25">
      <c r="A38" s="35"/>
      <c r="B38" s="40" t="s">
        <v>1564</v>
      </c>
      <c r="C38" s="74">
        <f>ROUND(58.15/9509,3)</f>
        <v>6.0000000000000001E-3</v>
      </c>
      <c r="D38" s="18">
        <f t="shared" si="0"/>
        <v>0.06</v>
      </c>
    </row>
    <row r="39" spans="1:4" x14ac:dyDescent="0.25">
      <c r="A39" s="35">
        <v>2239</v>
      </c>
      <c r="B39" s="242" t="s">
        <v>570</v>
      </c>
      <c r="C39" s="74"/>
      <c r="D39" s="18"/>
    </row>
    <row r="40" spans="1:4" ht="48" x14ac:dyDescent="0.25">
      <c r="A40" s="35"/>
      <c r="B40" s="40" t="s">
        <v>1565</v>
      </c>
      <c r="C40" s="74">
        <f>ROUND(524.45/9509,3)</f>
        <v>5.5E-2</v>
      </c>
      <c r="D40" s="18">
        <f t="shared" si="0"/>
        <v>0.55000000000000004</v>
      </c>
    </row>
    <row r="41" spans="1:4" x14ac:dyDescent="0.25">
      <c r="A41" s="35">
        <v>2242</v>
      </c>
      <c r="B41" s="242" t="s">
        <v>571</v>
      </c>
      <c r="C41" s="74"/>
      <c r="D41" s="18"/>
    </row>
    <row r="42" spans="1:4" ht="48" x14ac:dyDescent="0.25">
      <c r="A42" s="35"/>
      <c r="B42" s="40" t="s">
        <v>1566</v>
      </c>
      <c r="C42" s="74">
        <f>ROUND(131.923/9509,3)</f>
        <v>1.4E-2</v>
      </c>
      <c r="D42" s="18">
        <f t="shared" si="0"/>
        <v>0.14000000000000001</v>
      </c>
    </row>
    <row r="43" spans="1:4" x14ac:dyDescent="0.25">
      <c r="A43" s="35">
        <v>2243</v>
      </c>
      <c r="B43" s="40" t="s">
        <v>100</v>
      </c>
      <c r="C43" s="18"/>
      <c r="D43" s="18"/>
    </row>
    <row r="44" spans="1:4" ht="48" x14ac:dyDescent="0.25">
      <c r="A44" s="35"/>
      <c r="B44" s="40" t="s">
        <v>1567</v>
      </c>
      <c r="C44" s="74">
        <f>ROUND(360.94/9509,3)</f>
        <v>3.7999999999999999E-2</v>
      </c>
      <c r="D44" s="18">
        <f t="shared" si="0"/>
        <v>0.38</v>
      </c>
    </row>
    <row r="45" spans="1:4" x14ac:dyDescent="0.25">
      <c r="A45" s="35">
        <v>2244</v>
      </c>
      <c r="B45" s="40" t="s">
        <v>92</v>
      </c>
      <c r="C45" s="18"/>
      <c r="D45" s="18"/>
    </row>
    <row r="46" spans="1:4" ht="48" x14ac:dyDescent="0.25">
      <c r="A46" s="79"/>
      <c r="B46" s="40" t="s">
        <v>1568</v>
      </c>
      <c r="C46" s="74">
        <f>ROUND(272.76/9509,3)</f>
        <v>2.9000000000000001E-2</v>
      </c>
      <c r="D46" s="18">
        <f t="shared" si="0"/>
        <v>0.29000000000000004</v>
      </c>
    </row>
    <row r="47" spans="1:4" x14ac:dyDescent="0.25">
      <c r="A47" s="35">
        <v>2247</v>
      </c>
      <c r="B47" s="242" t="s">
        <v>572</v>
      </c>
      <c r="C47" s="18"/>
      <c r="D47" s="18"/>
    </row>
    <row r="48" spans="1:4" ht="48" x14ac:dyDescent="0.25">
      <c r="A48" s="79"/>
      <c r="B48" s="40" t="s">
        <v>1569</v>
      </c>
      <c r="C48" s="74">
        <f>ROUND(12.06/9509,3)</f>
        <v>1E-3</v>
      </c>
      <c r="D48" s="18">
        <f t="shared" si="0"/>
        <v>0.01</v>
      </c>
    </row>
    <row r="49" spans="1:4" x14ac:dyDescent="0.25">
      <c r="A49" s="35">
        <v>2249</v>
      </c>
      <c r="B49" s="242" t="s">
        <v>573</v>
      </c>
      <c r="C49" s="18"/>
      <c r="D49" s="18"/>
    </row>
    <row r="50" spans="1:4" ht="48" x14ac:dyDescent="0.25">
      <c r="A50" s="79"/>
      <c r="B50" s="40" t="s">
        <v>1570</v>
      </c>
      <c r="C50" s="74">
        <f>ROUND(23.35/9509,3)</f>
        <v>2E-3</v>
      </c>
      <c r="D50" s="18">
        <f t="shared" si="0"/>
        <v>0.02</v>
      </c>
    </row>
    <row r="51" spans="1:4" x14ac:dyDescent="0.25">
      <c r="A51" s="35">
        <v>2250</v>
      </c>
      <c r="B51" s="40" t="s">
        <v>122</v>
      </c>
      <c r="C51" s="74"/>
      <c r="D51" s="18"/>
    </row>
    <row r="52" spans="1:4" ht="48" x14ac:dyDescent="0.25">
      <c r="A52" s="35"/>
      <c r="B52" s="40" t="s">
        <v>1571</v>
      </c>
      <c r="C52" s="74">
        <f>ROUND(750.97/9509,3)</f>
        <v>7.9000000000000001E-2</v>
      </c>
      <c r="D52" s="18">
        <f t="shared" si="0"/>
        <v>0.79</v>
      </c>
    </row>
    <row r="53" spans="1:4" x14ac:dyDescent="0.25">
      <c r="A53" s="35">
        <v>2261</v>
      </c>
      <c r="B53" s="242" t="s">
        <v>146</v>
      </c>
      <c r="C53" s="18"/>
      <c r="D53" s="18"/>
    </row>
    <row r="54" spans="1:4" ht="48" x14ac:dyDescent="0.25">
      <c r="A54" s="35"/>
      <c r="B54" s="40" t="s">
        <v>1573</v>
      </c>
      <c r="C54" s="74">
        <f>ROUND(2620.34/9509,3)</f>
        <v>0.27600000000000002</v>
      </c>
      <c r="D54" s="18">
        <f t="shared" si="0"/>
        <v>2.7600000000000002</v>
      </c>
    </row>
    <row r="55" spans="1:4" x14ac:dyDescent="0.25">
      <c r="A55" s="35">
        <v>2263</v>
      </c>
      <c r="B55" s="242" t="s">
        <v>574</v>
      </c>
      <c r="C55" s="18"/>
      <c r="D55" s="18"/>
    </row>
    <row r="56" spans="1:4" ht="48" x14ac:dyDescent="0.25">
      <c r="A56" s="35"/>
      <c r="B56" s="40" t="s">
        <v>1572</v>
      </c>
      <c r="C56" s="74">
        <f>ROUND(9.91/9509,3)</f>
        <v>1E-3</v>
      </c>
      <c r="D56" s="18">
        <f t="shared" si="0"/>
        <v>0.01</v>
      </c>
    </row>
    <row r="57" spans="1:4" x14ac:dyDescent="0.25">
      <c r="A57" s="35">
        <v>2264</v>
      </c>
      <c r="B57" s="242" t="s">
        <v>575</v>
      </c>
      <c r="C57" s="18"/>
      <c r="D57" s="18"/>
    </row>
    <row r="58" spans="1:4" ht="48" x14ac:dyDescent="0.25">
      <c r="A58" s="35"/>
      <c r="B58" s="40" t="s">
        <v>1574</v>
      </c>
      <c r="C58" s="18">
        <f>ROUND(132.32/9509,3)</f>
        <v>1.4E-2</v>
      </c>
      <c r="D58" s="18">
        <f t="shared" si="0"/>
        <v>0.14000000000000001</v>
      </c>
    </row>
    <row r="59" spans="1:4" x14ac:dyDescent="0.25">
      <c r="A59" s="35">
        <v>2311</v>
      </c>
      <c r="B59" s="40" t="s">
        <v>93</v>
      </c>
      <c r="C59" s="74"/>
      <c r="D59" s="18"/>
    </row>
    <row r="60" spans="1:4" ht="48" x14ac:dyDescent="0.25">
      <c r="A60" s="35"/>
      <c r="B60" s="40" t="s">
        <v>1575</v>
      </c>
      <c r="C60" s="74">
        <f>ROUND(72.76/9509,3)</f>
        <v>8.0000000000000002E-3</v>
      </c>
      <c r="D60" s="18">
        <f t="shared" si="0"/>
        <v>0.08</v>
      </c>
    </row>
    <row r="61" spans="1:4" x14ac:dyDescent="0.25">
      <c r="A61" s="35">
        <v>2312</v>
      </c>
      <c r="B61" s="40" t="s">
        <v>124</v>
      </c>
      <c r="C61" s="18"/>
      <c r="D61" s="18"/>
    </row>
    <row r="62" spans="1:4" ht="48" x14ac:dyDescent="0.25">
      <c r="A62" s="35"/>
      <c r="B62" s="40" t="s">
        <v>1576</v>
      </c>
      <c r="C62" s="74">
        <f>ROUND(484.21/9509,3)</f>
        <v>5.0999999999999997E-2</v>
      </c>
      <c r="D62" s="18">
        <f t="shared" si="0"/>
        <v>0.51</v>
      </c>
    </row>
    <row r="63" spans="1:4" x14ac:dyDescent="0.25">
      <c r="A63" s="35">
        <v>2314</v>
      </c>
      <c r="B63" s="242" t="s">
        <v>576</v>
      </c>
      <c r="C63" s="18"/>
      <c r="D63" s="18"/>
    </row>
    <row r="64" spans="1:4" ht="48" x14ac:dyDescent="0.25">
      <c r="A64" s="35"/>
      <c r="B64" s="40" t="s">
        <v>1578</v>
      </c>
      <c r="C64" s="74">
        <f>ROUND(224.14/9509,3)</f>
        <v>2.4E-2</v>
      </c>
      <c r="D64" s="18">
        <f t="shared" si="0"/>
        <v>0.24</v>
      </c>
    </row>
    <row r="65" spans="1:4" x14ac:dyDescent="0.25">
      <c r="A65" s="35">
        <v>2322</v>
      </c>
      <c r="B65" s="243" t="s">
        <v>577</v>
      </c>
      <c r="C65" s="18"/>
      <c r="D65" s="18"/>
    </row>
    <row r="66" spans="1:4" ht="48" x14ac:dyDescent="0.25">
      <c r="A66" s="35"/>
      <c r="B66" s="40" t="s">
        <v>1577</v>
      </c>
      <c r="C66" s="74">
        <f>ROUND(103.21/9509,3)</f>
        <v>1.0999999999999999E-2</v>
      </c>
      <c r="D66" s="18">
        <f t="shared" si="0"/>
        <v>0.10999999999999999</v>
      </c>
    </row>
    <row r="67" spans="1:4" x14ac:dyDescent="0.25">
      <c r="A67" s="35">
        <v>2350</v>
      </c>
      <c r="B67" s="40" t="s">
        <v>123</v>
      </c>
      <c r="C67" s="74"/>
      <c r="D67" s="18"/>
    </row>
    <row r="68" spans="1:4" ht="48" x14ac:dyDescent="0.25">
      <c r="A68" s="35"/>
      <c r="B68" s="40" t="s">
        <v>1579</v>
      </c>
      <c r="C68" s="74">
        <f>ROUND(241.97/9509,5)</f>
        <v>2.545E-2</v>
      </c>
      <c r="D68" s="18">
        <f t="shared" si="0"/>
        <v>0.2545</v>
      </c>
    </row>
    <row r="69" spans="1:4" x14ac:dyDescent="0.25">
      <c r="A69" s="35">
        <v>2361</v>
      </c>
      <c r="B69" s="242" t="s">
        <v>578</v>
      </c>
      <c r="C69" s="18"/>
      <c r="D69" s="18"/>
    </row>
    <row r="70" spans="1:4" ht="48" x14ac:dyDescent="0.25">
      <c r="A70" s="35"/>
      <c r="B70" s="40" t="s">
        <v>1580</v>
      </c>
      <c r="C70" s="74">
        <f>ROUND(87.42/9509,3)</f>
        <v>8.9999999999999993E-3</v>
      </c>
      <c r="D70" s="18">
        <f t="shared" si="0"/>
        <v>0.09</v>
      </c>
    </row>
    <row r="71" spans="1:4" x14ac:dyDescent="0.25">
      <c r="A71" s="35">
        <v>2513</v>
      </c>
      <c r="B71" s="242" t="s">
        <v>579</v>
      </c>
      <c r="C71" s="18"/>
      <c r="D71" s="18"/>
    </row>
    <row r="72" spans="1:4" ht="48" x14ac:dyDescent="0.25">
      <c r="A72" s="35"/>
      <c r="B72" s="40" t="s">
        <v>1581</v>
      </c>
      <c r="C72" s="74">
        <f>ROUND(28.69/9509,5)</f>
        <v>3.0200000000000001E-3</v>
      </c>
      <c r="D72" s="18">
        <f t="shared" si="0"/>
        <v>3.0200000000000001E-2</v>
      </c>
    </row>
    <row r="73" spans="1:4" x14ac:dyDescent="0.25">
      <c r="A73" s="35">
        <v>2519</v>
      </c>
      <c r="B73" s="242" t="s">
        <v>580</v>
      </c>
      <c r="C73" s="74"/>
      <c r="D73" s="18"/>
    </row>
    <row r="74" spans="1:4" ht="48" x14ac:dyDescent="0.25">
      <c r="A74" s="35"/>
      <c r="B74" s="40" t="s">
        <v>1582</v>
      </c>
      <c r="C74" s="74">
        <f>ROUND(8.56/9509,5)</f>
        <v>8.9999999999999998E-4</v>
      </c>
      <c r="D74" s="18">
        <f t="shared" si="0"/>
        <v>8.9999999999999993E-3</v>
      </c>
    </row>
    <row r="75" spans="1:4" x14ac:dyDescent="0.25">
      <c r="A75" s="35">
        <v>5120</v>
      </c>
      <c r="B75" s="40" t="s">
        <v>101</v>
      </c>
      <c r="C75" s="74"/>
      <c r="D75" s="18"/>
    </row>
    <row r="76" spans="1:4" ht="48" x14ac:dyDescent="0.25">
      <c r="A76" s="35"/>
      <c r="B76" s="40" t="s">
        <v>1583</v>
      </c>
      <c r="C76" s="74">
        <f>ROUND(58.04/9509,5)</f>
        <v>6.1000000000000004E-3</v>
      </c>
      <c r="D76" s="18">
        <f t="shared" si="0"/>
        <v>6.1000000000000006E-2</v>
      </c>
    </row>
    <row r="77" spans="1:4" x14ac:dyDescent="0.25">
      <c r="A77" s="35">
        <v>5210</v>
      </c>
      <c r="B77" s="243" t="s">
        <v>581</v>
      </c>
      <c r="C77" s="74"/>
      <c r="D77" s="18"/>
    </row>
    <row r="78" spans="1:4" ht="48" x14ac:dyDescent="0.25">
      <c r="A78" s="35"/>
      <c r="B78" s="40" t="s">
        <v>1584</v>
      </c>
      <c r="C78" s="74">
        <f>ROUND(249.88/9509,5)</f>
        <v>2.6280000000000001E-2</v>
      </c>
      <c r="D78" s="18">
        <f t="shared" si="0"/>
        <v>0.26280000000000003</v>
      </c>
    </row>
    <row r="79" spans="1:4" x14ac:dyDescent="0.25">
      <c r="A79" s="35">
        <v>5220</v>
      </c>
      <c r="B79" s="40" t="s">
        <v>120</v>
      </c>
      <c r="C79" s="18"/>
      <c r="D79" s="18"/>
    </row>
    <row r="80" spans="1:4" ht="38.25" x14ac:dyDescent="0.25">
      <c r="A80" s="35"/>
      <c r="B80" s="248" t="s">
        <v>621</v>
      </c>
      <c r="C80" s="18">
        <v>0</v>
      </c>
      <c r="D80" s="18">
        <f t="shared" si="0"/>
        <v>0</v>
      </c>
    </row>
    <row r="81" spans="1:4" x14ac:dyDescent="0.25">
      <c r="A81" s="35">
        <v>5231</v>
      </c>
      <c r="B81" s="243" t="s">
        <v>582</v>
      </c>
      <c r="C81" s="18"/>
      <c r="D81" s="18"/>
    </row>
    <row r="82" spans="1:4" ht="48" x14ac:dyDescent="0.25">
      <c r="A82" s="35"/>
      <c r="B82" s="40" t="s">
        <v>1585</v>
      </c>
      <c r="C82" s="74">
        <f>ROUND(61.55/9509,5)</f>
        <v>6.4700000000000001E-3</v>
      </c>
      <c r="D82" s="18">
        <f t="shared" si="0"/>
        <v>6.4700000000000008E-2</v>
      </c>
    </row>
    <row r="83" spans="1:4" x14ac:dyDescent="0.25">
      <c r="A83" s="35">
        <v>5238</v>
      </c>
      <c r="B83" s="40" t="s">
        <v>117</v>
      </c>
      <c r="C83" s="80"/>
      <c r="D83" s="18"/>
    </row>
    <row r="84" spans="1:4" ht="48" x14ac:dyDescent="0.25">
      <c r="A84" s="35"/>
      <c r="B84" s="40" t="s">
        <v>1586</v>
      </c>
      <c r="C84" s="74">
        <f>ROUND(88.34/9509,5)</f>
        <v>9.2899999999999996E-3</v>
      </c>
      <c r="D84" s="18">
        <f t="shared" si="0"/>
        <v>9.2899999999999996E-2</v>
      </c>
    </row>
    <row r="85" spans="1:4" x14ac:dyDescent="0.25">
      <c r="A85" s="35">
        <v>5239</v>
      </c>
      <c r="B85" s="243" t="s">
        <v>583</v>
      </c>
      <c r="C85" s="74"/>
      <c r="D85" s="18"/>
    </row>
    <row r="86" spans="1:4" ht="48" x14ac:dyDescent="0.25">
      <c r="A86" s="35"/>
      <c r="B86" s="40" t="s">
        <v>1587</v>
      </c>
      <c r="C86" s="74">
        <f>ROUND(151.09/9509,3)</f>
        <v>1.6E-2</v>
      </c>
      <c r="D86" s="18">
        <f t="shared" si="0"/>
        <v>0.16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9.3000000000000007</v>
      </c>
    </row>
    <row r="88" spans="1:4" x14ac:dyDescent="0.25">
      <c r="A88" s="83"/>
      <c r="B88" s="84" t="s">
        <v>95</v>
      </c>
      <c r="C88" s="82">
        <f>ROUND(C87+C19,3)</f>
        <v>48.03</v>
      </c>
      <c r="D88" s="82">
        <f>ROUND(D87+D19,3)</f>
        <v>480.3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10</v>
      </c>
      <c r="D90" s="89"/>
    </row>
    <row r="91" spans="1:4" ht="33" customHeight="1" x14ac:dyDescent="0.25">
      <c r="A91" s="302" t="s">
        <v>113</v>
      </c>
      <c r="B91" s="303"/>
      <c r="C91" s="22">
        <f>D88/C90</f>
        <v>48.03</v>
      </c>
      <c r="D91" s="89"/>
    </row>
  </sheetData>
  <mergeCells count="9">
    <mergeCell ref="A90:B90"/>
    <mergeCell ref="A91:B91"/>
    <mergeCell ref="E15:H15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0150-A8A2-457F-807A-1563587186B6}">
  <dimension ref="A1:H89"/>
  <sheetViews>
    <sheetView topLeftCell="A75" workbookViewId="0">
      <selection activeCell="I91" sqref="I91"/>
    </sheetView>
  </sheetViews>
  <sheetFormatPr defaultRowHeight="15" x14ac:dyDescent="0.25"/>
  <cols>
    <col min="2" max="2" width="59.85546875" customWidth="1"/>
    <col min="3" max="3" width="12.28515625" customWidth="1"/>
    <col min="4" max="4" width="15.855468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3" customHeight="1" x14ac:dyDescent="0.25">
      <c r="A5" s="307" t="s">
        <v>524</v>
      </c>
      <c r="B5" s="307"/>
      <c r="C5" s="307"/>
      <c r="D5" s="307"/>
    </row>
    <row r="6" spans="1:8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ht="10.5" customHeight="1" x14ac:dyDescent="0.25">
      <c r="A8" s="230"/>
      <c r="B8" s="231"/>
      <c r="C8" s="60"/>
      <c r="D8" s="59"/>
    </row>
    <row r="9" spans="1:8" x14ac:dyDescent="0.25">
      <c r="A9" s="309" t="s">
        <v>184</v>
      </c>
      <c r="B9" s="309"/>
      <c r="C9" s="62"/>
      <c r="D9" s="59"/>
    </row>
    <row r="10" spans="1:8" ht="82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56" customHeight="1" x14ac:dyDescent="0.25">
      <c r="A14" s="50"/>
      <c r="B14" s="90" t="s">
        <v>469</v>
      </c>
      <c r="C14" s="18">
        <f>0.17*20+0.17*20+ 0.17*20+24</f>
        <v>34.200000000000003</v>
      </c>
      <c r="D14" s="18">
        <f>C14*1</f>
        <v>34.200000000000003</v>
      </c>
      <c r="E14" s="357"/>
      <c r="F14" s="358"/>
      <c r="G14" s="358"/>
      <c r="H14" s="358"/>
    </row>
    <row r="15" spans="1:8" ht="24" x14ac:dyDescent="0.25">
      <c r="A15" s="50">
        <v>1200</v>
      </c>
      <c r="B15" s="73" t="s">
        <v>470</v>
      </c>
      <c r="C15" s="18">
        <f>ROUND(C14*0.2359,2)</f>
        <v>8.07</v>
      </c>
      <c r="D15" s="18">
        <f>C15*1</f>
        <v>8.07</v>
      </c>
    </row>
    <row r="16" spans="1:8" x14ac:dyDescent="0.25">
      <c r="A16" s="50">
        <v>2341</v>
      </c>
      <c r="B16" s="50" t="s">
        <v>118</v>
      </c>
      <c r="C16" s="91"/>
      <c r="D16" s="18"/>
    </row>
    <row r="17" spans="1:4" ht="84" x14ac:dyDescent="0.25">
      <c r="A17" s="50"/>
      <c r="B17" s="73" t="s">
        <v>276</v>
      </c>
      <c r="C17" s="18">
        <v>0.28000000000000003</v>
      </c>
      <c r="D17" s="18">
        <f>C17*1</f>
        <v>0.28000000000000003</v>
      </c>
    </row>
    <row r="18" spans="1:4" x14ac:dyDescent="0.25">
      <c r="A18" s="50"/>
      <c r="B18" s="92" t="s">
        <v>87</v>
      </c>
      <c r="C18" s="82">
        <f>SUM(C13:C17)</f>
        <v>42.550000000000004</v>
      </c>
      <c r="D18" s="82">
        <f>SUM(D13:D17)</f>
        <v>42.550000000000004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48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43.48</v>
      </c>
      <c r="D86" s="82">
        <f>ROUND(D85+D18,3)</f>
        <v>43.48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5.5" customHeight="1" x14ac:dyDescent="0.25">
      <c r="A89" s="302" t="s">
        <v>113</v>
      </c>
      <c r="B89" s="303"/>
      <c r="C89" s="22">
        <f>D86/C88</f>
        <v>43.48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49FC2-CFB4-40D5-911D-E0BA8AF75108}">
  <dimension ref="A1:H90"/>
  <sheetViews>
    <sheetView topLeftCell="A75" workbookViewId="0">
      <selection activeCell="E85" sqref="E85"/>
    </sheetView>
  </sheetViews>
  <sheetFormatPr defaultRowHeight="15" x14ac:dyDescent="0.25"/>
  <cols>
    <col min="2" max="2" width="59.140625" customWidth="1"/>
    <col min="3" max="3" width="11.42578125" customWidth="1"/>
    <col min="4" max="4" width="15.14062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5.25" customHeight="1" x14ac:dyDescent="0.25">
      <c r="A5" s="308" t="s">
        <v>525</v>
      </c>
      <c r="B5" s="308"/>
      <c r="C5" s="308"/>
      <c r="D5" s="308"/>
    </row>
    <row r="6" spans="1:8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ht="8.25" customHeight="1" x14ac:dyDescent="0.25">
      <c r="A8" s="230"/>
      <c r="B8" s="231"/>
      <c r="C8" s="60"/>
      <c r="D8" s="59"/>
    </row>
    <row r="9" spans="1:8" x14ac:dyDescent="0.25">
      <c r="A9" s="309" t="s">
        <v>678</v>
      </c>
      <c r="B9" s="309"/>
      <c r="C9" s="62"/>
      <c r="D9" s="59"/>
    </row>
    <row r="10" spans="1:8" ht="72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8" x14ac:dyDescent="0.25">
      <c r="A11" s="63">
        <v>1</v>
      </c>
      <c r="B11" s="254">
        <v>2</v>
      </c>
      <c r="C11" s="63">
        <v>3</v>
      </c>
      <c r="D11" s="63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80" customHeight="1" x14ac:dyDescent="0.25">
      <c r="A14" s="50"/>
      <c r="B14" s="90" t="s">
        <v>691</v>
      </c>
      <c r="C14" s="18">
        <f>0.17*20+0.17*20+ 0.17*20+24</f>
        <v>34.200000000000003</v>
      </c>
      <c r="D14" s="18">
        <f>C14*8</f>
        <v>273.60000000000002</v>
      </c>
      <c r="E14" s="359"/>
      <c r="F14" s="360"/>
      <c r="G14" s="360"/>
      <c r="H14" s="360"/>
    </row>
    <row r="15" spans="1:8" ht="24" x14ac:dyDescent="0.25">
      <c r="A15" s="50">
        <v>1200</v>
      </c>
      <c r="B15" s="73" t="s">
        <v>470</v>
      </c>
      <c r="C15" s="18">
        <f>ROUND(C14*0.2359,2)</f>
        <v>8.07</v>
      </c>
      <c r="D15" s="18">
        <f>C15*8</f>
        <v>64.56</v>
      </c>
    </row>
    <row r="16" spans="1:8" x14ac:dyDescent="0.25">
      <c r="A16" s="50">
        <v>2341</v>
      </c>
      <c r="B16" s="50" t="s">
        <v>97</v>
      </c>
      <c r="C16" s="91"/>
      <c r="D16" s="91"/>
    </row>
    <row r="17" spans="1:4" ht="87.75" customHeight="1" x14ac:dyDescent="0.25">
      <c r="A17" s="50"/>
      <c r="B17" s="73" t="s">
        <v>680</v>
      </c>
      <c r="C17" s="18">
        <v>5.28</v>
      </c>
      <c r="D17" s="18">
        <f>C17*8</f>
        <v>42.24</v>
      </c>
    </row>
    <row r="18" spans="1:4" x14ac:dyDescent="0.25">
      <c r="A18" s="50"/>
      <c r="B18" s="92" t="s">
        <v>87</v>
      </c>
      <c r="C18" s="82">
        <f>SUM(C13:C17)</f>
        <v>47.550000000000004</v>
      </c>
      <c r="D18" s="82">
        <f>SUM(D13:D17)</f>
        <v>380.40000000000003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2124</v>
      </c>
      <c r="C21" s="74">
        <f>ROUND(31.85/9509,5)</f>
        <v>3.3500000000000001E-3</v>
      </c>
      <c r="D21" s="74">
        <f>C21*8</f>
        <v>2.6800000000000001E-2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2125</v>
      </c>
      <c r="C23" s="18">
        <f>ROUND(228.88/9509,5)</f>
        <v>2.4070000000000001E-2</v>
      </c>
      <c r="D23" s="74">
        <f t="shared" ref="D23:D85" si="0">C23*8</f>
        <v>0.19256000000000001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2126</v>
      </c>
      <c r="C25" s="18">
        <f>ROUND(382.73/9509,5)</f>
        <v>4.0250000000000001E-2</v>
      </c>
      <c r="D25" s="18">
        <f t="shared" si="0"/>
        <v>0.32200000000000001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2127</v>
      </c>
      <c r="C27" s="74">
        <f>ROUND(38.69/9509,5)</f>
        <v>4.0699999999999998E-3</v>
      </c>
      <c r="D27" s="74">
        <f t="shared" si="0"/>
        <v>3.2559999999999999E-2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2128</v>
      </c>
      <c r="C29" s="74">
        <f>ROUND(1004.28/9509,3)</f>
        <v>0.106</v>
      </c>
      <c r="D29" s="74">
        <f t="shared" si="0"/>
        <v>0.84799999999999998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2129</v>
      </c>
      <c r="C31" s="18">
        <f>ROUND(82.8/9509,3)</f>
        <v>8.9999999999999993E-3</v>
      </c>
      <c r="D31" s="74">
        <f t="shared" si="0"/>
        <v>7.1999999999999995E-2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2130</v>
      </c>
      <c r="C33" s="18">
        <f>ROUND(289.4/9509,3)</f>
        <v>0.03</v>
      </c>
      <c r="D33" s="74">
        <f t="shared" si="0"/>
        <v>0.24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2131</v>
      </c>
      <c r="C35" s="74">
        <f>ROUND(20.68/9509,5)</f>
        <v>2.1700000000000001E-3</v>
      </c>
      <c r="D35" s="74">
        <f t="shared" si="0"/>
        <v>1.736E-2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2133</v>
      </c>
      <c r="C37" s="74">
        <f>ROUND(58.15/9509,3)</f>
        <v>6.0000000000000001E-3</v>
      </c>
      <c r="D37" s="74">
        <f t="shared" si="0"/>
        <v>4.8000000000000001E-2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2132</v>
      </c>
      <c r="C39" s="74">
        <f>ROUND(524.45/9509,3)</f>
        <v>5.5E-2</v>
      </c>
      <c r="D39" s="18">
        <f t="shared" si="0"/>
        <v>0.44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2134</v>
      </c>
      <c r="C41" s="74">
        <f>ROUND(131.923/9509,3)</f>
        <v>1.4E-2</v>
      </c>
      <c r="D41" s="74">
        <f t="shared" si="0"/>
        <v>0.112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2135</v>
      </c>
      <c r="C43" s="18">
        <f>ROUND(360.94/9509,3)</f>
        <v>3.7999999999999999E-2</v>
      </c>
      <c r="D43" s="74">
        <f t="shared" si="0"/>
        <v>0.30399999999999999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2136</v>
      </c>
      <c r="C45" s="18">
        <f>ROUND(272.76/9509,3)</f>
        <v>2.9000000000000001E-2</v>
      </c>
      <c r="D45" s="74">
        <f t="shared" si="0"/>
        <v>0.23200000000000001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2137</v>
      </c>
      <c r="C47" s="74">
        <f>ROUND(12.06/9509,3)</f>
        <v>1E-3</v>
      </c>
      <c r="D47" s="74">
        <f t="shared" si="0"/>
        <v>8.0000000000000002E-3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2138</v>
      </c>
      <c r="C49" s="74">
        <f>ROUND(23.35/9509,3)</f>
        <v>2E-3</v>
      </c>
      <c r="D49" s="74">
        <f t="shared" si="0"/>
        <v>1.6E-2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2139</v>
      </c>
      <c r="C51" s="18">
        <f>ROUND(750.97/9509,3)</f>
        <v>7.9000000000000001E-2</v>
      </c>
      <c r="D51" s="74">
        <f t="shared" si="0"/>
        <v>0.63200000000000001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2140</v>
      </c>
      <c r="C53" s="18">
        <f>ROUND(2620.34/9509,3)</f>
        <v>0.27600000000000002</v>
      </c>
      <c r="D53" s="74">
        <f t="shared" si="0"/>
        <v>2.2080000000000002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2141</v>
      </c>
      <c r="C55" s="74">
        <f>ROUND(9.91/9509,3)</f>
        <v>1E-3</v>
      </c>
      <c r="D55" s="74">
        <f t="shared" si="0"/>
        <v>8.0000000000000002E-3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2142</v>
      </c>
      <c r="C57" s="18">
        <f>ROUND(132.32/9509,3)</f>
        <v>1.4E-2</v>
      </c>
      <c r="D57" s="74">
        <f t="shared" si="0"/>
        <v>0.112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2143</v>
      </c>
      <c r="C59" s="74">
        <f>ROUND(72.76/9509,3)</f>
        <v>8.0000000000000002E-3</v>
      </c>
      <c r="D59" s="74">
        <f t="shared" si="0"/>
        <v>6.4000000000000001E-2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2144</v>
      </c>
      <c r="C61" s="18">
        <f>ROUND(484.21/9509,5)</f>
        <v>5.092E-2</v>
      </c>
      <c r="D61" s="74">
        <f t="shared" si="0"/>
        <v>0.40736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2145</v>
      </c>
      <c r="C63" s="18">
        <f>ROUND(224.14/9509,3)</f>
        <v>2.4E-2</v>
      </c>
      <c r="D63" s="74">
        <f t="shared" si="0"/>
        <v>0.192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2146</v>
      </c>
      <c r="C65" s="18">
        <f>ROUND(103.21/9509,3)</f>
        <v>1.0999999999999999E-2</v>
      </c>
      <c r="D65" s="74">
        <f t="shared" si="0"/>
        <v>8.7999999999999995E-2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2147</v>
      </c>
      <c r="C67" s="18">
        <f>ROUND(241.97/9509,3)</f>
        <v>2.5000000000000001E-2</v>
      </c>
      <c r="D67" s="18">
        <f t="shared" si="0"/>
        <v>0.2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2148</v>
      </c>
      <c r="C69" s="18">
        <f>ROUND(87.42/9509,3)</f>
        <v>8.9999999999999993E-3</v>
      </c>
      <c r="D69" s="74">
        <f t="shared" si="0"/>
        <v>7.1999999999999995E-2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2149</v>
      </c>
      <c r="C71" s="74">
        <f>ROUND(28.69/9509,3)</f>
        <v>3.0000000000000001E-3</v>
      </c>
      <c r="D71" s="74">
        <f t="shared" si="0"/>
        <v>2.4E-2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2150</v>
      </c>
      <c r="C73" s="74">
        <f>ROUND(8.56/9509,5)</f>
        <v>8.9999999999999998E-4</v>
      </c>
      <c r="D73" s="74">
        <f t="shared" si="0"/>
        <v>7.1999999999999998E-3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2151</v>
      </c>
      <c r="C75" s="74">
        <f>ROUND(58.04/9509,5)</f>
        <v>6.1000000000000004E-3</v>
      </c>
      <c r="D75" s="74">
        <f t="shared" si="0"/>
        <v>4.8800000000000003E-2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2152</v>
      </c>
      <c r="C77" s="74">
        <f>ROUND(249.88/9509,5)</f>
        <v>2.6280000000000001E-2</v>
      </c>
      <c r="D77" s="74">
        <f t="shared" si="0"/>
        <v>0.21024000000000001</v>
      </c>
    </row>
    <row r="78" spans="1:4" x14ac:dyDescent="0.25">
      <c r="A78" s="35">
        <v>5220</v>
      </c>
      <c r="B78" s="248" t="s">
        <v>119</v>
      </c>
      <c r="C78" s="18"/>
      <c r="D78" s="74"/>
    </row>
    <row r="79" spans="1:4" ht="26.25" customHeight="1" x14ac:dyDescent="0.25">
      <c r="A79" s="35"/>
      <c r="B79" s="40" t="s">
        <v>621</v>
      </c>
      <c r="C79" s="18">
        <v>0</v>
      </c>
      <c r="D79" s="74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2153</v>
      </c>
      <c r="C81" s="74">
        <f>ROUND(61.55/9509,5)</f>
        <v>6.4700000000000001E-3</v>
      </c>
      <c r="D81" s="74">
        <f t="shared" si="0"/>
        <v>5.176E-2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2154</v>
      </c>
      <c r="C83" s="74">
        <f>ROUND(88.34/9509,5)</f>
        <v>9.2899999999999996E-3</v>
      </c>
      <c r="D83" s="74">
        <f t="shared" si="0"/>
        <v>7.4319999999999997E-2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2155</v>
      </c>
      <c r="C85" s="74">
        <f>ROUND(151.09/9509,5)</f>
        <v>1.5890000000000001E-2</v>
      </c>
      <c r="D85" s="74">
        <f t="shared" si="0"/>
        <v>0.12712000000000001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7.44</v>
      </c>
    </row>
    <row r="87" spans="1:4" ht="18" customHeight="1" x14ac:dyDescent="0.25">
      <c r="A87" s="83"/>
      <c r="B87" s="84" t="s">
        <v>95</v>
      </c>
      <c r="C87" s="82">
        <f>ROUND(C86+C18,3)</f>
        <v>48.48</v>
      </c>
      <c r="D87" s="82">
        <f>ROUND(D86+D18,3)</f>
        <v>387.84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8</v>
      </c>
      <c r="D89" s="89"/>
    </row>
    <row r="90" spans="1:4" ht="26.25" customHeight="1" x14ac:dyDescent="0.25">
      <c r="A90" s="302" t="s">
        <v>113</v>
      </c>
      <c r="B90" s="303"/>
      <c r="C90" s="22">
        <f>D87/C89</f>
        <v>48.48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3FB5-E939-4795-9E38-F688BC89AD5B}">
  <dimension ref="A1:H90"/>
  <sheetViews>
    <sheetView topLeftCell="A75" workbookViewId="0">
      <selection activeCell="H90" sqref="H90"/>
    </sheetView>
  </sheetViews>
  <sheetFormatPr defaultRowHeight="15" x14ac:dyDescent="0.25"/>
  <cols>
    <col min="2" max="2" width="60.42578125" customWidth="1"/>
    <col min="3" max="3" width="10.7109375" customWidth="1"/>
    <col min="4" max="4" width="15.7109375" customWidth="1"/>
    <col min="8" max="8" width="12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38.25" customHeight="1" x14ac:dyDescent="0.25">
      <c r="A5" s="332" t="s">
        <v>526</v>
      </c>
      <c r="B5" s="332"/>
      <c r="C5" s="332"/>
      <c r="D5" s="332"/>
    </row>
    <row r="6" spans="1:8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228"/>
      <c r="B8" s="229"/>
      <c r="C8" s="7"/>
      <c r="D8" s="26"/>
    </row>
    <row r="9" spans="1:8" x14ac:dyDescent="0.25">
      <c r="A9" s="335" t="s">
        <v>184</v>
      </c>
      <c r="B9" s="335"/>
      <c r="C9" s="25"/>
      <c r="D9" s="26"/>
    </row>
    <row r="10" spans="1:8" ht="78" customHeight="1" x14ac:dyDescent="0.25">
      <c r="A10" s="10" t="s">
        <v>80</v>
      </c>
      <c r="B10" s="10" t="s">
        <v>81</v>
      </c>
      <c r="C10" s="10" t="s">
        <v>82</v>
      </c>
      <c r="D10" s="10" t="s">
        <v>83</v>
      </c>
    </row>
    <row r="11" spans="1:8" x14ac:dyDescent="0.25">
      <c r="A11" s="10">
        <v>1</v>
      </c>
      <c r="B11" s="255">
        <v>2</v>
      </c>
      <c r="C11" s="10">
        <v>3</v>
      </c>
      <c r="D11" s="10">
        <v>4</v>
      </c>
    </row>
    <row r="12" spans="1:8" x14ac:dyDescent="0.25">
      <c r="A12" s="11"/>
      <c r="B12" s="27" t="s">
        <v>84</v>
      </c>
      <c r="C12" s="13"/>
      <c r="D12" s="13"/>
    </row>
    <row r="13" spans="1:8" x14ac:dyDescent="0.25">
      <c r="A13" s="28">
        <v>1100</v>
      </c>
      <c r="B13" s="29" t="s">
        <v>85</v>
      </c>
      <c r="C13" s="14"/>
      <c r="D13" s="14"/>
    </row>
    <row r="14" spans="1:8" ht="168.75" customHeight="1" x14ac:dyDescent="0.25">
      <c r="A14" s="30"/>
      <c r="B14" s="90" t="s">
        <v>469</v>
      </c>
      <c r="C14" s="18">
        <f>0.17*20+0.17*20+ 0.17*20+24</f>
        <v>34.200000000000003</v>
      </c>
      <c r="D14" s="18">
        <f>C14*1</f>
        <v>34.200000000000003</v>
      </c>
      <c r="E14" s="357"/>
      <c r="F14" s="358"/>
      <c r="G14" s="358"/>
      <c r="H14" s="358"/>
    </row>
    <row r="15" spans="1:8" ht="24" x14ac:dyDescent="0.25">
      <c r="A15" s="30">
        <v>1200</v>
      </c>
      <c r="B15" s="73" t="s">
        <v>470</v>
      </c>
      <c r="C15" s="18">
        <f>ROUND(C14*0.2359,2)</f>
        <v>8.07</v>
      </c>
      <c r="D15" s="18">
        <f>C15*1</f>
        <v>8.07</v>
      </c>
    </row>
    <row r="16" spans="1:8" x14ac:dyDescent="0.25">
      <c r="A16" s="30">
        <v>2341</v>
      </c>
      <c r="B16" s="30" t="s">
        <v>118</v>
      </c>
      <c r="C16" s="19"/>
      <c r="D16" s="19"/>
    </row>
    <row r="17" spans="1:4" ht="103.5" customHeight="1" x14ac:dyDescent="0.25">
      <c r="A17" s="30"/>
      <c r="B17" s="40" t="s">
        <v>457</v>
      </c>
      <c r="C17" s="16">
        <v>3.85</v>
      </c>
      <c r="D17" s="16">
        <f>C17*1</f>
        <v>3.85</v>
      </c>
    </row>
    <row r="18" spans="1:4" x14ac:dyDescent="0.25">
      <c r="A18" s="45"/>
      <c r="B18" s="32" t="s">
        <v>87</v>
      </c>
      <c r="C18" s="33">
        <f>SUM(C13:C17)</f>
        <v>46.120000000000005</v>
      </c>
      <c r="D18" s="33">
        <f>SUM(D13:D17)</f>
        <v>46.120000000000005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47.05</v>
      </c>
      <c r="D87" s="82">
        <f>ROUND(D86+D18,3)</f>
        <v>47.05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</v>
      </c>
      <c r="D89" s="89"/>
    </row>
    <row r="90" spans="1:4" ht="33" customHeight="1" x14ac:dyDescent="0.25">
      <c r="A90" s="302" t="s">
        <v>113</v>
      </c>
      <c r="B90" s="303"/>
      <c r="C90" s="22">
        <f>D87/C89</f>
        <v>47.05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9982-208F-47EB-8158-6432843DC364}">
  <dimension ref="A1:H90"/>
  <sheetViews>
    <sheetView topLeftCell="A78" workbookViewId="0">
      <selection activeCell="I95" sqref="I95"/>
    </sheetView>
  </sheetViews>
  <sheetFormatPr defaultRowHeight="15" x14ac:dyDescent="0.25"/>
  <cols>
    <col min="2" max="2" width="61.140625" customWidth="1"/>
    <col min="3" max="3" width="11" customWidth="1"/>
    <col min="4" max="4" width="14.5703125" customWidth="1"/>
  </cols>
  <sheetData>
    <row r="1" spans="1:8" x14ac:dyDescent="0.25">
      <c r="A1" s="315" t="s">
        <v>78</v>
      </c>
      <c r="B1" s="315"/>
      <c r="C1" s="315"/>
      <c r="D1" s="121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ht="10.5" customHeight="1" x14ac:dyDescent="0.25">
      <c r="A4" s="97"/>
      <c r="B4" s="60"/>
      <c r="C4" s="60"/>
      <c r="D4" s="96"/>
    </row>
    <row r="5" spans="1:8" ht="35.25" customHeight="1" x14ac:dyDescent="0.25">
      <c r="A5" s="307" t="s">
        <v>527</v>
      </c>
      <c r="B5" s="307"/>
      <c r="C5" s="307"/>
      <c r="D5" s="307"/>
    </row>
    <row r="6" spans="1:8" ht="9" customHeight="1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106</v>
      </c>
      <c r="B9" s="318"/>
      <c r="C9" s="100"/>
      <c r="D9" s="96"/>
    </row>
    <row r="10" spans="1:8" ht="79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80" x14ac:dyDescent="0.25">
      <c r="A14" s="35"/>
      <c r="B14" s="90" t="s">
        <v>692</v>
      </c>
      <c r="C14" s="18">
        <f>0.17*20+0.17*20+ 0.17*20+24</f>
        <v>34.200000000000003</v>
      </c>
      <c r="D14" s="18">
        <f>C14*10</f>
        <v>342</v>
      </c>
      <c r="E14" s="355"/>
      <c r="F14" s="356"/>
      <c r="G14" s="356"/>
      <c r="H14" s="356"/>
    </row>
    <row r="15" spans="1:8" ht="24" x14ac:dyDescent="0.25">
      <c r="A15" s="35">
        <v>1200</v>
      </c>
      <c r="B15" s="73" t="s">
        <v>470</v>
      </c>
      <c r="C15" s="18">
        <f>ROUND(C14*0.2359,2)</f>
        <v>8.07</v>
      </c>
      <c r="D15" s="18">
        <f>C15*10</f>
        <v>80.7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20" x14ac:dyDescent="0.25">
      <c r="A17" s="35"/>
      <c r="B17" s="40" t="s">
        <v>444</v>
      </c>
      <c r="C17" s="18">
        <v>17.21</v>
      </c>
      <c r="D17" s="18">
        <f>C17*10</f>
        <v>172.10000000000002</v>
      </c>
    </row>
    <row r="18" spans="1:4" x14ac:dyDescent="0.25">
      <c r="A18" s="84"/>
      <c r="B18" s="92" t="s">
        <v>87</v>
      </c>
      <c r="C18" s="82">
        <f>SUM(C13:C17)</f>
        <v>59.480000000000004</v>
      </c>
      <c r="D18" s="82">
        <f>SUM(D13:D17)</f>
        <v>594.79999999999995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1558</v>
      </c>
      <c r="C23" s="74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1562</v>
      </c>
      <c r="C31" s="74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74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74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74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74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74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74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74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74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74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74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8.25" x14ac:dyDescent="0.25">
      <c r="A79" s="35"/>
      <c r="B79" s="248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60.41</v>
      </c>
      <c r="D87" s="82">
        <f>ROUND(D86+D18,3)</f>
        <v>604.1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60.410000000000004</v>
      </c>
      <c r="D90" s="89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4884-3C42-453B-8CF4-A950786FE7B2}">
  <dimension ref="A1:H90"/>
  <sheetViews>
    <sheetView topLeftCell="A73" workbookViewId="0">
      <selection activeCell="G87" sqref="G87"/>
    </sheetView>
  </sheetViews>
  <sheetFormatPr defaultRowHeight="15" x14ac:dyDescent="0.25"/>
  <cols>
    <col min="2" max="2" width="60.5703125" customWidth="1"/>
    <col min="3" max="3" width="10.5703125" customWidth="1"/>
    <col min="4" max="4" width="16.85546875" customWidth="1"/>
    <col min="8" max="8" width="11.285156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38.25" customHeight="1" x14ac:dyDescent="0.25">
      <c r="A5" s="307" t="s">
        <v>528</v>
      </c>
      <c r="B5" s="307"/>
      <c r="C5" s="307"/>
      <c r="D5" s="307"/>
    </row>
    <row r="6" spans="1:8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106</v>
      </c>
      <c r="B9" s="318"/>
      <c r="C9" s="100"/>
      <c r="D9" s="96"/>
    </row>
    <row r="10" spans="1:8" ht="78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3.25" customHeight="1" x14ac:dyDescent="0.25">
      <c r="A14" s="35"/>
      <c r="B14" s="90" t="s">
        <v>693</v>
      </c>
      <c r="C14" s="18">
        <f>0.17*20+0.17*20+ 0.17*20+24</f>
        <v>34.200000000000003</v>
      </c>
      <c r="D14" s="18">
        <f>C14*10</f>
        <v>342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470</v>
      </c>
      <c r="C15" s="18">
        <f>ROUND(C14*0.2359,2)</f>
        <v>8.07</v>
      </c>
      <c r="D15" s="18">
        <f>C15*10</f>
        <v>80.7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20" x14ac:dyDescent="0.25">
      <c r="A17" s="35"/>
      <c r="B17" s="40" t="s">
        <v>694</v>
      </c>
      <c r="C17" s="18">
        <v>14.67</v>
      </c>
      <c r="D17" s="18">
        <f>C17*10</f>
        <v>146.69999999999999</v>
      </c>
    </row>
    <row r="18" spans="1:4" x14ac:dyDescent="0.25">
      <c r="A18" s="84"/>
      <c r="B18" s="92" t="s">
        <v>87</v>
      </c>
      <c r="C18" s="82">
        <f>SUM(C13:C17)</f>
        <v>56.940000000000005</v>
      </c>
      <c r="D18" s="82">
        <f>SUM(D13:D17)</f>
        <v>569.4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6" t="s">
        <v>584</v>
      </c>
      <c r="C20" s="78"/>
      <c r="D20" s="78"/>
    </row>
    <row r="21" spans="1:4" ht="48" x14ac:dyDescent="0.25">
      <c r="A21" s="77"/>
      <c r="B21" s="40" t="s">
        <v>1557</v>
      </c>
      <c r="C21" s="74">
        <f>ROUND(31.85/9509,3)</f>
        <v>3.0000000000000001E-3</v>
      </c>
      <c r="D21" s="18">
        <f>C21*10</f>
        <v>0.03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1558</v>
      </c>
      <c r="C23" s="18">
        <f>ROUND(228.88/9509,3)</f>
        <v>2.4E-2</v>
      </c>
      <c r="D23" s="18">
        <f t="shared" ref="D23:D85" si="0">C23*10</f>
        <v>0.24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1559</v>
      </c>
      <c r="C25" s="18">
        <f>ROUND(382.73/9509,3)</f>
        <v>0.04</v>
      </c>
      <c r="D25" s="18">
        <f t="shared" si="0"/>
        <v>0.4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1560</v>
      </c>
      <c r="C27" s="74">
        <f>ROUND(38.69/9509,3)</f>
        <v>4.0000000000000001E-3</v>
      </c>
      <c r="D27" s="18">
        <f t="shared" si="0"/>
        <v>0.04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1561</v>
      </c>
      <c r="C29" s="74">
        <f>ROUND(1004.28/9509,3)</f>
        <v>0.106</v>
      </c>
      <c r="D29" s="18">
        <f t="shared" si="0"/>
        <v>1.06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1562</v>
      </c>
      <c r="C31" s="18">
        <f>ROUND(82.8/9509,3)</f>
        <v>8.9999999999999993E-3</v>
      </c>
      <c r="D31" s="18">
        <f t="shared" si="0"/>
        <v>0.09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1563</v>
      </c>
      <c r="C33" s="18">
        <f>ROUND(289.4/9509,3)</f>
        <v>0.03</v>
      </c>
      <c r="D33" s="18">
        <f t="shared" si="0"/>
        <v>0.3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1588</v>
      </c>
      <c r="C35" s="74">
        <f>ROUND(20.68/9509,3)</f>
        <v>2E-3</v>
      </c>
      <c r="D35" s="18">
        <f t="shared" si="0"/>
        <v>0.02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1564</v>
      </c>
      <c r="C37" s="74">
        <f>ROUND(58.15/9509,3)</f>
        <v>6.0000000000000001E-3</v>
      </c>
      <c r="D37" s="18">
        <f t="shared" si="0"/>
        <v>0.06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1565</v>
      </c>
      <c r="C39" s="74">
        <f>ROUND(524.45/9509,3)</f>
        <v>5.5E-2</v>
      </c>
      <c r="D39" s="18">
        <f t="shared" si="0"/>
        <v>0.55000000000000004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1566</v>
      </c>
      <c r="C41" s="74">
        <f>ROUND(131.923/9509,3)</f>
        <v>1.4E-2</v>
      </c>
      <c r="D41" s="18">
        <f t="shared" si="0"/>
        <v>0.14000000000000001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1567</v>
      </c>
      <c r="C43" s="18">
        <f>ROUND(360.94/9509,3)</f>
        <v>3.7999999999999999E-2</v>
      </c>
      <c r="D43" s="18">
        <f t="shared" si="0"/>
        <v>0.38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1568</v>
      </c>
      <c r="C45" s="18">
        <f>ROUND(272.76/9509,3)</f>
        <v>2.9000000000000001E-2</v>
      </c>
      <c r="D45" s="18">
        <f t="shared" si="0"/>
        <v>0.29000000000000004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1569</v>
      </c>
      <c r="C47" s="74">
        <f>ROUND(12.06/9509,3)</f>
        <v>1E-3</v>
      </c>
      <c r="D47" s="18">
        <f t="shared" si="0"/>
        <v>0.01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1570</v>
      </c>
      <c r="C49" s="74">
        <f>ROUND(23.35/9509,3)</f>
        <v>2E-3</v>
      </c>
      <c r="D49" s="18">
        <f t="shared" si="0"/>
        <v>0.02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1571</v>
      </c>
      <c r="C51" s="18">
        <f>ROUND(750.97/9509,3)</f>
        <v>7.9000000000000001E-2</v>
      </c>
      <c r="D51" s="18">
        <f t="shared" si="0"/>
        <v>0.79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1573</v>
      </c>
      <c r="C53" s="18">
        <f>ROUND(2620.34/9509,3)</f>
        <v>0.27600000000000002</v>
      </c>
      <c r="D53" s="18">
        <f t="shared" si="0"/>
        <v>2.7600000000000002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1572</v>
      </c>
      <c r="C55" s="74">
        <f>ROUND(9.91/9509,3)</f>
        <v>1E-3</v>
      </c>
      <c r="D55" s="18">
        <f t="shared" si="0"/>
        <v>0.01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1574</v>
      </c>
      <c r="C57" s="18">
        <f>ROUND(132.32/9509,3)</f>
        <v>1.4E-2</v>
      </c>
      <c r="D57" s="18">
        <f t="shared" si="0"/>
        <v>0.14000000000000001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1575</v>
      </c>
      <c r="C59" s="74">
        <f>ROUND(72.76/9509,3)</f>
        <v>8.0000000000000002E-3</v>
      </c>
      <c r="D59" s="18">
        <f t="shared" si="0"/>
        <v>0.08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1576</v>
      </c>
      <c r="C61" s="18">
        <f>ROUND(484.21/9509,3)</f>
        <v>5.0999999999999997E-2</v>
      </c>
      <c r="D61" s="18">
        <f t="shared" si="0"/>
        <v>0.51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1578</v>
      </c>
      <c r="C63" s="18">
        <f>ROUND(224.14/9509,3)</f>
        <v>2.4E-2</v>
      </c>
      <c r="D63" s="18">
        <f t="shared" si="0"/>
        <v>0.24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1577</v>
      </c>
      <c r="C65" s="18">
        <f>ROUND(103.21/9509,3)</f>
        <v>1.0999999999999999E-2</v>
      </c>
      <c r="D65" s="18">
        <f t="shared" si="0"/>
        <v>0.10999999999999999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1579</v>
      </c>
      <c r="C67" s="18">
        <f>ROUND(241.97/9509,5)</f>
        <v>2.545E-2</v>
      </c>
      <c r="D67" s="18">
        <f t="shared" si="0"/>
        <v>0.2545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1580</v>
      </c>
      <c r="C69" s="18">
        <f>ROUND(87.42/9509,3)</f>
        <v>8.9999999999999993E-3</v>
      </c>
      <c r="D69" s="18">
        <f t="shared" si="0"/>
        <v>0.09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1581</v>
      </c>
      <c r="C71" s="74">
        <f>ROUND(28.69/9509,5)</f>
        <v>3.0200000000000001E-3</v>
      </c>
      <c r="D71" s="18">
        <f t="shared" si="0"/>
        <v>3.0200000000000001E-2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1582</v>
      </c>
      <c r="C73" s="74">
        <f>ROUND(8.56/9509,5)</f>
        <v>8.9999999999999998E-4</v>
      </c>
      <c r="D73" s="18">
        <f t="shared" si="0"/>
        <v>8.9999999999999993E-3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1583</v>
      </c>
      <c r="C75" s="74">
        <f>ROUND(58.04/9509,5)</f>
        <v>6.1000000000000004E-3</v>
      </c>
      <c r="D75" s="18">
        <f t="shared" si="0"/>
        <v>6.1000000000000006E-2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1584</v>
      </c>
      <c r="C77" s="74">
        <f>ROUND(249.88/9509,5)</f>
        <v>2.6280000000000001E-2</v>
      </c>
      <c r="D77" s="18">
        <f t="shared" si="0"/>
        <v>0.26280000000000003</v>
      </c>
    </row>
    <row r="78" spans="1:4" x14ac:dyDescent="0.25">
      <c r="A78" s="35">
        <v>5220</v>
      </c>
      <c r="B78" s="40" t="s">
        <v>120</v>
      </c>
      <c r="C78" s="18"/>
      <c r="D78" s="18"/>
    </row>
    <row r="79" spans="1:4" ht="36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1585</v>
      </c>
      <c r="C81" s="74">
        <f>ROUND(61.55/9509,5)</f>
        <v>6.4700000000000001E-3</v>
      </c>
      <c r="D81" s="18">
        <f t="shared" si="0"/>
        <v>6.4700000000000008E-2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1586</v>
      </c>
      <c r="C83" s="74">
        <f>ROUND(88.34/9509,5)</f>
        <v>9.2899999999999996E-3</v>
      </c>
      <c r="D83" s="18">
        <f t="shared" si="0"/>
        <v>9.2899999999999996E-2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1587</v>
      </c>
      <c r="C85" s="74">
        <f>ROUND(151.09/9509,3)</f>
        <v>1.6E-2</v>
      </c>
      <c r="D85" s="18">
        <f t="shared" si="0"/>
        <v>0.16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9.3000000000000007</v>
      </c>
    </row>
    <row r="87" spans="1:4" x14ac:dyDescent="0.25">
      <c r="A87" s="83"/>
      <c r="B87" s="84" t="s">
        <v>95</v>
      </c>
      <c r="C87" s="82">
        <f>ROUND(C86+C18,3)</f>
        <v>57.87</v>
      </c>
      <c r="D87" s="82">
        <f>ROUND(D86+D18,3)</f>
        <v>578.70000000000005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10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57.870000000000005</v>
      </c>
      <c r="D90" s="89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A4331-4EB6-44F9-B03E-D7E30AAAA379}">
  <dimension ref="A1:H90"/>
  <sheetViews>
    <sheetView topLeftCell="A75" workbookViewId="0">
      <selection activeCell="G91" sqref="G91"/>
    </sheetView>
  </sheetViews>
  <sheetFormatPr defaultRowHeight="15" x14ac:dyDescent="0.25"/>
  <cols>
    <col min="2" max="2" width="63.85546875" customWidth="1"/>
    <col min="4" max="4" width="14.710937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232"/>
      <c r="B2" s="232"/>
      <c r="C2" s="232"/>
      <c r="D2" s="232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51" customHeight="1" x14ac:dyDescent="0.25">
      <c r="A5" s="307" t="s">
        <v>529</v>
      </c>
      <c r="B5" s="307"/>
      <c r="C5" s="307"/>
      <c r="D5" s="307"/>
    </row>
    <row r="6" spans="1:8" ht="8.25" customHeight="1" x14ac:dyDescent="0.25">
      <c r="A6" s="230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x14ac:dyDescent="0.25">
      <c r="A8" s="230"/>
      <c r="B8" s="231"/>
      <c r="C8" s="60"/>
      <c r="D8" s="60"/>
    </row>
    <row r="9" spans="1:8" x14ac:dyDescent="0.25">
      <c r="A9" s="318" t="s">
        <v>185</v>
      </c>
      <c r="B9" s="318"/>
      <c r="C9" s="100"/>
      <c r="D9" s="100"/>
    </row>
    <row r="10" spans="1:8" ht="91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80" x14ac:dyDescent="0.25">
      <c r="A14" s="35"/>
      <c r="B14" s="90" t="s">
        <v>469</v>
      </c>
      <c r="C14" s="18">
        <f>0.17*20+0.17*20+ 0.17*20+24</f>
        <v>34.200000000000003</v>
      </c>
      <c r="D14" s="18">
        <f>C14*1</f>
        <v>34.200000000000003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470</v>
      </c>
      <c r="C15" s="18">
        <f>ROUND(C14*0.2359,2)</f>
        <v>8.07</v>
      </c>
      <c r="D15" s="18">
        <f>C15*1</f>
        <v>8.07</v>
      </c>
    </row>
    <row r="16" spans="1:8" x14ac:dyDescent="0.25">
      <c r="A16" s="35">
        <v>2341</v>
      </c>
      <c r="B16" s="35" t="s">
        <v>97</v>
      </c>
      <c r="C16" s="74"/>
      <c r="D16" s="71"/>
    </row>
    <row r="17" spans="1:4" ht="108" x14ac:dyDescent="0.25">
      <c r="A17" s="35"/>
      <c r="B17" s="40" t="s">
        <v>432</v>
      </c>
      <c r="C17" s="18">
        <v>10.96</v>
      </c>
      <c r="D17" s="71">
        <f>C17*1</f>
        <v>10.96</v>
      </c>
    </row>
    <row r="18" spans="1:4" x14ac:dyDescent="0.25">
      <c r="A18" s="35"/>
      <c r="B18" s="92" t="s">
        <v>87</v>
      </c>
      <c r="C18" s="82">
        <f>SUM(C13:C17)</f>
        <v>53.230000000000004</v>
      </c>
      <c r="D18" s="82">
        <f>SUM(D13:D17)</f>
        <v>53.230000000000004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customHeight="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54.16</v>
      </c>
      <c r="D87" s="82">
        <f>ROUND(D86+D18,3)</f>
        <v>54.16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</v>
      </c>
      <c r="D89" s="89"/>
    </row>
    <row r="90" spans="1:4" ht="28.5" customHeight="1" x14ac:dyDescent="0.25">
      <c r="A90" s="311" t="s">
        <v>113</v>
      </c>
      <c r="B90" s="312"/>
      <c r="C90" s="22">
        <f>D87/C89</f>
        <v>54.16</v>
      </c>
      <c r="D90" s="22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36887-2943-47C4-B426-279516EC1CAA}">
  <dimension ref="A1:H90"/>
  <sheetViews>
    <sheetView topLeftCell="A75" workbookViewId="0">
      <selection activeCell="K97" sqref="K97"/>
    </sheetView>
  </sheetViews>
  <sheetFormatPr defaultRowHeight="15" x14ac:dyDescent="0.25"/>
  <cols>
    <col min="2" max="2" width="62.7109375" customWidth="1"/>
    <col min="4" max="4" width="12.285156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45.75" customHeight="1" x14ac:dyDescent="0.25">
      <c r="A5" s="307" t="s">
        <v>530</v>
      </c>
      <c r="B5" s="307"/>
      <c r="C5" s="307"/>
      <c r="D5" s="307"/>
    </row>
    <row r="6" spans="1:8" ht="7.5" customHeight="1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ht="8.25" customHeight="1" x14ac:dyDescent="0.25">
      <c r="A8" s="230"/>
      <c r="B8" s="231"/>
      <c r="C8" s="60"/>
      <c r="D8" s="96"/>
    </row>
    <row r="9" spans="1:8" x14ac:dyDescent="0.25">
      <c r="A9" s="318" t="s">
        <v>184</v>
      </c>
      <c r="B9" s="318"/>
      <c r="C9" s="100"/>
      <c r="D9" s="96"/>
    </row>
    <row r="10" spans="1:8" ht="93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3">
        <v>1</v>
      </c>
      <c r="B11" s="254">
        <v>2</v>
      </c>
      <c r="C11" s="63">
        <v>3</v>
      </c>
      <c r="D11" s="63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68" x14ac:dyDescent="0.25">
      <c r="A14" s="35"/>
      <c r="B14" s="90" t="s">
        <v>469</v>
      </c>
      <c r="C14" s="18">
        <f>0.17*20+0.17*20+ 0.17*20+24</f>
        <v>34.200000000000003</v>
      </c>
      <c r="D14" s="18">
        <f>C14*1</f>
        <v>34.200000000000003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470</v>
      </c>
      <c r="C15" s="18">
        <f>ROUND(C14*0.2359,2)</f>
        <v>8.07</v>
      </c>
      <c r="D15" s="18">
        <f>C15*1</f>
        <v>8.07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18.5" customHeight="1" x14ac:dyDescent="0.25">
      <c r="A17" s="35"/>
      <c r="B17" s="40" t="s">
        <v>446</v>
      </c>
      <c r="C17" s="18">
        <v>23.72</v>
      </c>
      <c r="D17" s="18">
        <f>C17*1</f>
        <v>23.72</v>
      </c>
    </row>
    <row r="18" spans="1:4" x14ac:dyDescent="0.25">
      <c r="A18" s="35"/>
      <c r="B18" s="92" t="s">
        <v>87</v>
      </c>
      <c r="C18" s="82">
        <f>SUM(C13:C17)</f>
        <v>65.990000000000009</v>
      </c>
      <c r="D18" s="82">
        <f>SUM(D13:D17)</f>
        <v>65.990000000000009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55.5" customHeight="1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66.92</v>
      </c>
      <c r="D87" s="82">
        <f>ROUND(D86+D18,3)</f>
        <v>66.92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2.25" customHeight="1" x14ac:dyDescent="0.25">
      <c r="A90" s="302" t="s">
        <v>113</v>
      </c>
      <c r="B90" s="303"/>
      <c r="C90" s="22">
        <f>D87/C89</f>
        <v>66.92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8475-9215-40F4-B274-D9993140B2BB}">
  <dimension ref="A1:H90"/>
  <sheetViews>
    <sheetView topLeftCell="A73" workbookViewId="0">
      <selection activeCell="E92" sqref="E92"/>
    </sheetView>
  </sheetViews>
  <sheetFormatPr defaultRowHeight="15" x14ac:dyDescent="0.25"/>
  <cols>
    <col min="2" max="2" width="62" customWidth="1"/>
    <col min="3" max="3" width="15" customWidth="1"/>
    <col min="4" max="4" width="16.42578125" customWidth="1"/>
    <col min="5" max="5" width="9" customWidth="1"/>
    <col min="6" max="7" width="9.7109375" customWidth="1"/>
    <col min="8" max="8" width="9.4257812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ht="9.75" customHeight="1" x14ac:dyDescent="0.25">
      <c r="A4" s="97"/>
      <c r="B4" s="60"/>
      <c r="C4" s="60"/>
      <c r="D4" s="96"/>
    </row>
    <row r="5" spans="1:8" ht="48" customHeight="1" x14ac:dyDescent="0.25">
      <c r="A5" s="308" t="s">
        <v>531</v>
      </c>
      <c r="B5" s="308"/>
      <c r="C5" s="308"/>
      <c r="D5" s="308"/>
    </row>
    <row r="6" spans="1:8" ht="11.25" customHeight="1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ht="10.5" customHeight="1" x14ac:dyDescent="0.25">
      <c r="A8" s="230"/>
      <c r="B8" s="231"/>
      <c r="C8" s="60"/>
      <c r="D8" s="96"/>
    </row>
    <row r="9" spans="1:8" x14ac:dyDescent="0.25">
      <c r="A9" s="318" t="s">
        <v>105</v>
      </c>
      <c r="B9" s="318"/>
      <c r="C9" s="100"/>
      <c r="D9" s="96"/>
    </row>
    <row r="10" spans="1:8" ht="60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68.75" customHeight="1" x14ac:dyDescent="0.25">
      <c r="A14" s="35"/>
      <c r="B14" s="90" t="s">
        <v>695</v>
      </c>
      <c r="C14" s="18">
        <f>0.17*20+0.17*20+ 0.17*20+24</f>
        <v>34.200000000000003</v>
      </c>
      <c r="D14" s="18">
        <f>C14*30</f>
        <v>1026</v>
      </c>
      <c r="E14" s="355"/>
      <c r="F14" s="356"/>
      <c r="G14" s="356"/>
      <c r="H14" s="356"/>
    </row>
    <row r="15" spans="1:8" ht="24" x14ac:dyDescent="0.25">
      <c r="A15" s="35">
        <v>1200</v>
      </c>
      <c r="B15" s="73" t="s">
        <v>470</v>
      </c>
      <c r="C15" s="18">
        <f>ROUND(C14*0.2359,2)</f>
        <v>8.07</v>
      </c>
      <c r="D15" s="18">
        <f>C15*30</f>
        <v>242.10000000000002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91.5" customHeight="1" x14ac:dyDescent="0.25">
      <c r="A17" s="35"/>
      <c r="B17" s="40" t="s">
        <v>696</v>
      </c>
      <c r="C17" s="18">
        <v>2.0099999999999998</v>
      </c>
      <c r="D17" s="18">
        <f>C17*30</f>
        <v>60.3</v>
      </c>
    </row>
    <row r="18" spans="1:4" x14ac:dyDescent="0.25">
      <c r="A18" s="84"/>
      <c r="B18" s="92" t="s">
        <v>87</v>
      </c>
      <c r="C18" s="82">
        <f>SUM(C13:C17)</f>
        <v>44.28</v>
      </c>
      <c r="D18" s="82">
        <f>SUM(D13:D17)</f>
        <v>1328.3999999999999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1501</v>
      </c>
      <c r="C21" s="74">
        <f>ROUND(31.85/9509,5)</f>
        <v>3.3500000000000001E-3</v>
      </c>
      <c r="D21" s="18">
        <f>C21*30</f>
        <v>0.10050000000000001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2156</v>
      </c>
      <c r="C23" s="18">
        <f>ROUND(228.88/9509,5)</f>
        <v>2.4070000000000001E-2</v>
      </c>
      <c r="D23" s="18">
        <f t="shared" ref="D23:D85" si="0">C23*30</f>
        <v>0.72210000000000008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2157</v>
      </c>
      <c r="C25" s="18">
        <f>ROUND(382.73/9509,5)</f>
        <v>4.0250000000000001E-2</v>
      </c>
      <c r="D25" s="18">
        <f t="shared" si="0"/>
        <v>1.2075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2158</v>
      </c>
      <c r="C27" s="74">
        <f>ROUND(38.69/9509,5)</f>
        <v>4.0699999999999998E-3</v>
      </c>
      <c r="D27" s="18">
        <f t="shared" si="0"/>
        <v>0.1221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1505</v>
      </c>
      <c r="C29" s="74">
        <f>ROUND(1004.28/9509,3)</f>
        <v>0.106</v>
      </c>
      <c r="D29" s="18">
        <f t="shared" si="0"/>
        <v>3.1799999999999997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1506</v>
      </c>
      <c r="C31" s="18">
        <f>ROUND(82.8/9509,3)</f>
        <v>8.9999999999999993E-3</v>
      </c>
      <c r="D31" s="18">
        <f t="shared" si="0"/>
        <v>0.26999999999999996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2159</v>
      </c>
      <c r="C33" s="18">
        <f>ROUND(289.4/9509,3)</f>
        <v>0.03</v>
      </c>
      <c r="D33" s="18">
        <f t="shared" si="0"/>
        <v>0.89999999999999991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1508</v>
      </c>
      <c r="C35" s="74">
        <f>ROUND(20.68/9509,3)</f>
        <v>2E-3</v>
      </c>
      <c r="D35" s="18">
        <f t="shared" si="0"/>
        <v>0.06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1509</v>
      </c>
      <c r="C37" s="74">
        <f>ROUND(58.15/9509,3)</f>
        <v>6.0000000000000001E-3</v>
      </c>
      <c r="D37" s="18">
        <f t="shared" si="0"/>
        <v>0.18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2160</v>
      </c>
      <c r="C39" s="74">
        <f>ROUND(524.45/9509,3)</f>
        <v>5.5E-2</v>
      </c>
      <c r="D39" s="18">
        <f t="shared" si="0"/>
        <v>1.65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1533</v>
      </c>
      <c r="C41" s="74">
        <f>ROUND(131.923/9509,5)</f>
        <v>1.387E-2</v>
      </c>
      <c r="D41" s="18">
        <f t="shared" si="0"/>
        <v>0.41610000000000003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1512</v>
      </c>
      <c r="C43" s="18">
        <f>ROUND(360.94/9509,5)</f>
        <v>3.7960000000000001E-2</v>
      </c>
      <c r="D43" s="18">
        <f t="shared" si="0"/>
        <v>1.1388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1513</v>
      </c>
      <c r="C45" s="18">
        <f>ROUND(272.76/9509,3)</f>
        <v>2.9000000000000001E-2</v>
      </c>
      <c r="D45" s="18">
        <f t="shared" si="0"/>
        <v>0.87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1514</v>
      </c>
      <c r="C47" s="74">
        <f>ROUND(12.06/9509,3)</f>
        <v>1E-3</v>
      </c>
      <c r="D47" s="18">
        <f t="shared" si="0"/>
        <v>0.03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1515</v>
      </c>
      <c r="C49" s="74">
        <f>ROUND(23.35/9509,3)</f>
        <v>2E-3</v>
      </c>
      <c r="D49" s="18">
        <f t="shared" si="0"/>
        <v>0.06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1516</v>
      </c>
      <c r="C51" s="18">
        <f>ROUND(750.97/9509,5)</f>
        <v>7.8969999999999999E-2</v>
      </c>
      <c r="D51" s="18">
        <f t="shared" si="0"/>
        <v>2.3691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1517</v>
      </c>
      <c r="C53" s="18">
        <f>ROUND(2620.34/9509,3)</f>
        <v>0.27600000000000002</v>
      </c>
      <c r="D53" s="18">
        <f t="shared" si="0"/>
        <v>8.2800000000000011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1518</v>
      </c>
      <c r="C55" s="74">
        <f>ROUND(9.91/9509,3)</f>
        <v>1E-3</v>
      </c>
      <c r="D55" s="18">
        <f t="shared" si="0"/>
        <v>0.03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1519</v>
      </c>
      <c r="C57" s="18">
        <f>ROUND(132.32/9509,5)</f>
        <v>1.392E-2</v>
      </c>
      <c r="D57" s="18">
        <f t="shared" si="0"/>
        <v>0.41760000000000003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1520</v>
      </c>
      <c r="C59" s="74">
        <f>ROUND(72.76/9509,3)</f>
        <v>8.0000000000000002E-3</v>
      </c>
      <c r="D59" s="18">
        <f t="shared" si="0"/>
        <v>0.24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1521</v>
      </c>
      <c r="C61" s="18">
        <f>ROUND(484.21/9509,4)</f>
        <v>5.0900000000000001E-2</v>
      </c>
      <c r="D61" s="18">
        <f t="shared" si="0"/>
        <v>1.5270000000000001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1522</v>
      </c>
      <c r="C63" s="74">
        <f>ROUND(224.14/9509,3)</f>
        <v>2.4E-2</v>
      </c>
      <c r="D63" s="18">
        <f t="shared" si="0"/>
        <v>0.72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1523</v>
      </c>
      <c r="C65" s="18">
        <f>ROUND(103.21/9509,3)</f>
        <v>1.0999999999999999E-2</v>
      </c>
      <c r="D65" s="18">
        <f t="shared" si="0"/>
        <v>0.32999999999999996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2161</v>
      </c>
      <c r="C67" s="74">
        <f>ROUND(241.97/9509,5)</f>
        <v>2.545E-2</v>
      </c>
      <c r="D67" s="18">
        <f t="shared" si="0"/>
        <v>0.76350000000000007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2162</v>
      </c>
      <c r="C69" s="74">
        <f>ROUND(87.42/9509,5)</f>
        <v>9.1900000000000003E-3</v>
      </c>
      <c r="D69" s="18">
        <f t="shared" si="0"/>
        <v>0.2757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1525</v>
      </c>
      <c r="C71" s="74">
        <f>ROUND(28.69/9509,5)</f>
        <v>3.0200000000000001E-3</v>
      </c>
      <c r="D71" s="18">
        <f t="shared" si="0"/>
        <v>9.06E-2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1526</v>
      </c>
      <c r="C73" s="74">
        <f>ROUND(8.56/9509,5)</f>
        <v>8.9999999999999998E-4</v>
      </c>
      <c r="D73" s="18">
        <f t="shared" si="0"/>
        <v>2.7E-2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2163</v>
      </c>
      <c r="C75" s="74">
        <f>ROUND(58.04/9509,5)</f>
        <v>6.1000000000000004E-3</v>
      </c>
      <c r="D75" s="18">
        <f t="shared" si="0"/>
        <v>0.18300000000000002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1690</v>
      </c>
      <c r="C77" s="74">
        <f>ROUND(249.88/9509,4)</f>
        <v>2.63E-2</v>
      </c>
      <c r="D77" s="18">
        <f t="shared" si="0"/>
        <v>0.78900000000000003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36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1536</v>
      </c>
      <c r="C81" s="74">
        <f>ROUND(61.55/9509,5)</f>
        <v>6.4700000000000001E-3</v>
      </c>
      <c r="D81" s="18">
        <f t="shared" si="0"/>
        <v>0.19409999999999999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1530</v>
      </c>
      <c r="C83" s="74">
        <f>ROUND(88.34/9509,5)</f>
        <v>9.2899999999999996E-3</v>
      </c>
      <c r="D83" s="18">
        <f t="shared" si="0"/>
        <v>0.2787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2164</v>
      </c>
      <c r="C85" s="74">
        <f>ROUND(151.09/9509,5)</f>
        <v>1.5890000000000001E-2</v>
      </c>
      <c r="D85" s="18">
        <f t="shared" si="0"/>
        <v>0.47670000000000001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27.9</v>
      </c>
    </row>
    <row r="87" spans="1:4" ht="21.75" customHeight="1" x14ac:dyDescent="0.25">
      <c r="A87" s="83"/>
      <c r="B87" s="84" t="s">
        <v>95</v>
      </c>
      <c r="C87" s="82">
        <f>ROUND(C86+C18,3)</f>
        <v>45.21</v>
      </c>
      <c r="D87" s="82">
        <f>ROUND(D86+D18,3)</f>
        <v>1356.3</v>
      </c>
    </row>
    <row r="88" spans="1:4" x14ac:dyDescent="0.25">
      <c r="A88" s="85"/>
      <c r="B88" s="86"/>
      <c r="C88" s="87"/>
      <c r="D88" s="87"/>
    </row>
    <row r="89" spans="1:4" ht="19.5" customHeight="1" x14ac:dyDescent="0.25">
      <c r="A89" s="302" t="s">
        <v>96</v>
      </c>
      <c r="B89" s="303"/>
      <c r="C89" s="88">
        <v>30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45.21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E6B0-A901-414E-B5CA-81E32DA46062}">
  <dimension ref="A1:H90"/>
  <sheetViews>
    <sheetView topLeftCell="A74" workbookViewId="0">
      <selection activeCell="F85" sqref="F85"/>
    </sheetView>
  </sheetViews>
  <sheetFormatPr defaultRowHeight="15" x14ac:dyDescent="0.25"/>
  <cols>
    <col min="2" max="2" width="60.85546875" customWidth="1"/>
    <col min="3" max="3" width="15.85546875" customWidth="1"/>
    <col min="4" max="4" width="16.57031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120"/>
      <c r="D2" s="120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40.5" customHeight="1" x14ac:dyDescent="0.25">
      <c r="A5" s="307" t="s">
        <v>532</v>
      </c>
      <c r="B5" s="307"/>
      <c r="C5" s="307"/>
      <c r="D5" s="307"/>
    </row>
    <row r="6" spans="1:8" x14ac:dyDescent="0.25">
      <c r="A6" s="230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x14ac:dyDescent="0.25">
      <c r="A8" s="230"/>
      <c r="B8" s="231"/>
      <c r="C8" s="60"/>
      <c r="D8" s="60"/>
    </row>
    <row r="9" spans="1:8" x14ac:dyDescent="0.25">
      <c r="A9" s="318" t="s">
        <v>162</v>
      </c>
      <c r="B9" s="318"/>
      <c r="C9" s="100"/>
      <c r="D9" s="96"/>
    </row>
    <row r="10" spans="1:8" ht="60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75.5" customHeight="1" x14ac:dyDescent="0.25">
      <c r="A14" s="35"/>
      <c r="B14" s="40" t="s">
        <v>697</v>
      </c>
      <c r="C14" s="18">
        <f>0.17*10+0.17*10+0.17*10+24</f>
        <v>29.1</v>
      </c>
      <c r="D14" s="18">
        <f>C14*2</f>
        <v>58.2</v>
      </c>
      <c r="E14" s="350"/>
      <c r="F14" s="351"/>
      <c r="G14" s="351"/>
      <c r="H14" s="351"/>
    </row>
    <row r="15" spans="1:8" ht="24" x14ac:dyDescent="0.25">
      <c r="A15" s="35">
        <v>1200</v>
      </c>
      <c r="B15" s="40" t="s">
        <v>472</v>
      </c>
      <c r="C15" s="18">
        <f>ROUND(C14*0.2359,2)</f>
        <v>6.86</v>
      </c>
      <c r="D15" s="18">
        <f>C15*2</f>
        <v>13.72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98.25" customHeight="1" x14ac:dyDescent="0.25">
      <c r="A17" s="35"/>
      <c r="B17" s="40" t="s">
        <v>688</v>
      </c>
      <c r="C17" s="18">
        <v>1.43</v>
      </c>
      <c r="D17" s="18">
        <f>C17*2</f>
        <v>2.86</v>
      </c>
    </row>
    <row r="18" spans="1:4" x14ac:dyDescent="0.25">
      <c r="A18" s="35"/>
      <c r="B18" s="92" t="s">
        <v>87</v>
      </c>
      <c r="C18" s="82">
        <f>SUM(C13:C17)</f>
        <v>37.39</v>
      </c>
      <c r="D18" s="82">
        <f>SUM(D13:D17)</f>
        <v>74.78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1902</v>
      </c>
      <c r="C21" s="74">
        <f>ROUND(31.85/9509,3)</f>
        <v>3.0000000000000001E-3</v>
      </c>
      <c r="D21" s="74">
        <f>C21*2</f>
        <v>6.0000000000000001E-3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1903</v>
      </c>
      <c r="C23" s="74">
        <f>ROUND(228.88/9509,3)</f>
        <v>2.4E-2</v>
      </c>
      <c r="D23" s="74">
        <f t="shared" ref="D23:D85" si="0">C23*2</f>
        <v>4.8000000000000001E-2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1904</v>
      </c>
      <c r="C25" s="18">
        <f>ROUND(382.73/9509,3)</f>
        <v>0.04</v>
      </c>
      <c r="D25" s="18">
        <f t="shared" si="0"/>
        <v>0.08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1905</v>
      </c>
      <c r="C27" s="74">
        <f>ROUND(38.69/9509,3)</f>
        <v>4.0000000000000001E-3</v>
      </c>
      <c r="D27" s="74">
        <f t="shared" si="0"/>
        <v>8.0000000000000002E-3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1906</v>
      </c>
      <c r="C29" s="74">
        <f>ROUND(1004.28/9509,3)</f>
        <v>0.106</v>
      </c>
      <c r="D29" s="74">
        <f t="shared" si="0"/>
        <v>0.21199999999999999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1907</v>
      </c>
      <c r="C31" s="18">
        <f>ROUND(82.8/9509,3)</f>
        <v>8.9999999999999993E-3</v>
      </c>
      <c r="D31" s="18">
        <f t="shared" si="0"/>
        <v>1.7999999999999999E-2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1908</v>
      </c>
      <c r="C33" s="18">
        <f>ROUND(289.4/9509,3)</f>
        <v>0.03</v>
      </c>
      <c r="D33" s="18">
        <f t="shared" si="0"/>
        <v>0.06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1909</v>
      </c>
      <c r="C35" s="74">
        <f>ROUND(20.68/9509,3)</f>
        <v>2E-3</v>
      </c>
      <c r="D35" s="74">
        <f t="shared" si="0"/>
        <v>4.0000000000000001E-3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1910</v>
      </c>
      <c r="C37" s="74">
        <f>ROUND(58.15/9509,3)</f>
        <v>6.0000000000000001E-3</v>
      </c>
      <c r="D37" s="74">
        <f t="shared" si="0"/>
        <v>1.2E-2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1911</v>
      </c>
      <c r="C39" s="74">
        <f>ROUND(524.45/9509,3)</f>
        <v>5.5E-2</v>
      </c>
      <c r="D39" s="18">
        <f t="shared" si="0"/>
        <v>0.11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1912</v>
      </c>
      <c r="C41" s="74">
        <f>ROUND(131.923/9509,3)</f>
        <v>1.4E-2</v>
      </c>
      <c r="D41" s="74">
        <f t="shared" si="0"/>
        <v>2.8000000000000001E-2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1913</v>
      </c>
      <c r="C43" s="74">
        <f>ROUND(360.94/9509,3)</f>
        <v>3.7999999999999999E-2</v>
      </c>
      <c r="D43" s="74">
        <f t="shared" si="0"/>
        <v>7.5999999999999998E-2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1914</v>
      </c>
      <c r="C45" s="74">
        <f>ROUND(272.76/9509,3)</f>
        <v>2.9000000000000001E-2</v>
      </c>
      <c r="D45" s="74">
        <f t="shared" si="0"/>
        <v>5.8000000000000003E-2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1915</v>
      </c>
      <c r="C47" s="74">
        <f>ROUND(12.06/9509,3)</f>
        <v>1E-3</v>
      </c>
      <c r="D47" s="74">
        <f t="shared" si="0"/>
        <v>2E-3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1916</v>
      </c>
      <c r="C49" s="74">
        <f>ROUND(23.35/9509,3)</f>
        <v>2E-3</v>
      </c>
      <c r="D49" s="74">
        <f t="shared" si="0"/>
        <v>4.0000000000000001E-3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1917</v>
      </c>
      <c r="C51" s="74">
        <f>ROUND(750.97/9509,3)</f>
        <v>7.9000000000000001E-2</v>
      </c>
      <c r="D51" s="74">
        <f t="shared" si="0"/>
        <v>0.158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1918</v>
      </c>
      <c r="C53" s="74">
        <f>ROUND(2620.34/9509,3)</f>
        <v>0.27600000000000002</v>
      </c>
      <c r="D53" s="74">
        <f t="shared" si="0"/>
        <v>0.55200000000000005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1919</v>
      </c>
      <c r="C55" s="74">
        <f>ROUND(9.91/9509,3)</f>
        <v>1E-3</v>
      </c>
      <c r="D55" s="74">
        <f t="shared" si="0"/>
        <v>2E-3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1920</v>
      </c>
      <c r="C57" s="74">
        <f>ROUND(132.32/9509,3)</f>
        <v>1.4E-2</v>
      </c>
      <c r="D57" s="74">
        <f t="shared" si="0"/>
        <v>2.8000000000000001E-2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1921</v>
      </c>
      <c r="C59" s="74">
        <f>ROUND(72.76/9509,3)</f>
        <v>8.0000000000000002E-3</v>
      </c>
      <c r="D59" s="74">
        <f t="shared" si="0"/>
        <v>1.6E-2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1922</v>
      </c>
      <c r="C61" s="74">
        <f>ROUND(484.21/9509,3)</f>
        <v>5.0999999999999997E-2</v>
      </c>
      <c r="D61" s="74">
        <f t="shared" si="0"/>
        <v>0.10199999999999999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1923</v>
      </c>
      <c r="C63" s="74">
        <f>ROUND(224.14/9509,3)</f>
        <v>2.4E-2</v>
      </c>
      <c r="D63" s="74">
        <f t="shared" si="0"/>
        <v>4.8000000000000001E-2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1924</v>
      </c>
      <c r="C65" s="74">
        <f>ROUND(103.21/9509,3)</f>
        <v>1.0999999999999999E-2</v>
      </c>
      <c r="D65" s="74">
        <f t="shared" si="0"/>
        <v>2.1999999999999999E-2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1925</v>
      </c>
      <c r="C67" s="74">
        <f>ROUND(241.97/9509,3)</f>
        <v>2.5000000000000001E-2</v>
      </c>
      <c r="D67" s="18">
        <f t="shared" si="0"/>
        <v>0.05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1926</v>
      </c>
      <c r="C69" s="74">
        <f>ROUND(87.42/9509,3)</f>
        <v>8.9999999999999993E-3</v>
      </c>
      <c r="D69" s="74">
        <f t="shared" si="0"/>
        <v>1.7999999999999999E-2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1927</v>
      </c>
      <c r="C71" s="74">
        <f>ROUND(28.69/9509,3)</f>
        <v>3.0000000000000001E-3</v>
      </c>
      <c r="D71" s="74">
        <f t="shared" si="0"/>
        <v>6.0000000000000001E-3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1928</v>
      </c>
      <c r="C73" s="74">
        <f>ROUND(8.56/9509,3)</f>
        <v>1E-3</v>
      </c>
      <c r="D73" s="74">
        <f t="shared" si="0"/>
        <v>2E-3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1929</v>
      </c>
      <c r="C75" s="74">
        <f>ROUND(58.04/9509,3)</f>
        <v>6.0000000000000001E-3</v>
      </c>
      <c r="D75" s="74">
        <f t="shared" si="0"/>
        <v>1.2E-2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1930</v>
      </c>
      <c r="C77" s="74">
        <f>ROUND(249.88/9509,3)</f>
        <v>2.5999999999999999E-2</v>
      </c>
      <c r="D77" s="74">
        <f t="shared" si="0"/>
        <v>5.1999999999999998E-2</v>
      </c>
    </row>
    <row r="78" spans="1:4" x14ac:dyDescent="0.25">
      <c r="A78" s="35">
        <v>5220</v>
      </c>
      <c r="B78" s="40" t="s">
        <v>120</v>
      </c>
      <c r="C78" s="18"/>
      <c r="D78" s="74"/>
    </row>
    <row r="79" spans="1:4" ht="48" x14ac:dyDescent="0.25">
      <c r="A79" s="35"/>
      <c r="B79" s="40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1931</v>
      </c>
      <c r="C81" s="74">
        <f>ROUND(61.55/9509,3)</f>
        <v>6.0000000000000001E-3</v>
      </c>
      <c r="D81" s="74">
        <f t="shared" si="0"/>
        <v>1.2E-2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1932</v>
      </c>
      <c r="C83" s="74">
        <f>ROUND(88.34/9509,3)</f>
        <v>8.9999999999999993E-3</v>
      </c>
      <c r="D83" s="74">
        <f t="shared" si="0"/>
        <v>1.7999999999999999E-2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1933</v>
      </c>
      <c r="C85" s="74">
        <f>ROUND(151.09/9509,3)</f>
        <v>1.6E-2</v>
      </c>
      <c r="D85" s="74">
        <f t="shared" si="0"/>
        <v>3.2000000000000001E-2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1.86</v>
      </c>
    </row>
    <row r="87" spans="1:4" x14ac:dyDescent="0.25">
      <c r="A87" s="83"/>
      <c r="B87" s="84" t="s">
        <v>95</v>
      </c>
      <c r="C87" s="82">
        <f>ROUND(C86+C18,2)</f>
        <v>38.32</v>
      </c>
      <c r="D87" s="82">
        <f>ROUND(D86+D18,2)</f>
        <v>76.64</v>
      </c>
    </row>
    <row r="88" spans="1:4" x14ac:dyDescent="0.25">
      <c r="A88" s="85"/>
      <c r="B88" s="86"/>
      <c r="C88" s="87"/>
      <c r="D88" s="87"/>
    </row>
    <row r="89" spans="1:4" ht="19.5" customHeight="1" x14ac:dyDescent="0.25">
      <c r="A89" s="302" t="s">
        <v>96</v>
      </c>
      <c r="B89" s="303"/>
      <c r="C89" s="88">
        <v>2</v>
      </c>
      <c r="D89" s="89"/>
    </row>
    <row r="90" spans="1:4" ht="29.25" customHeight="1" x14ac:dyDescent="0.25">
      <c r="A90" s="302" t="s">
        <v>113</v>
      </c>
      <c r="B90" s="303"/>
      <c r="C90" s="22">
        <f>D87/C89</f>
        <v>38.32</v>
      </c>
      <c r="D90" s="22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orientation="portrait" verticalDpi="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1539-5667-4AE9-A04B-CD9CD0B974DC}">
  <dimension ref="A1:H90"/>
  <sheetViews>
    <sheetView topLeftCell="A75" workbookViewId="0">
      <selection activeCell="B23" sqref="B23"/>
    </sheetView>
  </sheetViews>
  <sheetFormatPr defaultRowHeight="15" x14ac:dyDescent="0.25"/>
  <cols>
    <col min="2" max="2" width="60.7109375" customWidth="1"/>
    <col min="4" max="4" width="15.14062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39.75" customHeight="1" x14ac:dyDescent="0.25">
      <c r="A5" s="307" t="s">
        <v>533</v>
      </c>
      <c r="B5" s="307"/>
      <c r="C5" s="307"/>
      <c r="D5" s="307"/>
    </row>
    <row r="6" spans="1:8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186</v>
      </c>
      <c r="B9" s="318"/>
      <c r="C9" s="60"/>
      <c r="D9" s="96"/>
    </row>
    <row r="10" spans="1:8" ht="91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68"/>
    </row>
    <row r="14" spans="1:8" ht="163.5" customHeight="1" x14ac:dyDescent="0.25">
      <c r="A14" s="35"/>
      <c r="B14" s="40" t="s">
        <v>473</v>
      </c>
      <c r="C14" s="18">
        <f>0.17*15+0.17*15+0.17*15+24</f>
        <v>31.65</v>
      </c>
      <c r="D14" s="18">
        <f>C14*1</f>
        <v>31.65</v>
      </c>
      <c r="E14" s="357"/>
      <c r="F14" s="358"/>
      <c r="G14" s="358"/>
      <c r="H14" s="358"/>
    </row>
    <row r="15" spans="1:8" ht="24" x14ac:dyDescent="0.25">
      <c r="A15" s="35">
        <v>1200</v>
      </c>
      <c r="B15" s="40" t="s">
        <v>474</v>
      </c>
      <c r="C15" s="18">
        <f>ROUND(C14*0.2359,2)</f>
        <v>7.47</v>
      </c>
      <c r="D15" s="18">
        <f>C15*1</f>
        <v>7.47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450</v>
      </c>
      <c r="C17" s="18">
        <v>5.24</v>
      </c>
      <c r="D17" s="18">
        <f>C17*1</f>
        <v>5.24</v>
      </c>
    </row>
    <row r="18" spans="1:4" x14ac:dyDescent="0.25">
      <c r="A18" s="35"/>
      <c r="B18" s="136" t="s">
        <v>87</v>
      </c>
      <c r="C18" s="82">
        <f>SUM(C13:C17)</f>
        <v>44.36</v>
      </c>
      <c r="D18" s="82">
        <f>SUM(D13:D17)</f>
        <v>44.36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48" x14ac:dyDescent="0.25">
      <c r="A79" s="35"/>
      <c r="B79" s="40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45.29</v>
      </c>
      <c r="D87" s="82">
        <f>ROUND(D86+D18,3)</f>
        <v>45.29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0" customHeight="1" x14ac:dyDescent="0.25">
      <c r="A90" s="302" t="s">
        <v>113</v>
      </c>
      <c r="B90" s="303"/>
      <c r="C90" s="22">
        <f>D87/C89</f>
        <v>45.29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CB0B7-B986-461D-8919-F81E0D373E13}">
  <dimension ref="A1:H92"/>
  <sheetViews>
    <sheetView topLeftCell="A76" workbookViewId="0">
      <selection activeCell="F87" sqref="F87"/>
    </sheetView>
  </sheetViews>
  <sheetFormatPr defaultRowHeight="15" x14ac:dyDescent="0.25"/>
  <cols>
    <col min="2" max="2" width="66" customWidth="1"/>
    <col min="3" max="3" width="9.7109375" customWidth="1"/>
    <col min="4" max="4" width="11.5703125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41.25" customHeight="1" x14ac:dyDescent="0.25">
      <c r="A5" s="332" t="s">
        <v>534</v>
      </c>
      <c r="B5" s="332"/>
      <c r="C5" s="332"/>
      <c r="D5" s="332"/>
    </row>
    <row r="6" spans="1:8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228"/>
      <c r="B8" s="229"/>
      <c r="C8" s="7"/>
      <c r="D8" s="26"/>
    </row>
    <row r="9" spans="1:8" x14ac:dyDescent="0.25">
      <c r="A9" s="335" t="s">
        <v>184</v>
      </c>
      <c r="B9" s="335"/>
      <c r="C9" s="7"/>
      <c r="D9" s="26"/>
    </row>
    <row r="10" spans="1:8" x14ac:dyDescent="0.25">
      <c r="A10" s="41"/>
      <c r="B10" s="44"/>
      <c r="C10" s="25"/>
      <c r="D10" s="26"/>
    </row>
    <row r="11" spans="1:8" ht="88.5" customHeight="1" x14ac:dyDescent="0.25">
      <c r="A11" s="10" t="s">
        <v>80</v>
      </c>
      <c r="B11" s="10" t="s">
        <v>81</v>
      </c>
      <c r="C11" s="10" t="s">
        <v>82</v>
      </c>
    </row>
    <row r="12" spans="1:8" x14ac:dyDescent="0.25">
      <c r="A12" s="11">
        <v>1</v>
      </c>
      <c r="B12" s="12">
        <v>2</v>
      </c>
      <c r="C12" s="11">
        <v>3</v>
      </c>
      <c r="D12" s="11">
        <v>4</v>
      </c>
    </row>
    <row r="13" spans="1:8" ht="72" x14ac:dyDescent="0.25">
      <c r="A13" s="11"/>
      <c r="B13" s="27" t="s">
        <v>84</v>
      </c>
      <c r="C13" s="13"/>
      <c r="D13" s="10" t="s">
        <v>83</v>
      </c>
    </row>
    <row r="14" spans="1:8" x14ac:dyDescent="0.25">
      <c r="A14" s="28">
        <v>1100</v>
      </c>
      <c r="B14" s="29" t="s">
        <v>85</v>
      </c>
      <c r="C14" s="14"/>
      <c r="D14" s="14"/>
    </row>
    <row r="15" spans="1:8" ht="150" customHeight="1" x14ac:dyDescent="0.25">
      <c r="A15" s="30"/>
      <c r="B15" s="40" t="s">
        <v>471</v>
      </c>
      <c r="C15" s="18">
        <f>0.17*10+0.17*10+0.17*10+24</f>
        <v>29.1</v>
      </c>
      <c r="D15" s="18">
        <f>C15*1</f>
        <v>29.1</v>
      </c>
      <c r="E15" s="357"/>
      <c r="F15" s="358"/>
      <c r="G15" s="358"/>
      <c r="H15" s="358"/>
    </row>
    <row r="16" spans="1:8" ht="24" x14ac:dyDescent="0.25">
      <c r="A16" s="30">
        <v>1200</v>
      </c>
      <c r="B16" s="40" t="s">
        <v>472</v>
      </c>
      <c r="C16" s="18">
        <f>ROUND(C15*0.2359,2)</f>
        <v>6.86</v>
      </c>
      <c r="D16" s="18">
        <f>C16*1</f>
        <v>6.86</v>
      </c>
    </row>
    <row r="17" spans="1:4" x14ac:dyDescent="0.25">
      <c r="A17" s="30">
        <v>2341</v>
      </c>
      <c r="B17" s="30" t="s">
        <v>86</v>
      </c>
      <c r="C17" s="19"/>
      <c r="D17" s="19"/>
    </row>
    <row r="18" spans="1:4" ht="60" x14ac:dyDescent="0.25">
      <c r="A18" s="30"/>
      <c r="B18" s="40" t="s">
        <v>451</v>
      </c>
      <c r="C18" s="16">
        <v>5.66</v>
      </c>
      <c r="D18" s="16">
        <f>C18*1</f>
        <v>5.66</v>
      </c>
    </row>
    <row r="19" spans="1:4" x14ac:dyDescent="0.25">
      <c r="A19" s="34"/>
      <c r="B19" s="136" t="s">
        <v>87</v>
      </c>
      <c r="C19" s="137">
        <f>SUM(C14:C18)</f>
        <v>41.620000000000005</v>
      </c>
      <c r="D19" s="137">
        <f>SUM(D14:D18)</f>
        <v>41.620000000000005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48" x14ac:dyDescent="0.25">
      <c r="A22" s="77"/>
      <c r="B22" s="40" t="s">
        <v>1949</v>
      </c>
      <c r="C22" s="74">
        <f>ROUND(31.85/9509,3)</f>
        <v>3.0000000000000001E-3</v>
      </c>
      <c r="D22" s="74">
        <f>C22*1</f>
        <v>3.0000000000000001E-3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48" x14ac:dyDescent="0.25">
      <c r="A24" s="35"/>
      <c r="B24" s="40" t="s">
        <v>1950</v>
      </c>
      <c r="C24" s="74">
        <f>ROUND(228.88/9509,3)</f>
        <v>2.4E-2</v>
      </c>
      <c r="D24" s="74">
        <f t="shared" ref="D24:D86" si="0">C24*1</f>
        <v>2.4E-2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48" x14ac:dyDescent="0.25">
      <c r="A26" s="35"/>
      <c r="B26" s="40" t="s">
        <v>1951</v>
      </c>
      <c r="C26" s="18">
        <f>ROUND(382.73/9509,3)</f>
        <v>0.04</v>
      </c>
      <c r="D26" s="18">
        <f t="shared" si="0"/>
        <v>0.04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48" x14ac:dyDescent="0.25">
      <c r="A28" s="35"/>
      <c r="B28" s="40" t="s">
        <v>1952</v>
      </c>
      <c r="C28" s="74">
        <f>ROUND(38.69/9509,3)</f>
        <v>4.0000000000000001E-3</v>
      </c>
      <c r="D28" s="74">
        <f t="shared" si="0"/>
        <v>4.0000000000000001E-3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48" x14ac:dyDescent="0.25">
      <c r="A30" s="35"/>
      <c r="B30" s="40" t="s">
        <v>1953</v>
      </c>
      <c r="C30" s="74">
        <f>ROUND(1004.28/9509,3)</f>
        <v>0.106</v>
      </c>
      <c r="D30" s="74">
        <f t="shared" si="0"/>
        <v>0.106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48" x14ac:dyDescent="0.25">
      <c r="A32" s="34"/>
      <c r="B32" s="40" t="s">
        <v>1954</v>
      </c>
      <c r="C32" s="74">
        <f>ROUND(82.8/9509,3)</f>
        <v>8.9999999999999993E-3</v>
      </c>
      <c r="D32" s="74">
        <f t="shared" si="0"/>
        <v>8.9999999999999993E-3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48" x14ac:dyDescent="0.25">
      <c r="A34" s="35"/>
      <c r="B34" s="40" t="s">
        <v>1955</v>
      </c>
      <c r="C34" s="18">
        <f>ROUND(289.4/9509,3)</f>
        <v>0.03</v>
      </c>
      <c r="D34" s="18">
        <f t="shared" si="0"/>
        <v>0.03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48" x14ac:dyDescent="0.25">
      <c r="A36" s="35"/>
      <c r="B36" s="40" t="s">
        <v>1956</v>
      </c>
      <c r="C36" s="74">
        <f>ROUND(20.68/9509,3)</f>
        <v>2E-3</v>
      </c>
      <c r="D36" s="74">
        <f t="shared" si="0"/>
        <v>2E-3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48" x14ac:dyDescent="0.25">
      <c r="A38" s="35"/>
      <c r="B38" s="40" t="s">
        <v>1957</v>
      </c>
      <c r="C38" s="74">
        <f>ROUND(58.15/9509,3)</f>
        <v>6.0000000000000001E-3</v>
      </c>
      <c r="D38" s="74">
        <f t="shared" si="0"/>
        <v>6.0000000000000001E-3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48" x14ac:dyDescent="0.25">
      <c r="A40" s="35"/>
      <c r="B40" s="40" t="s">
        <v>1958</v>
      </c>
      <c r="C40" s="74">
        <f>ROUND(524.45/9509,3)</f>
        <v>5.5E-2</v>
      </c>
      <c r="D40" s="74">
        <f t="shared" si="0"/>
        <v>5.5E-2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48" x14ac:dyDescent="0.25">
      <c r="A42" s="35"/>
      <c r="B42" s="40" t="s">
        <v>1979</v>
      </c>
      <c r="C42" s="74">
        <f>ROUND(131.923/9509,3)</f>
        <v>1.4E-2</v>
      </c>
      <c r="D42" s="74">
        <f t="shared" si="0"/>
        <v>1.4E-2</v>
      </c>
    </row>
    <row r="43" spans="1:4" x14ac:dyDescent="0.25">
      <c r="A43" s="35">
        <v>2243</v>
      </c>
      <c r="B43" s="40" t="s">
        <v>100</v>
      </c>
      <c r="C43" s="18"/>
      <c r="D43" s="74"/>
    </row>
    <row r="44" spans="1:4" ht="48" x14ac:dyDescent="0.25">
      <c r="A44" s="35"/>
      <c r="B44" s="40" t="s">
        <v>1959</v>
      </c>
      <c r="C44" s="74">
        <f>ROUND(360.94/9509,3)</f>
        <v>3.7999999999999999E-2</v>
      </c>
      <c r="D44" s="74">
        <f t="shared" si="0"/>
        <v>3.7999999999999999E-2</v>
      </c>
    </row>
    <row r="45" spans="1:4" x14ac:dyDescent="0.25">
      <c r="A45" s="35">
        <v>2244</v>
      </c>
      <c r="B45" s="40" t="s">
        <v>92</v>
      </c>
      <c r="C45" s="18"/>
      <c r="D45" s="74"/>
    </row>
    <row r="46" spans="1:4" ht="48" x14ac:dyDescent="0.25">
      <c r="A46" s="79"/>
      <c r="B46" s="40" t="s">
        <v>1960</v>
      </c>
      <c r="C46" s="74">
        <f>ROUND(272.76/9509,3)</f>
        <v>2.9000000000000001E-2</v>
      </c>
      <c r="D46" s="74">
        <f t="shared" si="0"/>
        <v>2.9000000000000001E-2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48" x14ac:dyDescent="0.25">
      <c r="A48" s="79"/>
      <c r="B48" s="40" t="s">
        <v>1961</v>
      </c>
      <c r="C48" s="74">
        <f>ROUND(12.06/9509,3)</f>
        <v>1E-3</v>
      </c>
      <c r="D48" s="74">
        <f t="shared" si="0"/>
        <v>1E-3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48" x14ac:dyDescent="0.25">
      <c r="A50" s="79"/>
      <c r="B50" s="40" t="s">
        <v>1962</v>
      </c>
      <c r="C50" s="74">
        <f>ROUND(23.35/9509,3)</f>
        <v>2E-3</v>
      </c>
      <c r="D50" s="74">
        <f t="shared" si="0"/>
        <v>2E-3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48" x14ac:dyDescent="0.25">
      <c r="A52" s="35"/>
      <c r="B52" s="40" t="s">
        <v>1963</v>
      </c>
      <c r="C52" s="74">
        <f>ROUND(750.97/9509,3)</f>
        <v>7.9000000000000001E-2</v>
      </c>
      <c r="D52" s="74">
        <f t="shared" si="0"/>
        <v>7.9000000000000001E-2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48" x14ac:dyDescent="0.25">
      <c r="A54" s="35"/>
      <c r="B54" s="40" t="s">
        <v>1965</v>
      </c>
      <c r="C54" s="74">
        <f>ROUND(2620.34/9509,3)</f>
        <v>0.27600000000000002</v>
      </c>
      <c r="D54" s="74">
        <f t="shared" si="0"/>
        <v>0.27600000000000002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48" x14ac:dyDescent="0.25">
      <c r="A56" s="35"/>
      <c r="B56" s="40" t="s">
        <v>1964</v>
      </c>
      <c r="C56" s="74">
        <f>ROUND(9.91/9509,3)</f>
        <v>1E-3</v>
      </c>
      <c r="D56" s="74">
        <f t="shared" si="0"/>
        <v>1E-3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48" x14ac:dyDescent="0.25">
      <c r="A58" s="35"/>
      <c r="B58" s="40" t="s">
        <v>1966</v>
      </c>
      <c r="C58" s="74">
        <f>ROUND(132.32/9509,3)</f>
        <v>1.4E-2</v>
      </c>
      <c r="D58" s="74">
        <f t="shared" si="0"/>
        <v>1.4E-2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48" x14ac:dyDescent="0.25">
      <c r="A60" s="35"/>
      <c r="B60" s="40" t="s">
        <v>1967</v>
      </c>
      <c r="C60" s="74">
        <f>ROUND(72.76/9509,3)</f>
        <v>8.0000000000000002E-3</v>
      </c>
      <c r="D60" s="74">
        <f t="shared" si="0"/>
        <v>8.0000000000000002E-3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48" x14ac:dyDescent="0.25">
      <c r="A62" s="35"/>
      <c r="B62" s="40" t="s">
        <v>1968</v>
      </c>
      <c r="C62" s="74">
        <f>ROUND(484.21/9509,3)</f>
        <v>5.0999999999999997E-2</v>
      </c>
      <c r="D62" s="74">
        <f t="shared" si="0"/>
        <v>5.0999999999999997E-2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48" x14ac:dyDescent="0.25">
      <c r="A64" s="35"/>
      <c r="B64" s="40" t="s">
        <v>1969</v>
      </c>
      <c r="C64" s="74">
        <f>ROUND(224.14/9509,3)</f>
        <v>2.4E-2</v>
      </c>
      <c r="D64" s="74">
        <f t="shared" si="0"/>
        <v>2.4E-2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48" x14ac:dyDescent="0.25">
      <c r="A66" s="35"/>
      <c r="B66" s="40" t="s">
        <v>2014</v>
      </c>
      <c r="C66" s="74">
        <f>ROUND(103.21/9509,3)</f>
        <v>1.0999999999999999E-2</v>
      </c>
      <c r="D66" s="74">
        <f t="shared" si="0"/>
        <v>1.0999999999999999E-2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48" x14ac:dyDescent="0.25">
      <c r="A68" s="35"/>
      <c r="B68" s="40" t="s">
        <v>1971</v>
      </c>
      <c r="C68" s="74">
        <f>ROUND(241.97/9509,3)</f>
        <v>2.5000000000000001E-2</v>
      </c>
      <c r="D68" s="74">
        <f t="shared" si="0"/>
        <v>2.5000000000000001E-2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48" x14ac:dyDescent="0.25">
      <c r="A70" s="35"/>
      <c r="B70" s="40" t="s">
        <v>1972</v>
      </c>
      <c r="C70" s="74">
        <f>ROUND(87.42/9509,3)</f>
        <v>8.9999999999999993E-3</v>
      </c>
      <c r="D70" s="74">
        <f t="shared" si="0"/>
        <v>8.9999999999999993E-3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48" x14ac:dyDescent="0.25">
      <c r="A72" s="35"/>
      <c r="B72" s="40" t="s">
        <v>1973</v>
      </c>
      <c r="C72" s="74">
        <f>ROUND(28.69/9509,3)</f>
        <v>3.0000000000000001E-3</v>
      </c>
      <c r="D72" s="74">
        <f t="shared" si="0"/>
        <v>3.0000000000000001E-3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48" x14ac:dyDescent="0.25">
      <c r="A74" s="35"/>
      <c r="B74" s="40" t="s">
        <v>1974</v>
      </c>
      <c r="C74" s="74">
        <f>ROUND(8.56/9509,3)</f>
        <v>1E-3</v>
      </c>
      <c r="D74" s="74">
        <f t="shared" si="0"/>
        <v>1E-3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48" x14ac:dyDescent="0.25">
      <c r="A76" s="35"/>
      <c r="B76" s="40" t="s">
        <v>1975</v>
      </c>
      <c r="C76" s="74">
        <f>ROUND(58.04/9509,3)</f>
        <v>6.0000000000000001E-3</v>
      </c>
      <c r="D76" s="74">
        <f t="shared" si="0"/>
        <v>6.0000000000000001E-3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48" x14ac:dyDescent="0.25">
      <c r="A78" s="35"/>
      <c r="B78" s="40" t="s">
        <v>1976</v>
      </c>
      <c r="C78" s="74">
        <f>ROUND(249.88/9509,3)</f>
        <v>2.5999999999999999E-2</v>
      </c>
      <c r="D78" s="74">
        <f t="shared" si="0"/>
        <v>2.5999999999999999E-2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48" x14ac:dyDescent="0.25">
      <c r="A80" s="35"/>
      <c r="B80" s="40" t="s">
        <v>624</v>
      </c>
      <c r="C80" s="18">
        <v>0</v>
      </c>
      <c r="D80" s="18"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48" x14ac:dyDescent="0.25">
      <c r="A82" s="35"/>
      <c r="B82" s="40" t="s">
        <v>1980</v>
      </c>
      <c r="C82" s="74">
        <f>ROUND(61.55/9509,3)</f>
        <v>6.0000000000000001E-3</v>
      </c>
      <c r="D82" s="74">
        <f t="shared" si="0"/>
        <v>6.0000000000000001E-3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48" x14ac:dyDescent="0.25">
      <c r="A84" s="35"/>
      <c r="B84" s="40" t="s">
        <v>1977</v>
      </c>
      <c r="C84" s="74">
        <f>ROUND(88.34/9509,3)</f>
        <v>8.9999999999999993E-3</v>
      </c>
      <c r="D84" s="74">
        <f t="shared" si="0"/>
        <v>8.9999999999999993E-3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48" x14ac:dyDescent="0.25">
      <c r="A86" s="35"/>
      <c r="B86" s="40" t="s">
        <v>1978</v>
      </c>
      <c r="C86" s="74">
        <f>ROUND(151.09/9509,3)</f>
        <v>1.6E-2</v>
      </c>
      <c r="D86" s="74">
        <f t="shared" si="0"/>
        <v>1.6E-2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0.93</v>
      </c>
    </row>
    <row r="88" spans="1:4" x14ac:dyDescent="0.25">
      <c r="A88" s="83"/>
      <c r="B88" s="84" t="s">
        <v>95</v>
      </c>
      <c r="C88" s="82">
        <f>ROUND(C87+C19,3)</f>
        <v>42.55</v>
      </c>
      <c r="D88" s="82">
        <f>ROUND(D87+D19,3)</f>
        <v>42.55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</v>
      </c>
      <c r="D90" s="89"/>
    </row>
    <row r="91" spans="1:4" ht="27.75" customHeight="1" x14ac:dyDescent="0.25">
      <c r="A91" s="302" t="s">
        <v>113</v>
      </c>
      <c r="B91" s="303"/>
      <c r="C91" s="22">
        <f>D88/C90</f>
        <v>42.55</v>
      </c>
      <c r="D91" s="22"/>
    </row>
    <row r="92" spans="1:4" x14ac:dyDescent="0.25">
      <c r="A92" s="190"/>
      <c r="B92" s="190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F29D-163C-4C7F-A0B3-A8D029729FA8}">
  <dimension ref="A1:H89"/>
  <sheetViews>
    <sheetView topLeftCell="A73" workbookViewId="0">
      <selection activeCell="E85" sqref="E85"/>
    </sheetView>
  </sheetViews>
  <sheetFormatPr defaultRowHeight="15" x14ac:dyDescent="0.25"/>
  <cols>
    <col min="1" max="1" width="5.85546875" customWidth="1"/>
    <col min="2" max="2" width="60.140625" customWidth="1"/>
    <col min="3" max="3" width="11.28515625" customWidth="1"/>
    <col min="4" max="4" width="12.7109375" customWidth="1"/>
    <col min="6" max="6" width="11.42578125" customWidth="1"/>
    <col min="7" max="7" width="11" customWidth="1"/>
    <col min="8" max="8" width="13.710937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42.75" customHeight="1" x14ac:dyDescent="0.25">
      <c r="A5" s="307" t="s">
        <v>535</v>
      </c>
      <c r="B5" s="307"/>
      <c r="C5" s="307"/>
      <c r="D5" s="307"/>
    </row>
    <row r="6" spans="1:8" ht="9" customHeight="1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ht="7.5" customHeight="1" x14ac:dyDescent="0.25">
      <c r="A8" s="55"/>
      <c r="B8" s="61"/>
      <c r="C8" s="62"/>
      <c r="D8" s="59"/>
    </row>
    <row r="9" spans="1:8" x14ac:dyDescent="0.25">
      <c r="A9" s="309" t="s">
        <v>184</v>
      </c>
      <c r="B9" s="309"/>
      <c r="C9" s="62"/>
      <c r="D9" s="59"/>
    </row>
    <row r="10" spans="1:8" ht="84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83" customHeight="1" x14ac:dyDescent="0.25">
      <c r="A14" s="50"/>
      <c r="B14" s="72" t="s">
        <v>475</v>
      </c>
      <c r="C14" s="18">
        <f>0.17*6+0.17*6+ 0.17*6+1.02/2+24</f>
        <v>27.57</v>
      </c>
      <c r="D14" s="18">
        <f>C14*1</f>
        <v>27.57</v>
      </c>
      <c r="E14" s="354"/>
      <c r="F14" s="351"/>
      <c r="G14" s="351"/>
      <c r="H14" s="351"/>
    </row>
    <row r="15" spans="1:8" ht="24" x14ac:dyDescent="0.25">
      <c r="A15" s="50">
        <v>1200</v>
      </c>
      <c r="B15" s="73" t="s">
        <v>476</v>
      </c>
      <c r="C15" s="18">
        <f>ROUND(C14*0.2359,2)</f>
        <v>6.5</v>
      </c>
      <c r="D15" s="18">
        <f>C15*1</f>
        <v>6.5</v>
      </c>
    </row>
    <row r="16" spans="1:8" x14ac:dyDescent="0.25">
      <c r="A16" s="35">
        <v>2341</v>
      </c>
      <c r="B16" s="35" t="s">
        <v>97</v>
      </c>
      <c r="C16" s="74"/>
      <c r="D16" s="74"/>
    </row>
    <row r="17" spans="1:4" ht="96" x14ac:dyDescent="0.25">
      <c r="A17" s="50"/>
      <c r="B17" s="73" t="s">
        <v>199</v>
      </c>
      <c r="C17" s="18">
        <v>1.08</v>
      </c>
      <c r="D17" s="18">
        <f>C17*1</f>
        <v>1.08</v>
      </c>
    </row>
    <row r="18" spans="1:4" x14ac:dyDescent="0.25">
      <c r="A18" s="35"/>
      <c r="B18" s="92" t="s">
        <v>87</v>
      </c>
      <c r="C18" s="82">
        <f>SUM(C13:C17)</f>
        <v>35.15</v>
      </c>
      <c r="D18" s="82">
        <f>SUM(D13:D17)</f>
        <v>35.15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4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18">
        <f>ROUND(750.97/9509,3)</f>
        <v>7.9000000000000001E-2</v>
      </c>
      <c r="D51" s="18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48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36.08</v>
      </c>
      <c r="D86" s="82">
        <f>ROUND(D85+D18,3)</f>
        <v>36.08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27" customHeight="1" x14ac:dyDescent="0.25">
      <c r="A89" s="302" t="s">
        <v>113</v>
      </c>
      <c r="B89" s="303"/>
      <c r="C89" s="22">
        <f>D86/C88</f>
        <v>36.08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C548-8E35-44A5-96EF-A9F157335DE1}">
  <dimension ref="A1:G90"/>
  <sheetViews>
    <sheetView topLeftCell="A75" workbookViewId="0">
      <selection activeCell="H91" sqref="H91"/>
    </sheetView>
  </sheetViews>
  <sheetFormatPr defaultRowHeight="15" x14ac:dyDescent="0.25"/>
  <cols>
    <col min="2" max="2" width="60.42578125" customWidth="1"/>
    <col min="3" max="3" width="11.140625" customWidth="1"/>
    <col min="4" max="4" width="15.14062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49.5" customHeight="1" x14ac:dyDescent="0.25">
      <c r="A5" s="307" t="s">
        <v>536</v>
      </c>
      <c r="B5" s="307"/>
      <c r="C5" s="307"/>
      <c r="D5" s="307"/>
    </row>
    <row r="6" spans="1:7" x14ac:dyDescent="0.25">
      <c r="A6" s="230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ht="10.5" customHeight="1" x14ac:dyDescent="0.25">
      <c r="A8" s="230"/>
      <c r="B8" s="231"/>
      <c r="C8" s="60"/>
      <c r="D8" s="59"/>
    </row>
    <row r="9" spans="1:7" x14ac:dyDescent="0.25">
      <c r="A9" s="309" t="s">
        <v>698</v>
      </c>
      <c r="B9" s="309"/>
      <c r="C9" s="62"/>
      <c r="D9" s="59"/>
    </row>
    <row r="10" spans="1:7" ht="90" customHeight="1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95.75" customHeight="1" x14ac:dyDescent="0.25">
      <c r="A14" s="50"/>
      <c r="B14" s="90" t="s">
        <v>699</v>
      </c>
      <c r="C14" s="18">
        <f>0.17*20+0.17*20+0.17*20+3.4/2+24</f>
        <v>35.9</v>
      </c>
      <c r="D14" s="18">
        <f>C14*5</f>
        <v>179.5</v>
      </c>
      <c r="E14" s="355"/>
      <c r="F14" s="356"/>
      <c r="G14" s="356"/>
    </row>
    <row r="15" spans="1:7" ht="24" x14ac:dyDescent="0.25">
      <c r="A15" s="50">
        <v>1200</v>
      </c>
      <c r="B15" s="73" t="s">
        <v>478</v>
      </c>
      <c r="C15" s="18">
        <f>ROUND(C14*0.2359,2)</f>
        <v>8.4700000000000006</v>
      </c>
      <c r="D15" s="18">
        <f>C15*5</f>
        <v>42.35</v>
      </c>
    </row>
    <row r="16" spans="1:7" x14ac:dyDescent="0.25">
      <c r="A16" s="50">
        <v>2341</v>
      </c>
      <c r="B16" s="50" t="s">
        <v>97</v>
      </c>
      <c r="C16" s="91"/>
      <c r="D16" s="18"/>
    </row>
    <row r="17" spans="1:4" ht="108" x14ac:dyDescent="0.25">
      <c r="A17" s="50"/>
      <c r="B17" s="73" t="s">
        <v>700</v>
      </c>
      <c r="C17" s="18">
        <v>4.83</v>
      </c>
      <c r="D17" s="18">
        <f>C17*5</f>
        <v>24.15</v>
      </c>
    </row>
    <row r="18" spans="1:4" x14ac:dyDescent="0.25">
      <c r="A18" s="35"/>
      <c r="B18" s="92" t="s">
        <v>87</v>
      </c>
      <c r="C18" s="82">
        <f>SUM(C13:C17)</f>
        <v>49.199999999999996</v>
      </c>
      <c r="D18" s="82">
        <f>SUM(D13:D17)</f>
        <v>246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1652</v>
      </c>
      <c r="C21" s="74">
        <f>ROUND(31.85/9509,3)</f>
        <v>3.0000000000000001E-3</v>
      </c>
      <c r="D21" s="18">
        <f>C21*5</f>
        <v>1.4999999999999999E-2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1653</v>
      </c>
      <c r="C23" s="18">
        <f>ROUND(228.88/9509,3)</f>
        <v>2.4E-2</v>
      </c>
      <c r="D23" s="18">
        <f t="shared" ref="D23:D85" si="0">C23*5</f>
        <v>0.12</v>
      </c>
    </row>
    <row r="24" spans="1:4" x14ac:dyDescent="0.25">
      <c r="A24" s="35">
        <v>2221</v>
      </c>
      <c r="B24" s="40" t="s">
        <v>89</v>
      </c>
      <c r="C24" s="18"/>
      <c r="D24" s="18"/>
    </row>
    <row r="25" spans="1:4" ht="48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4" x14ac:dyDescent="0.25">
      <c r="A26" s="35">
        <v>2222</v>
      </c>
      <c r="B26" s="242" t="s">
        <v>90</v>
      </c>
      <c r="C26" s="18"/>
      <c r="D26" s="18"/>
    </row>
    <row r="27" spans="1:4" ht="48" x14ac:dyDescent="0.25">
      <c r="A27" s="35"/>
      <c r="B27" s="40" t="s">
        <v>1655</v>
      </c>
      <c r="C27" s="74">
        <f>ROUND(38.69/9509,3)</f>
        <v>4.0000000000000001E-3</v>
      </c>
      <c r="D27" s="18">
        <f t="shared" si="0"/>
        <v>0.02</v>
      </c>
    </row>
    <row r="28" spans="1:4" x14ac:dyDescent="0.25">
      <c r="A28" s="35">
        <v>2223</v>
      </c>
      <c r="B28" s="35" t="s">
        <v>91</v>
      </c>
      <c r="C28" s="74"/>
      <c r="D28" s="18"/>
    </row>
    <row r="29" spans="1:4" ht="48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4" ht="24" x14ac:dyDescent="0.25">
      <c r="A30" s="35">
        <v>2224</v>
      </c>
      <c r="B30" s="40" t="s">
        <v>115</v>
      </c>
      <c r="C30" s="74"/>
      <c r="D30" s="18"/>
    </row>
    <row r="31" spans="1:4" ht="48" x14ac:dyDescent="0.25">
      <c r="A31" s="34"/>
      <c r="B31" s="40" t="s">
        <v>1657</v>
      </c>
      <c r="C31" s="18">
        <f>ROUND(82.8/9509,3)</f>
        <v>8.9999999999999993E-3</v>
      </c>
      <c r="D31" s="18">
        <f t="shared" si="0"/>
        <v>4.4999999999999998E-2</v>
      </c>
    </row>
    <row r="32" spans="1:4" x14ac:dyDescent="0.25">
      <c r="A32" s="35">
        <v>2231</v>
      </c>
      <c r="B32" s="40" t="s">
        <v>121</v>
      </c>
      <c r="C32" s="74"/>
      <c r="D32" s="18"/>
    </row>
    <row r="33" spans="1:4" ht="48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18"/>
    </row>
    <row r="35" spans="1:4" ht="48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18"/>
    </row>
    <row r="37" spans="1:4" ht="48" x14ac:dyDescent="0.25">
      <c r="A37" s="35"/>
      <c r="B37" s="40" t="s">
        <v>1660</v>
      </c>
      <c r="C37" s="74">
        <f>ROUND(58.15/9509,3)</f>
        <v>6.0000000000000001E-3</v>
      </c>
      <c r="D37" s="18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18"/>
    </row>
    <row r="39" spans="1:4" ht="48" x14ac:dyDescent="0.25">
      <c r="A39" s="35"/>
      <c r="B39" s="40" t="s">
        <v>1661</v>
      </c>
      <c r="C39" s="74">
        <f>ROUND(524.45/9509,3)</f>
        <v>5.5E-2</v>
      </c>
      <c r="D39" s="18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18"/>
    </row>
    <row r="41" spans="1:4" ht="48" x14ac:dyDescent="0.25">
      <c r="A41" s="35"/>
      <c r="B41" s="40" t="s">
        <v>2019</v>
      </c>
      <c r="C41" s="74">
        <f>ROUND(131.923/9509,3)</f>
        <v>1.4E-2</v>
      </c>
      <c r="D41" s="18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18"/>
    </row>
    <row r="43" spans="1:4" ht="48" x14ac:dyDescent="0.25">
      <c r="A43" s="35"/>
      <c r="B43" s="40" t="s">
        <v>1663</v>
      </c>
      <c r="C43" s="18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18"/>
    </row>
    <row r="45" spans="1:4" ht="48" x14ac:dyDescent="0.25">
      <c r="A45" s="79"/>
      <c r="B45" s="40" t="s">
        <v>1664</v>
      </c>
      <c r="C45" s="18">
        <f>ROUND(272.76/9509,3)</f>
        <v>2.9000000000000001E-2</v>
      </c>
      <c r="D45" s="18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18"/>
    </row>
    <row r="47" spans="1:4" ht="48" x14ac:dyDescent="0.25">
      <c r="A47" s="79"/>
      <c r="B47" s="40" t="s">
        <v>1665</v>
      </c>
      <c r="C47" s="74">
        <f>ROUND(12.06/9509,3)</f>
        <v>1E-3</v>
      </c>
      <c r="D47" s="18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18"/>
    </row>
    <row r="49" spans="1:4" ht="48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18"/>
    </row>
    <row r="51" spans="1:4" ht="48" x14ac:dyDescent="0.25">
      <c r="A51" s="35"/>
      <c r="B51" s="40" t="s">
        <v>1667</v>
      </c>
      <c r="C51" s="18">
        <f>ROUND(750.97/9509,3)</f>
        <v>7.9000000000000001E-2</v>
      </c>
      <c r="D51" s="18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18"/>
    </row>
    <row r="53" spans="1:4" ht="48" x14ac:dyDescent="0.25">
      <c r="A53" s="35"/>
      <c r="B53" s="40" t="s">
        <v>1668</v>
      </c>
      <c r="C53" s="18">
        <f>ROUND(2620.34/9509,3)</f>
        <v>0.27600000000000002</v>
      </c>
      <c r="D53" s="18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18"/>
    </row>
    <row r="55" spans="1:4" ht="48" x14ac:dyDescent="0.25">
      <c r="A55" s="35"/>
      <c r="B55" s="40" t="s">
        <v>1669</v>
      </c>
      <c r="C55" s="74">
        <f>ROUND(9.91/9509,3)</f>
        <v>1E-3</v>
      </c>
      <c r="D55" s="18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18"/>
    </row>
    <row r="57" spans="1:4" ht="48" x14ac:dyDescent="0.25">
      <c r="A57" s="35"/>
      <c r="B57" s="40" t="s">
        <v>1670</v>
      </c>
      <c r="C57" s="18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18"/>
    </row>
    <row r="59" spans="1:4" ht="48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18"/>
    </row>
    <row r="61" spans="1:4" ht="48" x14ac:dyDescent="0.25">
      <c r="A61" s="35"/>
      <c r="B61" s="40" t="s">
        <v>1672</v>
      </c>
      <c r="C61" s="18">
        <f>ROUND(484.21/9509,3)</f>
        <v>5.0999999999999997E-2</v>
      </c>
      <c r="D61" s="18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18"/>
    </row>
    <row r="63" spans="1:4" ht="48" x14ac:dyDescent="0.25">
      <c r="A63" s="35"/>
      <c r="B63" s="40" t="s">
        <v>1673</v>
      </c>
      <c r="C63" s="18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18"/>
    </row>
    <row r="65" spans="1:4" ht="48" x14ac:dyDescent="0.25">
      <c r="A65" s="35"/>
      <c r="B65" s="40" t="s">
        <v>1674</v>
      </c>
      <c r="C65" s="18">
        <f>ROUND(103.21/9509,3)</f>
        <v>1.0999999999999999E-2</v>
      </c>
      <c r="D65" s="18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18"/>
    </row>
    <row r="67" spans="1:4" ht="48" x14ac:dyDescent="0.25">
      <c r="A67" s="35"/>
      <c r="B67" s="40" t="s">
        <v>1675</v>
      </c>
      <c r="C67" s="18">
        <f>ROUND(241.97/9509,3)</f>
        <v>2.5000000000000001E-2</v>
      </c>
      <c r="D67" s="18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18"/>
    </row>
    <row r="69" spans="1:4" ht="48" x14ac:dyDescent="0.25">
      <c r="A69" s="35"/>
      <c r="B69" s="40" t="s">
        <v>1676</v>
      </c>
      <c r="C69" s="18">
        <f>ROUND(87.42/9509,3)</f>
        <v>8.9999999999999993E-3</v>
      </c>
      <c r="D69" s="18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18"/>
    </row>
    <row r="71" spans="1:4" ht="48" x14ac:dyDescent="0.25">
      <c r="A71" s="35"/>
      <c r="B71" s="40" t="s">
        <v>1677</v>
      </c>
      <c r="C71" s="74">
        <f>ROUND(28.69/9509,3)</f>
        <v>3.0000000000000001E-3</v>
      </c>
      <c r="D71" s="18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18"/>
    </row>
    <row r="73" spans="1:4" ht="48" x14ac:dyDescent="0.25">
      <c r="A73" s="35"/>
      <c r="B73" s="40" t="s">
        <v>1678</v>
      </c>
      <c r="C73" s="74">
        <f>ROUND(8.56/9509,3)</f>
        <v>1E-3</v>
      </c>
      <c r="D73" s="18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18"/>
    </row>
    <row r="75" spans="1:4" ht="48" x14ac:dyDescent="0.25">
      <c r="A75" s="35"/>
      <c r="B75" s="40" t="s">
        <v>1679</v>
      </c>
      <c r="C75" s="74">
        <f>ROUND(58.04/9509,3)</f>
        <v>6.0000000000000001E-3</v>
      </c>
      <c r="D75" s="18">
        <f t="shared" si="0"/>
        <v>0.03</v>
      </c>
    </row>
    <row r="76" spans="1:4" x14ac:dyDescent="0.25">
      <c r="A76" s="35">
        <v>5210</v>
      </c>
      <c r="B76" s="243" t="s">
        <v>581</v>
      </c>
      <c r="C76" s="74"/>
      <c r="D76" s="18"/>
    </row>
    <row r="77" spans="1:4" ht="48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18"/>
    </row>
    <row r="79" spans="1:4" ht="38.25" x14ac:dyDescent="0.25">
      <c r="A79" s="35"/>
      <c r="B79" s="248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18"/>
    </row>
    <row r="81" spans="1:4" ht="48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18"/>
    </row>
    <row r="83" spans="1:4" ht="48" x14ac:dyDescent="0.25">
      <c r="A83" s="35"/>
      <c r="B83" s="40" t="s">
        <v>1682</v>
      </c>
      <c r="C83" s="74">
        <f>ROUND(88.34/9509,5)</f>
        <v>9.2899999999999996E-3</v>
      </c>
      <c r="D83" s="18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18"/>
    </row>
    <row r="85" spans="1:4" ht="48" x14ac:dyDescent="0.25">
      <c r="A85" s="35"/>
      <c r="B85" s="40" t="s">
        <v>1683</v>
      </c>
      <c r="C85" s="74">
        <f>ROUND(151.09/9509,3)</f>
        <v>1.6E-2</v>
      </c>
      <c r="D85" s="18">
        <f t="shared" si="0"/>
        <v>0.08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50.13</v>
      </c>
      <c r="D87" s="82">
        <f>ROUND(D86+D18,3)</f>
        <v>250.65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26.25" customHeight="1" x14ac:dyDescent="0.25">
      <c r="A90" s="302" t="s">
        <v>113</v>
      </c>
      <c r="B90" s="303"/>
      <c r="C90" s="22">
        <f>D87/C89</f>
        <v>50.13</v>
      </c>
      <c r="D90" s="89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B58E-DCCF-4FA4-AF42-5450A440F693}">
  <dimension ref="A1:I89"/>
  <sheetViews>
    <sheetView topLeftCell="A73" workbookViewId="0">
      <selection activeCell="H69" sqref="H69"/>
    </sheetView>
  </sheetViews>
  <sheetFormatPr defaultRowHeight="15" x14ac:dyDescent="0.25"/>
  <cols>
    <col min="2" max="2" width="61.140625" customWidth="1"/>
    <col min="3" max="3" width="12.5703125" customWidth="1"/>
    <col min="4" max="4" width="12" customWidth="1"/>
    <col min="9" max="9" width="12.5703125" customWidth="1"/>
  </cols>
  <sheetData>
    <row r="1" spans="1:8" x14ac:dyDescent="0.25">
      <c r="A1" s="304" t="s">
        <v>78</v>
      </c>
      <c r="B1" s="304"/>
      <c r="C1" s="304"/>
      <c r="D1" s="304"/>
    </row>
    <row r="2" spans="1:8" x14ac:dyDescent="0.25">
      <c r="A2" s="55"/>
      <c r="B2" s="55"/>
      <c r="C2" s="305"/>
      <c r="D2" s="306"/>
    </row>
    <row r="3" spans="1:8" x14ac:dyDescent="0.25">
      <c r="A3" s="56" t="s">
        <v>111</v>
      </c>
      <c r="B3" s="57"/>
      <c r="C3" s="57"/>
      <c r="D3" s="57"/>
    </row>
    <row r="4" spans="1:8" x14ac:dyDescent="0.25">
      <c r="A4" s="55"/>
      <c r="B4" s="58"/>
      <c r="C4" s="58"/>
      <c r="D4" s="59"/>
    </row>
    <row r="5" spans="1:8" ht="33" customHeight="1" x14ac:dyDescent="0.25">
      <c r="A5" s="307" t="s">
        <v>537</v>
      </c>
      <c r="B5" s="307"/>
      <c r="C5" s="307"/>
      <c r="D5" s="307"/>
    </row>
    <row r="6" spans="1:8" x14ac:dyDescent="0.25">
      <c r="A6" s="230"/>
      <c r="B6" s="60"/>
      <c r="C6" s="60"/>
      <c r="D6" s="59"/>
    </row>
    <row r="7" spans="1:8" x14ac:dyDescent="0.25">
      <c r="A7" s="308" t="s">
        <v>112</v>
      </c>
      <c r="B7" s="310"/>
      <c r="C7" s="60"/>
      <c r="D7" s="59"/>
    </row>
    <row r="8" spans="1:8" x14ac:dyDescent="0.25">
      <c r="A8" s="230"/>
      <c r="B8" s="231"/>
      <c r="C8" s="60"/>
      <c r="D8" s="59"/>
    </row>
    <row r="9" spans="1:8" x14ac:dyDescent="0.25">
      <c r="A9" s="309" t="s">
        <v>184</v>
      </c>
      <c r="B9" s="309"/>
      <c r="C9" s="62"/>
      <c r="D9" s="59"/>
    </row>
    <row r="10" spans="1:8" ht="85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6"/>
      <c r="B12" s="67" t="s">
        <v>84</v>
      </c>
      <c r="C12" s="68"/>
      <c r="D12" s="68"/>
    </row>
    <row r="13" spans="1:8" x14ac:dyDescent="0.25">
      <c r="A13" s="69">
        <v>1100</v>
      </c>
      <c r="B13" s="70" t="s">
        <v>85</v>
      </c>
      <c r="C13" s="71"/>
      <c r="D13" s="71"/>
    </row>
    <row r="14" spans="1:8" ht="180.75" customHeight="1" x14ac:dyDescent="0.25">
      <c r="A14" s="50"/>
      <c r="B14" s="90" t="s">
        <v>477</v>
      </c>
      <c r="C14" s="18">
        <f>0.17*20+0.17*20+0.17*20+3.4/2+24</f>
        <v>35.9</v>
      </c>
      <c r="D14" s="18">
        <f>C14*1</f>
        <v>35.9</v>
      </c>
      <c r="E14" s="350"/>
      <c r="F14" s="351"/>
      <c r="G14" s="351"/>
      <c r="H14" s="351"/>
    </row>
    <row r="15" spans="1:8" ht="24" x14ac:dyDescent="0.25">
      <c r="A15" s="50">
        <v>1200</v>
      </c>
      <c r="B15" s="73" t="s">
        <v>478</v>
      </c>
      <c r="C15" s="18">
        <f>ROUND(C14*0.2359,2)</f>
        <v>8.4700000000000006</v>
      </c>
      <c r="D15" s="18">
        <f>C15*1</f>
        <v>8.4700000000000006</v>
      </c>
    </row>
    <row r="16" spans="1:8" x14ac:dyDescent="0.25">
      <c r="A16" s="50">
        <v>2341</v>
      </c>
      <c r="B16" s="50" t="s">
        <v>118</v>
      </c>
      <c r="C16" s="91"/>
      <c r="D16" s="18"/>
    </row>
    <row r="17" spans="1:9" ht="84" x14ac:dyDescent="0.25">
      <c r="A17" s="50"/>
      <c r="B17" s="73" t="s">
        <v>276</v>
      </c>
      <c r="C17" s="18">
        <v>0.28000000000000003</v>
      </c>
      <c r="D17" s="18">
        <f>C17*1</f>
        <v>0.28000000000000003</v>
      </c>
      <c r="I17" s="190"/>
    </row>
    <row r="18" spans="1:9" x14ac:dyDescent="0.25">
      <c r="A18" s="50"/>
      <c r="B18" s="92" t="s">
        <v>87</v>
      </c>
      <c r="C18" s="82">
        <f>SUM(C13:C17)</f>
        <v>44.65</v>
      </c>
      <c r="D18" s="82">
        <f>SUM(D13:D17)</f>
        <v>44.65</v>
      </c>
    </row>
    <row r="19" spans="1:9" x14ac:dyDescent="0.25">
      <c r="A19" s="77"/>
      <c r="B19" s="176" t="s">
        <v>88</v>
      </c>
      <c r="C19" s="78"/>
      <c r="D19" s="78"/>
    </row>
    <row r="20" spans="1:9" x14ac:dyDescent="0.25">
      <c r="A20" s="35">
        <v>2100</v>
      </c>
      <c r="B20" s="244" t="s">
        <v>584</v>
      </c>
      <c r="C20" s="78"/>
      <c r="D20" s="78"/>
    </row>
    <row r="21" spans="1:9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9" x14ac:dyDescent="0.25">
      <c r="A22" s="35">
        <v>2210</v>
      </c>
      <c r="B22" s="40" t="s">
        <v>568</v>
      </c>
      <c r="C22" s="74"/>
      <c r="D22" s="74"/>
    </row>
    <row r="23" spans="1:9" ht="48" x14ac:dyDescent="0.25">
      <c r="A23" s="35"/>
      <c r="B23" s="40" t="s">
        <v>1950</v>
      </c>
      <c r="C23" s="74">
        <f>ROUND(228.88/9509,3)</f>
        <v>2.4E-2</v>
      </c>
      <c r="D23" s="74">
        <f t="shared" ref="D23:D84" si="0">C23*1</f>
        <v>2.4E-2</v>
      </c>
    </row>
    <row r="24" spans="1:9" x14ac:dyDescent="0.25">
      <c r="A24" s="35">
        <v>2221</v>
      </c>
      <c r="B24" s="40" t="s">
        <v>89</v>
      </c>
      <c r="C24" s="18"/>
      <c r="D24" s="74"/>
    </row>
    <row r="25" spans="1:9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9" x14ac:dyDescent="0.25">
      <c r="A26" s="35">
        <v>2222</v>
      </c>
      <c r="B26" s="242" t="s">
        <v>90</v>
      </c>
      <c r="C26" s="18"/>
      <c r="D26" s="74"/>
    </row>
    <row r="27" spans="1:9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9" x14ac:dyDescent="0.25">
      <c r="A28" s="35">
        <v>2223</v>
      </c>
      <c r="B28" s="35" t="s">
        <v>91</v>
      </c>
      <c r="C28" s="74"/>
      <c r="D28" s="74"/>
    </row>
    <row r="29" spans="1:9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9" ht="24" x14ac:dyDescent="0.25">
      <c r="A30" s="35">
        <v>2224</v>
      </c>
      <c r="B30" s="40" t="s">
        <v>115</v>
      </c>
      <c r="C30" s="74"/>
      <c r="D30" s="74"/>
    </row>
    <row r="31" spans="1:9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9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116</v>
      </c>
      <c r="C78" s="18">
        <v>0</v>
      </c>
      <c r="D78" s="18">
        <v>0</v>
      </c>
    </row>
    <row r="79" spans="1:4" x14ac:dyDescent="0.25">
      <c r="A79" s="35">
        <v>5231</v>
      </c>
      <c r="B79" s="243" t="s">
        <v>582</v>
      </c>
      <c r="C79" s="18"/>
      <c r="D79" s="74"/>
    </row>
    <row r="80" spans="1:4" ht="48" x14ac:dyDescent="0.25">
      <c r="A80" s="35"/>
      <c r="B80" s="40" t="s">
        <v>1980</v>
      </c>
      <c r="C80" s="74">
        <f>ROUND(61.55/9509,3)</f>
        <v>6.0000000000000001E-3</v>
      </c>
      <c r="D80" s="74">
        <f t="shared" si="0"/>
        <v>6.0000000000000001E-3</v>
      </c>
    </row>
    <row r="81" spans="1:4" x14ac:dyDescent="0.25">
      <c r="A81" s="35">
        <v>5238</v>
      </c>
      <c r="B81" s="40" t="s">
        <v>117</v>
      </c>
      <c r="C81" s="80"/>
      <c r="D81" s="74"/>
    </row>
    <row r="82" spans="1:4" ht="48" x14ac:dyDescent="0.25">
      <c r="A82" s="35"/>
      <c r="B82" s="40" t="s">
        <v>1977</v>
      </c>
      <c r="C82" s="74">
        <f>ROUND(88.34/9509,3)</f>
        <v>8.9999999999999993E-3</v>
      </c>
      <c r="D82" s="74">
        <f t="shared" si="0"/>
        <v>8.9999999999999993E-3</v>
      </c>
    </row>
    <row r="83" spans="1:4" x14ac:dyDescent="0.25">
      <c r="A83" s="35">
        <v>5239</v>
      </c>
      <c r="B83" s="243" t="s">
        <v>583</v>
      </c>
      <c r="C83" s="74"/>
      <c r="D83" s="74"/>
    </row>
    <row r="84" spans="1:4" ht="48" x14ac:dyDescent="0.25">
      <c r="A84" s="35"/>
      <c r="B84" s="40" t="s">
        <v>1978</v>
      </c>
      <c r="C84" s="74">
        <f>ROUND(151.09/9509,3)</f>
        <v>1.6E-2</v>
      </c>
      <c r="D84" s="74">
        <f t="shared" si="0"/>
        <v>1.6E-2</v>
      </c>
    </row>
    <row r="85" spans="1:4" x14ac:dyDescent="0.25">
      <c r="A85" s="35"/>
      <c r="B85" s="81" t="s">
        <v>94</v>
      </c>
      <c r="C85" s="82">
        <f>ROUND(C21+C23+C25+C27+C29+C31+C33+C35+C37+C39+C41+C43+C45+C47+C49+C51+C53+C55+C57+C59+C61+C63+C65+C67+C69+C71+C73+C75+C77+C80+C82+C84,2)</f>
        <v>0.93</v>
      </c>
      <c r="D85" s="82">
        <f>ROUND(D21+D23+D25+D27+D29+D31+D33+D35+D37+D39+D41+D43+D45+D47+D49+D51+D53+D55+D57+D59+D61+D63+D65+D67+D69+D71+D73+D75+D77+D80+D82+D84,2)</f>
        <v>0.93</v>
      </c>
    </row>
    <row r="86" spans="1:4" x14ac:dyDescent="0.25">
      <c r="A86" s="83"/>
      <c r="B86" s="84" t="s">
        <v>95</v>
      </c>
      <c r="C86" s="82">
        <f>ROUND(C85+C18,3)</f>
        <v>45.58</v>
      </c>
      <c r="D86" s="82">
        <f>ROUND(D85+D18,3)</f>
        <v>45.58</v>
      </c>
    </row>
    <row r="87" spans="1:4" x14ac:dyDescent="0.25">
      <c r="A87" s="85"/>
      <c r="B87" s="86"/>
      <c r="C87" s="87"/>
      <c r="D87" s="87"/>
    </row>
    <row r="88" spans="1:4" x14ac:dyDescent="0.25">
      <c r="A88" s="302" t="s">
        <v>96</v>
      </c>
      <c r="B88" s="303"/>
      <c r="C88" s="88">
        <v>1</v>
      </c>
      <c r="D88" s="89"/>
    </row>
    <row r="89" spans="1:4" ht="30.75" customHeight="1" x14ac:dyDescent="0.25">
      <c r="A89" s="302" t="s">
        <v>113</v>
      </c>
      <c r="B89" s="303"/>
      <c r="C89" s="22">
        <f>D86/C88</f>
        <v>45.58</v>
      </c>
      <c r="D89" s="22"/>
    </row>
  </sheetData>
  <mergeCells count="8">
    <mergeCell ref="A88:B88"/>
    <mergeCell ref="A89:B89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530D2-8875-40E3-810C-7F2F5A03AA6F}">
  <dimension ref="A1:G90"/>
  <sheetViews>
    <sheetView topLeftCell="A73" workbookViewId="0">
      <selection activeCell="B85" sqref="B85"/>
    </sheetView>
  </sheetViews>
  <sheetFormatPr defaultRowHeight="15" x14ac:dyDescent="0.25"/>
  <cols>
    <col min="2" max="2" width="62.7109375" customWidth="1"/>
    <col min="3" max="3" width="11.85546875" customWidth="1"/>
    <col min="4" max="4" width="16.5703125" customWidth="1"/>
    <col min="7" max="7" width="11.5703125" customWidth="1"/>
  </cols>
  <sheetData>
    <row r="1" spans="1:7" x14ac:dyDescent="0.25">
      <c r="A1" s="304" t="s">
        <v>78</v>
      </c>
      <c r="B1" s="304"/>
      <c r="C1" s="304"/>
      <c r="D1" s="304"/>
    </row>
    <row r="2" spans="1:7" x14ac:dyDescent="0.25">
      <c r="A2" s="55"/>
      <c r="B2" s="55"/>
      <c r="C2" s="305"/>
      <c r="D2" s="306"/>
    </row>
    <row r="3" spans="1:7" x14ac:dyDescent="0.25">
      <c r="A3" s="56" t="s">
        <v>111</v>
      </c>
      <c r="B3" s="57"/>
      <c r="C3" s="57"/>
      <c r="D3" s="57"/>
    </row>
    <row r="4" spans="1:7" x14ac:dyDescent="0.25">
      <c r="A4" s="55"/>
      <c r="B4" s="58"/>
      <c r="C4" s="58"/>
      <c r="D4" s="59"/>
    </row>
    <row r="5" spans="1:7" ht="35.25" customHeight="1" x14ac:dyDescent="0.25">
      <c r="A5" s="307" t="s">
        <v>538</v>
      </c>
      <c r="B5" s="307"/>
      <c r="C5" s="307"/>
      <c r="D5" s="307"/>
    </row>
    <row r="6" spans="1:7" ht="12" customHeight="1" x14ac:dyDescent="0.25">
      <c r="A6" s="230"/>
      <c r="B6" s="60"/>
      <c r="C6" s="60"/>
      <c r="D6" s="59"/>
    </row>
    <row r="7" spans="1:7" x14ac:dyDescent="0.25">
      <c r="A7" s="308" t="s">
        <v>112</v>
      </c>
      <c r="B7" s="310"/>
      <c r="C7" s="60"/>
      <c r="D7" s="59"/>
    </row>
    <row r="8" spans="1:7" ht="9.75" customHeight="1" x14ac:dyDescent="0.25">
      <c r="A8" s="230"/>
      <c r="B8" s="231"/>
      <c r="C8" s="60"/>
      <c r="D8" s="59"/>
    </row>
    <row r="9" spans="1:7" x14ac:dyDescent="0.25">
      <c r="A9" s="309" t="s">
        <v>109</v>
      </c>
      <c r="B9" s="309"/>
      <c r="C9" s="62"/>
      <c r="D9" s="59"/>
    </row>
    <row r="10" spans="1:7" ht="83.25" customHeight="1" x14ac:dyDescent="0.25">
      <c r="A10" s="63" t="s">
        <v>80</v>
      </c>
      <c r="B10" s="63" t="s">
        <v>81</v>
      </c>
      <c r="C10" s="63" t="s">
        <v>99</v>
      </c>
      <c r="D10" s="63" t="s">
        <v>83</v>
      </c>
    </row>
    <row r="11" spans="1:7" x14ac:dyDescent="0.25">
      <c r="A11" s="250">
        <v>1</v>
      </c>
      <c r="B11" s="251">
        <v>2</v>
      </c>
      <c r="C11" s="250">
        <v>3</v>
      </c>
      <c r="D11" s="250">
        <v>4</v>
      </c>
    </row>
    <row r="12" spans="1:7" x14ac:dyDescent="0.25">
      <c r="A12" s="66"/>
      <c r="B12" s="67" t="s">
        <v>84</v>
      </c>
      <c r="C12" s="68"/>
      <c r="D12" s="68"/>
    </row>
    <row r="13" spans="1:7" x14ac:dyDescent="0.25">
      <c r="A13" s="69">
        <v>1100</v>
      </c>
      <c r="B13" s="70" t="s">
        <v>85</v>
      </c>
      <c r="C13" s="71"/>
      <c r="D13" s="71"/>
    </row>
    <row r="14" spans="1:7" ht="180" customHeight="1" x14ac:dyDescent="0.25">
      <c r="A14" s="50"/>
      <c r="B14" s="90" t="s">
        <v>701</v>
      </c>
      <c r="C14" s="18">
        <f>0.17*20+0.17*20+0.17*20+3.4/2+24</f>
        <v>35.9</v>
      </c>
      <c r="D14" s="18">
        <f>C14*4</f>
        <v>143.6</v>
      </c>
      <c r="E14" s="361"/>
      <c r="F14" s="362"/>
      <c r="G14" s="362"/>
    </row>
    <row r="15" spans="1:7" ht="24" x14ac:dyDescent="0.25">
      <c r="A15" s="50">
        <v>1200</v>
      </c>
      <c r="B15" s="73" t="s">
        <v>478</v>
      </c>
      <c r="C15" s="18">
        <f>ROUND(C14*0.2359,2)</f>
        <v>8.4700000000000006</v>
      </c>
      <c r="D15" s="18">
        <f>C15*4</f>
        <v>33.880000000000003</v>
      </c>
    </row>
    <row r="16" spans="1:7" x14ac:dyDescent="0.25">
      <c r="A16" s="50">
        <v>2341</v>
      </c>
      <c r="B16" s="50" t="s">
        <v>97</v>
      </c>
      <c r="C16" s="91"/>
      <c r="D16" s="91"/>
    </row>
    <row r="17" spans="1:4" ht="87.75" customHeight="1" x14ac:dyDescent="0.25">
      <c r="A17" s="50"/>
      <c r="B17" s="73" t="s">
        <v>702</v>
      </c>
      <c r="C17" s="18">
        <v>5.28</v>
      </c>
      <c r="D17" s="18">
        <f>C17*4</f>
        <v>21.12</v>
      </c>
    </row>
    <row r="18" spans="1:4" x14ac:dyDescent="0.25">
      <c r="A18" s="50"/>
      <c r="B18" s="92" t="s">
        <v>87</v>
      </c>
      <c r="C18" s="82">
        <f>SUM(C13:C17)</f>
        <v>49.65</v>
      </c>
      <c r="D18" s="82">
        <f>SUM(D13:D17)</f>
        <v>198.6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1621</v>
      </c>
      <c r="C21" s="74">
        <f>ROUND(31.85/9509,3)</f>
        <v>3.0000000000000001E-3</v>
      </c>
      <c r="D21" s="74">
        <f>C21*4</f>
        <v>1.2E-2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1622</v>
      </c>
      <c r="C23" s="74">
        <f>ROUND(228.88/9509,3)</f>
        <v>2.4E-2</v>
      </c>
      <c r="D23" s="74">
        <f t="shared" ref="D23:D85" si="0">C23*4</f>
        <v>9.6000000000000002E-2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1623</v>
      </c>
      <c r="C25" s="18">
        <f>ROUND(382.73/9509,3)</f>
        <v>0.04</v>
      </c>
      <c r="D25" s="18">
        <f t="shared" si="0"/>
        <v>0.16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1624</v>
      </c>
      <c r="C27" s="74">
        <f>ROUND(38.69/9509,3)</f>
        <v>4.0000000000000001E-3</v>
      </c>
      <c r="D27" s="74">
        <f t="shared" si="0"/>
        <v>1.6E-2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1650</v>
      </c>
      <c r="C29" s="74">
        <f>ROUND(1004.28/9509,3)</f>
        <v>0.106</v>
      </c>
      <c r="D29" s="74">
        <f t="shared" si="0"/>
        <v>0.42399999999999999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1625</v>
      </c>
      <c r="C31" s="74">
        <f>ROUND(82.8/9509,3)</f>
        <v>8.9999999999999993E-3</v>
      </c>
      <c r="D31" s="74">
        <f t="shared" si="0"/>
        <v>3.5999999999999997E-2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1626</v>
      </c>
      <c r="C33" s="18">
        <f>ROUND(289.4/9509,3)</f>
        <v>0.03</v>
      </c>
      <c r="D33" s="18">
        <f t="shared" si="0"/>
        <v>0.12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1627</v>
      </c>
      <c r="C35" s="74">
        <f>ROUND(20.68/9509,3)</f>
        <v>2E-3</v>
      </c>
      <c r="D35" s="74">
        <f t="shared" si="0"/>
        <v>8.0000000000000002E-3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1628</v>
      </c>
      <c r="C37" s="74">
        <f>ROUND(58.15/9509,3)</f>
        <v>6.0000000000000001E-3</v>
      </c>
      <c r="D37" s="74">
        <f t="shared" si="0"/>
        <v>2.4E-2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1629</v>
      </c>
      <c r="C39" s="74">
        <f>ROUND(524.45/9509,3)</f>
        <v>5.5E-2</v>
      </c>
      <c r="D39" s="18">
        <f t="shared" si="0"/>
        <v>0.22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1630</v>
      </c>
      <c r="C41" s="74">
        <f>ROUND(131.923/9509,3)</f>
        <v>1.4E-2</v>
      </c>
      <c r="D41" s="74">
        <f t="shared" si="0"/>
        <v>5.6000000000000001E-2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1631</v>
      </c>
      <c r="C43" s="74">
        <f>ROUND(360.94/9509,3)</f>
        <v>3.7999999999999999E-2</v>
      </c>
      <c r="D43" s="74">
        <f t="shared" si="0"/>
        <v>0.152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1632</v>
      </c>
      <c r="C45" s="74">
        <f>ROUND(272.76/9509,3)</f>
        <v>2.9000000000000001E-2</v>
      </c>
      <c r="D45" s="74">
        <f t="shared" si="0"/>
        <v>0.11600000000000001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1651</v>
      </c>
      <c r="C47" s="74">
        <f>ROUND(12.06/9509,3)</f>
        <v>1E-3</v>
      </c>
      <c r="D47" s="74">
        <f t="shared" si="0"/>
        <v>4.0000000000000001E-3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1633</v>
      </c>
      <c r="C49" s="74">
        <f>ROUND(23.35/9509,3)</f>
        <v>2E-3</v>
      </c>
      <c r="D49" s="74">
        <f t="shared" si="0"/>
        <v>8.0000000000000002E-3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1634</v>
      </c>
      <c r="C51" s="74">
        <f>ROUND(750.97/9509,3)</f>
        <v>7.9000000000000001E-2</v>
      </c>
      <c r="D51" s="74">
        <f t="shared" si="0"/>
        <v>0.316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1635</v>
      </c>
      <c r="C53" s="74">
        <f>ROUND(2620.34/9509,3)</f>
        <v>0.27600000000000002</v>
      </c>
      <c r="D53" s="74">
        <f t="shared" si="0"/>
        <v>1.1040000000000001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1636</v>
      </c>
      <c r="C55" s="74">
        <f>ROUND(9.91/9509,3)</f>
        <v>1E-3</v>
      </c>
      <c r="D55" s="74">
        <f t="shared" si="0"/>
        <v>4.0000000000000001E-3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1637</v>
      </c>
      <c r="C57" s="18">
        <f>ROUND(132.32/9509,3)</f>
        <v>1.4E-2</v>
      </c>
      <c r="D57" s="74">
        <f t="shared" si="0"/>
        <v>5.6000000000000001E-2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1638</v>
      </c>
      <c r="C59" s="74">
        <f>ROUND(72.76/9509,3)</f>
        <v>8.0000000000000002E-3</v>
      </c>
      <c r="D59" s="74">
        <f t="shared" si="0"/>
        <v>3.2000000000000001E-2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1639</v>
      </c>
      <c r="C61" s="74">
        <f>ROUND(484.21/9509,3)</f>
        <v>5.0999999999999997E-2</v>
      </c>
      <c r="D61" s="74">
        <f t="shared" si="0"/>
        <v>0.20399999999999999</v>
      </c>
    </row>
    <row r="62" spans="1:4" x14ac:dyDescent="0.25">
      <c r="A62" s="35">
        <v>2314</v>
      </c>
      <c r="B62" s="243" t="s">
        <v>576</v>
      </c>
      <c r="C62" s="18"/>
      <c r="D62" s="74"/>
    </row>
    <row r="63" spans="1:4" ht="48" x14ac:dyDescent="0.25">
      <c r="A63" s="35"/>
      <c r="B63" s="40" t="s">
        <v>1640</v>
      </c>
      <c r="C63" s="74">
        <f>ROUND(224.14/9509,3)</f>
        <v>2.4E-2</v>
      </c>
      <c r="D63" s="74">
        <f t="shared" si="0"/>
        <v>9.6000000000000002E-2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1685</v>
      </c>
      <c r="C65" s="74">
        <f>ROUND(103.21/9509,3)</f>
        <v>1.0999999999999999E-2</v>
      </c>
      <c r="D65" s="74">
        <f t="shared" si="0"/>
        <v>4.3999999999999997E-2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1641</v>
      </c>
      <c r="C67" s="74">
        <f>ROUND(241.97/9509,3)</f>
        <v>2.5000000000000001E-2</v>
      </c>
      <c r="D67" s="74">
        <f t="shared" si="0"/>
        <v>0.1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1642</v>
      </c>
      <c r="C69" s="74">
        <f>ROUND(87.42/9509,3)</f>
        <v>8.9999999999999993E-3</v>
      </c>
      <c r="D69" s="74">
        <f t="shared" si="0"/>
        <v>3.5999999999999997E-2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1643</v>
      </c>
      <c r="C71" s="74">
        <f>ROUND(28.69/9509,3)</f>
        <v>3.0000000000000001E-3</v>
      </c>
      <c r="D71" s="74">
        <f t="shared" si="0"/>
        <v>1.2E-2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1644</v>
      </c>
      <c r="C73" s="74">
        <f>ROUND(8.56/9509,3)</f>
        <v>1E-3</v>
      </c>
      <c r="D73" s="74">
        <f t="shared" si="0"/>
        <v>4.0000000000000001E-3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1686</v>
      </c>
      <c r="C75" s="74">
        <f>ROUND(58.04/9509,3)</f>
        <v>6.0000000000000001E-3</v>
      </c>
      <c r="D75" s="74">
        <f t="shared" si="0"/>
        <v>2.4E-2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1646</v>
      </c>
      <c r="C77" s="74">
        <f>ROUND(249.88/9509,5)</f>
        <v>2.6280000000000001E-2</v>
      </c>
      <c r="D77" s="74">
        <f t="shared" si="0"/>
        <v>0.10512000000000001</v>
      </c>
    </row>
    <row r="78" spans="1:4" x14ac:dyDescent="0.25">
      <c r="A78" s="35">
        <v>5220</v>
      </c>
      <c r="B78" s="248" t="s">
        <v>119</v>
      </c>
      <c r="C78" s="18"/>
      <c r="D78" s="74"/>
    </row>
    <row r="79" spans="1:4" ht="24" x14ac:dyDescent="0.25">
      <c r="A79" s="35"/>
      <c r="B79" s="40" t="s">
        <v>621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2165</v>
      </c>
      <c r="C81" s="74">
        <f>ROUND(61.55/9509,5)</f>
        <v>6.4700000000000001E-3</v>
      </c>
      <c r="D81" s="74">
        <f t="shared" si="0"/>
        <v>2.588E-2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2166</v>
      </c>
      <c r="C83" s="74">
        <f>ROUND(88.34/9509,5)</f>
        <v>9.2899999999999996E-3</v>
      </c>
      <c r="D83" s="74">
        <f t="shared" si="0"/>
        <v>3.7159999999999999E-2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2167</v>
      </c>
      <c r="C85" s="74">
        <f>ROUND(151.09/9509,5)</f>
        <v>1.5890000000000001E-2</v>
      </c>
      <c r="D85" s="74">
        <f t="shared" si="0"/>
        <v>6.3560000000000005E-2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3.72</v>
      </c>
    </row>
    <row r="87" spans="1:4" x14ac:dyDescent="0.25">
      <c r="A87" s="83"/>
      <c r="B87" s="84" t="s">
        <v>95</v>
      </c>
      <c r="C87" s="82">
        <f>ROUND(C86+C18,3)</f>
        <v>50.58</v>
      </c>
      <c r="D87" s="82">
        <f>ROUND(D86+D18,3)</f>
        <v>202.32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4</v>
      </c>
      <c r="D89" s="89"/>
    </row>
    <row r="90" spans="1:4" ht="28.5" customHeight="1" x14ac:dyDescent="0.25">
      <c r="A90" s="302" t="s">
        <v>113</v>
      </c>
      <c r="B90" s="303"/>
      <c r="C90" s="22">
        <f>D87/C89</f>
        <v>50.58</v>
      </c>
      <c r="D90" s="22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67A2-EE51-4814-B8AA-9926D82E1832}">
  <dimension ref="A1:H90"/>
  <sheetViews>
    <sheetView topLeftCell="A75" workbookViewId="0">
      <selection activeCell="H88" sqref="H88"/>
    </sheetView>
  </sheetViews>
  <sheetFormatPr defaultRowHeight="15" x14ac:dyDescent="0.25"/>
  <cols>
    <col min="2" max="2" width="60.42578125" customWidth="1"/>
    <col min="3" max="3" width="10.42578125" customWidth="1"/>
    <col min="4" max="4" width="17.5703125" customWidth="1"/>
    <col min="8" max="8" width="12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48.75" customHeight="1" x14ac:dyDescent="0.25">
      <c r="A5" s="332" t="s">
        <v>539</v>
      </c>
      <c r="B5" s="332"/>
      <c r="C5" s="332"/>
      <c r="D5" s="332"/>
    </row>
    <row r="6" spans="1:8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228"/>
      <c r="B8" s="229"/>
      <c r="C8" s="7"/>
      <c r="D8" s="26"/>
    </row>
    <row r="9" spans="1:8" x14ac:dyDescent="0.25">
      <c r="A9" s="335" t="s">
        <v>184</v>
      </c>
      <c r="B9" s="335"/>
      <c r="C9" s="25"/>
      <c r="D9" s="26"/>
    </row>
    <row r="10" spans="1:8" ht="77.25" customHeight="1" x14ac:dyDescent="0.25">
      <c r="A10" s="10" t="s">
        <v>80</v>
      </c>
      <c r="B10" s="10" t="s">
        <v>81</v>
      </c>
      <c r="C10" s="10" t="s">
        <v>82</v>
      </c>
      <c r="D10" s="10" t="s">
        <v>83</v>
      </c>
    </row>
    <row r="11" spans="1:8" x14ac:dyDescent="0.25">
      <c r="A11" s="10">
        <v>1</v>
      </c>
      <c r="B11" s="255">
        <v>2</v>
      </c>
      <c r="C11" s="10">
        <v>3</v>
      </c>
      <c r="D11" s="10">
        <v>4</v>
      </c>
    </row>
    <row r="12" spans="1:8" x14ac:dyDescent="0.25">
      <c r="A12" s="11"/>
      <c r="B12" s="27" t="s">
        <v>84</v>
      </c>
      <c r="C12" s="13"/>
      <c r="D12" s="13"/>
    </row>
    <row r="13" spans="1:8" x14ac:dyDescent="0.25">
      <c r="A13" s="28">
        <v>1100</v>
      </c>
      <c r="B13" s="29" t="s">
        <v>85</v>
      </c>
      <c r="C13" s="14"/>
      <c r="D13" s="14"/>
    </row>
    <row r="14" spans="1:8" ht="192" x14ac:dyDescent="0.25">
      <c r="A14" s="30"/>
      <c r="B14" s="90" t="s">
        <v>477</v>
      </c>
      <c r="C14" s="18">
        <f>0.17*20+0.17*20+0.17*20+3.4/2+24</f>
        <v>35.9</v>
      </c>
      <c r="D14" s="18">
        <f>C14*1</f>
        <v>35.9</v>
      </c>
      <c r="E14" s="350"/>
      <c r="F14" s="351"/>
      <c r="G14" s="351"/>
      <c r="H14" s="351"/>
    </row>
    <row r="15" spans="1:8" ht="24" x14ac:dyDescent="0.25">
      <c r="A15" s="30">
        <v>1200</v>
      </c>
      <c r="B15" s="73" t="s">
        <v>478</v>
      </c>
      <c r="C15" s="18">
        <f>ROUND(C14*0.2359,2)</f>
        <v>8.4700000000000006</v>
      </c>
      <c r="D15" s="18">
        <f>C15*1</f>
        <v>8.4700000000000006</v>
      </c>
    </row>
    <row r="16" spans="1:8" x14ac:dyDescent="0.25">
      <c r="A16" s="30">
        <v>2341</v>
      </c>
      <c r="B16" s="30" t="s">
        <v>118</v>
      </c>
      <c r="C16" s="19"/>
      <c r="D16" s="19"/>
    </row>
    <row r="17" spans="1:4" ht="103.5" customHeight="1" x14ac:dyDescent="0.25">
      <c r="A17" s="30"/>
      <c r="B17" s="40" t="s">
        <v>457</v>
      </c>
      <c r="C17" s="16">
        <v>3.85</v>
      </c>
      <c r="D17" s="16">
        <f>C17*1</f>
        <v>3.85</v>
      </c>
    </row>
    <row r="18" spans="1:4" x14ac:dyDescent="0.25">
      <c r="A18" s="45"/>
      <c r="B18" s="32" t="s">
        <v>87</v>
      </c>
      <c r="C18" s="33">
        <f>SUM(C13:C17)</f>
        <v>48.22</v>
      </c>
      <c r="D18" s="33">
        <f>SUM(D13:D17)</f>
        <v>48.22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18">
        <f>ROUND(241.97/9509,3)</f>
        <v>2.5000000000000001E-2</v>
      </c>
      <c r="D67" s="18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49.15</v>
      </c>
      <c r="D87" s="82">
        <f>ROUND(D86+D18,3)</f>
        <v>49.15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</v>
      </c>
      <c r="D89" s="89"/>
    </row>
    <row r="90" spans="1:4" ht="32.25" customHeight="1" x14ac:dyDescent="0.25">
      <c r="A90" s="311" t="s">
        <v>113</v>
      </c>
      <c r="B90" s="312"/>
      <c r="C90" s="22">
        <f>D87/C89</f>
        <v>49.15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7F65E-A250-4D53-AA25-BE371A2C38C9}">
  <dimension ref="A1:H90"/>
  <sheetViews>
    <sheetView topLeftCell="A75" workbookViewId="0">
      <selection activeCell="I53" sqref="I53"/>
    </sheetView>
  </sheetViews>
  <sheetFormatPr defaultRowHeight="15" x14ac:dyDescent="0.25"/>
  <cols>
    <col min="2" max="2" width="59" customWidth="1"/>
    <col min="3" max="3" width="11" customWidth="1"/>
    <col min="4" max="4" width="14" customWidth="1"/>
  </cols>
  <sheetData>
    <row r="1" spans="1:8" x14ac:dyDescent="0.25">
      <c r="A1" s="315" t="s">
        <v>78</v>
      </c>
      <c r="B1" s="315"/>
      <c r="C1" s="315"/>
      <c r="D1" s="121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ht="10.5" customHeight="1" x14ac:dyDescent="0.25">
      <c r="A4" s="97"/>
      <c r="B4" s="60"/>
      <c r="C4" s="60"/>
      <c r="D4" s="96"/>
    </row>
    <row r="5" spans="1:8" ht="35.25" customHeight="1" x14ac:dyDescent="0.25">
      <c r="A5" s="307" t="s">
        <v>540</v>
      </c>
      <c r="B5" s="307"/>
      <c r="C5" s="307"/>
      <c r="D5" s="307"/>
    </row>
    <row r="6" spans="1:8" ht="9" customHeight="1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110</v>
      </c>
      <c r="B9" s="318"/>
      <c r="C9" s="100"/>
      <c r="D9" s="96"/>
    </row>
    <row r="10" spans="1:8" ht="97.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201" customHeight="1" x14ac:dyDescent="0.25">
      <c r="A14" s="35"/>
      <c r="B14" s="90" t="s">
        <v>704</v>
      </c>
      <c r="C14" s="18">
        <f>0.17*20+0.17*20+0.17*20+3.4/2+24</f>
        <v>35.9</v>
      </c>
      <c r="D14" s="18">
        <f>C14*5</f>
        <v>179.5</v>
      </c>
      <c r="E14" s="355"/>
      <c r="F14" s="356"/>
      <c r="G14" s="356"/>
      <c r="H14" s="356"/>
    </row>
    <row r="15" spans="1:8" ht="24" x14ac:dyDescent="0.25">
      <c r="A15" s="35">
        <v>1200</v>
      </c>
      <c r="B15" s="73" t="s">
        <v>478</v>
      </c>
      <c r="C15" s="18">
        <f>ROUND(C14*0.2359,2)</f>
        <v>8.4700000000000006</v>
      </c>
      <c r="D15" s="18">
        <f>C15*5</f>
        <v>42.35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20" x14ac:dyDescent="0.25">
      <c r="A17" s="35"/>
      <c r="B17" s="40" t="s">
        <v>703</v>
      </c>
      <c r="C17" s="18">
        <v>17.21</v>
      </c>
      <c r="D17" s="18">
        <f>C17*5</f>
        <v>86.050000000000011</v>
      </c>
    </row>
    <row r="18" spans="1:4" x14ac:dyDescent="0.25">
      <c r="A18" s="84"/>
      <c r="B18" s="92" t="s">
        <v>87</v>
      </c>
      <c r="C18" s="82">
        <f>SUM(C13:C17)</f>
        <v>61.58</v>
      </c>
      <c r="D18" s="82">
        <f>SUM(D13:D17)</f>
        <v>307.89999999999998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1652</v>
      </c>
      <c r="C21" s="74">
        <f>ROUND(31.85/9509,3)</f>
        <v>3.0000000000000001E-3</v>
      </c>
      <c r="D21" s="74">
        <f>C21*5</f>
        <v>1.4999999999999999E-2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1653</v>
      </c>
      <c r="C23" s="74">
        <f>ROUND(228.88/9509,3)</f>
        <v>2.4E-2</v>
      </c>
      <c r="D23" s="74">
        <f t="shared" ref="D23:D85" si="0">C23*5</f>
        <v>0.12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1655</v>
      </c>
      <c r="C27" s="74">
        <f>ROUND(38.69/9509,3)</f>
        <v>4.0000000000000001E-3</v>
      </c>
      <c r="D27" s="74">
        <f t="shared" si="0"/>
        <v>0.02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1657</v>
      </c>
      <c r="C31" s="74">
        <f>ROUND(82.8/9509,3)</f>
        <v>8.9999999999999993E-3</v>
      </c>
      <c r="D31" s="74">
        <f t="shared" si="0"/>
        <v>4.4999999999999998E-2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1901</v>
      </c>
      <c r="C33" s="74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1660</v>
      </c>
      <c r="C37" s="74">
        <f>ROUND(58.15/9509,3)</f>
        <v>6.0000000000000001E-3</v>
      </c>
      <c r="D37" s="74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1661</v>
      </c>
      <c r="C39" s="74">
        <f>ROUND(524.45/9509,3)</f>
        <v>5.5E-2</v>
      </c>
      <c r="D39" s="74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2019</v>
      </c>
      <c r="C41" s="74">
        <f>ROUND(131.923/9509,3)</f>
        <v>1.4E-2</v>
      </c>
      <c r="D41" s="74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1663</v>
      </c>
      <c r="C43" s="74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1664</v>
      </c>
      <c r="C45" s="74">
        <f>ROUND(272.76/9509,3)</f>
        <v>2.9000000000000001E-2</v>
      </c>
      <c r="D45" s="74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1665</v>
      </c>
      <c r="C47" s="74">
        <f>ROUND(12.06/9509,3)</f>
        <v>1E-3</v>
      </c>
      <c r="D47" s="74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1667</v>
      </c>
      <c r="C51" s="74">
        <f>ROUND(750.97/9509,3)</f>
        <v>7.9000000000000001E-2</v>
      </c>
      <c r="D51" s="74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1668</v>
      </c>
      <c r="C53" s="74">
        <f>ROUND(2620.34/9509,3)</f>
        <v>0.27600000000000002</v>
      </c>
      <c r="D53" s="74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1669</v>
      </c>
      <c r="C55" s="74">
        <f>ROUND(9.91/9509,3)</f>
        <v>1E-3</v>
      </c>
      <c r="D55" s="74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1670</v>
      </c>
      <c r="C57" s="74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1672</v>
      </c>
      <c r="C61" s="74">
        <f>ROUND(484.21/9509,3)</f>
        <v>5.0999999999999997E-2</v>
      </c>
      <c r="D61" s="74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1673</v>
      </c>
      <c r="C63" s="74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1674</v>
      </c>
      <c r="C65" s="74">
        <f>ROUND(103.21/9509,3)</f>
        <v>1.0999999999999999E-2</v>
      </c>
      <c r="D65" s="74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1675</v>
      </c>
      <c r="C67" s="74">
        <f>ROUND(241.97/9509,3)</f>
        <v>2.5000000000000001E-2</v>
      </c>
      <c r="D67" s="74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1676</v>
      </c>
      <c r="C69" s="74">
        <f>ROUND(87.42/9509,3)</f>
        <v>8.9999999999999993E-3</v>
      </c>
      <c r="D69" s="74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1677</v>
      </c>
      <c r="C71" s="74">
        <f>ROUND(28.69/9509,3)</f>
        <v>3.0000000000000001E-3</v>
      </c>
      <c r="D71" s="74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1678</v>
      </c>
      <c r="C73" s="74">
        <f>ROUND(8.56/9509,3)</f>
        <v>1E-3</v>
      </c>
      <c r="D73" s="74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1679</v>
      </c>
      <c r="C75" s="74">
        <f>ROUND(58.04/9509,5)</f>
        <v>6.1000000000000004E-3</v>
      </c>
      <c r="D75" s="18">
        <f t="shared" si="0"/>
        <v>3.0500000000000003E-2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74"/>
    </row>
    <row r="79" spans="1:4" ht="38.25" x14ac:dyDescent="0.25">
      <c r="A79" s="35"/>
      <c r="B79" s="248" t="s">
        <v>621</v>
      </c>
      <c r="C79" s="18">
        <v>0</v>
      </c>
      <c r="D79" s="74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1682</v>
      </c>
      <c r="C83" s="74">
        <f>ROUND(88.34/9509,5)</f>
        <v>9.2899999999999996E-3</v>
      </c>
      <c r="D83" s="74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74">
        <f t="shared" si="0"/>
        <v>0</v>
      </c>
    </row>
    <row r="85" spans="1:4" ht="48" x14ac:dyDescent="0.25">
      <c r="A85" s="35"/>
      <c r="B85" s="40" t="s">
        <v>1683</v>
      </c>
      <c r="C85" s="74">
        <f>ROUND(151.09/9509,5)</f>
        <v>1.5890000000000001E-2</v>
      </c>
      <c r="D85" s="18">
        <f t="shared" si="0"/>
        <v>7.9450000000000007E-2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62.51</v>
      </c>
      <c r="D87" s="82">
        <f>ROUND(D86+D18,3)</f>
        <v>312.55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5</v>
      </c>
      <c r="D89" s="89"/>
    </row>
    <row r="90" spans="1:4" ht="30.75" customHeight="1" x14ac:dyDescent="0.25">
      <c r="A90" s="311" t="s">
        <v>113</v>
      </c>
      <c r="B90" s="312"/>
      <c r="C90" s="22">
        <f>D87/C89</f>
        <v>62.510000000000005</v>
      </c>
      <c r="D90" s="22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FBF0B-A8B9-4BA8-A4CB-E5E3FF61FFEC}">
  <dimension ref="A1:H90"/>
  <sheetViews>
    <sheetView topLeftCell="A76" workbookViewId="0">
      <selection activeCell="J39" sqref="J39"/>
    </sheetView>
  </sheetViews>
  <sheetFormatPr defaultRowHeight="15" x14ac:dyDescent="0.25"/>
  <cols>
    <col min="2" max="2" width="60" customWidth="1"/>
    <col min="3" max="3" width="12.7109375" customWidth="1"/>
    <col min="4" max="4" width="14.425781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52.5" customHeight="1" x14ac:dyDescent="0.25">
      <c r="A5" s="307" t="s">
        <v>541</v>
      </c>
      <c r="B5" s="307"/>
      <c r="C5" s="307"/>
      <c r="D5" s="307"/>
    </row>
    <row r="6" spans="1:8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110</v>
      </c>
      <c r="B9" s="318"/>
      <c r="C9" s="100"/>
      <c r="D9" s="96"/>
    </row>
    <row r="10" spans="1:8" ht="78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81.5" customHeight="1" x14ac:dyDescent="0.25">
      <c r="A14" s="35"/>
      <c r="B14" s="90" t="s">
        <v>704</v>
      </c>
      <c r="C14" s="18">
        <f>0.17*20+0.17*20+0.17*20+3.4/2+24</f>
        <v>35.9</v>
      </c>
      <c r="D14" s="18">
        <f>C14*5</f>
        <v>179.5</v>
      </c>
      <c r="E14" s="361"/>
      <c r="F14" s="363"/>
      <c r="G14" s="363"/>
      <c r="H14" s="363"/>
    </row>
    <row r="15" spans="1:8" ht="24" x14ac:dyDescent="0.25">
      <c r="A15" s="35">
        <v>1200</v>
      </c>
      <c r="B15" s="73" t="s">
        <v>478</v>
      </c>
      <c r="C15" s="18">
        <f>ROUND(C14*0.2359,2)</f>
        <v>8.4700000000000006</v>
      </c>
      <c r="D15" s="18">
        <f>C15*5</f>
        <v>42.35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04.25" customHeight="1" x14ac:dyDescent="0.25">
      <c r="A17" s="35"/>
      <c r="B17" s="40" t="s">
        <v>705</v>
      </c>
      <c r="C17" s="18">
        <v>14.67</v>
      </c>
      <c r="D17" s="18">
        <f>C17*5</f>
        <v>73.349999999999994</v>
      </c>
    </row>
    <row r="18" spans="1:4" x14ac:dyDescent="0.25">
      <c r="A18" s="84"/>
      <c r="B18" s="92" t="s">
        <v>87</v>
      </c>
      <c r="C18" s="82">
        <f>SUM(C13:C17)</f>
        <v>59.04</v>
      </c>
      <c r="D18" s="82">
        <f>SUM(D13:D17)</f>
        <v>295.2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1652</v>
      </c>
      <c r="C21" s="74">
        <f>ROUND(31.85/9509,3)</f>
        <v>3.0000000000000001E-3</v>
      </c>
      <c r="D21" s="74">
        <f>C21*5</f>
        <v>1.4999999999999999E-2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1653</v>
      </c>
      <c r="C23" s="74">
        <f>ROUND(228.88/9509,3)</f>
        <v>2.4E-2</v>
      </c>
      <c r="D23" s="74">
        <f t="shared" ref="D23:D85" si="0">C23*5</f>
        <v>0.12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60" x14ac:dyDescent="0.25">
      <c r="A25" s="35"/>
      <c r="B25" s="40" t="s">
        <v>1654</v>
      </c>
      <c r="C25" s="18">
        <f>ROUND(382.73/9509,3)</f>
        <v>0.04</v>
      </c>
      <c r="D25" s="18">
        <f t="shared" si="0"/>
        <v>0.2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60" x14ac:dyDescent="0.25">
      <c r="A27" s="35"/>
      <c r="B27" s="40" t="s">
        <v>1655</v>
      </c>
      <c r="C27" s="74">
        <f>ROUND(38.69/9509,3)</f>
        <v>4.0000000000000001E-3</v>
      </c>
      <c r="D27" s="74">
        <f t="shared" si="0"/>
        <v>0.02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1656</v>
      </c>
      <c r="C29" s="74">
        <f>ROUND(1004.28/9509,3)</f>
        <v>0.106</v>
      </c>
      <c r="D29" s="18">
        <f t="shared" si="0"/>
        <v>0.53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60" x14ac:dyDescent="0.25">
      <c r="A31" s="34"/>
      <c r="B31" s="40" t="s">
        <v>1657</v>
      </c>
      <c r="C31" s="74">
        <f>ROUND(82.8/9509,3)</f>
        <v>8.9999999999999993E-3</v>
      </c>
      <c r="D31" s="74">
        <f t="shared" si="0"/>
        <v>4.4999999999999998E-2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60" x14ac:dyDescent="0.25">
      <c r="A33" s="35"/>
      <c r="B33" s="40" t="s">
        <v>1901</v>
      </c>
      <c r="C33" s="18">
        <f>ROUND(289.4/9509,3)</f>
        <v>0.03</v>
      </c>
      <c r="D33" s="18">
        <f t="shared" si="0"/>
        <v>0.15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60" x14ac:dyDescent="0.25">
      <c r="A35" s="35"/>
      <c r="B35" s="40" t="s">
        <v>1659</v>
      </c>
      <c r="C35" s="74">
        <f>ROUND(20.68/9509,3)</f>
        <v>2E-3</v>
      </c>
      <c r="D35" s="18">
        <f t="shared" si="0"/>
        <v>0.01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60" x14ac:dyDescent="0.25">
      <c r="A37" s="35"/>
      <c r="B37" s="40" t="s">
        <v>1660</v>
      </c>
      <c r="C37" s="74">
        <f>ROUND(58.15/9509,3)</f>
        <v>6.0000000000000001E-3</v>
      </c>
      <c r="D37" s="74">
        <f t="shared" si="0"/>
        <v>0.03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1661</v>
      </c>
      <c r="C39" s="74">
        <f>ROUND(524.45/9509,3)</f>
        <v>5.5E-2</v>
      </c>
      <c r="D39" s="74">
        <f t="shared" si="0"/>
        <v>0.27500000000000002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2019</v>
      </c>
      <c r="C41" s="74">
        <f>ROUND(131.923/9509,3)</f>
        <v>1.4E-2</v>
      </c>
      <c r="D41" s="74">
        <f t="shared" si="0"/>
        <v>7.0000000000000007E-2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1663</v>
      </c>
      <c r="C43" s="74">
        <f>ROUND(360.94/9509,3)</f>
        <v>3.7999999999999999E-2</v>
      </c>
      <c r="D43" s="18">
        <f t="shared" si="0"/>
        <v>0.19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1664</v>
      </c>
      <c r="C45" s="74">
        <f>ROUND(272.76/9509,3)</f>
        <v>2.9000000000000001E-2</v>
      </c>
      <c r="D45" s="74">
        <f t="shared" si="0"/>
        <v>0.14500000000000002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60" x14ac:dyDescent="0.25">
      <c r="A47" s="79"/>
      <c r="B47" s="40" t="s">
        <v>1665</v>
      </c>
      <c r="C47" s="74">
        <f>ROUND(12.06/9509,3)</f>
        <v>1E-3</v>
      </c>
      <c r="D47" s="74">
        <f t="shared" si="0"/>
        <v>5.0000000000000001E-3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60" x14ac:dyDescent="0.25">
      <c r="A49" s="79"/>
      <c r="B49" s="40" t="s">
        <v>1666</v>
      </c>
      <c r="C49" s="74">
        <f>ROUND(23.35/9509,3)</f>
        <v>2E-3</v>
      </c>
      <c r="D49" s="18">
        <f t="shared" si="0"/>
        <v>0.01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60" x14ac:dyDescent="0.25">
      <c r="A51" s="35"/>
      <c r="B51" s="40" t="s">
        <v>1667</v>
      </c>
      <c r="C51" s="74">
        <f>ROUND(750.97/9509,3)</f>
        <v>7.9000000000000001E-2</v>
      </c>
      <c r="D51" s="74">
        <f t="shared" si="0"/>
        <v>0.39500000000000002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1668</v>
      </c>
      <c r="C53" s="74">
        <f>ROUND(2620.34/9509,3)</f>
        <v>0.27600000000000002</v>
      </c>
      <c r="D53" s="74">
        <f t="shared" si="0"/>
        <v>1.3800000000000001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60" x14ac:dyDescent="0.25">
      <c r="A55" s="35"/>
      <c r="B55" s="40" t="s">
        <v>1669</v>
      </c>
      <c r="C55" s="74">
        <f>ROUND(9.91/9509,3)</f>
        <v>1E-3</v>
      </c>
      <c r="D55" s="74">
        <f t="shared" si="0"/>
        <v>5.0000000000000001E-3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60" x14ac:dyDescent="0.25">
      <c r="A57" s="35"/>
      <c r="B57" s="40" t="s">
        <v>1670</v>
      </c>
      <c r="C57" s="74">
        <f>ROUND(132.32/9509,3)</f>
        <v>1.4E-2</v>
      </c>
      <c r="D57" s="18">
        <f t="shared" si="0"/>
        <v>7.0000000000000007E-2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60" x14ac:dyDescent="0.25">
      <c r="A59" s="35"/>
      <c r="B59" s="40" t="s">
        <v>1671</v>
      </c>
      <c r="C59" s="74">
        <f>ROUND(72.76/9509,3)</f>
        <v>8.0000000000000002E-3</v>
      </c>
      <c r="D59" s="18">
        <f t="shared" si="0"/>
        <v>0.04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1672</v>
      </c>
      <c r="C61" s="74">
        <f>ROUND(484.21/9509,3)</f>
        <v>5.0999999999999997E-2</v>
      </c>
      <c r="D61" s="74">
        <f t="shared" si="0"/>
        <v>0.255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1673</v>
      </c>
      <c r="C63" s="74">
        <f>ROUND(224.14/9509,3)</f>
        <v>2.4E-2</v>
      </c>
      <c r="D63" s="18">
        <f t="shared" si="0"/>
        <v>0.12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1674</v>
      </c>
      <c r="C65" s="74">
        <f>ROUND(103.21/9509,3)</f>
        <v>1.0999999999999999E-2</v>
      </c>
      <c r="D65" s="74">
        <f t="shared" si="0"/>
        <v>5.4999999999999993E-2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1675</v>
      </c>
      <c r="C67" s="74">
        <f>ROUND(241.97/9509,3)</f>
        <v>2.5000000000000001E-2</v>
      </c>
      <c r="D67" s="74">
        <f t="shared" si="0"/>
        <v>0.125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60" x14ac:dyDescent="0.25">
      <c r="A69" s="35"/>
      <c r="B69" s="40" t="s">
        <v>1676</v>
      </c>
      <c r="C69" s="74">
        <f>ROUND(87.42/9509,3)</f>
        <v>8.9999999999999993E-3</v>
      </c>
      <c r="D69" s="74">
        <f t="shared" si="0"/>
        <v>4.4999999999999998E-2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60" x14ac:dyDescent="0.25">
      <c r="A71" s="35"/>
      <c r="B71" s="40" t="s">
        <v>1677</v>
      </c>
      <c r="C71" s="74">
        <f>ROUND(28.69/9509,3)</f>
        <v>3.0000000000000001E-3</v>
      </c>
      <c r="D71" s="74">
        <f t="shared" si="0"/>
        <v>1.4999999999999999E-2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60" x14ac:dyDescent="0.25">
      <c r="A73" s="35"/>
      <c r="B73" s="40" t="s">
        <v>1678</v>
      </c>
      <c r="C73" s="74">
        <f>ROUND(8.56/9509,3)</f>
        <v>1E-3</v>
      </c>
      <c r="D73" s="74">
        <f t="shared" si="0"/>
        <v>5.0000000000000001E-3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60" x14ac:dyDescent="0.25">
      <c r="A75" s="35"/>
      <c r="B75" s="40" t="s">
        <v>1679</v>
      </c>
      <c r="C75" s="74">
        <f>ROUND(58.04/9509,5)</f>
        <v>6.1000000000000004E-3</v>
      </c>
      <c r="D75" s="18">
        <f t="shared" si="0"/>
        <v>3.0500000000000003E-2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60" x14ac:dyDescent="0.25">
      <c r="A77" s="35"/>
      <c r="B77" s="40" t="s">
        <v>1680</v>
      </c>
      <c r="C77" s="74">
        <f>ROUND(249.88/9509,5)</f>
        <v>2.6280000000000001E-2</v>
      </c>
      <c r="D77" s="18">
        <f t="shared" si="0"/>
        <v>0.13140000000000002</v>
      </c>
    </row>
    <row r="78" spans="1:4" x14ac:dyDescent="0.25">
      <c r="A78" s="35">
        <v>5220</v>
      </c>
      <c r="B78" s="40" t="s">
        <v>119</v>
      </c>
      <c r="C78" s="18"/>
      <c r="D78" s="74"/>
    </row>
    <row r="79" spans="1:4" ht="38.25" x14ac:dyDescent="0.25">
      <c r="A79" s="35"/>
      <c r="B79" s="248" t="s">
        <v>621</v>
      </c>
      <c r="C79" s="18">
        <v>0</v>
      </c>
      <c r="D79" s="74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60" x14ac:dyDescent="0.25">
      <c r="A81" s="35"/>
      <c r="B81" s="40" t="s">
        <v>1681</v>
      </c>
      <c r="C81" s="74">
        <f>ROUND(61.55/9509,5)</f>
        <v>6.4700000000000001E-3</v>
      </c>
      <c r="D81" s="18">
        <f t="shared" si="0"/>
        <v>3.2350000000000004E-2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60" x14ac:dyDescent="0.25">
      <c r="A83" s="35"/>
      <c r="B83" s="40" t="s">
        <v>1682</v>
      </c>
      <c r="C83" s="74">
        <f>ROUND(88.34/9509,5)</f>
        <v>9.2899999999999996E-3</v>
      </c>
      <c r="D83" s="74">
        <f t="shared" si="0"/>
        <v>4.6449999999999998E-2</v>
      </c>
    </row>
    <row r="84" spans="1:4" x14ac:dyDescent="0.25">
      <c r="A84" s="35">
        <v>5239</v>
      </c>
      <c r="B84" s="243" t="s">
        <v>583</v>
      </c>
      <c r="C84" s="74"/>
      <c r="D84" s="74">
        <f t="shared" si="0"/>
        <v>0</v>
      </c>
    </row>
    <row r="85" spans="1:4" ht="53.25" customHeight="1" x14ac:dyDescent="0.25">
      <c r="A85" s="35"/>
      <c r="B85" s="40" t="s">
        <v>1683</v>
      </c>
      <c r="C85" s="74">
        <f>ROUND(151.09/9509,5)</f>
        <v>1.5890000000000001E-2</v>
      </c>
      <c r="D85" s="18">
        <f t="shared" si="0"/>
        <v>7.9450000000000007E-2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4.6500000000000004</v>
      </c>
    </row>
    <row r="87" spans="1:4" x14ac:dyDescent="0.25">
      <c r="A87" s="83"/>
      <c r="B87" s="84" t="s">
        <v>95</v>
      </c>
      <c r="C87" s="82">
        <f>ROUND(C86+C18,3)</f>
        <v>59.97</v>
      </c>
      <c r="D87" s="82">
        <f>ROUND(D86+D18,3)</f>
        <v>299.85000000000002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5</v>
      </c>
      <c r="D89" s="89"/>
    </row>
    <row r="90" spans="1:4" ht="33" customHeight="1" x14ac:dyDescent="0.25">
      <c r="A90" s="302" t="s">
        <v>113</v>
      </c>
      <c r="B90" s="303"/>
      <c r="C90" s="22">
        <f>D87/C89</f>
        <v>59.970000000000006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8B99-2E74-4791-B96A-2CAEAD130EE2}">
  <dimension ref="A1:H90"/>
  <sheetViews>
    <sheetView topLeftCell="A77" workbookViewId="0">
      <selection activeCell="G65" sqref="G65"/>
    </sheetView>
  </sheetViews>
  <sheetFormatPr defaultRowHeight="15" x14ac:dyDescent="0.25"/>
  <cols>
    <col min="2" max="2" width="58.28515625" customWidth="1"/>
    <col min="3" max="3" width="14" customWidth="1"/>
    <col min="4" max="4" width="15.285156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232"/>
      <c r="B2" s="232"/>
      <c r="C2" s="232"/>
      <c r="D2" s="232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51" customHeight="1" x14ac:dyDescent="0.25">
      <c r="A5" s="307" t="s">
        <v>542</v>
      </c>
      <c r="B5" s="307"/>
      <c r="C5" s="307"/>
      <c r="D5" s="307"/>
    </row>
    <row r="6" spans="1:8" x14ac:dyDescent="0.25">
      <c r="A6" s="230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x14ac:dyDescent="0.25">
      <c r="A8" s="230"/>
      <c r="B8" s="231"/>
      <c r="C8" s="60"/>
      <c r="D8" s="60"/>
    </row>
    <row r="9" spans="1:8" x14ac:dyDescent="0.25">
      <c r="A9" s="318" t="s">
        <v>185</v>
      </c>
      <c r="B9" s="318"/>
      <c r="C9" s="100"/>
      <c r="D9" s="100"/>
    </row>
    <row r="10" spans="1:8" ht="78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204" x14ac:dyDescent="0.25">
      <c r="A14" s="35"/>
      <c r="B14" s="90" t="s">
        <v>477</v>
      </c>
      <c r="C14" s="18">
        <f>0.17*20+0.17*20+0.17*20+3.4/2+24</f>
        <v>35.9</v>
      </c>
      <c r="D14" s="18">
        <f>C14*1</f>
        <v>35.9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478</v>
      </c>
      <c r="C15" s="18">
        <f>ROUND(C14*0.2359,2)</f>
        <v>8.4700000000000006</v>
      </c>
      <c r="D15" s="18">
        <f>C15*1</f>
        <v>8.4700000000000006</v>
      </c>
    </row>
    <row r="16" spans="1:8" x14ac:dyDescent="0.25">
      <c r="A16" s="35">
        <v>2341</v>
      </c>
      <c r="B16" s="35" t="s">
        <v>97</v>
      </c>
      <c r="C16" s="74"/>
      <c r="D16" s="71"/>
    </row>
    <row r="17" spans="1:4" ht="108" x14ac:dyDescent="0.25">
      <c r="A17" s="35"/>
      <c r="B17" s="40" t="s">
        <v>432</v>
      </c>
      <c r="C17" s="18">
        <v>10.96</v>
      </c>
      <c r="D17" s="71">
        <f>C17*1</f>
        <v>10.96</v>
      </c>
    </row>
    <row r="18" spans="1:4" x14ac:dyDescent="0.25">
      <c r="A18" s="35"/>
      <c r="B18" s="92" t="s">
        <v>87</v>
      </c>
      <c r="C18" s="82">
        <f>SUM(C13:C17)</f>
        <v>55.33</v>
      </c>
      <c r="D18" s="82">
        <f>SUM(D13:D17)</f>
        <v>55.33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60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60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60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60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60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60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60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60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60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60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60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60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60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60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60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60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56.26</v>
      </c>
      <c r="D87" s="82">
        <f>ROUND(D86+D18,3)</f>
        <v>56.26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3" customHeight="1" x14ac:dyDescent="0.25">
      <c r="A90" s="302" t="s">
        <v>113</v>
      </c>
      <c r="B90" s="303"/>
      <c r="C90" s="22">
        <f>D87/C89</f>
        <v>56.26</v>
      </c>
      <c r="D90" s="22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AE24-AA72-4112-980E-51E6DB514DC9}">
  <dimension ref="A1:H90"/>
  <sheetViews>
    <sheetView topLeftCell="A74" workbookViewId="0">
      <selection activeCell="F88" sqref="F88"/>
    </sheetView>
  </sheetViews>
  <sheetFormatPr defaultRowHeight="15" x14ac:dyDescent="0.25"/>
  <cols>
    <col min="2" max="2" width="58.85546875" customWidth="1"/>
    <col min="3" max="3" width="11.85546875" customWidth="1"/>
    <col min="4" max="4" width="14.4257812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45.75" customHeight="1" x14ac:dyDescent="0.25">
      <c r="A5" s="307" t="s">
        <v>543</v>
      </c>
      <c r="B5" s="307"/>
      <c r="C5" s="307"/>
      <c r="D5" s="307"/>
    </row>
    <row r="6" spans="1:8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184</v>
      </c>
      <c r="B9" s="318"/>
      <c r="C9" s="100"/>
      <c r="D9" s="96"/>
    </row>
    <row r="10" spans="1:8" ht="81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84.5" customHeight="1" x14ac:dyDescent="0.25">
      <c r="A14" s="35"/>
      <c r="B14" s="90" t="s">
        <v>477</v>
      </c>
      <c r="C14" s="18">
        <f>0.17*20+0.17*20+0.17*20+3.4/2+24</f>
        <v>35.9</v>
      </c>
      <c r="D14" s="18">
        <f>C14*1</f>
        <v>35.9</v>
      </c>
      <c r="E14" s="357"/>
      <c r="F14" s="358"/>
      <c r="G14" s="358"/>
      <c r="H14" s="358"/>
    </row>
    <row r="15" spans="1:8" ht="24" x14ac:dyDescent="0.25">
      <c r="A15" s="35">
        <v>1200</v>
      </c>
      <c r="B15" s="73" t="s">
        <v>478</v>
      </c>
      <c r="C15" s="18">
        <f>ROUND(C14*0.2359,2)</f>
        <v>8.4700000000000006</v>
      </c>
      <c r="D15" s="18">
        <f>C15*1</f>
        <v>8.4700000000000006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132" x14ac:dyDescent="0.25">
      <c r="A17" s="35"/>
      <c r="B17" s="40" t="s">
        <v>446</v>
      </c>
      <c r="C17" s="18">
        <v>23.72</v>
      </c>
      <c r="D17" s="18">
        <f>C17*1</f>
        <v>23.72</v>
      </c>
    </row>
    <row r="18" spans="1:4" x14ac:dyDescent="0.25">
      <c r="A18" s="35"/>
      <c r="B18" s="92" t="s">
        <v>87</v>
      </c>
      <c r="C18" s="82">
        <f>SUM(C13:C17)</f>
        <v>68.09</v>
      </c>
      <c r="D18" s="82">
        <f>SUM(D13:D17)</f>
        <v>68.09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60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60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69.02</v>
      </c>
      <c r="D87" s="82">
        <f>ROUND(D86+D18,3)</f>
        <v>69.02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27" customHeight="1" x14ac:dyDescent="0.25">
      <c r="A90" s="302" t="s">
        <v>113</v>
      </c>
      <c r="B90" s="303"/>
      <c r="C90" s="22">
        <f>D87/C89</f>
        <v>69.02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C550-3483-4159-89F0-F560A97B78E3}">
  <dimension ref="A1:G90"/>
  <sheetViews>
    <sheetView topLeftCell="A81" workbookViewId="0">
      <selection activeCell="D104" sqref="D104"/>
    </sheetView>
  </sheetViews>
  <sheetFormatPr defaultRowHeight="15" x14ac:dyDescent="0.25"/>
  <cols>
    <col min="2" max="2" width="62" customWidth="1"/>
    <col min="3" max="3" width="13" customWidth="1"/>
    <col min="4" max="4" width="17.85546875" customWidth="1"/>
    <col min="5" max="5" width="9" customWidth="1"/>
    <col min="6" max="6" width="9.7109375" customWidth="1"/>
    <col min="7" max="7" width="9.42578125" customWidth="1"/>
  </cols>
  <sheetData>
    <row r="1" spans="1:7" x14ac:dyDescent="0.25">
      <c r="A1" s="315" t="s">
        <v>78</v>
      </c>
      <c r="B1" s="315"/>
      <c r="C1" s="315"/>
      <c r="D1" s="315"/>
    </row>
    <row r="2" spans="1:7" x14ac:dyDescent="0.25">
      <c r="A2" s="97"/>
      <c r="B2" s="97"/>
      <c r="C2" s="316"/>
      <c r="D2" s="317"/>
    </row>
    <row r="3" spans="1:7" x14ac:dyDescent="0.25">
      <c r="A3" s="98" t="s">
        <v>111</v>
      </c>
      <c r="B3" s="99"/>
      <c r="C3" s="99"/>
      <c r="D3" s="99"/>
    </row>
    <row r="4" spans="1:7" ht="9.75" customHeight="1" x14ac:dyDescent="0.25">
      <c r="A4" s="97"/>
      <c r="B4" s="60"/>
      <c r="C4" s="60"/>
      <c r="D4" s="96"/>
    </row>
    <row r="5" spans="1:7" ht="48" customHeight="1" x14ac:dyDescent="0.25">
      <c r="A5" s="307" t="s">
        <v>544</v>
      </c>
      <c r="B5" s="307"/>
      <c r="C5" s="307"/>
      <c r="D5" s="307"/>
    </row>
    <row r="6" spans="1:7" ht="11.25" customHeight="1" x14ac:dyDescent="0.25">
      <c r="A6" s="230"/>
      <c r="B6" s="60"/>
      <c r="C6" s="60"/>
      <c r="D6" s="96"/>
    </row>
    <row r="7" spans="1:7" x14ac:dyDescent="0.25">
      <c r="A7" s="308" t="s">
        <v>112</v>
      </c>
      <c r="B7" s="310"/>
      <c r="C7" s="60"/>
      <c r="D7" s="96"/>
    </row>
    <row r="8" spans="1:7" ht="10.5" customHeight="1" x14ac:dyDescent="0.25">
      <c r="A8" s="230"/>
      <c r="B8" s="231"/>
      <c r="C8" s="60"/>
      <c r="D8" s="96"/>
    </row>
    <row r="9" spans="1:7" x14ac:dyDescent="0.25">
      <c r="A9" s="318" t="s">
        <v>643</v>
      </c>
      <c r="B9" s="318"/>
      <c r="C9" s="100"/>
      <c r="D9" s="96"/>
    </row>
    <row r="10" spans="1:7" ht="87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7" x14ac:dyDescent="0.25">
      <c r="A11" s="64">
        <v>1</v>
      </c>
      <c r="B11" s="65">
        <v>2</v>
      </c>
      <c r="C11" s="64">
        <v>3</v>
      </c>
      <c r="D11" s="64">
        <v>4</v>
      </c>
    </row>
    <row r="12" spans="1:7" x14ac:dyDescent="0.25">
      <c r="A12" s="64"/>
      <c r="B12" s="81" t="s">
        <v>84</v>
      </c>
      <c r="C12" s="68"/>
      <c r="D12" s="68"/>
    </row>
    <row r="13" spans="1:7" x14ac:dyDescent="0.25">
      <c r="A13" s="94">
        <v>1100</v>
      </c>
      <c r="B13" s="95" t="s">
        <v>85</v>
      </c>
      <c r="C13" s="71"/>
      <c r="D13" s="71"/>
    </row>
    <row r="14" spans="1:7" ht="168" customHeight="1" x14ac:dyDescent="0.25">
      <c r="A14" s="35"/>
      <c r="B14" s="90" t="s">
        <v>706</v>
      </c>
      <c r="C14" s="18">
        <f>0.17*20+0.17*20+0.17*20+3.4/2+24</f>
        <v>35.9</v>
      </c>
      <c r="D14" s="18">
        <f>C14*15</f>
        <v>538.5</v>
      </c>
      <c r="E14" s="355"/>
      <c r="F14" s="356"/>
      <c r="G14" s="356"/>
    </row>
    <row r="15" spans="1:7" ht="24" x14ac:dyDescent="0.25">
      <c r="A15" s="35">
        <v>1200</v>
      </c>
      <c r="B15" s="73" t="s">
        <v>478</v>
      </c>
      <c r="C15" s="18">
        <f>ROUND(C14*0.2359,2)</f>
        <v>8.4700000000000006</v>
      </c>
      <c r="D15" s="18">
        <f>C15*15</f>
        <v>127.05000000000001</v>
      </c>
    </row>
    <row r="16" spans="1:7" x14ac:dyDescent="0.25">
      <c r="A16" s="35">
        <v>2341</v>
      </c>
      <c r="B16" s="35" t="s">
        <v>118</v>
      </c>
      <c r="C16" s="74"/>
      <c r="D16" s="74"/>
    </row>
    <row r="17" spans="1:4" ht="88.5" customHeight="1" x14ac:dyDescent="0.25">
      <c r="A17" s="35"/>
      <c r="B17" s="40" t="s">
        <v>707</v>
      </c>
      <c r="C17" s="18">
        <v>2.0099999999999998</v>
      </c>
      <c r="D17" s="18">
        <f>C17*15</f>
        <v>30.15</v>
      </c>
    </row>
    <row r="18" spans="1:4" x14ac:dyDescent="0.25">
      <c r="A18" s="84"/>
      <c r="B18" s="92" t="s">
        <v>87</v>
      </c>
      <c r="C18" s="82">
        <f>SUM(C13:C17)</f>
        <v>46.379999999999995</v>
      </c>
      <c r="D18" s="82">
        <f>SUM(D13:D17)</f>
        <v>695.69999999999993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1982</v>
      </c>
      <c r="C21" s="80">
        <f>ROUND(31.85/9509,5)</f>
        <v>3.3500000000000001E-3</v>
      </c>
      <c r="D21" s="18">
        <f>C21*15</f>
        <v>5.0250000000000003E-2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1983</v>
      </c>
      <c r="C23" s="74">
        <f>ROUND(228.88/9509,5)</f>
        <v>2.4070000000000001E-2</v>
      </c>
      <c r="D23" s="18">
        <f t="shared" ref="D23:D85" si="0">C23*15</f>
        <v>0.36105000000000004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1984</v>
      </c>
      <c r="C25" s="18">
        <f>ROUND(382.73/9509,5)</f>
        <v>4.0250000000000001E-2</v>
      </c>
      <c r="D25" s="18">
        <f t="shared" si="0"/>
        <v>0.60375000000000001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50.25" customHeight="1" x14ac:dyDescent="0.25">
      <c r="A27" s="35"/>
      <c r="B27" s="40" t="s">
        <v>1985</v>
      </c>
      <c r="C27" s="80">
        <f>ROUND(38.69/9509,5)</f>
        <v>4.0699999999999998E-3</v>
      </c>
      <c r="D27" s="74">
        <f t="shared" si="0"/>
        <v>6.105E-2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1986</v>
      </c>
      <c r="C29" s="74">
        <f>ROUND(1004.28/9509,5)</f>
        <v>0.10561</v>
      </c>
      <c r="D29" s="18">
        <f t="shared" si="0"/>
        <v>1.5841499999999999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1987</v>
      </c>
      <c r="C31" s="253">
        <f>ROUND(82.8/9509,5)</f>
        <v>8.7100000000000007E-3</v>
      </c>
      <c r="D31" s="18">
        <f t="shared" si="0"/>
        <v>0.13065000000000002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53.25" customHeight="1" x14ac:dyDescent="0.25">
      <c r="A33" s="35"/>
      <c r="B33" s="40" t="s">
        <v>1988</v>
      </c>
      <c r="C33" s="74">
        <f>ROUND(289.4/9509,5)</f>
        <v>3.0429999999999999E-2</v>
      </c>
      <c r="D33" s="18">
        <f t="shared" si="0"/>
        <v>0.45644999999999997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1989</v>
      </c>
      <c r="C35" s="80">
        <f>ROUND(20.68/9509,5)</f>
        <v>2.1700000000000001E-3</v>
      </c>
      <c r="D35" s="74">
        <f t="shared" si="0"/>
        <v>3.2550000000000003E-2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1990</v>
      </c>
      <c r="C37" s="74">
        <f>ROUND(58.15/9509,3)</f>
        <v>6.0000000000000001E-3</v>
      </c>
      <c r="D37" s="18">
        <f t="shared" si="0"/>
        <v>0.09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1991</v>
      </c>
      <c r="C39" s="253">
        <f>ROUND(524.45/9509,5)</f>
        <v>5.5149999999999998E-2</v>
      </c>
      <c r="D39" s="18">
        <f t="shared" si="0"/>
        <v>0.82724999999999993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1992</v>
      </c>
      <c r="C41" s="74">
        <f>ROUND(131.923/9509,3)</f>
        <v>1.4E-2</v>
      </c>
      <c r="D41" s="18">
        <f t="shared" si="0"/>
        <v>0.21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1993</v>
      </c>
      <c r="C43" s="74">
        <f>ROUND(360.94/9509,3)</f>
        <v>3.7999999999999999E-2</v>
      </c>
      <c r="D43" s="18">
        <f t="shared" si="0"/>
        <v>0.56999999999999995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1994</v>
      </c>
      <c r="C45" s="74">
        <f>ROUND(272.76/9509,3)</f>
        <v>2.9000000000000001E-2</v>
      </c>
      <c r="D45" s="74">
        <f t="shared" si="0"/>
        <v>0.435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1995</v>
      </c>
      <c r="C47" s="74">
        <f>ROUND(12.06/9509,3)</f>
        <v>1E-3</v>
      </c>
      <c r="D47" s="74">
        <f t="shared" si="0"/>
        <v>1.4999999999999999E-2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1996</v>
      </c>
      <c r="C49" s="74">
        <f>ROUND(23.35/9509,3)</f>
        <v>2E-3</v>
      </c>
      <c r="D49" s="18">
        <f t="shared" si="0"/>
        <v>0.03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1997</v>
      </c>
      <c r="C51" s="74">
        <f>ROUND(750.97/9509,3)</f>
        <v>7.9000000000000001E-2</v>
      </c>
      <c r="D51" s="18">
        <f t="shared" si="0"/>
        <v>1.1850000000000001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1998</v>
      </c>
      <c r="C53" s="74">
        <f>ROUND(2620.34/9509,3)</f>
        <v>0.27600000000000002</v>
      </c>
      <c r="D53" s="18">
        <f t="shared" si="0"/>
        <v>4.1400000000000006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1999</v>
      </c>
      <c r="C55" s="74">
        <f>ROUND(9.91/9509,3)</f>
        <v>1E-3</v>
      </c>
      <c r="D55" s="74">
        <f t="shared" si="0"/>
        <v>1.4999999999999999E-2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2000</v>
      </c>
      <c r="C57" s="18">
        <f>ROUND(132.32/9509,3)</f>
        <v>1.4E-2</v>
      </c>
      <c r="D57" s="18">
        <f t="shared" si="0"/>
        <v>0.21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2001</v>
      </c>
      <c r="C59" s="74">
        <f>ROUND(72.76/9509,3)</f>
        <v>8.0000000000000002E-3</v>
      </c>
      <c r="D59" s="18">
        <f t="shared" si="0"/>
        <v>0.12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2002</v>
      </c>
      <c r="C61" s="18">
        <f>ROUND(484.21/9509,3)</f>
        <v>5.0999999999999997E-2</v>
      </c>
      <c r="D61" s="74">
        <f t="shared" si="0"/>
        <v>0.7649999999999999</v>
      </c>
    </row>
    <row r="62" spans="1:4" x14ac:dyDescent="0.25">
      <c r="A62" s="35">
        <v>2314</v>
      </c>
      <c r="B62" s="243" t="s">
        <v>576</v>
      </c>
      <c r="C62" s="18"/>
      <c r="D62" s="74"/>
    </row>
    <row r="63" spans="1:4" ht="48" x14ac:dyDescent="0.25">
      <c r="A63" s="35"/>
      <c r="B63" s="40" t="s">
        <v>2003</v>
      </c>
      <c r="C63" s="18">
        <f>ROUND(224.14/9509,3)</f>
        <v>2.4E-2</v>
      </c>
      <c r="D63" s="18">
        <f t="shared" si="0"/>
        <v>0.36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58.5" customHeight="1" x14ac:dyDescent="0.25">
      <c r="A65" s="35"/>
      <c r="B65" s="40" t="s">
        <v>2004</v>
      </c>
      <c r="C65" s="18">
        <f>ROUND(103.21/9509,3)</f>
        <v>1.0999999999999999E-2</v>
      </c>
      <c r="D65" s="74">
        <f t="shared" si="0"/>
        <v>0.16499999999999998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2005</v>
      </c>
      <c r="C67" s="18">
        <f>ROUND(241.97/9509,3)</f>
        <v>2.5000000000000001E-2</v>
      </c>
      <c r="D67" s="74">
        <f t="shared" si="0"/>
        <v>0.375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2006</v>
      </c>
      <c r="C69" s="18">
        <f>ROUND(87.42/9509,3)</f>
        <v>8.9999999999999993E-3</v>
      </c>
      <c r="D69" s="74">
        <f t="shared" si="0"/>
        <v>0.13499999999999998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2007</v>
      </c>
      <c r="C71" s="74">
        <f>ROUND(28.69/9509,3)</f>
        <v>3.0000000000000001E-3</v>
      </c>
      <c r="D71" s="74">
        <f t="shared" si="0"/>
        <v>4.4999999999999998E-2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2008</v>
      </c>
      <c r="C73" s="253">
        <f>ROUND(8.56/9509,5)</f>
        <v>8.9999999999999998E-4</v>
      </c>
      <c r="D73" s="74">
        <f t="shared" si="0"/>
        <v>1.35E-2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2009</v>
      </c>
      <c r="C75" s="253">
        <f>ROUND(58.04/9509,5)</f>
        <v>6.1000000000000004E-3</v>
      </c>
      <c r="D75" s="74">
        <f t="shared" si="0"/>
        <v>9.1500000000000012E-2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2010</v>
      </c>
      <c r="C77" s="74">
        <f>ROUND(249.88/9509,5)</f>
        <v>2.6280000000000001E-2</v>
      </c>
      <c r="D77" s="18">
        <f t="shared" si="0"/>
        <v>0.39419999999999999</v>
      </c>
    </row>
    <row r="78" spans="1:4" x14ac:dyDescent="0.25">
      <c r="A78" s="35">
        <v>5220</v>
      </c>
      <c r="B78" s="40" t="s">
        <v>119</v>
      </c>
      <c r="C78" s="18"/>
      <c r="D78" s="74"/>
    </row>
    <row r="79" spans="1:4" ht="51" x14ac:dyDescent="0.25">
      <c r="A79" s="35"/>
      <c r="B79" s="248" t="s">
        <v>623</v>
      </c>
      <c r="C79" s="18">
        <v>0</v>
      </c>
      <c r="D79" s="18">
        <f t="shared" si="0"/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2011</v>
      </c>
      <c r="C81" s="253">
        <f>ROUND(61.55/9509,5)</f>
        <v>6.4700000000000001E-3</v>
      </c>
      <c r="D81" s="18">
        <f t="shared" si="0"/>
        <v>9.7049999999999997E-2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2012</v>
      </c>
      <c r="C83" s="253">
        <f>ROUND(88.34/9509,5)</f>
        <v>9.2899999999999996E-3</v>
      </c>
      <c r="D83" s="74">
        <f t="shared" si="0"/>
        <v>0.13935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2013</v>
      </c>
      <c r="C85" s="74">
        <f>ROUND(151.09/9509,5)</f>
        <v>1.5890000000000001E-2</v>
      </c>
      <c r="D85" s="18">
        <f t="shared" si="0"/>
        <v>0.23835000000000001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13.95</v>
      </c>
    </row>
    <row r="87" spans="1:4" x14ac:dyDescent="0.25">
      <c r="A87" s="83"/>
      <c r="B87" s="84" t="s">
        <v>95</v>
      </c>
      <c r="C87" s="82">
        <f>ROUND(C86+C18,3)</f>
        <v>47.31</v>
      </c>
      <c r="D87" s="82">
        <f>ROUND(D86+D18,3)</f>
        <v>709.65</v>
      </c>
    </row>
    <row r="88" spans="1:4" x14ac:dyDescent="0.25">
      <c r="A88" s="85"/>
      <c r="B88" s="86"/>
      <c r="C88" s="87"/>
      <c r="D88" s="87"/>
    </row>
    <row r="89" spans="1:4" x14ac:dyDescent="0.25">
      <c r="A89" s="311" t="s">
        <v>96</v>
      </c>
      <c r="B89" s="312"/>
      <c r="C89" s="88">
        <v>15</v>
      </c>
      <c r="D89" s="89"/>
    </row>
    <row r="90" spans="1:4" ht="29.25" customHeight="1" x14ac:dyDescent="0.25">
      <c r="A90" s="311" t="s">
        <v>113</v>
      </c>
      <c r="B90" s="312"/>
      <c r="C90" s="22">
        <f>D87/C89</f>
        <v>47.309999999999995</v>
      </c>
      <c r="D90" s="22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D6C02-ECE1-430E-A862-E2EA0AD5AE5D}">
  <dimension ref="A1:H90"/>
  <sheetViews>
    <sheetView topLeftCell="A82" workbookViewId="0">
      <selection activeCell="K103" sqref="K103"/>
    </sheetView>
  </sheetViews>
  <sheetFormatPr defaultRowHeight="15" x14ac:dyDescent="0.25"/>
  <cols>
    <col min="2" max="2" width="60.5703125" customWidth="1"/>
    <col min="3" max="3" width="10.5703125" customWidth="1"/>
    <col min="4" max="4" width="15.85546875" customWidth="1"/>
  </cols>
  <sheetData>
    <row r="1" spans="1:8" x14ac:dyDescent="0.25">
      <c r="A1" s="319" t="s">
        <v>78</v>
      </c>
      <c r="B1" s="319"/>
      <c r="C1" s="319"/>
      <c r="D1" s="319"/>
    </row>
    <row r="2" spans="1:8" x14ac:dyDescent="0.25">
      <c r="A2" s="97"/>
      <c r="B2" s="97"/>
      <c r="C2" s="120"/>
      <c r="D2" s="120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60"/>
    </row>
    <row r="5" spans="1:8" ht="40.5" customHeight="1" x14ac:dyDescent="0.25">
      <c r="A5" s="307" t="s">
        <v>545</v>
      </c>
      <c r="B5" s="307"/>
      <c r="C5" s="307"/>
      <c r="D5" s="307"/>
    </row>
    <row r="6" spans="1:8" x14ac:dyDescent="0.25">
      <c r="A6" s="230"/>
      <c r="B6" s="60"/>
      <c r="C6" s="60"/>
      <c r="D6" s="60"/>
    </row>
    <row r="7" spans="1:8" x14ac:dyDescent="0.25">
      <c r="A7" s="308" t="s">
        <v>112</v>
      </c>
      <c r="B7" s="310"/>
      <c r="C7" s="60"/>
      <c r="D7" s="60"/>
    </row>
    <row r="8" spans="1:8" ht="12.75" customHeight="1" x14ac:dyDescent="0.25">
      <c r="A8" s="230"/>
      <c r="B8" s="231"/>
      <c r="C8" s="60"/>
      <c r="D8" s="60"/>
    </row>
    <row r="9" spans="1:8" x14ac:dyDescent="0.25">
      <c r="A9" s="318" t="s">
        <v>184</v>
      </c>
      <c r="B9" s="318"/>
      <c r="C9" s="100"/>
      <c r="D9" s="96"/>
    </row>
    <row r="10" spans="1:8" ht="80.2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71"/>
    </row>
    <row r="14" spans="1:8" ht="192" customHeight="1" x14ac:dyDescent="0.25">
      <c r="A14" s="35"/>
      <c r="B14" s="40" t="s">
        <v>480</v>
      </c>
      <c r="C14" s="18">
        <f>0.17*10+0.17*10+0.17*10+ 1.7/2+24</f>
        <v>29.95</v>
      </c>
      <c r="D14" s="18">
        <f>C14*1</f>
        <v>29.95</v>
      </c>
      <c r="E14" s="350"/>
      <c r="F14" s="351"/>
      <c r="G14" s="351"/>
      <c r="H14" s="351"/>
    </row>
    <row r="15" spans="1:8" ht="24" x14ac:dyDescent="0.25">
      <c r="A15" s="35">
        <v>1200</v>
      </c>
      <c r="B15" s="40" t="s">
        <v>481</v>
      </c>
      <c r="C15" s="18">
        <f>ROUND(C14*0.2359,2)</f>
        <v>7.07</v>
      </c>
      <c r="D15" s="18">
        <f>C15*1</f>
        <v>7.07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98.25" customHeight="1" x14ac:dyDescent="0.25">
      <c r="A17" s="35"/>
      <c r="B17" s="40" t="s">
        <v>464</v>
      </c>
      <c r="C17" s="18">
        <v>1.43</v>
      </c>
      <c r="D17" s="18">
        <f>C17*1</f>
        <v>1.43</v>
      </c>
    </row>
    <row r="18" spans="1:4" x14ac:dyDescent="0.25">
      <c r="A18" s="35"/>
      <c r="B18" s="92" t="s">
        <v>87</v>
      </c>
      <c r="C18" s="82">
        <f>SUM(C13:C17)</f>
        <v>38.449999999999996</v>
      </c>
      <c r="D18" s="82">
        <f>SUM(D13:D17)</f>
        <v>38.449999999999996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48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48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48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48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48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48" x14ac:dyDescent="0.25">
      <c r="A31" s="34"/>
      <c r="B31" s="40" t="s">
        <v>1954</v>
      </c>
      <c r="C31" s="18">
        <f>ROUND(82.8/9509,3)</f>
        <v>8.9999999999999993E-3</v>
      </c>
      <c r="D31" s="18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48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48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48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48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48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48" x14ac:dyDescent="0.25">
      <c r="A43" s="35"/>
      <c r="B43" s="40" t="s">
        <v>1959</v>
      </c>
      <c r="C43" s="18">
        <f>ROUND(360.94/9509,3)</f>
        <v>3.7999999999999999E-2</v>
      </c>
      <c r="D43" s="18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48" x14ac:dyDescent="0.25">
      <c r="A45" s="79"/>
      <c r="B45" s="40" t="s">
        <v>1960</v>
      </c>
      <c r="C45" s="18">
        <f>ROUND(272.76/9509,3)</f>
        <v>2.9000000000000001E-2</v>
      </c>
      <c r="D45" s="18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48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48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48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48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48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48" x14ac:dyDescent="0.25">
      <c r="A57" s="35"/>
      <c r="B57" s="40" t="s">
        <v>1966</v>
      </c>
      <c r="C57" s="74">
        <f>ROUND(132.32/9509,3)</f>
        <v>1.4E-2</v>
      </c>
      <c r="D57" s="74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48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48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48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48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48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48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48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48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48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48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48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48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48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39.380000000000003</v>
      </c>
      <c r="D87" s="82">
        <f>ROUND(D86+D18,3)</f>
        <v>39.380000000000003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25.5" customHeight="1" x14ac:dyDescent="0.25">
      <c r="A90" s="302" t="s">
        <v>113</v>
      </c>
      <c r="B90" s="303"/>
      <c r="C90" s="22">
        <f>D87/C89</f>
        <v>39.380000000000003</v>
      </c>
      <c r="D90" s="22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orientation="portrait" verticalDpi="0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460F-95A8-44E4-8F91-63215D2B285A}">
  <dimension ref="A1:H90"/>
  <sheetViews>
    <sheetView topLeftCell="A83" workbookViewId="0">
      <selection activeCell="B20" sqref="B20:B85"/>
    </sheetView>
  </sheetViews>
  <sheetFormatPr defaultRowHeight="15" x14ac:dyDescent="0.25"/>
  <cols>
    <col min="2" max="2" width="60.140625" customWidth="1"/>
    <col min="4" max="4" width="11.5703125" customWidth="1"/>
  </cols>
  <sheetData>
    <row r="1" spans="1:8" x14ac:dyDescent="0.25">
      <c r="A1" s="315" t="s">
        <v>78</v>
      </c>
      <c r="B1" s="315"/>
      <c r="C1" s="315"/>
      <c r="D1" s="315"/>
    </row>
    <row r="2" spans="1:8" x14ac:dyDescent="0.25">
      <c r="A2" s="97"/>
      <c r="B2" s="97"/>
      <c r="C2" s="316"/>
      <c r="D2" s="317"/>
    </row>
    <row r="3" spans="1:8" x14ac:dyDescent="0.25">
      <c r="A3" s="98" t="s">
        <v>111</v>
      </c>
      <c r="B3" s="99"/>
      <c r="C3" s="99"/>
      <c r="D3" s="99"/>
    </row>
    <row r="4" spans="1:8" x14ac:dyDescent="0.25">
      <c r="A4" s="97"/>
      <c r="B4" s="60"/>
      <c r="C4" s="60"/>
      <c r="D4" s="96"/>
    </row>
    <row r="5" spans="1:8" ht="39.75" customHeight="1" x14ac:dyDescent="0.25">
      <c r="A5" s="307" t="s">
        <v>546</v>
      </c>
      <c r="B5" s="307"/>
      <c r="C5" s="307"/>
      <c r="D5" s="307"/>
    </row>
    <row r="6" spans="1:8" x14ac:dyDescent="0.25">
      <c r="A6" s="230"/>
      <c r="B6" s="60"/>
      <c r="C6" s="60"/>
      <c r="D6" s="96"/>
    </row>
    <row r="7" spans="1:8" x14ac:dyDescent="0.25">
      <c r="A7" s="308" t="s">
        <v>112</v>
      </c>
      <c r="B7" s="310"/>
      <c r="C7" s="60"/>
      <c r="D7" s="96"/>
    </row>
    <row r="8" spans="1:8" x14ac:dyDescent="0.25">
      <c r="A8" s="230"/>
      <c r="B8" s="231"/>
      <c r="C8" s="60"/>
      <c r="D8" s="96"/>
    </row>
    <row r="9" spans="1:8" x14ac:dyDescent="0.25">
      <c r="A9" s="318" t="s">
        <v>186</v>
      </c>
      <c r="B9" s="318"/>
      <c r="C9" s="60"/>
      <c r="D9" s="96"/>
    </row>
    <row r="10" spans="1:8" ht="93.75" customHeight="1" x14ac:dyDescent="0.25">
      <c r="A10" s="63" t="s">
        <v>80</v>
      </c>
      <c r="B10" s="63" t="s">
        <v>81</v>
      </c>
      <c r="C10" s="63" t="s">
        <v>82</v>
      </c>
      <c r="D10" s="63" t="s">
        <v>83</v>
      </c>
    </row>
    <row r="11" spans="1:8" x14ac:dyDescent="0.25">
      <c r="A11" s="64">
        <v>1</v>
      </c>
      <c r="B11" s="65">
        <v>2</v>
      </c>
      <c r="C11" s="64">
        <v>3</v>
      </c>
      <c r="D11" s="64">
        <v>4</v>
      </c>
    </row>
    <row r="12" spans="1:8" x14ac:dyDescent="0.25">
      <c r="A12" s="64"/>
      <c r="B12" s="81" t="s">
        <v>84</v>
      </c>
      <c r="C12" s="68"/>
      <c r="D12" s="68"/>
    </row>
    <row r="13" spans="1:8" x14ac:dyDescent="0.25">
      <c r="A13" s="94">
        <v>1100</v>
      </c>
      <c r="B13" s="95" t="s">
        <v>85</v>
      </c>
      <c r="C13" s="71"/>
      <c r="D13" s="68"/>
    </row>
    <row r="14" spans="1:8" ht="177" customHeight="1" x14ac:dyDescent="0.25">
      <c r="A14" s="35"/>
      <c r="B14" s="40" t="s">
        <v>482</v>
      </c>
      <c r="C14" s="18">
        <f>0.17*15+0.17*15+0.17*15+ 2.55/2+24</f>
        <v>32.924999999999997</v>
      </c>
      <c r="D14" s="18">
        <f>C14*1</f>
        <v>32.924999999999997</v>
      </c>
      <c r="E14" s="350"/>
      <c r="F14" s="351"/>
      <c r="G14" s="351"/>
      <c r="H14" s="351"/>
    </row>
    <row r="15" spans="1:8" ht="24" x14ac:dyDescent="0.25">
      <c r="A15" s="35">
        <v>1200</v>
      </c>
      <c r="B15" s="40" t="s">
        <v>483</v>
      </c>
      <c r="C15" s="18">
        <f>ROUND(C14*0.2359,2)</f>
        <v>7.77</v>
      </c>
      <c r="D15" s="18">
        <f>C15*1</f>
        <v>7.77</v>
      </c>
    </row>
    <row r="16" spans="1:8" x14ac:dyDescent="0.25">
      <c r="A16" s="35">
        <v>2341</v>
      </c>
      <c r="B16" s="35" t="s">
        <v>118</v>
      </c>
      <c r="C16" s="74"/>
      <c r="D16" s="74"/>
    </row>
    <row r="17" spans="1:4" ht="84" x14ac:dyDescent="0.25">
      <c r="A17" s="35"/>
      <c r="B17" s="40" t="s">
        <v>450</v>
      </c>
      <c r="C17" s="18">
        <v>5.24</v>
      </c>
      <c r="D17" s="18">
        <f>C17*1</f>
        <v>5.24</v>
      </c>
    </row>
    <row r="18" spans="1:4" x14ac:dyDescent="0.25">
      <c r="A18" s="35"/>
      <c r="B18" s="136" t="s">
        <v>87</v>
      </c>
      <c r="C18" s="82">
        <f>SUM(C13:C17)</f>
        <v>45.934999999999995</v>
      </c>
      <c r="D18" s="82">
        <f>SUM(D13:D17)</f>
        <v>45.934999999999995</v>
      </c>
    </row>
    <row r="19" spans="1:4" x14ac:dyDescent="0.25">
      <c r="A19" s="77"/>
      <c r="B19" s="176" t="s">
        <v>88</v>
      </c>
      <c r="C19" s="78"/>
      <c r="D19" s="78"/>
    </row>
    <row r="20" spans="1:4" x14ac:dyDescent="0.25">
      <c r="A20" s="35">
        <v>2100</v>
      </c>
      <c r="B20" s="244" t="s">
        <v>584</v>
      </c>
      <c r="C20" s="78"/>
      <c r="D20" s="78"/>
    </row>
    <row r="21" spans="1:4" ht="60" x14ac:dyDescent="0.25">
      <c r="A21" s="77"/>
      <c r="B21" s="40" t="s">
        <v>1949</v>
      </c>
      <c r="C21" s="74">
        <f>ROUND(31.85/9509,3)</f>
        <v>3.0000000000000001E-3</v>
      </c>
      <c r="D21" s="74">
        <f>C21*1</f>
        <v>3.0000000000000001E-3</v>
      </c>
    </row>
    <row r="22" spans="1:4" x14ac:dyDescent="0.25">
      <c r="A22" s="35">
        <v>2210</v>
      </c>
      <c r="B22" s="40" t="s">
        <v>568</v>
      </c>
      <c r="C22" s="74"/>
      <c r="D22" s="74"/>
    </row>
    <row r="23" spans="1:4" ht="60" x14ac:dyDescent="0.25">
      <c r="A23" s="35"/>
      <c r="B23" s="40" t="s">
        <v>1950</v>
      </c>
      <c r="C23" s="74">
        <f>ROUND(228.88/9509,3)</f>
        <v>2.4E-2</v>
      </c>
      <c r="D23" s="74">
        <f t="shared" ref="D23:D85" si="0">C23*1</f>
        <v>2.4E-2</v>
      </c>
    </row>
    <row r="24" spans="1:4" x14ac:dyDescent="0.25">
      <c r="A24" s="35">
        <v>2221</v>
      </c>
      <c r="B24" s="40" t="s">
        <v>89</v>
      </c>
      <c r="C24" s="18"/>
      <c r="D24" s="74"/>
    </row>
    <row r="25" spans="1:4" ht="60" x14ac:dyDescent="0.25">
      <c r="A25" s="35"/>
      <c r="B25" s="40" t="s">
        <v>1951</v>
      </c>
      <c r="C25" s="18">
        <f>ROUND(382.73/9509,3)</f>
        <v>0.04</v>
      </c>
      <c r="D25" s="18">
        <f t="shared" si="0"/>
        <v>0.04</v>
      </c>
    </row>
    <row r="26" spans="1:4" x14ac:dyDescent="0.25">
      <c r="A26" s="35">
        <v>2222</v>
      </c>
      <c r="B26" s="242" t="s">
        <v>90</v>
      </c>
      <c r="C26" s="18"/>
      <c r="D26" s="74"/>
    </row>
    <row r="27" spans="1:4" ht="60" x14ac:dyDescent="0.25">
      <c r="A27" s="35"/>
      <c r="B27" s="40" t="s">
        <v>1952</v>
      </c>
      <c r="C27" s="74">
        <f>ROUND(38.69/9509,3)</f>
        <v>4.0000000000000001E-3</v>
      </c>
      <c r="D27" s="74">
        <f t="shared" si="0"/>
        <v>4.0000000000000001E-3</v>
      </c>
    </row>
    <row r="28" spans="1:4" x14ac:dyDescent="0.25">
      <c r="A28" s="35">
        <v>2223</v>
      </c>
      <c r="B28" s="35" t="s">
        <v>91</v>
      </c>
      <c r="C28" s="74"/>
      <c r="D28" s="74"/>
    </row>
    <row r="29" spans="1:4" ht="60" x14ac:dyDescent="0.25">
      <c r="A29" s="35"/>
      <c r="B29" s="40" t="s">
        <v>1953</v>
      </c>
      <c r="C29" s="74">
        <f>ROUND(1004.28/9509,3)</f>
        <v>0.106</v>
      </c>
      <c r="D29" s="74">
        <f t="shared" si="0"/>
        <v>0.106</v>
      </c>
    </row>
    <row r="30" spans="1:4" ht="24" x14ac:dyDescent="0.25">
      <c r="A30" s="35">
        <v>2224</v>
      </c>
      <c r="B30" s="40" t="s">
        <v>115</v>
      </c>
      <c r="C30" s="74"/>
      <c r="D30" s="74"/>
    </row>
    <row r="31" spans="1:4" ht="60" x14ac:dyDescent="0.25">
      <c r="A31" s="34"/>
      <c r="B31" s="40" t="s">
        <v>1954</v>
      </c>
      <c r="C31" s="74">
        <f>ROUND(82.8/9509,3)</f>
        <v>8.9999999999999993E-3</v>
      </c>
      <c r="D31" s="74">
        <f t="shared" si="0"/>
        <v>8.9999999999999993E-3</v>
      </c>
    </row>
    <row r="32" spans="1:4" x14ac:dyDescent="0.25">
      <c r="A32" s="35">
        <v>2231</v>
      </c>
      <c r="B32" s="40" t="s">
        <v>121</v>
      </c>
      <c r="C32" s="74"/>
      <c r="D32" s="74"/>
    </row>
    <row r="33" spans="1:4" ht="60" x14ac:dyDescent="0.25">
      <c r="A33" s="35"/>
      <c r="B33" s="40" t="s">
        <v>1955</v>
      </c>
      <c r="C33" s="18">
        <f>ROUND(289.4/9509,3)</f>
        <v>0.03</v>
      </c>
      <c r="D33" s="18">
        <f t="shared" si="0"/>
        <v>0.03</v>
      </c>
    </row>
    <row r="34" spans="1:4" x14ac:dyDescent="0.25">
      <c r="A34" s="35">
        <v>2233</v>
      </c>
      <c r="B34" s="242" t="s">
        <v>143</v>
      </c>
      <c r="C34" s="18"/>
      <c r="D34" s="74"/>
    </row>
    <row r="35" spans="1:4" ht="60" x14ac:dyDescent="0.25">
      <c r="A35" s="35"/>
      <c r="B35" s="40" t="s">
        <v>1956</v>
      </c>
      <c r="C35" s="74">
        <f>ROUND(20.68/9509,3)</f>
        <v>2E-3</v>
      </c>
      <c r="D35" s="74">
        <f t="shared" si="0"/>
        <v>2E-3</v>
      </c>
    </row>
    <row r="36" spans="1:4" x14ac:dyDescent="0.25">
      <c r="A36" s="35">
        <v>2235</v>
      </c>
      <c r="B36" s="242" t="s">
        <v>569</v>
      </c>
      <c r="C36" s="74"/>
      <c r="D36" s="74"/>
    </row>
    <row r="37" spans="1:4" ht="60" x14ac:dyDescent="0.25">
      <c r="A37" s="35"/>
      <c r="B37" s="40" t="s">
        <v>1957</v>
      </c>
      <c r="C37" s="74">
        <f>ROUND(58.15/9509,3)</f>
        <v>6.0000000000000001E-3</v>
      </c>
      <c r="D37" s="74">
        <f t="shared" si="0"/>
        <v>6.0000000000000001E-3</v>
      </c>
    </row>
    <row r="38" spans="1:4" x14ac:dyDescent="0.25">
      <c r="A38" s="35">
        <v>2239</v>
      </c>
      <c r="B38" s="242" t="s">
        <v>570</v>
      </c>
      <c r="C38" s="74"/>
      <c r="D38" s="74"/>
    </row>
    <row r="39" spans="1:4" ht="60" x14ac:dyDescent="0.25">
      <c r="A39" s="35"/>
      <c r="B39" s="40" t="s">
        <v>1958</v>
      </c>
      <c r="C39" s="74">
        <f>ROUND(524.45/9509,3)</f>
        <v>5.5E-2</v>
      </c>
      <c r="D39" s="74">
        <f t="shared" si="0"/>
        <v>5.5E-2</v>
      </c>
    </row>
    <row r="40" spans="1:4" x14ac:dyDescent="0.25">
      <c r="A40" s="35">
        <v>2242</v>
      </c>
      <c r="B40" s="242" t="s">
        <v>571</v>
      </c>
      <c r="C40" s="74"/>
      <c r="D40" s="74"/>
    </row>
    <row r="41" spans="1:4" ht="60" x14ac:dyDescent="0.25">
      <c r="A41" s="35"/>
      <c r="B41" s="40" t="s">
        <v>1979</v>
      </c>
      <c r="C41" s="74">
        <f>ROUND(131.923/9509,3)</f>
        <v>1.4E-2</v>
      </c>
      <c r="D41" s="74">
        <f t="shared" si="0"/>
        <v>1.4E-2</v>
      </c>
    </row>
    <row r="42" spans="1:4" x14ac:dyDescent="0.25">
      <c r="A42" s="35">
        <v>2243</v>
      </c>
      <c r="B42" s="40" t="s">
        <v>100</v>
      </c>
      <c r="C42" s="18"/>
      <c r="D42" s="74"/>
    </row>
    <row r="43" spans="1:4" ht="60" x14ac:dyDescent="0.25">
      <c r="A43" s="35"/>
      <c r="B43" s="40" t="s">
        <v>1959</v>
      </c>
      <c r="C43" s="74">
        <f>ROUND(360.94/9509,3)</f>
        <v>3.7999999999999999E-2</v>
      </c>
      <c r="D43" s="74">
        <f t="shared" si="0"/>
        <v>3.7999999999999999E-2</v>
      </c>
    </row>
    <row r="44" spans="1:4" x14ac:dyDescent="0.25">
      <c r="A44" s="35">
        <v>2244</v>
      </c>
      <c r="B44" s="40" t="s">
        <v>92</v>
      </c>
      <c r="C44" s="18"/>
      <c r="D44" s="74"/>
    </row>
    <row r="45" spans="1:4" ht="60" x14ac:dyDescent="0.25">
      <c r="A45" s="79"/>
      <c r="B45" s="40" t="s">
        <v>1960</v>
      </c>
      <c r="C45" s="74">
        <f>ROUND(272.76/9509,3)</f>
        <v>2.9000000000000001E-2</v>
      </c>
      <c r="D45" s="74">
        <f t="shared" si="0"/>
        <v>2.9000000000000001E-2</v>
      </c>
    </row>
    <row r="46" spans="1:4" x14ac:dyDescent="0.25">
      <c r="A46" s="35">
        <v>2247</v>
      </c>
      <c r="B46" s="242" t="s">
        <v>572</v>
      </c>
      <c r="C46" s="18"/>
      <c r="D46" s="74"/>
    </row>
    <row r="47" spans="1:4" ht="60" x14ac:dyDescent="0.25">
      <c r="A47" s="79"/>
      <c r="B47" s="40" t="s">
        <v>1961</v>
      </c>
      <c r="C47" s="74">
        <f>ROUND(12.06/9509,3)</f>
        <v>1E-3</v>
      </c>
      <c r="D47" s="74">
        <f t="shared" si="0"/>
        <v>1E-3</v>
      </c>
    </row>
    <row r="48" spans="1:4" x14ac:dyDescent="0.25">
      <c r="A48" s="35">
        <v>2249</v>
      </c>
      <c r="B48" s="242" t="s">
        <v>573</v>
      </c>
      <c r="C48" s="18"/>
      <c r="D48" s="74"/>
    </row>
    <row r="49" spans="1:4" ht="60" x14ac:dyDescent="0.25">
      <c r="A49" s="79"/>
      <c r="B49" s="40" t="s">
        <v>1962</v>
      </c>
      <c r="C49" s="74">
        <f>ROUND(23.35/9509,3)</f>
        <v>2E-3</v>
      </c>
      <c r="D49" s="74">
        <f t="shared" si="0"/>
        <v>2E-3</v>
      </c>
    </row>
    <row r="50" spans="1:4" x14ac:dyDescent="0.25">
      <c r="A50" s="35">
        <v>2250</v>
      </c>
      <c r="B50" s="40" t="s">
        <v>122</v>
      </c>
      <c r="C50" s="74"/>
      <c r="D50" s="74"/>
    </row>
    <row r="51" spans="1:4" ht="60" x14ac:dyDescent="0.25">
      <c r="A51" s="35"/>
      <c r="B51" s="40" t="s">
        <v>1963</v>
      </c>
      <c r="C51" s="74">
        <f>ROUND(750.97/9509,3)</f>
        <v>7.9000000000000001E-2</v>
      </c>
      <c r="D51" s="74">
        <f t="shared" si="0"/>
        <v>7.9000000000000001E-2</v>
      </c>
    </row>
    <row r="52" spans="1:4" x14ac:dyDescent="0.25">
      <c r="A52" s="35">
        <v>2261</v>
      </c>
      <c r="B52" s="242" t="s">
        <v>146</v>
      </c>
      <c r="C52" s="18"/>
      <c r="D52" s="74"/>
    </row>
    <row r="53" spans="1:4" ht="60" x14ac:dyDescent="0.25">
      <c r="A53" s="35"/>
      <c r="B53" s="40" t="s">
        <v>1965</v>
      </c>
      <c r="C53" s="74">
        <f>ROUND(2620.34/9509,3)</f>
        <v>0.27600000000000002</v>
      </c>
      <c r="D53" s="74">
        <f t="shared" si="0"/>
        <v>0.27600000000000002</v>
      </c>
    </row>
    <row r="54" spans="1:4" x14ac:dyDescent="0.25">
      <c r="A54" s="35">
        <v>2263</v>
      </c>
      <c r="B54" s="242" t="s">
        <v>574</v>
      </c>
      <c r="C54" s="18"/>
      <c r="D54" s="74"/>
    </row>
    <row r="55" spans="1:4" ht="60" x14ac:dyDescent="0.25">
      <c r="A55" s="35"/>
      <c r="B55" s="40" t="s">
        <v>1964</v>
      </c>
      <c r="C55" s="74">
        <f>ROUND(9.91/9509,3)</f>
        <v>1E-3</v>
      </c>
      <c r="D55" s="74">
        <f t="shared" si="0"/>
        <v>1E-3</v>
      </c>
    </row>
    <row r="56" spans="1:4" x14ac:dyDescent="0.25">
      <c r="A56" s="35">
        <v>2264</v>
      </c>
      <c r="B56" s="242" t="s">
        <v>575</v>
      </c>
      <c r="C56" s="18"/>
      <c r="D56" s="74"/>
    </row>
    <row r="57" spans="1:4" ht="60" x14ac:dyDescent="0.25">
      <c r="A57" s="35"/>
      <c r="B57" s="40" t="s">
        <v>1966</v>
      </c>
      <c r="C57" s="18">
        <f>ROUND(132.32/9509,3)</f>
        <v>1.4E-2</v>
      </c>
      <c r="D57" s="18">
        <f t="shared" si="0"/>
        <v>1.4E-2</v>
      </c>
    </row>
    <row r="58" spans="1:4" x14ac:dyDescent="0.25">
      <c r="A58" s="35">
        <v>2311</v>
      </c>
      <c r="B58" s="40" t="s">
        <v>93</v>
      </c>
      <c r="C58" s="74"/>
      <c r="D58" s="74"/>
    </row>
    <row r="59" spans="1:4" ht="60" x14ac:dyDescent="0.25">
      <c r="A59" s="35"/>
      <c r="B59" s="40" t="s">
        <v>1967</v>
      </c>
      <c r="C59" s="74">
        <f>ROUND(72.76/9509,3)</f>
        <v>8.0000000000000002E-3</v>
      </c>
      <c r="D59" s="74">
        <f t="shared" si="0"/>
        <v>8.0000000000000002E-3</v>
      </c>
    </row>
    <row r="60" spans="1:4" x14ac:dyDescent="0.25">
      <c r="A60" s="35">
        <v>2312</v>
      </c>
      <c r="B60" s="40" t="s">
        <v>124</v>
      </c>
      <c r="C60" s="18"/>
      <c r="D60" s="74"/>
    </row>
    <row r="61" spans="1:4" ht="60" x14ac:dyDescent="0.25">
      <c r="A61" s="35"/>
      <c r="B61" s="40" t="s">
        <v>1968</v>
      </c>
      <c r="C61" s="74">
        <f>ROUND(484.21/9509,3)</f>
        <v>5.0999999999999997E-2</v>
      </c>
      <c r="D61" s="74">
        <f t="shared" si="0"/>
        <v>5.0999999999999997E-2</v>
      </c>
    </row>
    <row r="62" spans="1:4" x14ac:dyDescent="0.25">
      <c r="A62" s="35">
        <v>2314</v>
      </c>
      <c r="B62" s="242" t="s">
        <v>576</v>
      </c>
      <c r="C62" s="18"/>
      <c r="D62" s="74"/>
    </row>
    <row r="63" spans="1:4" ht="60" x14ac:dyDescent="0.25">
      <c r="A63" s="35"/>
      <c r="B63" s="40" t="s">
        <v>1969</v>
      </c>
      <c r="C63" s="74">
        <f>ROUND(224.14/9509,3)</f>
        <v>2.4E-2</v>
      </c>
      <c r="D63" s="74">
        <f t="shared" si="0"/>
        <v>2.4E-2</v>
      </c>
    </row>
    <row r="64" spans="1:4" x14ac:dyDescent="0.25">
      <c r="A64" s="35">
        <v>2322</v>
      </c>
      <c r="B64" s="243" t="s">
        <v>577</v>
      </c>
      <c r="C64" s="18"/>
      <c r="D64" s="74"/>
    </row>
    <row r="65" spans="1:4" ht="60" x14ac:dyDescent="0.25">
      <c r="A65" s="35"/>
      <c r="B65" s="40" t="s">
        <v>2014</v>
      </c>
      <c r="C65" s="74">
        <f>ROUND(103.21/9509,3)</f>
        <v>1.0999999999999999E-2</v>
      </c>
      <c r="D65" s="74">
        <f t="shared" si="0"/>
        <v>1.0999999999999999E-2</v>
      </c>
    </row>
    <row r="66" spans="1:4" x14ac:dyDescent="0.25">
      <c r="A66" s="35">
        <v>2350</v>
      </c>
      <c r="B66" s="40" t="s">
        <v>123</v>
      </c>
      <c r="C66" s="74"/>
      <c r="D66" s="74"/>
    </row>
    <row r="67" spans="1:4" ht="60" x14ac:dyDescent="0.25">
      <c r="A67" s="35"/>
      <c r="B67" s="40" t="s">
        <v>1971</v>
      </c>
      <c r="C67" s="74">
        <f>ROUND(241.97/9509,3)</f>
        <v>2.5000000000000001E-2</v>
      </c>
      <c r="D67" s="74">
        <f t="shared" si="0"/>
        <v>2.5000000000000001E-2</v>
      </c>
    </row>
    <row r="68" spans="1:4" x14ac:dyDescent="0.25">
      <c r="A68" s="35">
        <v>2361</v>
      </c>
      <c r="B68" s="242" t="s">
        <v>578</v>
      </c>
      <c r="C68" s="18"/>
      <c r="D68" s="74"/>
    </row>
    <row r="69" spans="1:4" ht="60" x14ac:dyDescent="0.25">
      <c r="A69" s="35"/>
      <c r="B69" s="40" t="s">
        <v>1972</v>
      </c>
      <c r="C69" s="74">
        <f>ROUND(87.42/9509,3)</f>
        <v>8.9999999999999993E-3</v>
      </c>
      <c r="D69" s="74">
        <f t="shared" si="0"/>
        <v>8.9999999999999993E-3</v>
      </c>
    </row>
    <row r="70" spans="1:4" x14ac:dyDescent="0.25">
      <c r="A70" s="35">
        <v>2513</v>
      </c>
      <c r="B70" s="242" t="s">
        <v>579</v>
      </c>
      <c r="C70" s="18"/>
      <c r="D70" s="74"/>
    </row>
    <row r="71" spans="1:4" ht="60" x14ac:dyDescent="0.25">
      <c r="A71" s="35"/>
      <c r="B71" s="40" t="s">
        <v>1973</v>
      </c>
      <c r="C71" s="74">
        <f>ROUND(28.69/9509,3)</f>
        <v>3.0000000000000001E-3</v>
      </c>
      <c r="D71" s="74">
        <f t="shared" si="0"/>
        <v>3.0000000000000001E-3</v>
      </c>
    </row>
    <row r="72" spans="1:4" x14ac:dyDescent="0.25">
      <c r="A72" s="35">
        <v>2519</v>
      </c>
      <c r="B72" s="242" t="s">
        <v>580</v>
      </c>
      <c r="C72" s="74"/>
      <c r="D72" s="74"/>
    </row>
    <row r="73" spans="1:4" ht="60" x14ac:dyDescent="0.25">
      <c r="A73" s="35"/>
      <c r="B73" s="40" t="s">
        <v>1974</v>
      </c>
      <c r="C73" s="74">
        <f>ROUND(8.56/9509,3)</f>
        <v>1E-3</v>
      </c>
      <c r="D73" s="74">
        <f t="shared" si="0"/>
        <v>1E-3</v>
      </c>
    </row>
    <row r="74" spans="1:4" x14ac:dyDescent="0.25">
      <c r="A74" s="35">
        <v>5120</v>
      </c>
      <c r="B74" s="40" t="s">
        <v>101</v>
      </c>
      <c r="C74" s="74"/>
      <c r="D74" s="74"/>
    </row>
    <row r="75" spans="1:4" ht="60" x14ac:dyDescent="0.25">
      <c r="A75" s="35"/>
      <c r="B75" s="40" t="s">
        <v>1975</v>
      </c>
      <c r="C75" s="74">
        <f>ROUND(58.04/9509,3)</f>
        <v>6.0000000000000001E-3</v>
      </c>
      <c r="D75" s="74">
        <f t="shared" si="0"/>
        <v>6.0000000000000001E-3</v>
      </c>
    </row>
    <row r="76" spans="1:4" x14ac:dyDescent="0.25">
      <c r="A76" s="35">
        <v>5210</v>
      </c>
      <c r="B76" s="243" t="s">
        <v>581</v>
      </c>
      <c r="C76" s="74"/>
      <c r="D76" s="74"/>
    </row>
    <row r="77" spans="1:4" ht="60" x14ac:dyDescent="0.25">
      <c r="A77" s="35"/>
      <c r="B77" s="40" t="s">
        <v>1976</v>
      </c>
      <c r="C77" s="74">
        <f>ROUND(249.88/9509,3)</f>
        <v>2.5999999999999999E-2</v>
      </c>
      <c r="D77" s="74">
        <f t="shared" si="0"/>
        <v>2.5999999999999999E-2</v>
      </c>
    </row>
    <row r="78" spans="1:4" x14ac:dyDescent="0.25">
      <c r="A78" s="35">
        <v>5220</v>
      </c>
      <c r="B78" s="248" t="s">
        <v>119</v>
      </c>
      <c r="C78" s="18"/>
      <c r="D78" s="18"/>
    </row>
    <row r="79" spans="1:4" ht="51" x14ac:dyDescent="0.25">
      <c r="A79" s="35"/>
      <c r="B79" s="248" t="s">
        <v>623</v>
      </c>
      <c r="C79" s="18">
        <v>0</v>
      </c>
      <c r="D79" s="18">
        <v>0</v>
      </c>
    </row>
    <row r="80" spans="1:4" x14ac:dyDescent="0.25">
      <c r="A80" s="35">
        <v>5231</v>
      </c>
      <c r="B80" s="243" t="s">
        <v>582</v>
      </c>
      <c r="C80" s="18"/>
      <c r="D80" s="74"/>
    </row>
    <row r="81" spans="1:4" ht="60" x14ac:dyDescent="0.25">
      <c r="A81" s="35"/>
      <c r="B81" s="40" t="s">
        <v>1980</v>
      </c>
      <c r="C81" s="74">
        <f>ROUND(61.55/9509,3)</f>
        <v>6.0000000000000001E-3</v>
      </c>
      <c r="D81" s="74">
        <f t="shared" si="0"/>
        <v>6.0000000000000001E-3</v>
      </c>
    </row>
    <row r="82" spans="1:4" x14ac:dyDescent="0.25">
      <c r="A82" s="35">
        <v>5238</v>
      </c>
      <c r="B82" s="40" t="s">
        <v>117</v>
      </c>
      <c r="C82" s="80"/>
      <c r="D82" s="74"/>
    </row>
    <row r="83" spans="1:4" ht="60" x14ac:dyDescent="0.25">
      <c r="A83" s="35"/>
      <c r="B83" s="40" t="s">
        <v>1977</v>
      </c>
      <c r="C83" s="74">
        <f>ROUND(88.34/9509,3)</f>
        <v>8.9999999999999993E-3</v>
      </c>
      <c r="D83" s="74">
        <f t="shared" si="0"/>
        <v>8.9999999999999993E-3</v>
      </c>
    </row>
    <row r="84" spans="1:4" x14ac:dyDescent="0.25">
      <c r="A84" s="35">
        <v>5239</v>
      </c>
      <c r="B84" s="243" t="s">
        <v>583</v>
      </c>
      <c r="C84" s="74"/>
      <c r="D84" s="74"/>
    </row>
    <row r="85" spans="1:4" ht="60" x14ac:dyDescent="0.25">
      <c r="A85" s="35"/>
      <c r="B85" s="40" t="s">
        <v>1978</v>
      </c>
      <c r="C85" s="74">
        <f>ROUND(151.09/9509,3)</f>
        <v>1.6E-2</v>
      </c>
      <c r="D85" s="74">
        <f t="shared" si="0"/>
        <v>1.6E-2</v>
      </c>
    </row>
    <row r="86" spans="1:4" x14ac:dyDescent="0.25">
      <c r="A86" s="35"/>
      <c r="B86" s="81" t="s">
        <v>94</v>
      </c>
      <c r="C86" s="82">
        <f>ROUND(C21+C23+C25+C27+C29+C31+C33+C35+C37+C39+C41+C43+C45+C47+C49+C51+C53+C55+C57+C59+C61+C63+C65+C67+C69+C71+C73+C75+C77+C81+C83+C85,2)</f>
        <v>0.93</v>
      </c>
      <c r="D86" s="82">
        <f>ROUND(D21+D23+D25+D27+D29+D31+D33+D35+D37+D39+D41+D43+D45+D47+D49+D51+D53+D55+D57+D59+D61+D63+D65+D67+D69+D71+D73+D75+D77+D81+D83+D85,2)</f>
        <v>0.93</v>
      </c>
    </row>
    <row r="87" spans="1:4" x14ac:dyDescent="0.25">
      <c r="A87" s="83"/>
      <c r="B87" s="84" t="s">
        <v>95</v>
      </c>
      <c r="C87" s="82">
        <f>ROUND(C86+C18,3)</f>
        <v>46.865000000000002</v>
      </c>
      <c r="D87" s="82">
        <f>ROUND(D86+D18,3)</f>
        <v>46.865000000000002</v>
      </c>
    </row>
    <row r="88" spans="1:4" x14ac:dyDescent="0.25">
      <c r="A88" s="85"/>
      <c r="B88" s="86"/>
      <c r="C88" s="87"/>
      <c r="D88" s="87"/>
    </row>
    <row r="89" spans="1:4" x14ac:dyDescent="0.25">
      <c r="A89" s="302" t="s">
        <v>96</v>
      </c>
      <c r="B89" s="303"/>
      <c r="C89" s="88">
        <v>1</v>
      </c>
      <c r="D89" s="89"/>
    </row>
    <row r="90" spans="1:4" ht="30.75" customHeight="1" x14ac:dyDescent="0.25">
      <c r="A90" s="302" t="s">
        <v>113</v>
      </c>
      <c r="B90" s="303"/>
      <c r="C90" s="22">
        <f>D87/C89</f>
        <v>46.865000000000002</v>
      </c>
      <c r="D90" s="22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F5F4-E299-4123-B935-1C064F15C88E}">
  <dimension ref="A1:H92"/>
  <sheetViews>
    <sheetView tabSelected="1" topLeftCell="A84" workbookViewId="0">
      <selection activeCell="D102" sqref="D102"/>
    </sheetView>
  </sheetViews>
  <sheetFormatPr defaultRowHeight="15" x14ac:dyDescent="0.25"/>
  <cols>
    <col min="2" max="2" width="60" customWidth="1"/>
    <col min="3" max="3" width="9.7109375" customWidth="1"/>
    <col min="4" max="4" width="14.5703125" customWidth="1"/>
  </cols>
  <sheetData>
    <row r="1" spans="1:8" x14ac:dyDescent="0.25">
      <c r="A1" s="330" t="s">
        <v>78</v>
      </c>
      <c r="B1" s="330"/>
      <c r="C1" s="330"/>
      <c r="D1" s="330"/>
    </row>
    <row r="2" spans="1:8" x14ac:dyDescent="0.25">
      <c r="A2" s="41"/>
      <c r="B2" s="41"/>
      <c r="C2" s="331"/>
      <c r="D2" s="337"/>
    </row>
    <row r="3" spans="1:8" x14ac:dyDescent="0.25">
      <c r="A3" s="42" t="s">
        <v>111</v>
      </c>
      <c r="B3" s="43"/>
      <c r="C3" s="43"/>
      <c r="D3" s="43"/>
    </row>
    <row r="4" spans="1:8" x14ac:dyDescent="0.25">
      <c r="A4" s="41"/>
      <c r="B4" s="7"/>
      <c r="C4" s="7"/>
      <c r="D4" s="26"/>
    </row>
    <row r="5" spans="1:8" ht="37.5" customHeight="1" x14ac:dyDescent="0.25">
      <c r="A5" s="332" t="s">
        <v>547</v>
      </c>
      <c r="B5" s="332"/>
      <c r="C5" s="332"/>
      <c r="D5" s="332"/>
    </row>
    <row r="6" spans="1:8" ht="9" customHeight="1" x14ac:dyDescent="0.25">
      <c r="A6" s="6"/>
      <c r="B6" s="7"/>
      <c r="C6" s="7"/>
      <c r="D6" s="26"/>
    </row>
    <row r="7" spans="1:8" x14ac:dyDescent="0.25">
      <c r="A7" s="333" t="s">
        <v>112</v>
      </c>
      <c r="B7" s="334"/>
      <c r="C7" s="7"/>
      <c r="D7" s="26"/>
    </row>
    <row r="8" spans="1:8" x14ac:dyDescent="0.25">
      <c r="A8" s="228"/>
      <c r="B8" s="229"/>
      <c r="C8" s="7"/>
      <c r="D8" s="26"/>
    </row>
    <row r="9" spans="1:8" x14ac:dyDescent="0.25">
      <c r="A9" s="335" t="s">
        <v>184</v>
      </c>
      <c r="B9" s="335"/>
      <c r="C9" s="7"/>
      <c r="D9" s="26"/>
    </row>
    <row r="10" spans="1:8" x14ac:dyDescent="0.25">
      <c r="A10" s="41"/>
      <c r="B10" s="44"/>
      <c r="C10" s="25"/>
      <c r="D10" s="26"/>
    </row>
    <row r="11" spans="1:8" ht="90.75" customHeight="1" x14ac:dyDescent="0.25">
      <c r="A11" s="10" t="s">
        <v>80</v>
      </c>
      <c r="B11" s="10" t="s">
        <v>81</v>
      </c>
      <c r="C11" s="10" t="s">
        <v>82</v>
      </c>
      <c r="D11" s="10" t="s">
        <v>83</v>
      </c>
    </row>
    <row r="12" spans="1:8" x14ac:dyDescent="0.25">
      <c r="A12" s="11">
        <v>1</v>
      </c>
      <c r="B12" s="12">
        <v>2</v>
      </c>
      <c r="C12" s="11">
        <v>3</v>
      </c>
      <c r="D12" s="11">
        <v>4</v>
      </c>
    </row>
    <row r="13" spans="1:8" x14ac:dyDescent="0.25">
      <c r="A13" s="11"/>
      <c r="B13" s="27" t="s">
        <v>84</v>
      </c>
      <c r="C13" s="13"/>
      <c r="D13" s="13"/>
    </row>
    <row r="14" spans="1:8" x14ac:dyDescent="0.25">
      <c r="A14" s="28">
        <v>1100</v>
      </c>
      <c r="B14" s="29" t="s">
        <v>85</v>
      </c>
      <c r="C14" s="14"/>
      <c r="D14" s="14"/>
    </row>
    <row r="15" spans="1:8" ht="179.25" customHeight="1" x14ac:dyDescent="0.25">
      <c r="A15" s="30"/>
      <c r="B15" s="40" t="s">
        <v>480</v>
      </c>
      <c r="C15" s="18">
        <f>0.17*10+0.17*10+0.17*10+ 1.7/2+24</f>
        <v>29.95</v>
      </c>
      <c r="D15" s="18">
        <f>C15*1</f>
        <v>29.95</v>
      </c>
      <c r="E15" s="361"/>
      <c r="F15" s="363"/>
      <c r="G15" s="363"/>
      <c r="H15" s="363"/>
    </row>
    <row r="16" spans="1:8" ht="24" x14ac:dyDescent="0.25">
      <c r="A16" s="30">
        <v>1200</v>
      </c>
      <c r="B16" s="40" t="s">
        <v>481</v>
      </c>
      <c r="C16" s="18">
        <f>ROUND(C15*0.2359,2)</f>
        <v>7.07</v>
      </c>
      <c r="D16" s="18">
        <f>C16*1</f>
        <v>7.07</v>
      </c>
    </row>
    <row r="17" spans="1:4" x14ac:dyDescent="0.25">
      <c r="A17" s="30">
        <v>2341</v>
      </c>
      <c r="B17" s="30" t="s">
        <v>86</v>
      </c>
      <c r="C17" s="19"/>
      <c r="D17" s="19"/>
    </row>
    <row r="18" spans="1:4" ht="72" x14ac:dyDescent="0.25">
      <c r="A18" s="30"/>
      <c r="B18" s="40" t="s">
        <v>451</v>
      </c>
      <c r="C18" s="16">
        <v>5.66</v>
      </c>
      <c r="D18" s="16">
        <f>C18*1</f>
        <v>5.66</v>
      </c>
    </row>
    <row r="19" spans="1:4" x14ac:dyDescent="0.25">
      <c r="A19" s="34"/>
      <c r="B19" s="136" t="s">
        <v>87</v>
      </c>
      <c r="C19" s="137">
        <f>SUM(C14:C18)</f>
        <v>42.679999999999993</v>
      </c>
      <c r="D19" s="137">
        <f>SUM(D14:D18)</f>
        <v>42.679999999999993</v>
      </c>
    </row>
    <row r="20" spans="1:4" x14ac:dyDescent="0.25">
      <c r="A20" s="77"/>
      <c r="B20" s="176" t="s">
        <v>88</v>
      </c>
      <c r="C20" s="78"/>
      <c r="D20" s="78"/>
    </row>
    <row r="21" spans="1:4" x14ac:dyDescent="0.25">
      <c r="A21" s="35">
        <v>2100</v>
      </c>
      <c r="B21" s="244" t="s">
        <v>584</v>
      </c>
      <c r="C21" s="78"/>
      <c r="D21" s="78"/>
    </row>
    <row r="22" spans="1:4" ht="60" x14ac:dyDescent="0.25">
      <c r="A22" s="77"/>
      <c r="B22" s="40" t="s">
        <v>1949</v>
      </c>
      <c r="C22" s="74">
        <f>ROUND(31.85/9509,3)</f>
        <v>3.0000000000000001E-3</v>
      </c>
      <c r="D22" s="74">
        <f>C22*1</f>
        <v>3.0000000000000001E-3</v>
      </c>
    </row>
    <row r="23" spans="1:4" x14ac:dyDescent="0.25">
      <c r="A23" s="35">
        <v>2210</v>
      </c>
      <c r="B23" s="40" t="s">
        <v>568</v>
      </c>
      <c r="C23" s="74"/>
      <c r="D23" s="74"/>
    </row>
    <row r="24" spans="1:4" ht="60" x14ac:dyDescent="0.25">
      <c r="A24" s="35"/>
      <c r="B24" s="40" t="s">
        <v>1950</v>
      </c>
      <c r="C24" s="74">
        <f>ROUND(228.88/9509,3)</f>
        <v>2.4E-2</v>
      </c>
      <c r="D24" s="74">
        <f t="shared" ref="D24:D86" si="0">C24*1</f>
        <v>2.4E-2</v>
      </c>
    </row>
    <row r="25" spans="1:4" x14ac:dyDescent="0.25">
      <c r="A25" s="35">
        <v>2221</v>
      </c>
      <c r="B25" s="40" t="s">
        <v>89</v>
      </c>
      <c r="C25" s="18"/>
      <c r="D25" s="74"/>
    </row>
    <row r="26" spans="1:4" ht="60" x14ac:dyDescent="0.25">
      <c r="A26" s="35"/>
      <c r="B26" s="40" t="s">
        <v>1951</v>
      </c>
      <c r="C26" s="18">
        <f>ROUND(382.73/9509,3)</f>
        <v>0.04</v>
      </c>
      <c r="D26" s="18">
        <f t="shared" si="0"/>
        <v>0.04</v>
      </c>
    </row>
    <row r="27" spans="1:4" x14ac:dyDescent="0.25">
      <c r="A27" s="35">
        <v>2222</v>
      </c>
      <c r="B27" s="242" t="s">
        <v>90</v>
      </c>
      <c r="C27" s="18"/>
      <c r="D27" s="74"/>
    </row>
    <row r="28" spans="1:4" ht="60" x14ac:dyDescent="0.25">
      <c r="A28" s="35"/>
      <c r="B28" s="40" t="s">
        <v>1952</v>
      </c>
      <c r="C28" s="74">
        <f>ROUND(38.69/9509,3)</f>
        <v>4.0000000000000001E-3</v>
      </c>
      <c r="D28" s="74">
        <f t="shared" si="0"/>
        <v>4.0000000000000001E-3</v>
      </c>
    </row>
    <row r="29" spans="1:4" x14ac:dyDescent="0.25">
      <c r="A29" s="35">
        <v>2223</v>
      </c>
      <c r="B29" s="35" t="s">
        <v>91</v>
      </c>
      <c r="C29" s="74"/>
      <c r="D29" s="74"/>
    </row>
    <row r="30" spans="1:4" ht="60" x14ac:dyDescent="0.25">
      <c r="A30" s="35"/>
      <c r="B30" s="40" t="s">
        <v>1953</v>
      </c>
      <c r="C30" s="74">
        <f>ROUND(1004.28/9509,3)</f>
        <v>0.106</v>
      </c>
      <c r="D30" s="74">
        <f t="shared" si="0"/>
        <v>0.106</v>
      </c>
    </row>
    <row r="31" spans="1:4" ht="24" x14ac:dyDescent="0.25">
      <c r="A31" s="35">
        <v>2224</v>
      </c>
      <c r="B31" s="40" t="s">
        <v>115</v>
      </c>
      <c r="C31" s="74"/>
      <c r="D31" s="74"/>
    </row>
    <row r="32" spans="1:4" ht="60" x14ac:dyDescent="0.25">
      <c r="A32" s="34"/>
      <c r="B32" s="40" t="s">
        <v>1954</v>
      </c>
      <c r="C32" s="74">
        <f>ROUND(82.8/9509,3)</f>
        <v>8.9999999999999993E-3</v>
      </c>
      <c r="D32" s="74">
        <f t="shared" si="0"/>
        <v>8.9999999999999993E-3</v>
      </c>
    </row>
    <row r="33" spans="1:4" x14ac:dyDescent="0.25">
      <c r="A33" s="35">
        <v>2231</v>
      </c>
      <c r="B33" s="40" t="s">
        <v>121</v>
      </c>
      <c r="C33" s="74"/>
      <c r="D33" s="74"/>
    </row>
    <row r="34" spans="1:4" ht="60" x14ac:dyDescent="0.25">
      <c r="A34" s="35"/>
      <c r="B34" s="40" t="s">
        <v>1955</v>
      </c>
      <c r="C34" s="18">
        <f>ROUND(289.4/9509,3)</f>
        <v>0.03</v>
      </c>
      <c r="D34" s="18">
        <f t="shared" si="0"/>
        <v>0.03</v>
      </c>
    </row>
    <row r="35" spans="1:4" x14ac:dyDescent="0.25">
      <c r="A35" s="35">
        <v>2233</v>
      </c>
      <c r="B35" s="242" t="s">
        <v>143</v>
      </c>
      <c r="C35" s="18"/>
      <c r="D35" s="74"/>
    </row>
    <row r="36" spans="1:4" ht="60" x14ac:dyDescent="0.25">
      <c r="A36" s="35"/>
      <c r="B36" s="40" t="s">
        <v>1956</v>
      </c>
      <c r="C36" s="74">
        <f>ROUND(20.68/9509,3)</f>
        <v>2E-3</v>
      </c>
      <c r="D36" s="74">
        <f t="shared" si="0"/>
        <v>2E-3</v>
      </c>
    </row>
    <row r="37" spans="1:4" x14ac:dyDescent="0.25">
      <c r="A37" s="35">
        <v>2235</v>
      </c>
      <c r="B37" s="242" t="s">
        <v>569</v>
      </c>
      <c r="C37" s="74"/>
      <c r="D37" s="74"/>
    </row>
    <row r="38" spans="1:4" ht="60" x14ac:dyDescent="0.25">
      <c r="A38" s="35"/>
      <c r="B38" s="40" t="s">
        <v>1957</v>
      </c>
      <c r="C38" s="74">
        <f>ROUND(58.15/9509,3)</f>
        <v>6.0000000000000001E-3</v>
      </c>
      <c r="D38" s="74">
        <f t="shared" si="0"/>
        <v>6.0000000000000001E-3</v>
      </c>
    </row>
    <row r="39" spans="1:4" x14ac:dyDescent="0.25">
      <c r="A39" s="35">
        <v>2239</v>
      </c>
      <c r="B39" s="242" t="s">
        <v>570</v>
      </c>
      <c r="C39" s="74"/>
      <c r="D39" s="74"/>
    </row>
    <row r="40" spans="1:4" ht="60" x14ac:dyDescent="0.25">
      <c r="A40" s="35"/>
      <c r="B40" s="40" t="s">
        <v>1958</v>
      </c>
      <c r="C40" s="74">
        <f>ROUND(524.45/9509,3)</f>
        <v>5.5E-2</v>
      </c>
      <c r="D40" s="74">
        <f t="shared" si="0"/>
        <v>5.5E-2</v>
      </c>
    </row>
    <row r="41" spans="1:4" x14ac:dyDescent="0.25">
      <c r="A41" s="35">
        <v>2242</v>
      </c>
      <c r="B41" s="242" t="s">
        <v>571</v>
      </c>
      <c r="C41" s="74"/>
      <c r="D41" s="74"/>
    </row>
    <row r="42" spans="1:4" ht="60" x14ac:dyDescent="0.25">
      <c r="A42" s="35"/>
      <c r="B42" s="40" t="s">
        <v>1979</v>
      </c>
      <c r="C42" s="74">
        <f>ROUND(131.923/9509,3)</f>
        <v>1.4E-2</v>
      </c>
      <c r="D42" s="74">
        <f t="shared" si="0"/>
        <v>1.4E-2</v>
      </c>
    </row>
    <row r="43" spans="1:4" x14ac:dyDescent="0.25">
      <c r="A43" s="35">
        <v>2243</v>
      </c>
      <c r="B43" s="40" t="s">
        <v>100</v>
      </c>
      <c r="C43" s="18"/>
      <c r="D43" s="74"/>
    </row>
    <row r="44" spans="1:4" ht="60" x14ac:dyDescent="0.25">
      <c r="A44" s="35"/>
      <c r="B44" s="40" t="s">
        <v>1959</v>
      </c>
      <c r="C44" s="74">
        <f>ROUND(360.94/9509,3)</f>
        <v>3.7999999999999999E-2</v>
      </c>
      <c r="D44" s="74">
        <f t="shared" si="0"/>
        <v>3.7999999999999999E-2</v>
      </c>
    </row>
    <row r="45" spans="1:4" x14ac:dyDescent="0.25">
      <c r="A45" s="35">
        <v>2244</v>
      </c>
      <c r="B45" s="40" t="s">
        <v>92</v>
      </c>
      <c r="C45" s="18"/>
      <c r="D45" s="74"/>
    </row>
    <row r="46" spans="1:4" ht="60" x14ac:dyDescent="0.25">
      <c r="A46" s="79"/>
      <c r="B46" s="40" t="s">
        <v>1960</v>
      </c>
      <c r="C46" s="74">
        <f>ROUND(272.76/9509,3)</f>
        <v>2.9000000000000001E-2</v>
      </c>
      <c r="D46" s="74">
        <f t="shared" si="0"/>
        <v>2.9000000000000001E-2</v>
      </c>
    </row>
    <row r="47" spans="1:4" x14ac:dyDescent="0.25">
      <c r="A47" s="35">
        <v>2247</v>
      </c>
      <c r="B47" s="242" t="s">
        <v>572</v>
      </c>
      <c r="C47" s="18"/>
      <c r="D47" s="74"/>
    </row>
    <row r="48" spans="1:4" ht="60" x14ac:dyDescent="0.25">
      <c r="A48" s="79"/>
      <c r="B48" s="40" t="s">
        <v>1961</v>
      </c>
      <c r="C48" s="74">
        <f>ROUND(12.06/9509,3)</f>
        <v>1E-3</v>
      </c>
      <c r="D48" s="74">
        <f t="shared" si="0"/>
        <v>1E-3</v>
      </c>
    </row>
    <row r="49" spans="1:4" x14ac:dyDescent="0.25">
      <c r="A49" s="35">
        <v>2249</v>
      </c>
      <c r="B49" s="242" t="s">
        <v>573</v>
      </c>
      <c r="C49" s="18"/>
      <c r="D49" s="74"/>
    </row>
    <row r="50" spans="1:4" ht="48" x14ac:dyDescent="0.25">
      <c r="A50" s="79"/>
      <c r="B50" s="40" t="s">
        <v>1962</v>
      </c>
      <c r="C50" s="74">
        <f>ROUND(23.35/9509,3)</f>
        <v>2E-3</v>
      </c>
      <c r="D50" s="74">
        <f t="shared" si="0"/>
        <v>2E-3</v>
      </c>
    </row>
    <row r="51" spans="1:4" x14ac:dyDescent="0.25">
      <c r="A51" s="35">
        <v>2250</v>
      </c>
      <c r="B51" s="40" t="s">
        <v>122</v>
      </c>
      <c r="C51" s="74"/>
      <c r="D51" s="74"/>
    </row>
    <row r="52" spans="1:4" ht="60" x14ac:dyDescent="0.25">
      <c r="A52" s="35"/>
      <c r="B52" s="40" t="s">
        <v>1963</v>
      </c>
      <c r="C52" s="74">
        <f>ROUND(750.97/9509,3)</f>
        <v>7.9000000000000001E-2</v>
      </c>
      <c r="D52" s="74">
        <f t="shared" si="0"/>
        <v>7.9000000000000001E-2</v>
      </c>
    </row>
    <row r="53" spans="1:4" x14ac:dyDescent="0.25">
      <c r="A53" s="35">
        <v>2261</v>
      </c>
      <c r="B53" s="242" t="s">
        <v>146</v>
      </c>
      <c r="C53" s="18"/>
      <c r="D53" s="74"/>
    </row>
    <row r="54" spans="1:4" ht="60" x14ac:dyDescent="0.25">
      <c r="A54" s="35"/>
      <c r="B54" s="40" t="s">
        <v>1965</v>
      </c>
      <c r="C54" s="74">
        <f>ROUND(2620.34/9509,3)</f>
        <v>0.27600000000000002</v>
      </c>
      <c r="D54" s="74">
        <f t="shared" si="0"/>
        <v>0.27600000000000002</v>
      </c>
    </row>
    <row r="55" spans="1:4" x14ac:dyDescent="0.25">
      <c r="A55" s="35">
        <v>2263</v>
      </c>
      <c r="B55" s="242" t="s">
        <v>574</v>
      </c>
      <c r="C55" s="18"/>
      <c r="D55" s="74"/>
    </row>
    <row r="56" spans="1:4" ht="60" x14ac:dyDescent="0.25">
      <c r="A56" s="35"/>
      <c r="B56" s="40" t="s">
        <v>1964</v>
      </c>
      <c r="C56" s="74">
        <f>ROUND(9.91/9509,3)</f>
        <v>1E-3</v>
      </c>
      <c r="D56" s="74">
        <f t="shared" si="0"/>
        <v>1E-3</v>
      </c>
    </row>
    <row r="57" spans="1:4" x14ac:dyDescent="0.25">
      <c r="A57" s="35">
        <v>2264</v>
      </c>
      <c r="B57" s="242" t="s">
        <v>575</v>
      </c>
      <c r="C57" s="18"/>
      <c r="D57" s="74"/>
    </row>
    <row r="58" spans="1:4" ht="60" x14ac:dyDescent="0.25">
      <c r="A58" s="35"/>
      <c r="B58" s="40" t="s">
        <v>1966</v>
      </c>
      <c r="C58" s="74">
        <f>ROUND(132.32/9509,3)</f>
        <v>1.4E-2</v>
      </c>
      <c r="D58" s="18">
        <f t="shared" si="0"/>
        <v>1.4E-2</v>
      </c>
    </row>
    <row r="59" spans="1:4" x14ac:dyDescent="0.25">
      <c r="A59" s="35">
        <v>2311</v>
      </c>
      <c r="B59" s="40" t="s">
        <v>93</v>
      </c>
      <c r="C59" s="74"/>
      <c r="D59" s="74"/>
    </row>
    <row r="60" spans="1:4" ht="48" x14ac:dyDescent="0.25">
      <c r="A60" s="35"/>
      <c r="B60" s="40" t="s">
        <v>1967</v>
      </c>
      <c r="C60" s="74">
        <f>ROUND(72.76/9509,3)</f>
        <v>8.0000000000000002E-3</v>
      </c>
      <c r="D60" s="74">
        <f t="shared" si="0"/>
        <v>8.0000000000000002E-3</v>
      </c>
    </row>
    <row r="61" spans="1:4" x14ac:dyDescent="0.25">
      <c r="A61" s="35">
        <v>2312</v>
      </c>
      <c r="B61" s="40" t="s">
        <v>124</v>
      </c>
      <c r="C61" s="18"/>
      <c r="D61" s="74"/>
    </row>
    <row r="62" spans="1:4" ht="60" x14ac:dyDescent="0.25">
      <c r="A62" s="35"/>
      <c r="B62" s="40" t="s">
        <v>1968</v>
      </c>
      <c r="C62" s="74">
        <f>ROUND(484.21/9509,3)</f>
        <v>5.0999999999999997E-2</v>
      </c>
      <c r="D62" s="74">
        <f t="shared" si="0"/>
        <v>5.0999999999999997E-2</v>
      </c>
    </row>
    <row r="63" spans="1:4" x14ac:dyDescent="0.25">
      <c r="A63" s="35">
        <v>2314</v>
      </c>
      <c r="B63" s="242" t="s">
        <v>576</v>
      </c>
      <c r="C63" s="18"/>
      <c r="D63" s="74"/>
    </row>
    <row r="64" spans="1:4" ht="60" x14ac:dyDescent="0.25">
      <c r="A64" s="35"/>
      <c r="B64" s="40" t="s">
        <v>1969</v>
      </c>
      <c r="C64" s="74">
        <f>ROUND(224.14/9509,3)</f>
        <v>2.4E-2</v>
      </c>
      <c r="D64" s="74">
        <f t="shared" si="0"/>
        <v>2.4E-2</v>
      </c>
    </row>
    <row r="65" spans="1:4" x14ac:dyDescent="0.25">
      <c r="A65" s="35">
        <v>2322</v>
      </c>
      <c r="B65" s="243" t="s">
        <v>577</v>
      </c>
      <c r="C65" s="18"/>
      <c r="D65" s="74"/>
    </row>
    <row r="66" spans="1:4" ht="60" x14ac:dyDescent="0.25">
      <c r="A66" s="35"/>
      <c r="B66" s="40" t="s">
        <v>2014</v>
      </c>
      <c r="C66" s="74">
        <f>ROUND(103.21/9509,3)</f>
        <v>1.0999999999999999E-2</v>
      </c>
      <c r="D66" s="74">
        <f t="shared" si="0"/>
        <v>1.0999999999999999E-2</v>
      </c>
    </row>
    <row r="67" spans="1:4" x14ac:dyDescent="0.25">
      <c r="A67" s="35">
        <v>2350</v>
      </c>
      <c r="B67" s="40" t="s">
        <v>123</v>
      </c>
      <c r="C67" s="74"/>
      <c r="D67" s="74"/>
    </row>
    <row r="68" spans="1:4" ht="60" x14ac:dyDescent="0.25">
      <c r="A68" s="35"/>
      <c r="B68" s="40" t="s">
        <v>1971</v>
      </c>
      <c r="C68" s="74">
        <f>ROUND(241.97/9509,3)</f>
        <v>2.5000000000000001E-2</v>
      </c>
      <c r="D68" s="74">
        <f t="shared" si="0"/>
        <v>2.5000000000000001E-2</v>
      </c>
    </row>
    <row r="69" spans="1:4" x14ac:dyDescent="0.25">
      <c r="A69" s="35">
        <v>2361</v>
      </c>
      <c r="B69" s="242" t="s">
        <v>578</v>
      </c>
      <c r="C69" s="18"/>
      <c r="D69" s="74"/>
    </row>
    <row r="70" spans="1:4" ht="60" x14ac:dyDescent="0.25">
      <c r="A70" s="35"/>
      <c r="B70" s="40" t="s">
        <v>1972</v>
      </c>
      <c r="C70" s="74">
        <f>ROUND(87.42/9509,3)</f>
        <v>8.9999999999999993E-3</v>
      </c>
      <c r="D70" s="74">
        <f t="shared" si="0"/>
        <v>8.9999999999999993E-3</v>
      </c>
    </row>
    <row r="71" spans="1:4" x14ac:dyDescent="0.25">
      <c r="A71" s="35">
        <v>2513</v>
      </c>
      <c r="B71" s="242" t="s">
        <v>579</v>
      </c>
      <c r="C71" s="18"/>
      <c r="D71" s="74"/>
    </row>
    <row r="72" spans="1:4" ht="60" x14ac:dyDescent="0.25">
      <c r="A72" s="35"/>
      <c r="B72" s="40" t="s">
        <v>1973</v>
      </c>
      <c r="C72" s="74">
        <f>ROUND(28.69/9509,3)</f>
        <v>3.0000000000000001E-3</v>
      </c>
      <c r="D72" s="74">
        <f t="shared" si="0"/>
        <v>3.0000000000000001E-3</v>
      </c>
    </row>
    <row r="73" spans="1:4" x14ac:dyDescent="0.25">
      <c r="A73" s="35">
        <v>2519</v>
      </c>
      <c r="B73" s="242" t="s">
        <v>580</v>
      </c>
      <c r="C73" s="74"/>
      <c r="D73" s="74"/>
    </row>
    <row r="74" spans="1:4" ht="60" x14ac:dyDescent="0.25">
      <c r="A74" s="35"/>
      <c r="B74" s="40" t="s">
        <v>1974</v>
      </c>
      <c r="C74" s="74">
        <f>ROUND(8.56/9509,3)</f>
        <v>1E-3</v>
      </c>
      <c r="D74" s="74">
        <f t="shared" si="0"/>
        <v>1E-3</v>
      </c>
    </row>
    <row r="75" spans="1:4" x14ac:dyDescent="0.25">
      <c r="A75" s="35">
        <v>5120</v>
      </c>
      <c r="B75" s="40" t="s">
        <v>101</v>
      </c>
      <c r="C75" s="74"/>
      <c r="D75" s="74"/>
    </row>
    <row r="76" spans="1:4" ht="60" x14ac:dyDescent="0.25">
      <c r="A76" s="35"/>
      <c r="B76" s="40" t="s">
        <v>1975</v>
      </c>
      <c r="C76" s="74">
        <f>ROUND(58.04/9509,3)</f>
        <v>6.0000000000000001E-3</v>
      </c>
      <c r="D76" s="74">
        <f t="shared" si="0"/>
        <v>6.0000000000000001E-3</v>
      </c>
    </row>
    <row r="77" spans="1:4" x14ac:dyDescent="0.25">
      <c r="A77" s="35">
        <v>5210</v>
      </c>
      <c r="B77" s="243" t="s">
        <v>581</v>
      </c>
      <c r="C77" s="74"/>
      <c r="D77" s="74"/>
    </row>
    <row r="78" spans="1:4" ht="60" x14ac:dyDescent="0.25">
      <c r="A78" s="35"/>
      <c r="B78" s="40" t="s">
        <v>1976</v>
      </c>
      <c r="C78" s="74">
        <f>ROUND(249.88/9509,3)</f>
        <v>2.5999999999999999E-2</v>
      </c>
      <c r="D78" s="74">
        <f t="shared" si="0"/>
        <v>2.5999999999999999E-2</v>
      </c>
    </row>
    <row r="79" spans="1:4" x14ac:dyDescent="0.25">
      <c r="A79" s="35">
        <v>5220</v>
      </c>
      <c r="B79" s="40" t="s">
        <v>119</v>
      </c>
      <c r="C79" s="18"/>
      <c r="D79" s="18"/>
    </row>
    <row r="80" spans="1:4" ht="48" x14ac:dyDescent="0.25">
      <c r="A80" s="35"/>
      <c r="B80" s="40" t="s">
        <v>624</v>
      </c>
      <c r="C80" s="18">
        <v>0</v>
      </c>
      <c r="D80" s="18">
        <v>0</v>
      </c>
    </row>
    <row r="81" spans="1:4" x14ac:dyDescent="0.25">
      <c r="A81" s="35">
        <v>5231</v>
      </c>
      <c r="B81" s="243" t="s">
        <v>582</v>
      </c>
      <c r="C81" s="18"/>
      <c r="D81" s="74"/>
    </row>
    <row r="82" spans="1:4" ht="60" x14ac:dyDescent="0.25">
      <c r="A82" s="35"/>
      <c r="B82" s="40" t="s">
        <v>1980</v>
      </c>
      <c r="C82" s="74">
        <f>ROUND(61.55/9509,3)</f>
        <v>6.0000000000000001E-3</v>
      </c>
      <c r="D82" s="74">
        <f t="shared" si="0"/>
        <v>6.0000000000000001E-3</v>
      </c>
    </row>
    <row r="83" spans="1:4" x14ac:dyDescent="0.25">
      <c r="A83" s="35">
        <v>5238</v>
      </c>
      <c r="B83" s="40" t="s">
        <v>117</v>
      </c>
      <c r="C83" s="80"/>
      <c r="D83" s="74"/>
    </row>
    <row r="84" spans="1:4" ht="60" x14ac:dyDescent="0.25">
      <c r="A84" s="35"/>
      <c r="B84" s="40" t="s">
        <v>1977</v>
      </c>
      <c r="C84" s="74">
        <f>ROUND(88.34/9509,3)</f>
        <v>8.9999999999999993E-3</v>
      </c>
      <c r="D84" s="74">
        <f t="shared" si="0"/>
        <v>8.9999999999999993E-3</v>
      </c>
    </row>
    <row r="85" spans="1:4" x14ac:dyDescent="0.25">
      <c r="A85" s="35">
        <v>5239</v>
      </c>
      <c r="B85" s="243" t="s">
        <v>583</v>
      </c>
      <c r="C85" s="74"/>
      <c r="D85" s="74"/>
    </row>
    <row r="86" spans="1:4" ht="60" x14ac:dyDescent="0.25">
      <c r="A86" s="35"/>
      <c r="B86" s="40" t="s">
        <v>1978</v>
      </c>
      <c r="C86" s="74">
        <f>ROUND(151.09/9509,3)</f>
        <v>1.6E-2</v>
      </c>
      <c r="D86" s="74">
        <f t="shared" si="0"/>
        <v>1.6E-2</v>
      </c>
    </row>
    <row r="87" spans="1:4" x14ac:dyDescent="0.25">
      <c r="A87" s="35"/>
      <c r="B87" s="81" t="s">
        <v>94</v>
      </c>
      <c r="C87" s="82">
        <f>ROUND(C22+C24+C26+C28+C30+C32+C34+C36+C38+C40+C42+C44+C46+C48+C50+C52+C54+C56+C58+C60+C62+C64+C66+C68+C70+C72+C74+C76+C78+C82+C84+C86,2)</f>
        <v>0.93</v>
      </c>
      <c r="D87" s="82">
        <f>ROUND(D22+D24+D26+D28+D30+D32+D34+D36+D38+D40+D42+D44+D46+D48+D50+D52+D54+D56+D58+D60+D62+D64+D66+D68+D70+D72+D74+D76+D78+D82+D84+D86,2)</f>
        <v>0.93</v>
      </c>
    </row>
    <row r="88" spans="1:4" x14ac:dyDescent="0.25">
      <c r="A88" s="83"/>
      <c r="B88" s="84" t="s">
        <v>95</v>
      </c>
      <c r="C88" s="82">
        <f>ROUND(C87+C19,3)</f>
        <v>43.61</v>
      </c>
      <c r="D88" s="82">
        <f>ROUND(D87+D19,3)</f>
        <v>43.61</v>
      </c>
    </row>
    <row r="89" spans="1:4" x14ac:dyDescent="0.25">
      <c r="A89" s="85"/>
      <c r="B89" s="86"/>
      <c r="C89" s="87"/>
      <c r="D89" s="87"/>
    </row>
    <row r="90" spans="1:4" x14ac:dyDescent="0.25">
      <c r="A90" s="302" t="s">
        <v>96</v>
      </c>
      <c r="B90" s="303"/>
      <c r="C90" s="88">
        <v>1</v>
      </c>
      <c r="D90" s="89"/>
    </row>
    <row r="91" spans="1:4" ht="24" customHeight="1" x14ac:dyDescent="0.25">
      <c r="A91" s="302" t="s">
        <v>113</v>
      </c>
      <c r="B91" s="303"/>
      <c r="C91" s="22">
        <f>D88/C90</f>
        <v>43.61</v>
      </c>
      <c r="D91" s="22"/>
    </row>
    <row r="92" spans="1:4" x14ac:dyDescent="0.25">
      <c r="A92" s="190"/>
      <c r="B92" s="190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136</vt:i4>
      </vt:variant>
    </vt:vector>
  </HeadingPairs>
  <TitlesOfParts>
    <vt:vector size="136" baseType="lpstr">
      <vt:lpstr>Saturs</vt:lpstr>
      <vt:lpstr>1.1._2022</vt:lpstr>
      <vt:lpstr>1.2._2022</vt:lpstr>
      <vt:lpstr>1.3._2022</vt:lpstr>
      <vt:lpstr>1.4._2022</vt:lpstr>
      <vt:lpstr>1.5._2022</vt:lpstr>
      <vt:lpstr>1.6._2022</vt:lpstr>
      <vt:lpstr>1.7._2022</vt:lpstr>
      <vt:lpstr>1.8._2022</vt:lpstr>
      <vt:lpstr>1.9._2022</vt:lpstr>
      <vt:lpstr>1.10._2022</vt:lpstr>
      <vt:lpstr>1.11._2022</vt:lpstr>
      <vt:lpstr>1.12._2022</vt:lpstr>
      <vt:lpstr>2.1._2022</vt:lpstr>
      <vt:lpstr>2.2._2022</vt:lpstr>
      <vt:lpstr>2.3._2022</vt:lpstr>
      <vt:lpstr>2.4._2022</vt:lpstr>
      <vt:lpstr>2.5._2022</vt:lpstr>
      <vt:lpstr>2.6._2022</vt:lpstr>
      <vt:lpstr>2.7._2022</vt:lpstr>
      <vt:lpstr>2.8.2022</vt:lpstr>
      <vt:lpstr>2.9._2022</vt:lpstr>
      <vt:lpstr>2.10._2022</vt:lpstr>
      <vt:lpstr>2.11._2022</vt:lpstr>
      <vt:lpstr>2.12._2022</vt:lpstr>
      <vt:lpstr>2.13._2022</vt:lpstr>
      <vt:lpstr>2.14._2022</vt:lpstr>
      <vt:lpstr>2.15._2022</vt:lpstr>
      <vt:lpstr>2.16._2022</vt:lpstr>
      <vt:lpstr>2.17._2022</vt:lpstr>
      <vt:lpstr>2.18._2022</vt:lpstr>
      <vt:lpstr>2.19._2022</vt:lpstr>
      <vt:lpstr>2.20._2022</vt:lpstr>
      <vt:lpstr>2.21._2022</vt:lpstr>
      <vt:lpstr>2.22._2022</vt:lpstr>
      <vt:lpstr>2.23._2022</vt:lpstr>
      <vt:lpstr>2.24._2022</vt:lpstr>
      <vt:lpstr>2.25.2022</vt:lpstr>
      <vt:lpstr>2.26._2022</vt:lpstr>
      <vt:lpstr>2.27._2022</vt:lpstr>
      <vt:lpstr>2.28._2022</vt:lpstr>
      <vt:lpstr>2.29._2022</vt:lpstr>
      <vt:lpstr>2.30._2022</vt:lpstr>
      <vt:lpstr>2.31._2022</vt:lpstr>
      <vt:lpstr>2.32._2022</vt:lpstr>
      <vt:lpstr>3.1.</vt:lpstr>
      <vt:lpstr>3.2.</vt:lpstr>
      <vt:lpstr>3.3.</vt:lpstr>
      <vt:lpstr>3.4.</vt:lpstr>
      <vt:lpstr>3.5.</vt:lpstr>
      <vt:lpstr>3.6.</vt:lpstr>
      <vt:lpstr>3.7.</vt:lpstr>
      <vt:lpstr>3.8.</vt:lpstr>
      <vt:lpstr>3.9.</vt:lpstr>
      <vt:lpstr>3.10.</vt:lpstr>
      <vt:lpstr>3.11.</vt:lpstr>
      <vt:lpstr>3.12.</vt:lpstr>
      <vt:lpstr>3.13.</vt:lpstr>
      <vt:lpstr>4.1.</vt:lpstr>
      <vt:lpstr>4.2.</vt:lpstr>
      <vt:lpstr>4.3.</vt:lpstr>
      <vt:lpstr>4.4.</vt:lpstr>
      <vt:lpstr>4.5.</vt:lpstr>
      <vt:lpstr>4.6.</vt:lpstr>
      <vt:lpstr>4.7.</vt:lpstr>
      <vt:lpstr>4.8.</vt:lpstr>
      <vt:lpstr>4.9.</vt:lpstr>
      <vt:lpstr>4.10.</vt:lpstr>
      <vt:lpstr>4.11.</vt:lpstr>
      <vt:lpstr>4.12.</vt:lpstr>
      <vt:lpstr>4.13.</vt:lpstr>
      <vt:lpstr>5.1.</vt:lpstr>
      <vt:lpstr>5.2.</vt:lpstr>
      <vt:lpstr>5.3.</vt:lpstr>
      <vt:lpstr>5.4.</vt:lpstr>
      <vt:lpstr>5.5.</vt:lpstr>
      <vt:lpstr>5.6.</vt:lpstr>
      <vt:lpstr>5.7.</vt:lpstr>
      <vt:lpstr>5.8. </vt:lpstr>
      <vt:lpstr>5.9.</vt:lpstr>
      <vt:lpstr>5.10.</vt:lpstr>
      <vt:lpstr>5.11.</vt:lpstr>
      <vt:lpstr>5.12.</vt:lpstr>
      <vt:lpstr>5.13.</vt:lpstr>
      <vt:lpstr>6.1.</vt:lpstr>
      <vt:lpstr>6.2.</vt:lpstr>
      <vt:lpstr>6.3.</vt:lpstr>
      <vt:lpstr>6.4.</vt:lpstr>
      <vt:lpstr>6.5.</vt:lpstr>
      <vt:lpstr>6.6.</vt:lpstr>
      <vt:lpstr>6.7.</vt:lpstr>
      <vt:lpstr>6.8.</vt:lpstr>
      <vt:lpstr>6.9.</vt:lpstr>
      <vt:lpstr>6.10. </vt:lpstr>
      <vt:lpstr>6.11.</vt:lpstr>
      <vt:lpstr>6.12.</vt:lpstr>
      <vt:lpstr>6.13.</vt:lpstr>
      <vt:lpstr>7.1.</vt:lpstr>
      <vt:lpstr>7.2.</vt:lpstr>
      <vt:lpstr>7.3.</vt:lpstr>
      <vt:lpstr>7.4.</vt:lpstr>
      <vt:lpstr>7.5.</vt:lpstr>
      <vt:lpstr>7.6.</vt:lpstr>
      <vt:lpstr>7.7.</vt:lpstr>
      <vt:lpstr>7.8. </vt:lpstr>
      <vt:lpstr>7.9. </vt:lpstr>
      <vt:lpstr>7.10. </vt:lpstr>
      <vt:lpstr>7.11. </vt:lpstr>
      <vt:lpstr>7.12.</vt:lpstr>
      <vt:lpstr>7.13.</vt:lpstr>
      <vt:lpstr>8.1.</vt:lpstr>
      <vt:lpstr>8.2.</vt:lpstr>
      <vt:lpstr>8.3.</vt:lpstr>
      <vt:lpstr>8.4.</vt:lpstr>
      <vt:lpstr>8.5.</vt:lpstr>
      <vt:lpstr>8.6.</vt:lpstr>
      <vt:lpstr>8.7. </vt:lpstr>
      <vt:lpstr>8.8. </vt:lpstr>
      <vt:lpstr>8.9.</vt:lpstr>
      <vt:lpstr>8.10. </vt:lpstr>
      <vt:lpstr>8.11.</vt:lpstr>
      <vt:lpstr>8.12.</vt:lpstr>
      <vt:lpstr>8.13.</vt:lpstr>
      <vt:lpstr>9.1.</vt:lpstr>
      <vt:lpstr>9.2.</vt:lpstr>
      <vt:lpstr>9.3. </vt:lpstr>
      <vt:lpstr>9.4.</vt:lpstr>
      <vt:lpstr>9.5.</vt:lpstr>
      <vt:lpstr>9.6. </vt:lpstr>
      <vt:lpstr>9.7.</vt:lpstr>
      <vt:lpstr>9.8.</vt:lpstr>
      <vt:lpstr>9.9.</vt:lpstr>
      <vt:lpstr>9.10.</vt:lpstr>
      <vt:lpstr>9.11.</vt:lpstr>
      <vt:lpstr>9.12.</vt:lpstr>
      <vt:lpstr>9.13.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2022-07-26T08:49:32Z</dcterms:modified>
</cp:coreProperties>
</file>