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4"/>
  <workbookPr filterPrivacy="1"/>
  <xr:revisionPtr revIDLastSave="0" documentId="13_ncr:1_{12CB4107-C498-4F63-A27D-F632C8C96787}" xr6:coauthVersionLast="36" xr6:coauthVersionMax="47" xr10:uidLastSave="{00000000-0000-0000-0000-000000000000}"/>
  <bookViews>
    <workbookView xWindow="-28920" yWindow="-120" windowWidth="29040" windowHeight="15720" tabRatio="700" xr2:uid="{00000000-000D-0000-FFFF-FFFF00000000}"/>
  </bookViews>
  <sheets>
    <sheet name="Ietekme uz valsts budžetu 2024" sheetId="19" r:id="rId1"/>
    <sheet name="1.tab." sheetId="17" r:id="rId2"/>
    <sheet name="2.tab." sheetId="24" r:id="rId3"/>
    <sheet name="3.tab." sheetId="25" r:id="rId4"/>
    <sheet name="4.tab." sheetId="26" r:id="rId5"/>
    <sheet name="5.tab." sheetId="27" r:id="rId6"/>
    <sheet name="6.tab." sheetId="28" r:id="rId7"/>
    <sheet name="7.tab." sheetId="32" r:id="rId8"/>
    <sheet name="8.tab." sheetId="31" r:id="rId9"/>
    <sheet name="9.tab." sheetId="30" r:id="rId10"/>
  </sheets>
  <calcPr calcId="191029" iterateDelta="1E-4"/>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31" i="28" l="1"/>
  <c r="X31" i="28"/>
  <c r="V31" i="28"/>
  <c r="T31" i="28"/>
  <c r="R31" i="28"/>
  <c r="P31" i="28"/>
  <c r="N31" i="28"/>
  <c r="L31" i="28"/>
  <c r="J31" i="28"/>
  <c r="H31" i="28"/>
  <c r="F31" i="28"/>
  <c r="D31" i="28"/>
  <c r="Z30" i="28"/>
  <c r="X30" i="28"/>
  <c r="V30" i="28"/>
  <c r="T30" i="28"/>
  <c r="R30" i="28"/>
  <c r="P30" i="28"/>
  <c r="N30" i="28"/>
  <c r="L30" i="28"/>
  <c r="J30" i="28"/>
  <c r="H30" i="28"/>
  <c r="F30" i="28"/>
  <c r="D30" i="28"/>
  <c r="X13" i="24"/>
  <c r="AC11" i="27" l="1"/>
  <c r="AC10" i="27"/>
  <c r="D28" i="27"/>
  <c r="D26" i="27"/>
  <c r="Y12" i="27"/>
  <c r="AA12" i="27" s="1"/>
  <c r="M17" i="27"/>
  <c r="X12" i="27"/>
  <c r="Z12" i="27" s="1"/>
  <c r="X10" i="27"/>
  <c r="Z10" i="27" s="1"/>
  <c r="Y10" i="27" l="1"/>
  <c r="AA10" i="27" s="1"/>
  <c r="C40" i="26"/>
  <c r="A3" i="30" l="1"/>
  <c r="A3" i="31"/>
  <c r="A3" i="28"/>
  <c r="A3" i="26"/>
  <c r="A3" i="25"/>
  <c r="A3" i="24"/>
  <c r="A3" i="17"/>
  <c r="C31" i="28"/>
  <c r="E31" i="28" s="1"/>
  <c r="G31" i="28" s="1"/>
  <c r="I31" i="28" s="1"/>
  <c r="K31" i="28" s="1"/>
  <c r="M31" i="28" s="1"/>
  <c r="O31" i="28" s="1"/>
  <c r="Q31" i="28" s="1"/>
  <c r="S31" i="28" s="1"/>
  <c r="U31" i="28" s="1"/>
  <c r="W31" i="28" s="1"/>
  <c r="Y31" i="28" s="1"/>
  <c r="R11" i="32" l="1"/>
  <c r="T11" i="32" s="1"/>
  <c r="S11" i="31"/>
  <c r="U11" i="31" s="1"/>
  <c r="W11" i="31" s="1"/>
  <c r="Y11" i="31" s="1"/>
  <c r="R11" i="31"/>
  <c r="S10" i="31"/>
  <c r="U10" i="31" s="1"/>
  <c r="R10" i="31"/>
  <c r="S9" i="31"/>
  <c r="U9" i="31" s="1"/>
  <c r="W9" i="31" s="1"/>
  <c r="Y9" i="31" s="1"/>
  <c r="R9" i="31"/>
  <c r="T18" i="32"/>
  <c r="V18" i="32" s="1"/>
  <c r="X18" i="32" s="1"/>
  <c r="S18" i="32"/>
  <c r="U18" i="32" s="1"/>
  <c r="W18" i="32" s="1"/>
  <c r="Y18" i="32" s="1"/>
  <c r="S17" i="32"/>
  <c r="R17" i="32"/>
  <c r="S16" i="32"/>
  <c r="U16" i="32" s="1"/>
  <c r="W16" i="32" s="1"/>
  <c r="Y16" i="32" s="1"/>
  <c r="R16" i="32"/>
  <c r="S15" i="32"/>
  <c r="U15" i="32" s="1"/>
  <c r="W15" i="32" s="1"/>
  <c r="Y15" i="32" s="1"/>
  <c r="R15" i="32"/>
  <c r="S14" i="32"/>
  <c r="U14" i="32" s="1"/>
  <c r="R14" i="32"/>
  <c r="S13" i="32"/>
  <c r="U13" i="32" s="1"/>
  <c r="W13" i="32" s="1"/>
  <c r="Y13" i="32" s="1"/>
  <c r="R13" i="32"/>
  <c r="S12" i="32"/>
  <c r="U12" i="32" s="1"/>
  <c r="W12" i="32" s="1"/>
  <c r="Y12" i="32" s="1"/>
  <c r="R12" i="32"/>
  <c r="S11" i="32"/>
  <c r="U11" i="32" s="1"/>
  <c r="S32" i="28"/>
  <c r="U32" i="28" s="1"/>
  <c r="V32" i="28" s="1"/>
  <c r="R32" i="28"/>
  <c r="P32" i="28"/>
  <c r="E32" i="28"/>
  <c r="G32" i="28" s="1"/>
  <c r="D32" i="28"/>
  <c r="C30" i="28"/>
  <c r="E30" i="28" s="1"/>
  <c r="C29" i="28"/>
  <c r="E29" i="28" s="1"/>
  <c r="T14" i="28"/>
  <c r="R14" i="28"/>
  <c r="P14" i="28"/>
  <c r="N14" i="28"/>
  <c r="L14" i="28"/>
  <c r="J14" i="28"/>
  <c r="H14" i="28"/>
  <c r="F14" i="28"/>
  <c r="D14" i="28"/>
  <c r="AA13" i="28"/>
  <c r="AA11" i="28"/>
  <c r="AA10" i="28"/>
  <c r="R44" i="27"/>
  <c r="S44" i="27" s="1"/>
  <c r="R43" i="27"/>
  <c r="S43" i="27" s="1"/>
  <c r="R42" i="27"/>
  <c r="S42" i="27" s="1"/>
  <c r="O18" i="27"/>
  <c r="M18" i="27"/>
  <c r="O17" i="27"/>
  <c r="Q17" i="27" s="1"/>
  <c r="E26" i="27" s="1"/>
  <c r="S60" i="26"/>
  <c r="T60" i="26" s="1"/>
  <c r="U60" i="26" s="1"/>
  <c r="S59" i="26"/>
  <c r="T59" i="26" s="1"/>
  <c r="U59" i="26" s="1"/>
  <c r="S58" i="26"/>
  <c r="T58" i="26" s="1"/>
  <c r="U58" i="26" s="1"/>
  <c r="S57" i="26"/>
  <c r="T57" i="26" s="1"/>
  <c r="U57" i="26" s="1"/>
  <c r="S56" i="26"/>
  <c r="T56" i="26" s="1"/>
  <c r="U56" i="26" s="1"/>
  <c r="S55" i="26"/>
  <c r="T55" i="26" s="1"/>
  <c r="U55" i="26" s="1"/>
  <c r="S54" i="26"/>
  <c r="T54" i="26" s="1"/>
  <c r="U54" i="26" s="1"/>
  <c r="G31" i="26"/>
  <c r="F31" i="26"/>
  <c r="H30" i="26"/>
  <c r="H29" i="26"/>
  <c r="H28" i="26"/>
  <c r="H27" i="26"/>
  <c r="H26" i="26"/>
  <c r="H25" i="26"/>
  <c r="H24" i="26"/>
  <c r="H23" i="26"/>
  <c r="H22" i="26"/>
  <c r="H21" i="26"/>
  <c r="Z12" i="25"/>
  <c r="Y12" i="25"/>
  <c r="X12" i="25"/>
  <c r="W12" i="25"/>
  <c r="V12" i="25"/>
  <c r="U12" i="25"/>
  <c r="T12" i="25"/>
  <c r="S12" i="25"/>
  <c r="R12" i="25"/>
  <c r="Q12" i="25"/>
  <c r="P12" i="25"/>
  <c r="O12" i="25"/>
  <c r="N12" i="25"/>
  <c r="M12" i="25"/>
  <c r="L12" i="25"/>
  <c r="K12" i="25"/>
  <c r="J12" i="25"/>
  <c r="I12" i="25"/>
  <c r="H12" i="25"/>
  <c r="G12" i="25"/>
  <c r="F12" i="25"/>
  <c r="E12" i="25"/>
  <c r="D12" i="25"/>
  <c r="C12" i="25"/>
  <c r="AA11" i="25"/>
  <c r="AA10" i="25"/>
  <c r="AA9" i="25"/>
  <c r="Z18" i="24"/>
  <c r="D18" i="24"/>
  <c r="T15" i="24"/>
  <c r="P15" i="24"/>
  <c r="N15" i="24"/>
  <c r="L15" i="24"/>
  <c r="X18" i="24"/>
  <c r="V18" i="24"/>
  <c r="R13" i="24"/>
  <c r="R18" i="24" s="1"/>
  <c r="P13" i="24"/>
  <c r="N13" i="24"/>
  <c r="L13" i="24"/>
  <c r="L11" i="24"/>
  <c r="J11" i="24"/>
  <c r="H11" i="24"/>
  <c r="P9" i="24"/>
  <c r="L9" i="24"/>
  <c r="J9" i="24"/>
  <c r="H9" i="24"/>
  <c r="F9" i="24"/>
  <c r="F18" i="24" s="1"/>
  <c r="Y20" i="17"/>
  <c r="Y19" i="17"/>
  <c r="Y18" i="17"/>
  <c r="S11" i="17"/>
  <c r="R11" i="17"/>
  <c r="T11" i="17" s="1"/>
  <c r="V11" i="17" s="1"/>
  <c r="X11" i="17" s="1"/>
  <c r="S10" i="17"/>
  <c r="U10" i="17" s="1"/>
  <c r="R10" i="17"/>
  <c r="T10" i="17" s="1"/>
  <c r="V10" i="17" s="1"/>
  <c r="X10" i="17" s="1"/>
  <c r="Q9" i="17"/>
  <c r="O9" i="17"/>
  <c r="M9" i="17"/>
  <c r="K9" i="17"/>
  <c r="I9" i="17"/>
  <c r="G9" i="17"/>
  <c r="E9" i="17"/>
  <c r="C9" i="17"/>
  <c r="E235" i="19"/>
  <c r="E230" i="19" s="1"/>
  <c r="E206" i="19"/>
  <c r="E183" i="19"/>
  <c r="E72" i="19"/>
  <c r="E11" i="19" s="1"/>
  <c r="E70" i="19"/>
  <c r="E69" i="19"/>
  <c r="E30" i="19"/>
  <c r="T10" i="31" l="1"/>
  <c r="V10" i="31" s="1"/>
  <c r="X10" i="31" s="1"/>
  <c r="B21" i="31"/>
  <c r="J18" i="24"/>
  <c r="T14" i="32"/>
  <c r="V14" i="32" s="1"/>
  <c r="X14" i="32" s="1"/>
  <c r="B30" i="32" s="1"/>
  <c r="D30" i="32" s="1"/>
  <c r="F30" i="32" s="1"/>
  <c r="H30" i="32" s="1"/>
  <c r="J30" i="32" s="1"/>
  <c r="L30" i="32" s="1"/>
  <c r="N30" i="32" s="1"/>
  <c r="P30" i="32" s="1"/>
  <c r="R30" i="32" s="1"/>
  <c r="T30" i="32" s="1"/>
  <c r="V30" i="32" s="1"/>
  <c r="X30" i="32" s="1"/>
  <c r="AA9" i="24"/>
  <c r="AB9" i="24" s="1"/>
  <c r="H18" i="24"/>
  <c r="T11" i="31"/>
  <c r="V11" i="31" s="1"/>
  <c r="X11" i="31" s="1"/>
  <c r="H31" i="26"/>
  <c r="T15" i="32"/>
  <c r="V15" i="32" s="1"/>
  <c r="X15" i="32" s="1"/>
  <c r="B31" i="32"/>
  <c r="AA13" i="24"/>
  <c r="AB13" i="24" s="1"/>
  <c r="C42" i="26"/>
  <c r="E42" i="26" s="1"/>
  <c r="AA14" i="25"/>
  <c r="T16" i="32"/>
  <c r="V16" i="32" s="1"/>
  <c r="X16" i="32" s="1"/>
  <c r="C34" i="32"/>
  <c r="E34" i="32" s="1"/>
  <c r="G34" i="32" s="1"/>
  <c r="I34" i="32" s="1"/>
  <c r="K34" i="32" s="1"/>
  <c r="M34" i="32" s="1"/>
  <c r="O34" i="32" s="1"/>
  <c r="Q34" i="32" s="1"/>
  <c r="S34" i="32" s="1"/>
  <c r="U34" i="32" s="1"/>
  <c r="W34" i="32" s="1"/>
  <c r="Y34" i="32" s="1"/>
  <c r="E85" i="19"/>
  <c r="H32" i="28"/>
  <c r="I32" i="28"/>
  <c r="W10" i="17"/>
  <c r="Y10" i="17" s="1"/>
  <c r="G30" i="28"/>
  <c r="I30" i="28" s="1"/>
  <c r="T9" i="31"/>
  <c r="V9" i="31" s="1"/>
  <c r="X9" i="31" s="1"/>
  <c r="U11" i="17"/>
  <c r="W11" i="17" s="1"/>
  <c r="Y11" i="17" s="1"/>
  <c r="E106" i="19"/>
  <c r="E71" i="19" s="1"/>
  <c r="Z12" i="32"/>
  <c r="Q18" i="27"/>
  <c r="F32" i="28"/>
  <c r="AA15" i="24"/>
  <c r="AB15" i="24" s="1"/>
  <c r="AA11" i="24"/>
  <c r="AB11" i="24" s="1"/>
  <c r="R45" i="27"/>
  <c r="G29" i="28"/>
  <c r="F29" i="28"/>
  <c r="X14" i="28"/>
  <c r="W14" i="32"/>
  <c r="Y14" i="32" s="1"/>
  <c r="C21" i="30"/>
  <c r="E21" i="30" s="1"/>
  <c r="G21" i="30" s="1"/>
  <c r="I21" i="30" s="1"/>
  <c r="K21" i="30" s="1"/>
  <c r="M21" i="30" s="1"/>
  <c r="O21" i="30" s="1"/>
  <c r="Q21" i="30" s="1"/>
  <c r="S21" i="30" s="1"/>
  <c r="U21" i="30" s="1"/>
  <c r="W21" i="30" s="1"/>
  <c r="Y21" i="30" s="1"/>
  <c r="T32" i="28"/>
  <c r="W32" i="28"/>
  <c r="V11" i="32"/>
  <c r="X11" i="32" s="1"/>
  <c r="T13" i="32"/>
  <c r="V13" i="32" s="1"/>
  <c r="X13" i="32" s="1"/>
  <c r="Z11" i="31"/>
  <c r="Z18" i="32"/>
  <c r="AC18" i="32" s="1"/>
  <c r="AA11" i="31"/>
  <c r="V14" i="28"/>
  <c r="W11" i="32"/>
  <c r="Y11" i="32" s="1"/>
  <c r="T17" i="32"/>
  <c r="V17" i="32" s="1"/>
  <c r="X17" i="32" s="1"/>
  <c r="S45" i="27"/>
  <c r="E151" i="19" s="1"/>
  <c r="E148" i="19" s="1"/>
  <c r="S9" i="17"/>
  <c r="N18" i="24"/>
  <c r="D29" i="28"/>
  <c r="U17" i="32"/>
  <c r="W17" i="32" s="1"/>
  <c r="Y17" i="32" s="1"/>
  <c r="L18" i="24"/>
  <c r="P18" i="24"/>
  <c r="Z16" i="32"/>
  <c r="T18" i="24"/>
  <c r="Z15" i="32"/>
  <c r="AA13" i="26"/>
  <c r="T12" i="32"/>
  <c r="V12" i="32" s="1"/>
  <c r="X12" i="32" s="1"/>
  <c r="W10" i="31"/>
  <c r="Y10" i="31" s="1"/>
  <c r="Z13" i="32"/>
  <c r="AA12" i="25"/>
  <c r="AA13" i="25" s="1"/>
  <c r="AA10" i="31"/>
  <c r="Z9" i="31"/>
  <c r="Z10" i="17" l="1"/>
  <c r="Z19" i="17" s="1"/>
  <c r="Y9" i="17"/>
  <c r="AA15" i="25"/>
  <c r="E60" i="19" s="1"/>
  <c r="E10" i="19" s="1"/>
  <c r="AA16" i="32"/>
  <c r="B22" i="31"/>
  <c r="D22" i="31" s="1"/>
  <c r="F22" i="31" s="1"/>
  <c r="H22" i="31" s="1"/>
  <c r="J22" i="31" s="1"/>
  <c r="L22" i="31" s="1"/>
  <c r="N22" i="31" s="1"/>
  <c r="P22" i="31" s="1"/>
  <c r="R22" i="31" s="1"/>
  <c r="T22" i="31" s="1"/>
  <c r="V22" i="31" s="1"/>
  <c r="X22" i="31" s="1"/>
  <c r="W9" i="17"/>
  <c r="B32" i="32"/>
  <c r="D32" i="32" s="1"/>
  <c r="F32" i="32" s="1"/>
  <c r="H32" i="32" s="1"/>
  <c r="J32" i="32" s="1"/>
  <c r="L32" i="32" s="1"/>
  <c r="N32" i="32" s="1"/>
  <c r="P32" i="32" s="1"/>
  <c r="R32" i="32" s="1"/>
  <c r="T32" i="32" s="1"/>
  <c r="V32" i="32" s="1"/>
  <c r="X32" i="32" s="1"/>
  <c r="D42" i="26"/>
  <c r="E79" i="19"/>
  <c r="E74" i="19"/>
  <c r="B28" i="32"/>
  <c r="B20" i="31"/>
  <c r="Z11" i="17"/>
  <c r="Z20" i="17" s="1"/>
  <c r="Z18" i="17" s="1"/>
  <c r="E25" i="19" s="1"/>
  <c r="B33" i="32"/>
  <c r="D33" i="32" s="1"/>
  <c r="F33" i="32" s="1"/>
  <c r="H33" i="32" s="1"/>
  <c r="J33" i="32" s="1"/>
  <c r="L33" i="32" s="1"/>
  <c r="N33" i="32" s="1"/>
  <c r="P33" i="32" s="1"/>
  <c r="R33" i="32" s="1"/>
  <c r="T33" i="32" s="1"/>
  <c r="V33" i="32" s="1"/>
  <c r="X33" i="32" s="1"/>
  <c r="B27" i="32"/>
  <c r="AA15" i="32"/>
  <c r="AB15" i="32" s="1"/>
  <c r="C31" i="32" s="1"/>
  <c r="E31" i="32" s="1"/>
  <c r="G31" i="32" s="1"/>
  <c r="AA11" i="32"/>
  <c r="AA9" i="31"/>
  <c r="AB9" i="31" s="1"/>
  <c r="AA17" i="32"/>
  <c r="U9" i="17"/>
  <c r="B29" i="32"/>
  <c r="X11" i="27"/>
  <c r="Y11" i="27" s="1"/>
  <c r="Z14" i="32"/>
  <c r="C39" i="26"/>
  <c r="AA10" i="26"/>
  <c r="F28" i="27"/>
  <c r="H28" i="27" s="1"/>
  <c r="J28" i="27" s="1"/>
  <c r="L28" i="27" s="1"/>
  <c r="N28" i="27" s="1"/>
  <c r="P28" i="27" s="1"/>
  <c r="R28" i="27" s="1"/>
  <c r="T28" i="27" s="1"/>
  <c r="V28" i="27" s="1"/>
  <c r="X28" i="27" s="1"/>
  <c r="Z28" i="27" s="1"/>
  <c r="AA14" i="32"/>
  <c r="AA12" i="32"/>
  <c r="AB12" i="32" s="1"/>
  <c r="AB18" i="24"/>
  <c r="E45" i="19" s="1"/>
  <c r="E46" i="19" s="1"/>
  <c r="E9" i="19" s="1"/>
  <c r="AA18" i="24"/>
  <c r="J32" i="28"/>
  <c r="K32" i="28"/>
  <c r="E103" i="19"/>
  <c r="D31" i="32"/>
  <c r="F31" i="32" s="1"/>
  <c r="H31" i="32" s="1"/>
  <c r="J31" i="32" s="1"/>
  <c r="L31" i="32" s="1"/>
  <c r="N31" i="32" s="1"/>
  <c r="P31" i="32" s="1"/>
  <c r="R31" i="32" s="1"/>
  <c r="T31" i="32" s="1"/>
  <c r="V31" i="32" s="1"/>
  <c r="X31" i="32" s="1"/>
  <c r="AB11" i="31"/>
  <c r="AB16" i="32"/>
  <c r="D21" i="31"/>
  <c r="F21" i="31" s="1"/>
  <c r="H21" i="31" s="1"/>
  <c r="J21" i="31" s="1"/>
  <c r="L21" i="31" s="1"/>
  <c r="N21" i="31" s="1"/>
  <c r="P21" i="31" s="1"/>
  <c r="R21" i="31" s="1"/>
  <c r="T21" i="31" s="1"/>
  <c r="V21" i="31" s="1"/>
  <c r="X21" i="31" s="1"/>
  <c r="Y32" i="28"/>
  <c r="Z32" i="28" s="1"/>
  <c r="X32" i="28"/>
  <c r="Z11" i="32"/>
  <c r="AA13" i="32"/>
  <c r="AB13" i="32" s="1"/>
  <c r="K30" i="28"/>
  <c r="Z14" i="28"/>
  <c r="I29" i="28"/>
  <c r="H29" i="28"/>
  <c r="E57" i="19"/>
  <c r="AB12" i="27"/>
  <c r="AD12" i="27" s="1"/>
  <c r="E28" i="27" s="1"/>
  <c r="G28" i="27" s="1"/>
  <c r="I28" i="27" s="1"/>
  <c r="K28" i="27" s="1"/>
  <c r="M28" i="27" s="1"/>
  <c r="O28" i="27" s="1"/>
  <c r="Q28" i="27" s="1"/>
  <c r="S28" i="27" s="1"/>
  <c r="U28" i="27" s="1"/>
  <c r="W28" i="27" s="1"/>
  <c r="Y28" i="27" s="1"/>
  <c r="AA28" i="27" s="1"/>
  <c r="G42" i="26"/>
  <c r="F42" i="26"/>
  <c r="Z17" i="32"/>
  <c r="AB17" i="32" s="1"/>
  <c r="C33" i="32" s="1"/>
  <c r="E33" i="32" s="1"/>
  <c r="G33" i="32" s="1"/>
  <c r="AA10" i="30"/>
  <c r="Z10" i="31"/>
  <c r="AB10" i="31" s="1"/>
  <c r="C21" i="31" s="1"/>
  <c r="E21" i="31" s="1"/>
  <c r="G21" i="31" s="1"/>
  <c r="C32" i="32" l="1"/>
  <c r="E32" i="32" s="1"/>
  <c r="G32" i="32" s="1"/>
  <c r="I32" i="32" s="1"/>
  <c r="K32" i="32" s="1"/>
  <c r="M32" i="32" s="1"/>
  <c r="O32" i="32" s="1"/>
  <c r="Q32" i="32" s="1"/>
  <c r="S32" i="32" s="1"/>
  <c r="U32" i="32" s="1"/>
  <c r="W32" i="32" s="1"/>
  <c r="Y32" i="32" s="1"/>
  <c r="Z9" i="17"/>
  <c r="AB10" i="27"/>
  <c r="C22" i="31"/>
  <c r="E22" i="31" s="1"/>
  <c r="G22" i="31" s="1"/>
  <c r="D27" i="32"/>
  <c r="F27" i="32" s="1"/>
  <c r="H27" i="32" s="1"/>
  <c r="J27" i="32" s="1"/>
  <c r="L27" i="32" s="1"/>
  <c r="N27" i="32" s="1"/>
  <c r="P27" i="32" s="1"/>
  <c r="R27" i="32" s="1"/>
  <c r="T27" i="32" s="1"/>
  <c r="V27" i="32" s="1"/>
  <c r="X27" i="32" s="1"/>
  <c r="AB14" i="32"/>
  <c r="C30" i="32" s="1"/>
  <c r="E30" i="32" s="1"/>
  <c r="G30" i="32" s="1"/>
  <c r="I30" i="32" s="1"/>
  <c r="K30" i="32" s="1"/>
  <c r="M30" i="32" s="1"/>
  <c r="O30" i="32" s="1"/>
  <c r="Q30" i="32" s="1"/>
  <c r="S30" i="32" s="1"/>
  <c r="U30" i="32" s="1"/>
  <c r="W30" i="32" s="1"/>
  <c r="Y30" i="32" s="1"/>
  <c r="C20" i="31"/>
  <c r="E20" i="31" s="1"/>
  <c r="G20" i="31" s="1"/>
  <c r="I20" i="31" s="1"/>
  <c r="K20" i="31" s="1"/>
  <c r="M20" i="31" s="1"/>
  <c r="O20" i="31" s="1"/>
  <c r="Q20" i="31" s="1"/>
  <c r="S20" i="31" s="1"/>
  <c r="U20" i="31" s="1"/>
  <c r="W20" i="31" s="1"/>
  <c r="Y20" i="31" s="1"/>
  <c r="D20" i="31"/>
  <c r="F20" i="31" s="1"/>
  <c r="H20" i="31" s="1"/>
  <c r="J20" i="31" s="1"/>
  <c r="L20" i="31" s="1"/>
  <c r="N20" i="31" s="1"/>
  <c r="P20" i="31" s="1"/>
  <c r="R20" i="31" s="1"/>
  <c r="T20" i="31" s="1"/>
  <c r="V20" i="31" s="1"/>
  <c r="X20" i="31" s="1"/>
  <c r="D39" i="26"/>
  <c r="E39" i="26"/>
  <c r="Z11" i="27"/>
  <c r="D27" i="27" s="1"/>
  <c r="E27" i="27" s="1"/>
  <c r="M32" i="28"/>
  <c r="N32" i="28" s="1"/>
  <c r="L32" i="28"/>
  <c r="AA12" i="26"/>
  <c r="C41" i="26"/>
  <c r="AA12" i="28"/>
  <c r="AA14" i="28" s="1"/>
  <c r="I33" i="32"/>
  <c r="K33" i="32" s="1"/>
  <c r="M33" i="32" s="1"/>
  <c r="O33" i="32" s="1"/>
  <c r="Q33" i="32" s="1"/>
  <c r="S33" i="32" s="1"/>
  <c r="U33" i="32" s="1"/>
  <c r="W33" i="32" s="1"/>
  <c r="Y33" i="32" s="1"/>
  <c r="I21" i="31"/>
  <c r="K21" i="31" s="1"/>
  <c r="M21" i="31" s="1"/>
  <c r="O21" i="31" s="1"/>
  <c r="Q21" i="31" s="1"/>
  <c r="S21" i="31" s="1"/>
  <c r="U21" i="31" s="1"/>
  <c r="W21" i="31" s="1"/>
  <c r="Y21" i="31" s="1"/>
  <c r="I22" i="31"/>
  <c r="K22" i="31" s="1"/>
  <c r="M22" i="31" s="1"/>
  <c r="O22" i="31" s="1"/>
  <c r="Q22" i="31" s="1"/>
  <c r="S22" i="31" s="1"/>
  <c r="U22" i="31" s="1"/>
  <c r="W22" i="31" s="1"/>
  <c r="Y22" i="31" s="1"/>
  <c r="Z12" i="31"/>
  <c r="C28" i="32"/>
  <c r="E28" i="32" s="1"/>
  <c r="G28" i="32" s="1"/>
  <c r="D28" i="32"/>
  <c r="F28" i="32" s="1"/>
  <c r="H28" i="32" s="1"/>
  <c r="J28" i="32" s="1"/>
  <c r="L28" i="32" s="1"/>
  <c r="N28" i="32" s="1"/>
  <c r="P28" i="32" s="1"/>
  <c r="R28" i="32" s="1"/>
  <c r="T28" i="32" s="1"/>
  <c r="V28" i="32" s="1"/>
  <c r="X28" i="32" s="1"/>
  <c r="M30" i="28"/>
  <c r="D29" i="32"/>
  <c r="F29" i="32" s="1"/>
  <c r="H29" i="32" s="1"/>
  <c r="J29" i="32" s="1"/>
  <c r="L29" i="32" s="1"/>
  <c r="N29" i="32" s="1"/>
  <c r="P29" i="32" s="1"/>
  <c r="R29" i="32" s="1"/>
  <c r="T29" i="32" s="1"/>
  <c r="V29" i="32" s="1"/>
  <c r="X29" i="32" s="1"/>
  <c r="C29" i="32"/>
  <c r="E29" i="32" s="1"/>
  <c r="G29" i="32" s="1"/>
  <c r="D21" i="30"/>
  <c r="AA11" i="26"/>
  <c r="Y14" i="26"/>
  <c r="I31" i="32"/>
  <c r="K31" i="32" s="1"/>
  <c r="M31" i="32" s="1"/>
  <c r="O31" i="32" s="1"/>
  <c r="Q31" i="32" s="1"/>
  <c r="S31" i="32" s="1"/>
  <c r="U31" i="32" s="1"/>
  <c r="W31" i="32" s="1"/>
  <c r="Y31" i="32" s="1"/>
  <c r="E44" i="19"/>
  <c r="E8" i="19"/>
  <c r="K29" i="28"/>
  <c r="J29" i="28"/>
  <c r="AB11" i="32"/>
  <c r="Z19" i="32"/>
  <c r="I42" i="26"/>
  <c r="H42" i="26"/>
  <c r="Z30" i="32"/>
  <c r="E19" i="19"/>
  <c r="D33" i="28"/>
  <c r="AB28" i="27" l="1"/>
  <c r="E142" i="19" s="1"/>
  <c r="E136" i="19" s="1"/>
  <c r="AA32" i="28"/>
  <c r="AA11" i="27"/>
  <c r="AB11" i="27" s="1"/>
  <c r="F27" i="27"/>
  <c r="H27" i="27" s="1"/>
  <c r="J27" i="27" s="1"/>
  <c r="L27" i="27" s="1"/>
  <c r="N27" i="27" s="1"/>
  <c r="P27" i="27" s="1"/>
  <c r="R27" i="27" s="1"/>
  <c r="T27" i="27" s="1"/>
  <c r="V27" i="27" s="1"/>
  <c r="X27" i="27" s="1"/>
  <c r="Z27" i="27" s="1"/>
  <c r="AA14" i="26"/>
  <c r="C27" i="32"/>
  <c r="E27" i="32" s="1"/>
  <c r="G27" i="32" s="1"/>
  <c r="I27" i="32" s="1"/>
  <c r="K27" i="32" s="1"/>
  <c r="M27" i="32" s="1"/>
  <c r="O27" i="32" s="1"/>
  <c r="Q27" i="32" s="1"/>
  <c r="S27" i="32" s="1"/>
  <c r="U27" i="32" s="1"/>
  <c r="W27" i="32" s="1"/>
  <c r="Y27" i="32" s="1"/>
  <c r="Z22" i="31"/>
  <c r="Z32" i="32"/>
  <c r="E41" i="26"/>
  <c r="D41" i="26"/>
  <c r="G39" i="26"/>
  <c r="F39" i="26"/>
  <c r="Z31" i="32"/>
  <c r="K42" i="26"/>
  <c r="J42" i="26"/>
  <c r="E40" i="26"/>
  <c r="D40" i="26"/>
  <c r="I28" i="32"/>
  <c r="K28" i="32" s="1"/>
  <c r="M28" i="32" s="1"/>
  <c r="O28" i="32" s="1"/>
  <c r="Q28" i="32" s="1"/>
  <c r="S28" i="32" s="1"/>
  <c r="U28" i="32" s="1"/>
  <c r="W28" i="32" s="1"/>
  <c r="Y28" i="32" s="1"/>
  <c r="Z28" i="32" s="1"/>
  <c r="M29" i="28"/>
  <c r="L29" i="28"/>
  <c r="F21" i="30"/>
  <c r="I29" i="32"/>
  <c r="K29" i="32" s="1"/>
  <c r="M29" i="32" s="1"/>
  <c r="O29" i="32" s="1"/>
  <c r="Q29" i="32" s="1"/>
  <c r="S29" i="32" s="1"/>
  <c r="U29" i="32" s="1"/>
  <c r="W29" i="32" s="1"/>
  <c r="Y29" i="32" s="1"/>
  <c r="Z21" i="31"/>
  <c r="Z20" i="31"/>
  <c r="Z33" i="32"/>
  <c r="F26" i="27"/>
  <c r="O30" i="28"/>
  <c r="G27" i="27" l="1"/>
  <c r="I27" i="27" s="1"/>
  <c r="Z34" i="32"/>
  <c r="Z23" i="31"/>
  <c r="E200" i="19" s="1"/>
  <c r="E194" i="19" s="1"/>
  <c r="I39" i="26"/>
  <c r="H39" i="26"/>
  <c r="G41" i="26"/>
  <c r="F41" i="26"/>
  <c r="H26" i="27"/>
  <c r="G26" i="27"/>
  <c r="G40" i="26"/>
  <c r="F40" i="26"/>
  <c r="Z29" i="32"/>
  <c r="H21" i="30"/>
  <c r="L42" i="26"/>
  <c r="M42" i="26"/>
  <c r="Z27" i="32"/>
  <c r="O29" i="28"/>
  <c r="N29" i="28"/>
  <c r="H33" i="28"/>
  <c r="Q30" i="28"/>
  <c r="F33" i="28"/>
  <c r="Z35" i="32" l="1"/>
  <c r="E177" i="19" s="1"/>
  <c r="E171" i="19" s="1"/>
  <c r="K27" i="27"/>
  <c r="M27" i="27" s="1"/>
  <c r="O27" i="27" s="1"/>
  <c r="Q27" i="27" s="1"/>
  <c r="S27" i="27" s="1"/>
  <c r="U27" i="27" s="1"/>
  <c r="W27" i="27" s="1"/>
  <c r="Y27" i="27" s="1"/>
  <c r="AA27" i="27" s="1"/>
  <c r="I41" i="26"/>
  <c r="H41" i="26"/>
  <c r="K39" i="26"/>
  <c r="J39" i="26"/>
  <c r="J21" i="30"/>
  <c r="Q29" i="28"/>
  <c r="P29" i="28"/>
  <c r="N42" i="26"/>
  <c r="O42" i="26"/>
  <c r="I40" i="26"/>
  <c r="H40" i="26"/>
  <c r="J26" i="27"/>
  <c r="I26" i="27"/>
  <c r="J33" i="28"/>
  <c r="S30" i="28"/>
  <c r="AB27" i="27" l="1"/>
  <c r="E131" i="19" s="1"/>
  <c r="E125" i="19" s="1"/>
  <c r="M39" i="26"/>
  <c r="L39" i="26"/>
  <c r="K41" i="26"/>
  <c r="J41" i="26"/>
  <c r="Q42" i="26"/>
  <c r="P42" i="26"/>
  <c r="R29" i="28"/>
  <c r="S29" i="28"/>
  <c r="U30" i="28"/>
  <c r="L21" i="30"/>
  <c r="L26" i="27"/>
  <c r="K26" i="27"/>
  <c r="K40" i="26"/>
  <c r="J40" i="26"/>
  <c r="M41" i="26" l="1"/>
  <c r="L41" i="26"/>
  <c r="N39" i="26"/>
  <c r="O39" i="26"/>
  <c r="M40" i="26"/>
  <c r="L40" i="26"/>
  <c r="N21" i="30"/>
  <c r="W30" i="28"/>
  <c r="S42" i="26"/>
  <c r="R42" i="26"/>
  <c r="U29" i="28"/>
  <c r="T29" i="28"/>
  <c r="N26" i="27"/>
  <c r="M26" i="27"/>
  <c r="L33" i="28"/>
  <c r="N33" i="28"/>
  <c r="Q39" i="26" l="1"/>
  <c r="P39" i="26"/>
  <c r="N41" i="26"/>
  <c r="O41" i="26"/>
  <c r="Y30" i="28"/>
  <c r="W29" i="28"/>
  <c r="V29" i="28"/>
  <c r="P21" i="30"/>
  <c r="P33" i="28"/>
  <c r="U42" i="26"/>
  <c r="T42" i="26"/>
  <c r="N40" i="26"/>
  <c r="O40" i="26"/>
  <c r="P26" i="27"/>
  <c r="O26" i="27"/>
  <c r="AA30" i="28" l="1"/>
  <c r="P41" i="26"/>
  <c r="Q41" i="26"/>
  <c r="S39" i="26"/>
  <c r="R39" i="26"/>
  <c r="R21" i="30"/>
  <c r="R26" i="27"/>
  <c r="Q26" i="27"/>
  <c r="R33" i="28"/>
  <c r="W42" i="26"/>
  <c r="V42" i="26"/>
  <c r="Y29" i="28"/>
  <c r="Z29" i="28" s="1"/>
  <c r="X29" i="28"/>
  <c r="AA29" i="28" s="1"/>
  <c r="Q40" i="26"/>
  <c r="P40" i="26"/>
  <c r="T39" i="26" l="1"/>
  <c r="U39" i="26"/>
  <c r="R41" i="26"/>
  <c r="S41" i="26"/>
  <c r="T33" i="28"/>
  <c r="T26" i="27"/>
  <c r="S26" i="27"/>
  <c r="R40" i="26"/>
  <c r="S40" i="26"/>
  <c r="Y42" i="26"/>
  <c r="Z42" i="26" s="1"/>
  <c r="X42" i="26"/>
  <c r="T21" i="30"/>
  <c r="AA42" i="26" l="1"/>
  <c r="T41" i="26"/>
  <c r="U41" i="26"/>
  <c r="W39" i="26"/>
  <c r="V39" i="26"/>
  <c r="V26" i="27"/>
  <c r="U26" i="27"/>
  <c r="T40" i="26"/>
  <c r="U40" i="26"/>
  <c r="V21" i="30"/>
  <c r="Y39" i="26" l="1"/>
  <c r="Z39" i="26" s="1"/>
  <c r="X39" i="26"/>
  <c r="V41" i="26"/>
  <c r="W41" i="26"/>
  <c r="V33" i="28"/>
  <c r="Z21" i="30"/>
  <c r="X21" i="30"/>
  <c r="Z33" i="28"/>
  <c r="X33" i="28"/>
  <c r="V40" i="26"/>
  <c r="W40" i="26"/>
  <c r="X26" i="27"/>
  <c r="W26" i="27"/>
  <c r="AA39" i="26" l="1"/>
  <c r="Y41" i="26"/>
  <c r="Z41" i="26" s="1"/>
  <c r="X41" i="26"/>
  <c r="AA41" i="26" s="1"/>
  <c r="AA21" i="30"/>
  <c r="E223" i="19" s="1"/>
  <c r="E218" i="19" s="1"/>
  <c r="Z26" i="27"/>
  <c r="AA26" i="27" s="1"/>
  <c r="Y26" i="27"/>
  <c r="Y40" i="26"/>
  <c r="X40" i="26"/>
  <c r="AA31" i="28"/>
  <c r="AA33" i="28" s="1"/>
  <c r="E165" i="19" s="1"/>
  <c r="E160" i="19" s="1"/>
  <c r="AB26" i="27" l="1"/>
  <c r="Z40" i="26"/>
  <c r="AA40" i="26" s="1"/>
  <c r="AA43" i="26" s="1"/>
  <c r="E96" i="19" s="1"/>
  <c r="Y43" i="26"/>
  <c r="E120" i="19" l="1"/>
  <c r="E114" i="19" s="1"/>
  <c r="E91" i="19"/>
  <c r="E73" i="19"/>
  <c r="E13" i="19" l="1"/>
  <c r="E12" i="19"/>
  <c r="E7" i="19" s="1"/>
  <c r="E68" i="1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M15" authorId="0" shapeId="0" xr:uid="{D295FADC-8E15-49D7-BE97-E5785A8CC626}">
      <text>
        <r>
          <rPr>
            <b/>
            <sz val="9"/>
            <rFont val="Tahoma"/>
            <family val="2"/>
            <charset val="186"/>
          </rPr>
          <t>Author:</t>
        </r>
        <r>
          <rPr>
            <sz val="9"/>
            <rFont val="Tahoma"/>
            <family val="2"/>
            <charset val="186"/>
          </rPr>
          <t xml:space="preserve">
Likuma maiņa, klients, tiek skaitīts atsevišķi.</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C10" authorId="0" shapeId="0" xr:uid="{F069DFC0-BBFB-4C59-A040-319361872C35}">
      <text>
        <r>
          <rPr>
            <b/>
            <sz val="9"/>
            <rFont val="Tahoma"/>
            <family val="2"/>
            <charset val="186"/>
          </rPr>
          <t>Author:</t>
        </r>
        <r>
          <rPr>
            <sz val="9"/>
            <rFont val="Tahoma"/>
            <family val="2"/>
            <charset val="186"/>
          </rPr>
          <t xml:space="preserve">
vidēji uz 1 personu periodā jūlijs-augusts</t>
        </r>
      </text>
    </comment>
    <comment ref="AD12" authorId="0" shapeId="0" xr:uid="{AE63A3C1-C5E5-40CF-B408-60A9DC15003B}">
      <text>
        <r>
          <rPr>
            <b/>
            <sz val="9"/>
            <rFont val="Tahoma"/>
            <family val="2"/>
            <charset val="186"/>
          </rPr>
          <t>Author:</t>
        </r>
        <r>
          <rPr>
            <sz val="9"/>
            <rFont val="Tahoma"/>
            <family val="2"/>
            <charset val="186"/>
          </rPr>
          <t xml:space="preserve">
vidēji uz 1 pers.gadā/ mēn</t>
        </r>
      </text>
    </comment>
  </commentList>
</comments>
</file>

<file path=xl/sharedStrings.xml><?xml version="1.0" encoding="utf-8"?>
<sst xmlns="http://schemas.openxmlformats.org/spreadsheetml/2006/main" count="1989" uniqueCount="339">
  <si>
    <t>Pašvaldības</t>
  </si>
  <si>
    <t>Sabiedrības integrācijas fonds</t>
  </si>
  <si>
    <t>Labklājības ministrija</t>
  </si>
  <si>
    <t>4.2.</t>
  </si>
  <si>
    <t>4.3.</t>
  </si>
  <si>
    <t>Sociālās integrācijas valsts aģentūra</t>
  </si>
  <si>
    <t>4.4.</t>
  </si>
  <si>
    <t>Vaivaru Tehnisko palīglīdzekļu centrs, Latvijas Neredzīgo biedrība, Latvijas Neredzīgo savienība</t>
  </si>
  <si>
    <t>Sociālo pakalpojumu sniedzēji</t>
  </si>
  <si>
    <t>Mājokļa pabalsts pēc aprēķina, ja ir noslēgts īres līgums</t>
  </si>
  <si>
    <t>4.10.</t>
  </si>
  <si>
    <t>Valsts sociālās apdrošināšanas aģentūra</t>
  </si>
  <si>
    <t>4.13.</t>
  </si>
  <si>
    <t>Nodarbinātības valsts aģentūra</t>
  </si>
  <si>
    <t>8.2.</t>
  </si>
  <si>
    <t>Gads</t>
  </si>
  <si>
    <t xml:space="preserve">Pārskata periods </t>
  </si>
  <si>
    <t>marts</t>
  </si>
  <si>
    <t>aprīlis</t>
  </si>
  <si>
    <t>maijs</t>
  </si>
  <si>
    <t>jūnijs</t>
  </si>
  <si>
    <t>jūlijs</t>
  </si>
  <si>
    <t>augusts</t>
  </si>
  <si>
    <t>septembris</t>
  </si>
  <si>
    <t>oktobris</t>
  </si>
  <si>
    <t>novembris</t>
  </si>
  <si>
    <t>decembris</t>
  </si>
  <si>
    <t>(euro,centi)</t>
  </si>
  <si>
    <t>Rādītāja nosaukums</t>
  </si>
  <si>
    <t>Saņēmēju skaits</t>
  </si>
  <si>
    <t>Faktiskie izdevumi pārskata periodā</t>
  </si>
  <si>
    <t>Plānotie izdevumi pārskata periodā</t>
  </si>
  <si>
    <t>A</t>
  </si>
  <si>
    <t xml:space="preserve">Sociālās rehabilitācijas pakalpojums vardarbībā cietušiem bērniem (UCAL 7.panta pirmā prim un trešā daļa) </t>
  </si>
  <si>
    <t xml:space="preserve">Sociālās rehabilitācijas pakalpojums vardarbībā cietušām pilngadīgām personām (UCAL 7.panta pirmā prim un trešā daļa) </t>
  </si>
  <si>
    <t>x</t>
  </si>
  <si>
    <t>Atlīdzība par ārkārtas aizbildņa pienākumu pildīšanu (UCAL 19.panta pirmā un otrā daļa)</t>
  </si>
  <si>
    <t>Pabalsts nepavadīta bērna uzturam (UCAL 19.panta pirmā, trešā un septītā daļa)</t>
  </si>
  <si>
    <t>Pabalsts apģērba un mīkstā inventāra iegādei (UCAL 19.panta pirmā un piektā daļa)</t>
  </si>
  <si>
    <t>KOPĀ</t>
  </si>
  <si>
    <t>EKK</t>
  </si>
  <si>
    <t>X</t>
  </si>
  <si>
    <t xml:space="preserve">A </t>
  </si>
  <si>
    <t>Pabalsts atsevišķu izdevumu apmaksai (UCAL 7.panta trešā daļa)</t>
  </si>
  <si>
    <t>Pakalpojums pārvietošanās atbalstam (UCAL 13.panta pirmās daļas 1.punkts)</t>
  </si>
  <si>
    <t>Ilgstošas sociālās aprūpes un sociālās rehabilitācijas pakalpojumi bērniem (UCAL 7.panta pirmā prim un trešā daļa un 18.panta deviņpadsmitā daļa)</t>
  </si>
  <si>
    <t xml:space="preserve">Ilgstošas sociālās aprūpes un sociālās rehabilitācijas pakalpojumi pilngadīgām personām (UCAL 7.panta pirmā prim un trešā daļa) </t>
  </si>
  <si>
    <t>Piemaksa pie mēnešalgas</t>
  </si>
  <si>
    <t>Virsstundu darbs</t>
  </si>
  <si>
    <t>Citi pašvaldības piešķirtie sociālā atbalsta pasākumi (UCAL 7.panta trešā daļa un 19.panta sestā daļa).</t>
  </si>
  <si>
    <t>UCAL 7.panta trešā daļa un SPSPL 35.panta pirmās daļas 1.punkts un 36.panta ceturtā daļa</t>
  </si>
  <si>
    <t>UCAL 7.panta trešā daļa un SPSPL 35,panta pirmā, trešā un ceturtā daļa un SPSPL 36,panta piektā daļa</t>
  </si>
  <si>
    <t>UCAL 7.panta trešā daļa un 3 prim daļa</t>
  </si>
  <si>
    <t>UCAL 19. panta pirmā, otrā, trešā, piektā un septītā daļa</t>
  </si>
  <si>
    <t>20.01.00 "Valsts sociālie pabalsti"</t>
  </si>
  <si>
    <t>Februāris</t>
  </si>
  <si>
    <t>Marts</t>
  </si>
  <si>
    <t>Aprīlis</t>
  </si>
  <si>
    <t>Maijs</t>
  </si>
  <si>
    <t>Jūnijs</t>
  </si>
  <si>
    <t>Jūlijs</t>
  </si>
  <si>
    <t>mēr- vienība</t>
  </si>
  <si>
    <t>skaits</t>
  </si>
  <si>
    <t>B</t>
  </si>
  <si>
    <t>Tiflotehnikas nodrošināšana</t>
  </si>
  <si>
    <t>Izsniegto tehnisko palīglīdzekļu skaits</t>
  </si>
  <si>
    <t>05.01.00 "Sociālās rehabilitācijas valsts programmas"</t>
  </si>
  <si>
    <t>UCAL 7.panta pirmā daļa 4.punkts</t>
  </si>
  <si>
    <t>Surdotehnikas nodrošināšana</t>
  </si>
  <si>
    <t>Pārējo tehnisko palīglīdzekļu nodrošināšana</t>
  </si>
  <si>
    <t>stunda</t>
  </si>
  <si>
    <t xml:space="preserve">UCAL 7.panta trešā daļa </t>
  </si>
  <si>
    <t>Sociālās rehabilitācijas pakalpojumu sniegšana bērniem, kas cietuši no prettiesiskām darbībām institūcijās 30 vai 60 dienu kurss</t>
  </si>
  <si>
    <t>klientu dienas (bērniem)</t>
  </si>
  <si>
    <t>klientu dienas (pavadoņiem)</t>
  </si>
  <si>
    <t xml:space="preserve">Sociālās rehabilitācijas pakalpojumu sniegšana bērniem, kas cietuši no prettiesiskām darbībām, dzīvesvietā (līdz 10 konsultācijām) </t>
  </si>
  <si>
    <t>konsultācijas</t>
  </si>
  <si>
    <t>personas</t>
  </si>
  <si>
    <t>05.03.00 "Aprūpe valsts sociālās aprūpes institūcijās"</t>
  </si>
  <si>
    <t>līdz 30 dienām ilgs sociālās rehabilitācijas pakalpojums SIVA, ja personai atbilstoši pašvaldības sociālā dienesta novērtējumam psihoemocionālā stāvokļa dēļ ir nepieciešams diennakts pakalpojums (pabeigtie kursi)</t>
  </si>
  <si>
    <t>kursi</t>
  </si>
  <si>
    <t>05.37.00 "Sociālās integrācijas valsts aģentūras administrēšana un profesionālās un sociālās rehabilitācijas pakalpojumu nodrošināšana"</t>
  </si>
  <si>
    <t>1000</t>
  </si>
  <si>
    <t>UCAL 7.panta pirmā daļa 3.punkts</t>
  </si>
  <si>
    <t>2000</t>
  </si>
  <si>
    <t>līdz 30 dienām ilgs sociālās rehabilitācijas pakalpojums SIVA, ja personai atbilstoši pašvaldības sociālā dienesta novērtējumam psihoemocionālā stāvokļa dēļ ir nepieciešams diennakts pakalpojums (pakalpojumu neturpinās)</t>
  </si>
  <si>
    <t>dienas</t>
  </si>
  <si>
    <t>bērnu skaits</t>
  </si>
  <si>
    <t>LM</t>
  </si>
  <si>
    <t>Augusts</t>
  </si>
  <si>
    <t>2023</t>
  </si>
  <si>
    <t>Surdotulka saskarsmei nodrošināšana</t>
  </si>
  <si>
    <t>UCAL 7.panta 3.daļas 9.punkts un 11.daļa.</t>
  </si>
  <si>
    <t>UCAL 7.panta 3.daļa</t>
  </si>
  <si>
    <t xml:space="preserve">UCAL 7.panta 13.daļa </t>
  </si>
  <si>
    <t>janvāris</t>
  </si>
  <si>
    <t>februāris</t>
  </si>
  <si>
    <t>Janvāris</t>
  </si>
  <si>
    <t>Septembris</t>
  </si>
  <si>
    <t>Oktobris</t>
  </si>
  <si>
    <t>Novembris</t>
  </si>
  <si>
    <t>Decembris</t>
  </si>
  <si>
    <t>EKK 6000</t>
  </si>
  <si>
    <t>*</t>
  </si>
  <si>
    <t>22.03.00 "Valsts atbalsts ārpusģimenes aprūpei"</t>
  </si>
  <si>
    <t>UCAL 13.panta pirmā prim daļa un pirmā divi prim daļa.</t>
  </si>
  <si>
    <t>Plānotie zdevumi pārskata periodā</t>
  </si>
  <si>
    <t>Piemaksa pie mēnešalgas un virsstundu darbs bāriņtiesu un sociālo dienestu darbiniekiem, kuri iesaistīti atbalsta sniegšanā Ukrainas civiliedzīvotājiem</t>
  </si>
  <si>
    <t>janvāris - decembris</t>
  </si>
  <si>
    <t>UCAL 7. panta septītā un četrpadsmitā daļa</t>
  </si>
  <si>
    <t>UCAL 7.panta pirmās daļas 2.punkts</t>
  </si>
  <si>
    <t>Sociālās aprūpes pakalpojuma nodrošināšana dzīvesvietā Ukrainas civiliedzīvotājiem ar smagiem vai ļoti smagiem funkcionāliem traucējumiem, kuri ierobežo personas spējas patstāvīgi pārvietoties un sevi aprūpēt (13. panta pirmās daļas 1. punkts)</t>
  </si>
  <si>
    <t xml:space="preserve">UCAL 19.panta devītā daļa. </t>
  </si>
  <si>
    <t>Apraksts</t>
  </si>
  <si>
    <t>Aprēķins</t>
  </si>
  <si>
    <t xml:space="preserve">Pamatojums </t>
  </si>
  <si>
    <t>EKK 1000</t>
  </si>
  <si>
    <t xml:space="preserve">Atlīdzība </t>
  </si>
  <si>
    <t>EKK 2000</t>
  </si>
  <si>
    <t xml:space="preserve">Preces un pakalpojumi </t>
  </si>
  <si>
    <t>EKK 3000</t>
  </si>
  <si>
    <t>Subsīdijas un dotācijas</t>
  </si>
  <si>
    <t>EKK 5000</t>
  </si>
  <si>
    <t>Pamatkapitāla veidošana</t>
  </si>
  <si>
    <t>Sociāla rakstura maksājumi un kompensācijas</t>
  </si>
  <si>
    <t>EKK 7000</t>
  </si>
  <si>
    <t>Transferti, starptautiskā sadarbība</t>
  </si>
  <si>
    <t xml:space="preserve">Vides aizsardzības un reģionālās attīstības ministrija </t>
  </si>
  <si>
    <t xml:space="preserve"> KOPĀ:</t>
  </si>
  <si>
    <t>4.13. KOPĀ:</t>
  </si>
  <si>
    <t>Valsts sociālās aprūpes centri</t>
  </si>
  <si>
    <t xml:space="preserve">8.2. Vienreizējā nodarbinātības vai pašnodarbinātības uzsākšanas pabalsta izmaksa vienas minimālās mēneša algas apmērā </t>
  </si>
  <si>
    <t>KOPĀ*:</t>
  </si>
  <si>
    <t>papildu nepieciešamo izdevumu aprēķins*</t>
  </si>
  <si>
    <t>74.resora "Gadskārtējā valsts budžeta izpildes procesā pārdalāmais finansējums" 80.00.00 programmas "Nesadalītais finansējums Eiropas Savienības politiku instrumentu un pārējās ārvalstu finanšu palīdzības līdzfinansēto projektu un pasākumu īstenošanai"**</t>
  </si>
  <si>
    <t>Preces un pakalpojumi***</t>
  </si>
  <si>
    <t>***Finansējums apmērs un sadalījums starp EKK tiks pieprasīts atbilstoši faktiskajai nepieciešamībai.</t>
  </si>
  <si>
    <t>Vidējās TPL vienas vienības izmaksas, euro*</t>
  </si>
  <si>
    <t>4.11.</t>
  </si>
  <si>
    <t>4.12.</t>
  </si>
  <si>
    <t>2.pielikums rīkojuma projekta</t>
  </si>
  <si>
    <t>Detalizēti aprēķini 2. pielikuma 1.tabulā</t>
  </si>
  <si>
    <t>Detalizēti aprēķini 2. pielikuma 2.tabulā</t>
  </si>
  <si>
    <t>Detalizēti aprēķini 2. pielikuma 3.tabulā</t>
  </si>
  <si>
    <t>Detalizēti aprēķini 2. pielikuma 4.tabulā</t>
  </si>
  <si>
    <t>Detalizēti aprēķini 2. pielikuma 5.tabulā</t>
  </si>
  <si>
    <t>Detalizēti aprēķini 2. pielikuma 6.tabulā</t>
  </si>
  <si>
    <t>Detalizēti aprēķini 2. pielikuma 7.tabulā</t>
  </si>
  <si>
    <t>Detalizēti aprēķini 2. pielikuma 8.tabulā</t>
  </si>
  <si>
    <t>Detalizēti aprēķini 2. pielikuma 9.tabulā</t>
  </si>
  <si>
    <t>2.pielikuma 9.tabula</t>
  </si>
  <si>
    <t>2.pielikuma 8.tabula</t>
  </si>
  <si>
    <t>2.pielikuma 7.tabula</t>
  </si>
  <si>
    <t>2.pielikuma 6.tabula</t>
  </si>
  <si>
    <t>2.pielikuma 5.tabula</t>
  </si>
  <si>
    <t>2.pielikuma 4.tabula</t>
  </si>
  <si>
    <t>2.pielikuma 3.tabula</t>
  </si>
  <si>
    <t>2.pielikuma 2.tabula</t>
  </si>
  <si>
    <t>2.pielikuma 1.tabula</t>
  </si>
  <si>
    <t>VARAM</t>
  </si>
  <si>
    <t>Ārpusģimenes aprūpes atbalsta centri</t>
  </si>
  <si>
    <t>2024. gadā</t>
  </si>
  <si>
    <t>Pasākumu plāns atbalsta sniegšanai Ukrainas civiliedzīvotājiem Latvijas Republikā 2024.gadā</t>
  </si>
  <si>
    <t>2024</t>
  </si>
  <si>
    <t>septembris*</t>
  </si>
  <si>
    <t>oktobris*</t>
  </si>
  <si>
    <t>novembris*</t>
  </si>
  <si>
    <t>decembris*</t>
  </si>
  <si>
    <t>*Uz 2023. gada 25. septembri Ukrainas civiliedzīvotāju atbalsta sniegšanai nepieciešamās informācijas reģistrā ( UCASNIR ) kā aktīvi bija reģistrēti 32 607, t.sk. 2023. gadā ( 01.01. – 31.08.) pašvaldībās atbalsta saņemšanai no jauna reģistrējās 6964 Ukrainas civiliedzīvotāji. Ņemot vērā, ka prognozēts, ka līdz 2023. gada beigām Latvijā no jauna ieceļos un pēc palīdzības vērsīsies aptuveni 3000 Ukrainas civiliedzīvotāji, tad būtisks pieaugums izdevumiem netiek prognozēts. 
Izpilde 2023. gada periodā septembris - decembris plānota atbilstoši faktiskai izpildei vidēji iepriekšējos 6 mēnešos (marts - augusts).</t>
  </si>
  <si>
    <t>Plānotie zdevumi pārskata periodā**</t>
  </si>
  <si>
    <t>*ieskaitot pašvaldību nodrošinātus atbalsta pasākumus, kuru izdevumus pašvaldībām no budžeta resora "74. Gadskārtējā valsts budžeta izpildes procesā pārdalāmais finansējums" atsevišķās programmas 17. 00. 00 “Finansējums Ukrainas civiliedzīvotāju atbalsta likumā noteikto pasākumu īstenošanai”  piešķirtiem finanšu līdzekļiem sedz VARAM.</t>
  </si>
  <si>
    <t>4 (25;29;29;28)</t>
  </si>
  <si>
    <t>1 (29)</t>
  </si>
  <si>
    <t>1 (27)</t>
  </si>
  <si>
    <t>līdz 60 dienām ilgs sociālās rehabilitācijas pakalpojums SIVA, ja personai atbilstoši pašvaldības sociālā dienesta novērtējumam psihoemocionālā stāvokļa dēļ ir nepieciešams diennakts pakalpojums (pabeigtie kursi)</t>
  </si>
  <si>
    <t>līdz 60 dienām ilgs sociālās rehabilitācijas pakalpojums SIVA, ja personai atbilstoši pašvaldības sociālā dienesta novērtējumam psihoemocionālā stāvokļa dēļ ir nepieciešams diennakts pakalpojums (pakalpojumu neturpinās)</t>
  </si>
  <si>
    <t>4 (5; 8; 5; 8)</t>
  </si>
  <si>
    <t>1 (33)</t>
  </si>
  <si>
    <t>2 (58; 25)</t>
  </si>
  <si>
    <t>3 (58, 58, 29+24)</t>
  </si>
  <si>
    <t>*Finansējums apmērs un sadalījums starp EKK 1000 un EKK 2000 tiks pieprasīts atbilstoši faktiskajai nepieciešamībai.</t>
  </si>
  <si>
    <t>Atlīdzība*</t>
  </si>
  <si>
    <t>Preces un pakalpojumi*</t>
  </si>
  <si>
    <t>Plānotais TPL apjoms 2024. gadā**</t>
  </si>
  <si>
    <t>*vidējās TPL vienas vienības izmaksas aprēķinātas atbilstoši vidējām faktiskajām izmaksām par Ukrainas civiliedzīvotājiem izsniegtajiem TPL periodā janvāris - augusts, t.i. kopumā izlietoti 236 849 euro un izsniegti 255 TPL vienības (236 849 euro : 255);</t>
  </si>
  <si>
    <t>Plānotie izdevumi 2024. gadā***</t>
  </si>
  <si>
    <r>
      <t>Valsts sociālā nodrošinājuma pabalsts personām ar invaliditāti</t>
    </r>
    <r>
      <rPr>
        <vertAlign val="superscript"/>
        <sz val="10"/>
        <rFont val="Times New Roman"/>
        <family val="1"/>
        <charset val="186"/>
      </rPr>
      <t>1</t>
    </r>
  </si>
  <si>
    <t>1.grupa/ strādā</t>
  </si>
  <si>
    <t>1.grupa/ nestrādā</t>
  </si>
  <si>
    <t>1.grupa/ invaliditāte kopš bērnības (strādā)</t>
  </si>
  <si>
    <t>1.grupa/ invaliditāte kopš bērnības (nestrādā)</t>
  </si>
  <si>
    <t>2.grupa/ strādā</t>
  </si>
  <si>
    <t>2.grupa/ nestrādā</t>
  </si>
  <si>
    <t>2.grupa/ invaliditāte kopš bērnības (strādā)</t>
  </si>
  <si>
    <t>2.grupa/ invaliditāte kopš bērnības (nestrādā)</t>
  </si>
  <si>
    <t>3.grupa/ neatkarīgi no nodarbinātības</t>
  </si>
  <si>
    <t>3.grupa/  invaliditāte kopš bērnības ( neatkarīgi no nodarbinātības)</t>
  </si>
  <si>
    <t>līdz 31.12. 2023.</t>
  </si>
  <si>
    <t>no 01.01. 2024.</t>
  </si>
  <si>
    <t>Valsts sociālā nodrošinājuma pabalsta apmēri</t>
  </si>
  <si>
    <t>Pieaugums, %</t>
  </si>
  <si>
    <t>I Pabalsti (VSAA) 2023</t>
  </si>
  <si>
    <t>I Pabalsti (VSAA) 2024</t>
  </si>
  <si>
    <t>transporta izdevumi</t>
  </si>
  <si>
    <t>Sociālās rehabilitācijas pakalpojumi personām ar redzes invaliditāti</t>
  </si>
  <si>
    <t>Sociālās rehabilitācijas pakalpojumi personām ar dzirdes invaliditāti</t>
  </si>
  <si>
    <t>Psihosociālās rehabilitācijas pakalpojums personām ar onkoloģisku slimību un to tuviniekiem</t>
  </si>
  <si>
    <t>konsultācijas kursa ietvaros</t>
  </si>
  <si>
    <t>Pakalpojumi*</t>
  </si>
  <si>
    <t>KOPĀ janvāris - augusts</t>
  </si>
  <si>
    <t xml:space="preserve">KOPĀ </t>
  </si>
  <si>
    <r>
      <t>*Plāns balstīts uz faktisko izpildi līdz 31.08.2023. Faktiski sniegtie pakalpojumi var atsķirties no plānotajiem. Atbilstoši individuālajām personu vajadzībām. Likuma 7.</t>
    </r>
    <r>
      <rPr>
        <vertAlign val="superscript"/>
        <sz val="12"/>
        <rFont val="Times New Roman"/>
        <family val="1"/>
        <charset val="186"/>
      </rPr>
      <t>2</t>
    </r>
    <r>
      <rPr>
        <sz val="12"/>
        <rFont val="Times New Roman"/>
        <family val="1"/>
        <charset val="186"/>
      </rPr>
      <t xml:space="preserve"> panta pirmā daļa nosaka, ka Ukrainas civiliedzīvotājiem ir tādas pašas tiesības uz atbalsta pasākumiem invaliditātes seku mazināšanai kādas noteiktas  Invaliditātes likumā, kā arī Likuma 7.panta trešā daļa paredz, ka Ukrainas civiliedzīvotājiem ir tādas pašas tiesības uz sociālajiem pakalpojumiem un sociālo palīdzību, kādas Sociālo pakalpojumu un sociālās palīdzības likumā noteiktas Latvijas pilsoņiem un Latvijas nepilsoņiem.</t>
    </r>
  </si>
  <si>
    <r>
      <t>UCAL 7.</t>
    </r>
    <r>
      <rPr>
        <vertAlign val="superscript"/>
        <sz val="8"/>
        <rFont val="Times New Roman"/>
        <family val="1"/>
        <charset val="186"/>
      </rPr>
      <t>2</t>
    </r>
    <r>
      <rPr>
        <sz val="8"/>
        <rFont val="Times New Roman"/>
        <family val="1"/>
        <charset val="186"/>
      </rPr>
      <t xml:space="preserve"> panta  9.daļa un 11.daļa </t>
    </r>
  </si>
  <si>
    <t>Prognoze</t>
  </si>
  <si>
    <t>VSAA/ 2023</t>
  </si>
  <si>
    <t>VSAA/ 2024</t>
  </si>
  <si>
    <r>
      <rPr>
        <i/>
        <vertAlign val="superscript"/>
        <sz val="10"/>
        <rFont val="Times New Roman"/>
        <family val="1"/>
        <charset val="186"/>
      </rPr>
      <t>3</t>
    </r>
    <r>
      <rPr>
        <i/>
        <sz val="10"/>
        <rFont val="Times New Roman"/>
        <family val="1"/>
        <charset val="186"/>
      </rPr>
      <t xml:space="preserve"> tiek pieņemts, ka saņēmēju skaits pieaugs par 5 personām ik mēnesi līdz gada beigām, vidējais apmērs noteikts atbilstoši normatīvajos aktos noteiktajam vidējam apmēram - 313,43 euro;</t>
    </r>
  </si>
  <si>
    <t>Valsts sociālā nodrošinājuma pabalsts vecuma gadījumā*</t>
  </si>
  <si>
    <t>Prognozējams, ka nodarbinātības un pašnodarbinātības uzsākšanas pabalsts vienas minimālās mēneša darba algas apmērā Ukrainas civiliedzīvotājiem būtu nepieciešams aptuveni 4000 personām.. Ņemot vērā minēto,  indikatīvi nepieciešamais finansējums no līdzekļiem neparedzētiem gadījumiem  4000 personas x 700 euro =  2 800 000 euro.</t>
  </si>
  <si>
    <t>Atsauces uz UCAL skat. 2. pielikuma 7.tabulā</t>
  </si>
  <si>
    <r>
      <t>Atlīdzība par ārkārtas aizbildņa pienākumu pildīšanu (UCAL 19.panta pirmā un otrā daļa)</t>
    </r>
    <r>
      <rPr>
        <vertAlign val="superscript"/>
        <sz val="10"/>
        <rFont val="Times New Roman"/>
        <family val="1"/>
        <charset val="186"/>
      </rPr>
      <t>1</t>
    </r>
  </si>
  <si>
    <r>
      <t>Pabalsts nepavadīta bērna uzturam (UCAL 19.panta pirmā, trešā un septītā daļa)</t>
    </r>
    <r>
      <rPr>
        <vertAlign val="superscript"/>
        <sz val="10"/>
        <rFont val="Times New Roman"/>
        <family val="1"/>
        <charset val="186"/>
      </rPr>
      <t>2</t>
    </r>
  </si>
  <si>
    <r>
      <t>Pabalsts apģērba un mīkstā inventāra iegādei (UCAL 19.panta pirmā un piektā daļa)</t>
    </r>
    <r>
      <rPr>
        <vertAlign val="superscript"/>
        <sz val="10"/>
        <rFont val="Times New Roman"/>
        <family val="1"/>
        <charset val="186"/>
      </rPr>
      <t>3</t>
    </r>
  </si>
  <si>
    <r>
      <rPr>
        <i/>
        <vertAlign val="superscript"/>
        <sz val="10"/>
        <rFont val="Times New Roman"/>
        <family val="1"/>
        <charset val="186"/>
      </rPr>
      <t>1</t>
    </r>
    <r>
      <rPr>
        <i/>
        <sz val="10"/>
        <rFont val="Times New Roman"/>
        <family val="1"/>
        <charset val="186"/>
      </rPr>
      <t xml:space="preserve"> plānotais apmērs vidēji uz 1 personu 139.70 euro (atbilstoši prognozētajam izmaksātajam apjomam vidēji uz 1 personu 2023. gadā);</t>
    </r>
  </si>
  <si>
    <r>
      <rPr>
        <i/>
        <vertAlign val="superscript"/>
        <sz val="10"/>
        <rFont val="Times New Roman"/>
        <family val="1"/>
        <charset val="186"/>
      </rPr>
      <t xml:space="preserve">2 </t>
    </r>
    <r>
      <rPr>
        <i/>
        <sz val="10"/>
        <rFont val="Times New Roman"/>
        <family val="1"/>
        <charset val="186"/>
      </rPr>
      <t>plānotais apmērs vidēji uz 1 personu 254.61 euro (atbilstoši prognozētajam izmaksātajam apjomam vidēji uz 1 personu 2023. gadā);</t>
    </r>
  </si>
  <si>
    <r>
      <rPr>
        <i/>
        <vertAlign val="superscript"/>
        <sz val="10"/>
        <rFont val="Times New Roman"/>
        <family val="1"/>
        <charset val="186"/>
      </rPr>
      <t xml:space="preserve">3 </t>
    </r>
    <r>
      <rPr>
        <i/>
        <sz val="10"/>
        <rFont val="Times New Roman"/>
        <family val="1"/>
        <charset val="186"/>
      </rPr>
      <t>plānotais apmērs vidēji uz 1 personu 93.57 euro (atbilstoši prognozētajam izmaksātajam apjomam vidēji uz 1 personu 2023. gadā).</t>
    </r>
  </si>
  <si>
    <t>**Pārvietošanās atbalstā iekļauts guļošu personu pārvietošana uz ārstniecības iestādem</t>
  </si>
  <si>
    <t>septembris***</t>
  </si>
  <si>
    <t>oktobris***</t>
  </si>
  <si>
    <t>novembris***</t>
  </si>
  <si>
    <t>decembris***</t>
  </si>
  <si>
    <t>***izpilde plānota atbilstoši vidējai faktiskajai izpildei 2023. gada periodā jūlijs - augusts.</t>
  </si>
  <si>
    <r>
      <t>Pabalsts atsevišķu izdevumu apmaksai (UCAL 7.panta trešā daļa)</t>
    </r>
    <r>
      <rPr>
        <vertAlign val="superscript"/>
        <sz val="10"/>
        <rFont val="Times New Roman"/>
        <family val="1"/>
        <charset val="186"/>
      </rPr>
      <t>1</t>
    </r>
  </si>
  <si>
    <r>
      <t>Pakalpojums pārvietošanās atbalstam (UCAL 13.panta pirmās daļas 1.punkts)**</t>
    </r>
    <r>
      <rPr>
        <vertAlign val="superscript"/>
        <sz val="10"/>
        <rFont val="Times New Roman"/>
        <family val="1"/>
        <charset val="186"/>
      </rPr>
      <t>2</t>
    </r>
  </si>
  <si>
    <r>
      <t>Sociālās rehabilitācijas pakalpojums vardarbībā cietušiem bērniem (UCAL 7.panta pirmā prim un trešā daļa)</t>
    </r>
    <r>
      <rPr>
        <vertAlign val="superscript"/>
        <sz val="10"/>
        <rFont val="Times New Roman"/>
        <family val="1"/>
        <charset val="186"/>
      </rPr>
      <t>3</t>
    </r>
  </si>
  <si>
    <r>
      <t>Sociālās rehabilitācijas pakalpojums vardarbībā cietušām pilngadīgām personām (UCAL 7.panta pirmā prim un trešā daļa)</t>
    </r>
    <r>
      <rPr>
        <vertAlign val="superscript"/>
        <sz val="10"/>
        <rFont val="Times New Roman"/>
        <family val="1"/>
        <charset val="186"/>
      </rPr>
      <t xml:space="preserve"> 4</t>
    </r>
  </si>
  <si>
    <r>
      <t>Ilgstošas sociālās aprūpes un sociālās rehabilitācijas pakalpojumi bērniem (UCAL 7.panta pirmā prim un trešā daļa un 18.panta deviņpadsmitā daļa)</t>
    </r>
    <r>
      <rPr>
        <vertAlign val="superscript"/>
        <sz val="10"/>
        <rFont val="Times New Roman"/>
        <family val="1"/>
        <charset val="186"/>
      </rPr>
      <t>5</t>
    </r>
  </si>
  <si>
    <r>
      <t>Ilgstošas sociālās aprūpes un sociālās rehabilitācijas pakalpojumi pilngadīgām personām (UCAL 7.panta pirmā prim un trešā daļa)</t>
    </r>
    <r>
      <rPr>
        <vertAlign val="superscript"/>
        <sz val="10"/>
        <rFont val="Times New Roman"/>
        <family val="1"/>
        <charset val="186"/>
      </rPr>
      <t xml:space="preserve"> 6</t>
    </r>
  </si>
  <si>
    <r>
      <t>Sociālās aprūpes pakalpojuma nodrošināšana dzīvesvietā Ukrainas civiliedzīvotājiem ar smagiem vai ļoti smagiem funkcionāliem traucējumiem, kuri ierobežo personas spējas patstāvīgi pārvietoties un sevi aprūpēt (13. panta pirmās daļas 1. punkts)</t>
    </r>
    <r>
      <rPr>
        <vertAlign val="superscript"/>
        <sz val="10"/>
        <rFont val="Times New Roman"/>
        <family val="1"/>
        <charset val="186"/>
      </rPr>
      <t>7</t>
    </r>
  </si>
  <si>
    <t xml:space="preserve">*Plāns balstīts uz faktisko izpildi 2023. gadā. 2024. gadā faktiski izmaksātie pabalsti un nodrošinātie pakalpojumi var atsķirties (papildus var tikt nodrošināts vēl kāds atbalsta veids) atbilstoši individuālajām personu vajadzībām. Likuma 7.panta trešā daļa paredz, ka Ukrainas civiliedzīvotājiem ir tādas pašas tiesības uz sociālajiem pakalpojumiem un sociālo palīdzību, kādas Sociālo pakalpojumu un sociālās palīdzības likumā noteiktas Latvijas pilsoņiem un Latvijas nepilsoņiem. Vienlaicīgi pašvaldībās Ukrainas civiliedzīvotājiem ir tādas pašas tiesības uz sociālajiem pakalpojumiem un sociālo palīdzību, kādas pašvaldību saistošajos noteikumos noteiktas pašvaldības iedzīvotājiem. </t>
  </si>
  <si>
    <r>
      <rPr>
        <i/>
        <vertAlign val="superscript"/>
        <sz val="10"/>
        <rFont val="Times New Roman"/>
        <family val="1"/>
        <charset val="186"/>
      </rPr>
      <t>1</t>
    </r>
    <r>
      <rPr>
        <i/>
        <sz val="10"/>
        <rFont val="Times New Roman"/>
        <family val="1"/>
        <charset val="186"/>
      </rPr>
      <t xml:space="preserve"> plānotais apmērs vidēji uz 1 personu 66.77 euro (atbilstoši prognozētajam izmaksātajam apjomam vidēji uz 1 personu 2023. gadā);</t>
    </r>
  </si>
  <si>
    <r>
      <rPr>
        <i/>
        <vertAlign val="superscript"/>
        <sz val="10"/>
        <rFont val="Times New Roman"/>
        <family val="1"/>
        <charset val="186"/>
      </rPr>
      <t xml:space="preserve">2 </t>
    </r>
    <r>
      <rPr>
        <i/>
        <sz val="10"/>
        <rFont val="Times New Roman"/>
        <family val="1"/>
        <charset val="186"/>
      </rPr>
      <t>plānotais apmērs vidēji uz 1 personu 64.87 euro (atbilstoši prognozētajam izmaksātajam apjomam vidēji uz 1 personu 2023. gadā);</t>
    </r>
  </si>
  <si>
    <r>
      <rPr>
        <i/>
        <vertAlign val="superscript"/>
        <sz val="10"/>
        <rFont val="Times New Roman"/>
        <family val="1"/>
        <charset val="186"/>
      </rPr>
      <t xml:space="preserve">3 </t>
    </r>
    <r>
      <rPr>
        <i/>
        <sz val="10"/>
        <rFont val="Times New Roman"/>
        <family val="1"/>
        <charset val="186"/>
      </rPr>
      <t>plānotais apmērs vidēji uz 1 personu 75.00 euro (atbilstoši prognozētajam izmaksātajam apjomam vidēji uz 1 personu 2023. gadā);</t>
    </r>
  </si>
  <si>
    <r>
      <t xml:space="preserve">Garantētais minimālais ienākums (GMI) – pabalsts 109 </t>
    </r>
    <r>
      <rPr>
        <i/>
        <sz val="11"/>
        <rFont val="Times New Roman"/>
        <family val="1"/>
        <charset val="186"/>
      </rPr>
      <t>euro</t>
    </r>
    <r>
      <rPr>
        <sz val="11"/>
        <rFont val="Times New Roman"/>
        <family val="1"/>
        <charset val="186"/>
      </rPr>
      <t xml:space="preserve"> apmērā pirmajai personai un 76 </t>
    </r>
    <r>
      <rPr>
        <i/>
        <sz val="11"/>
        <rFont val="Times New Roman"/>
        <family val="1"/>
        <charset val="186"/>
      </rPr>
      <t>euro</t>
    </r>
    <r>
      <rPr>
        <sz val="11"/>
        <rFont val="Times New Roman"/>
        <family val="1"/>
        <charset val="186"/>
      </rPr>
      <t xml:space="preserve"> apmērā katrai nākamajai personai mājsaimniecībā. 
No 01.07.2023. pabalsts 125 euro apmērā pirmajai personai un 87.50 euro apmērā katrai nākamajai personai mājsaimniecībā</t>
    </r>
  </si>
  <si>
    <r>
      <t xml:space="preserve">Vienreizējais pabalsts krīzes situācijā 272 </t>
    </r>
    <r>
      <rPr>
        <i/>
        <sz val="11"/>
        <rFont val="Times New Roman"/>
        <family val="1"/>
        <charset val="186"/>
      </rPr>
      <t>euro</t>
    </r>
    <r>
      <rPr>
        <sz val="11"/>
        <rFont val="Times New Roman"/>
        <family val="1"/>
        <charset val="186"/>
      </rPr>
      <t xml:space="preserve"> apmērā pilngadīgai personai un 190 </t>
    </r>
    <r>
      <rPr>
        <i/>
        <sz val="11"/>
        <rFont val="Times New Roman"/>
        <family val="1"/>
        <charset val="186"/>
      </rPr>
      <t>euro</t>
    </r>
    <r>
      <rPr>
        <sz val="11"/>
        <rFont val="Times New Roman"/>
        <family val="1"/>
        <charset val="186"/>
      </rPr>
      <t xml:space="preserve"> apmērā par katru bērnu. 
No 01.07.2023. 313 euro apmērā pilngadīgai personai un 219 euro apmērā par katru bērnu.</t>
    </r>
  </si>
  <si>
    <t>Plāns balstīts uz faktisko izpildi 2023. gadā. 2024. gadā faktiski izmaksātie pabalsti un nodrošinātie pakalpojumi var atsķirties (papildus var tikt nodrošināts vēl kāds atbalsta veids) atbilstoši individuālajām personu vajadzībām. Likuma 7.panta trešā daļa paredz, ka Ukrainas civiliedzīvotājiem ir tādas pašas tiesības uz sociālajiem pakalpojumiem un sociālo palīdzību, kādas Sociālo pakalpojumu un sociālās palīdzības likumā noteiktas Latvijas pilsoņiem un Latvijas nepilsoņiem.</t>
  </si>
  <si>
    <t>Garantētā minimālā ienākuma slieksnis</t>
  </si>
  <si>
    <t>no 01.07.2023.</t>
  </si>
  <si>
    <t>Pirmajam vai vienīgajam cilvēkam mājsaimniecībā</t>
  </si>
  <si>
    <t>pārējiem cilvēkiem mājsaimniecībā</t>
  </si>
  <si>
    <t>Trūcīgas mājsaimniecības ienākumu slieksnis</t>
  </si>
  <si>
    <t>no 01.01.2024.</t>
  </si>
  <si>
    <t>pieaugums % no 01.01.2024.</t>
  </si>
  <si>
    <t>vidēji</t>
  </si>
  <si>
    <r>
      <t xml:space="preserve">Garantētais minimālais ienākums (GMI) – pabalsts 137 </t>
    </r>
    <r>
      <rPr>
        <i/>
        <sz val="11"/>
        <rFont val="Times New Roman"/>
        <family val="1"/>
        <charset val="186"/>
      </rPr>
      <t>euro</t>
    </r>
    <r>
      <rPr>
        <sz val="11"/>
        <rFont val="Times New Roman"/>
        <family val="1"/>
        <charset val="186"/>
      </rPr>
      <t xml:space="preserve"> apmērā pirmajai personai un 96 </t>
    </r>
    <r>
      <rPr>
        <i/>
        <sz val="11"/>
        <rFont val="Times New Roman"/>
        <family val="1"/>
        <charset val="186"/>
      </rPr>
      <t>euro</t>
    </r>
    <r>
      <rPr>
        <sz val="11"/>
        <rFont val="Times New Roman"/>
        <family val="1"/>
        <charset val="186"/>
      </rPr>
      <t xml:space="preserve"> apmērā katrai nākamajai personai mājsaimniecībā. </t>
    </r>
    <r>
      <rPr>
        <vertAlign val="superscript"/>
        <sz val="11"/>
        <rFont val="Times New Roman"/>
        <family val="1"/>
        <charset val="186"/>
      </rPr>
      <t>1;2</t>
    </r>
  </si>
  <si>
    <r>
      <t xml:space="preserve">Vienreizējais pabalsts krīzes situācijā 343 </t>
    </r>
    <r>
      <rPr>
        <i/>
        <sz val="11"/>
        <rFont val="Times New Roman"/>
        <family val="1"/>
        <charset val="186"/>
      </rPr>
      <t>euro</t>
    </r>
    <r>
      <rPr>
        <sz val="11"/>
        <rFont val="Times New Roman"/>
        <family val="1"/>
        <charset val="186"/>
      </rPr>
      <t xml:space="preserve"> apmērā pilngadīgai personai un 240 </t>
    </r>
    <r>
      <rPr>
        <i/>
        <sz val="11"/>
        <rFont val="Times New Roman"/>
        <family val="1"/>
        <charset val="186"/>
      </rPr>
      <t>euro</t>
    </r>
    <r>
      <rPr>
        <sz val="11"/>
        <rFont val="Times New Roman"/>
        <family val="1"/>
        <charset val="186"/>
      </rPr>
      <t xml:space="preserve"> apmērā par katru bērnu. </t>
    </r>
    <r>
      <rPr>
        <vertAlign val="superscript"/>
        <sz val="11"/>
        <rFont val="Times New Roman"/>
        <family val="1"/>
        <charset val="186"/>
      </rPr>
      <t>1;3</t>
    </r>
  </si>
  <si>
    <t>KOPĀ periodā janvāris - jūlijs</t>
  </si>
  <si>
    <t>07.01.00 "Nodarbinātības valsts aģentūras darbības nodrošināšana"</t>
  </si>
  <si>
    <t>VSAC 2022. gadā uzsāka nodrošināt pakalpojumu 140 Ukrainas civiliedzīvotājiem. Pamtā pakalpojums tiek nodrošināts VSAC piešķirtā finansējuma ietvaros. Nepieciešamības gadījumā,  2024. gadā tiks lūgts kompensēt,  VSAC izdevumus, kas radušies papildus iestādes uzturēšanas un pakalpojuma nodrošināšanas ikmēneša izdevumiem, piem., psihiatra konsultācijas, zobārstniecības pakalpojumi (piem., zobu labošana ar vispārējo anestēziju), specifisku tehnisko palīglīdzekļu iegāde u.c. izdevumi. Aprēķins: Vidēji 350 euro x 140 personas.</t>
  </si>
  <si>
    <r>
      <rPr>
        <i/>
        <vertAlign val="superscript"/>
        <sz val="10"/>
        <rFont val="Times New Roman"/>
        <family val="1"/>
        <charset val="186"/>
      </rPr>
      <t>4</t>
    </r>
    <r>
      <rPr>
        <i/>
        <sz val="10"/>
        <rFont val="Times New Roman"/>
        <family val="1"/>
        <charset val="186"/>
      </rPr>
      <t xml:space="preserve"> tiek pieņemts, ka saņēmēju skaits pieaugs par 1 personu ik mēnesi līdz gada beigām, vidējais apmērs 313,43 euro (kas atbilst normatīvajos aktos noteiktajam - personai ar invaliditāti, kurai nepieciešama kopšana un kuras invaliditātes cēlonis ir slimība no bērnības ).</t>
    </r>
  </si>
  <si>
    <r>
      <rPr>
        <i/>
        <vertAlign val="superscript"/>
        <sz val="10"/>
        <rFont val="Times New Roman"/>
        <family val="1"/>
        <charset val="186"/>
      </rPr>
      <t>1</t>
    </r>
    <r>
      <rPr>
        <i/>
        <sz val="10"/>
        <rFont val="Times New Roman"/>
        <family val="1"/>
        <charset val="186"/>
      </rPr>
      <t xml:space="preserve"> ņemot vērā iepriekšējā perioda izpildi tiek prognozēts saņēmēju skaita pieaugums par 15 personām ik mēnesi līdz 2024. gada beigām, vidējais apmērs 152,91euro (kas atbilst vidējam apmēram periodā 2023. gada jūlijs- 2023.gada septembris, kuram piemēro koeficientu 1.0922 (pieaugumu 9.22% atbilstoši vidējam VSNP pieauguma apmēram no 2024. gada 1.janvāra);</t>
    </r>
  </si>
  <si>
    <r>
      <rPr>
        <vertAlign val="superscript"/>
        <sz val="10"/>
        <rFont val="Times New Roman"/>
        <family val="1"/>
        <charset val="186"/>
      </rPr>
      <t>1</t>
    </r>
    <r>
      <rPr>
        <sz val="10"/>
        <rFont val="Times New Roman"/>
        <family val="1"/>
        <charset val="186"/>
      </rPr>
      <t xml:space="preserve"> tiek pieņemts, ka vidējais bērnu skaits  2024.gadā  būs 14 bērni vidēji mēnesī (vidējais rādītājs 2023.gadā), vidējais apmērs noteikts atbilstoši normatīvajos aktos noteiktajam vidējam apmēram -  421,17 </t>
    </r>
    <r>
      <rPr>
        <i/>
        <sz val="10"/>
        <rFont val="Times New Roman"/>
        <family val="1"/>
        <charset val="186"/>
      </rPr>
      <t>euro</t>
    </r>
  </si>
  <si>
    <t>Atbilstoši VBTAI datiem, ko sniegušas bāriņtiesas par pieņemtajiem lēmumiem, kopējais bērnu skaits, kuriem nodibināta ārkārtas aizbildnība un iecelts ārkārtas aizbildnis (turpmāk - ārkārtas aizbildnis) no 16.03.2022. līdz 06.10.2023. ir 1 339 bērni. Bērnu skaits samazinās un šobrī faktiski LV uzturas 360 ārkārtas aizbildniecībā esoši bērni. Uz 06.10.2023. Ukrainā atgriezušies 538 bērni , vecāku aprūpē atgriezušies 142 bērni, uz citām valstīm izbraukuši 54 bērni, iestājusies pilngadība 220 bērniem, par 25 bērniem nav norādīta informācija, ar tiesas lēmumu – pilnīgas civiltiesībspējas un rīcībspējas piešķirtas 1 nepilngadīgai personai. 
2022.gadā, sākot no maija mēneša līdz 2022.gada beigām,  Ārpusģimenes aprūpes atbalsta centri (turpmāk – ĀAC) ārkārtas aizbildņiem snieguši 15 (vidēji mēnesī 2) psihologa konsultācijas un 32 (vidēji mēnesī 4) sociālā darbinieka konsultācijas. 
2023.gada 8 mēnešos  ĀAC ārkārtas aizbildņiem snieguši 29 (vidēji mēnesī 4) psihologa konsultācijas un 41 (vidēji mēnesī 5) sociālā darbinieka konsultācijas.. 
Indikatīvais finansējuma aprēķins 2024.gadam veikts prognozējot, ka ĀAC 2024.gadā sniegto konsultāciju skaits vidēji mēnesī nepārsniegs 2023.gadā sniegto konsultāciju skaitu vidēji mēnesī.: 
Psihologa konsultācijas gadā - 4 konsult. vid. mēn. x 12 mēneši x 35 euro = 1 680 euro;                                                                                            
Sociālā darbinieka konsultācijas gadā - 5 konsult. vid. mēn. x 12 mēneši x 35 euro = 2 100 euro.</t>
  </si>
  <si>
    <t xml:space="preserve"> Asistenta pakalpojums</t>
  </si>
  <si>
    <t xml:space="preserve">** Primāri finansē no 74.resora "Gadskārtējā valsts budžeta izpildes procesā pārdalāmais finansējums" 80.00.00 programmas "Nesadalītais finansējums Eiropas Savienības politiku instrumentu un pārējās ārvalstu finanšu palīdzības līdzfinansēto projektu un pasākumu īstenošanai". Nepieciešamības gadījumā tiks sagatavots pieprasījums par papildu līdzekļu piešķiršanu no 74. resorā atsevišķā programmā plānotā finansējuma  17. 00. 00 “Finansējums Ukrainas civiliedzīvotāju atbalsta likumā noteikto pasākumu īstenošanai”. </t>
  </si>
  <si>
    <t>**Plānots, ka 2023. gadā tiks izsniegtas 383 TPL vienības (255:8 mēn x 12 mēn). Progozējams, ka 2024. gadā izsniegs par 5% vairāk, t.i. 402 TPL vienības.</t>
  </si>
  <si>
    <t>*** plānotie izdevumi 2024. gadā aprēķināti, pieņemot, ka 2024. gadā tiks izsniegta 402 TPL vienības, vienas vienības vidējās izmaksas 928.82 euro (rezultāts noapaļots ar 0 (nullle) zīmēm aiz komata).</t>
  </si>
  <si>
    <r>
      <t>Citi atbalsta pasākumi, t.sk. iepriekš nedefinēti pakalpojumi</t>
    </r>
    <r>
      <rPr>
        <vertAlign val="superscript"/>
        <sz val="10"/>
        <rFont val="Times New Roman"/>
        <family val="1"/>
        <charset val="186"/>
      </rPr>
      <t>8</t>
    </r>
  </si>
  <si>
    <t>Nepieciešami Likuma grozījumi 13.panta 11.daļā (valsts budžeta finansējuma tremiņa pagarinājums).</t>
  </si>
  <si>
    <r>
      <rPr>
        <b/>
        <i/>
        <sz val="9"/>
        <rFont val="Times New Roman"/>
        <family val="1"/>
        <charset val="186"/>
      </rPr>
      <t xml:space="preserve">3 735 213 euro </t>
    </r>
    <r>
      <rPr>
        <i/>
        <sz val="9"/>
        <rFont val="Times New Roman"/>
        <family val="1"/>
        <charset val="186"/>
      </rPr>
      <t xml:space="preserve">
Indikatīvais finansējums 2024. gadā atbalsta nodrošināšanai UA civiliedzīvotājiem 3 735 213 EUR.
Prognozētais atbalsta apjoms 27 672 unikālajai personai: 
 58% no unikālo personu kopskaita (prognozētie 16 000 personu - no jaunā iebraukušie 2024.gadā) saņem programmas atbalstu trīs mēnešus kā krīzes situācijā nonākušās mājsaimniecības;
 42% no unikālo personu kopskaita (11 672 personu) 2024.gadā turpina saņemt programmas atbalstu vidēji trīs ceturkšņus gada laikā.
Aprēķins – indikatīvs personu skaits x paku skaits x cena x 14 % vienotās likmes maksājums par izdali/ papildpasākumiem:
 pārtikas pakas: (16 000 personu x 2 pakas + 11 672 personas x 6 pakas) x 26,47 euro x 1,14 = 3 078 897 euro.
 higiēnas pakas: (16 000 personu x 1 paka + 11 672 personas x 3 pakas) x 6,05 euro x 1,14 = 351 857 euro.
 bērnu pārtikas pakas: (280 bērni x 2 pakas + 202 bērni x 6 pakas) x 50,00 euro x 1,14 = 101 004 euro.
 bērnu higiēnas pakas: (329 bērni x 1 paka + 239 bērni x 3 pakas) x 52,98 euro x 1,14 = 63 175 euro.
 mācību piederumu pakas: 4 931 skolēni x 1 paka x 24,32 euro x 1,14 = 136 711 euro.
 pārtikas pakas zupas virtuvēm: 30 pakas x 104,35 euro = 3 569 euro.</t>
    </r>
  </si>
  <si>
    <t>Nepieciešami Likuma grozījumi 18.un 19.pantos.</t>
  </si>
  <si>
    <t>3.3. Virsstundu darba vai papildu darba apmaksa bāriņtiesu un pašvaldības sociālo dienestu darbiniekiem</t>
  </si>
  <si>
    <t>3.3.</t>
  </si>
  <si>
    <t>4.1.</t>
  </si>
  <si>
    <t>4.3. Valsts finansēto tehnisko palīglīdzekļu nodrošināšana</t>
  </si>
  <si>
    <t>4.4. Atbalsta sniegšana Ukrainas civiliedzīvotājiem, kuriem Latvijā noteikta invaliditāte (pabalsti un pakalpojumi)</t>
  </si>
  <si>
    <t>4.7.1.</t>
  </si>
  <si>
    <t>4.7.2.</t>
  </si>
  <si>
    <t>4.7.1.Garantētais minimālais ienākums (GMI) – pabalsts 137 euro apmērā pirmajai personai un 96 euro apmērā katrai nākamajai personai mājsaimniecībā</t>
  </si>
  <si>
    <t>4.7.2.Vienreizējais pabalsts krīzes situācijā 343 euro apmērā pilngadīgai personai un 240 euro apmērā par katru bērnu</t>
  </si>
  <si>
    <t xml:space="preserve">*Uz 2023. gada 25. septembri Ukrainas civiliedzīvotāju atbalsta sniegšanai nepieciešamās informācijas reģistrā ( UCASNIR ) kā aktīvi bija reģistrēti 32 607, t.sk. 2023. gadā ( 01.01. – 31.08.) pašvaldībās atbalsta saņemšanai no jauna reģistrējās 6964 Ukrainas civiliedzīvotāji. Ņemot vērā, ka prognozēts, ka līdz 2023. gada beigām Latvijā no jauna ieceļos un pēc palīdzības vērsīsies aptuveni 3000 Ukrainas civiliedzīvotāji. Attiecīgi prognozēts, ka 2023. gadā no jauna būs ieceļojuši un pēc palīdzības vērsušies 9 964 Ukrainas civiliedzīvotāji. 
Ņemot vērā, ka Iekšlietu ministrija prognozē, ka 2024. gadā Latvijas Republikas teritorijā no jauna varētu ierasties aptuveni 12 000 Ukrainas civiliedzīvotāji, kas ir lielāks skaits kā prognozēts 2023. gadā, tad 2023. gada plānotajiem izdevumiem piemēro koeficientu 1.05 (+5%), jo prognozējams, ka izdevumi 2024. gadā būs lielāki kā 2023.gadā.
</t>
  </si>
  <si>
    <t xml:space="preserve">**Uz 2023. gada 25. septembri Ukrainas civiliedzīvotāju atbalsta sniegšanai nepieciešamās informācijas reģistrā ( UCASNIR ) kā aktīvi bija reģistrēti 32 607, t.sk. 2023. gadā ( 01.01. – 31.08.) pašvaldībās atbalsta saņemšanai no jauna reģistrējās 6964 Ukrainas civiliedzīvotāji. Ņemot vērā, ka prognozēts, ka līdz 2023. gada beigām Latvijā no jauna ieceļos un pēc palīdzības vērsīsies aptuveni 3000 Ukrainas civiliedzīvotāji. Attiecīgi prognozēts, ka 2023. gadā no jauna būs ieceļojuši un pēc palīdzības vērsušies 9 964 Ukrainas civiliedzīvotāji. 
Ņemot vērā, ka Iekšlietu ministrija prognozē, ka 2024. gadā Latvijas Republikas teritorijā no jauna varētu ierasties aptuveni 12 000 Ukrainas civiliedzīvotāji, kas ir lielāks skaits kā prognozēts 2023. gadā, tad 2024. gada plānotajiem izdevumiem piemēro koeficientu 1.05 (+5%), jo prognozējams, ka papildus darba un virsstudu apjoms 2024.gadā pieaugs.
</t>
  </si>
  <si>
    <t>4.7.3. Mājokļa pabalsts pēc aprēķina, ja ir noslēgts īres līgums</t>
  </si>
  <si>
    <t>4.7.3.</t>
  </si>
  <si>
    <t>4.7.4. Sociālās rehabilitācijas un psihosociālās rehabilitācijas pakalpojumi</t>
  </si>
  <si>
    <t>4.7.4.</t>
  </si>
  <si>
    <t>4.8. Ar ģimeni un bērna aprūpi saistīto valsts sociālo pabalstu nodrošināšana</t>
  </si>
  <si>
    <t>4.8.</t>
  </si>
  <si>
    <t>4.9.</t>
  </si>
  <si>
    <t>4.9. Cita veida atbalsta sniegšana, pamatojoties uz individuālo vajadzību izvērtējumu, tai skaitā sociālās aprūpes pakalpojuma nodrošināšana dzīvesvietā un pārvietošanās atbalsts, tai skaitā ar specializēto transportu, Ukrainas civiliedzīvotājiem ar smagiem vai ļoti smagiem funkcionāliem traucējumiem, kuri ierobežo personas spējas patstāvīgi pārvietoties un sevi aprūpēt</t>
  </si>
  <si>
    <r>
      <rPr>
        <i/>
        <vertAlign val="superscript"/>
        <sz val="10"/>
        <rFont val="Times New Roman"/>
        <family val="1"/>
        <charset val="186"/>
      </rPr>
      <t xml:space="preserve">1;2;3;4;5;6;7 </t>
    </r>
    <r>
      <rPr>
        <i/>
        <sz val="10"/>
        <rFont val="Times New Roman"/>
        <family val="1"/>
        <charset val="186"/>
      </rPr>
      <t>Uz 2023. gada 25. septembri Ukrainas civiliedzīvotāju atbalsta sniegšanai nepieciešamās informācijas reģistrā ( UCASNIR ) kā aktīvi bija reģistrēti 32 607, t.sk. 2023. gadā ( 01.01. – 31.08.) pašvaldībās atbalsta saņemšanai no jauna reģistrējās 6964 Ukrainas civiliedzīvotāji. Ņemot vērā, ka prognozēts, ka līdz 2023. gada beigām Latvijā no jauna ieceļos un pēc palīdzības vērsīsies aptuveni 3000 Ukrainas civiliedzīvotāji. Attiecīgi prognozēts, ka 2023. gadā no jauna būs ieceļojuši un pēc palīdzības vērsušies 9 964 Ukrainas civiliedzīvotāji. 
Ņemot vērā, ka Iekšlietu ministrija prognozē, ka 2024. gadā Latvijas Republikas teritorijā no jauna varētu ierasties aptuveni 12 000 Ukrainas civiliedzīvotāji, kas ir lielāks skaits kā prognozēts 2023. gadā, tad 2024. gadā personu skaits tiek plānots par 5% lielāks nekā vidēji tas prognozēts 2023. gadā;</t>
    </r>
  </si>
  <si>
    <t xml:space="preserve">4.10. Ilgstošas sociālās aprūpes un sociālās rehabilitācijas pakalpojumu sniegšana institūcijā Ukrainas civiliedzīvotājiem (pilngadīgām personām, bērniem).      </t>
  </si>
  <si>
    <t>4.11.Atbalsta sniegšana ārkārtas aizbildņiem (atlīdzība par ārkārtas aizbildņa pienākumu pildīšanu, pabalsts nepavadīta bērna uzturam un pabalsts apģērba un mīkstā inventāra iegādei)</t>
  </si>
  <si>
    <r>
      <rPr>
        <i/>
        <vertAlign val="superscript"/>
        <sz val="10"/>
        <rFont val="Times New Roman"/>
        <family val="1"/>
        <charset val="186"/>
      </rPr>
      <t xml:space="preserve">1;2;3 </t>
    </r>
    <r>
      <rPr>
        <i/>
        <sz val="10"/>
        <rFont val="Times New Roman"/>
        <family val="1"/>
        <charset val="186"/>
      </rPr>
      <t>Uz 2023. gada 25. septembri Ukrainas civiliedzīvotāju atbalsta sniegšanai nepieciešamās informācijas reģistrā ( UCASNIR ) kā aktīvi bija reģistrēti 32 607, t.sk. 2023. gadā ( 01.01. – 31.08.) pašvaldībās atbalsta saņemšanai no jauna reģistrējās 6964 Ukrainas civiliedzīvotāji. Ņemot vērā, ka prognozēts, ka līdz 2023. gada beigām Latvijā no jauna ieceļos un pēc palīdzības vērsīsies aptuveni 3000 Ukrainas civiliedzīvotāji. Attiecīgi prognozēts, ka 2023. gadā no jauna būs ieceļojuši un pēc palīdzības vērsušies 9 964 Ukrainas civiliedzīvotāji. 
Ņemot vērā, ka Iekšlietu ministrija prognozē, ka 2024. gadā Latvijas Republikas teritorijā no jauna varētu ierasties aptuveni 12 000 Ukrainas civiliedzīvotāji, kas ir lielāks skaits kā prognozēts 2023. gadā, tad 2024. gadā personu skaits tiek plānots par 5% lielāks nekā vidēji tas prognozēts 2023. gadā;</t>
    </r>
  </si>
  <si>
    <t>4.12. Ārpusģimenes aprūpes atbalsta centru pakalpojumu sniegšana ārkārtas aizbildņiem</t>
  </si>
  <si>
    <t>4.13. Atbalsta sniegšana Ukrainas civiliedzīvotājiem, kuri sasnieguši likumā "Par valsts pensijām" noteikto vecuma pensijas piešķiršanai nepieciešamo vecumu, bet kuriem nav tiesību uz vecuma pensiju Latvijas Republikā</t>
  </si>
  <si>
    <t>pasākumu plāna atbalsta sniegšanai Ukrainas civiliedzīvotājiem Latvijas Republikā 2024.gadā sākotnējās 
ietekmes novērtējuma ziņojumam (anotācijai)</t>
  </si>
  <si>
    <r>
      <rPr>
        <i/>
        <vertAlign val="superscript"/>
        <sz val="10"/>
        <rFont val="Times New Roman"/>
        <family val="1"/>
        <charset val="186"/>
      </rPr>
      <t>2</t>
    </r>
    <r>
      <rPr>
        <i/>
        <sz val="10"/>
        <rFont val="Times New Roman"/>
        <family val="1"/>
        <charset val="186"/>
      </rPr>
      <t xml:space="preserve"> tiek pieņemts, ka saņēmēju skaits pieaugs par 5 personām ik mēnesi līdz gada beigām, vidējais apmērs noteikts atbilstoši MK 26.09.2023. sēdē atbalstītajam PP "Atbalsta pasākumi ģimenēm un bērniem" - 160 euro;</t>
    </r>
  </si>
  <si>
    <t>4.2. Sociālās rehabilitācijas pakalpojuma sniegšana Sociālās integrācijas valsts aģentūrā personām, kurām psihoemocionālā stāvokļa dēļ ir nepieciešams diennakts pakalpojums (līdz 30 dienām), un personām, kuras valsts apmaksātās medicīniskās transportēšanas ietvaros pārvestas no Ukrainas ārstniecības iestādes uz stacionāro ārstniecības iestādi Latvijā un saņem veselības aprūpes pakalpojumus atbilstoši medicīniskās transportēšanas mērķim (līdz 60 dienām)</t>
  </si>
  <si>
    <t>4.7.1. 
VARAM/ pašvaldības</t>
  </si>
  <si>
    <t>4.7.2.
VARAM/ pašvaldības</t>
  </si>
  <si>
    <t>4.7.3. 
VARAM/ pašvaldības</t>
  </si>
  <si>
    <t>4.7.4.
LM</t>
  </si>
  <si>
    <t>4.7. Sociālās palīdzības pabalstu un sociālās rehabilitācijas pakalpojumu nodrošināšana Ukrainas civiliedzīvotājiem*</t>
  </si>
  <si>
    <t>4.9. Cita veida atbalsta sniegšana, pamatojoties uz individuālo vajadzību izvērtējumu, tai skaitā sociālās aprūpes pakalpojuma nodrošināšana dzīvesvietā un pārvietošanās atbalsts, tai skaitā ar specializēto transportu, Ukrainas civiliedzīvotājiem ar smagiem vai ļoti smagiem funkcionāliem traucējumiem, kuri ierobežo personas spējas patstāvīgi pārvietoties un sevi aprūpēt*</t>
  </si>
  <si>
    <t>Pašvaldības (VARAM)</t>
  </si>
  <si>
    <r>
      <t>Piemaksa pie ģimenes valsts pabalsta par bērnu ar invaliditāti</t>
    </r>
    <r>
      <rPr>
        <vertAlign val="superscript"/>
        <sz val="10"/>
        <rFont val="Times New Roman"/>
        <family val="1"/>
        <charset val="186"/>
      </rPr>
      <t>1</t>
    </r>
  </si>
  <si>
    <r>
      <t>Bērna ar invaliditāti kopšanas pabalsts</t>
    </r>
    <r>
      <rPr>
        <vertAlign val="superscript"/>
        <sz val="10"/>
        <rFont val="Times New Roman"/>
        <family val="1"/>
        <charset val="186"/>
      </rPr>
      <t>1</t>
    </r>
  </si>
  <si>
    <r>
      <t>Pabalsts personai ar invaliditāti, kurai nepieciešama kopšana (ar noteiktu invaliditāti Latvijā)</t>
    </r>
    <r>
      <rPr>
        <vertAlign val="superscript"/>
        <sz val="10"/>
        <rFont val="Times New Roman"/>
        <family val="1"/>
        <charset val="186"/>
      </rPr>
      <t>1</t>
    </r>
  </si>
  <si>
    <t xml:space="preserve">*  saskaņā ar MK sēdē izskatīto un atbalstīto MK rīkojuma projektu ""Grozījums Ministru kabineta 2023.gada 8.jūnija rīkojumā Nr.336 “Par apropriācijas pārdali no budžeta resora “74. Gadskārtējā valsts budžeta izpildes procesā pārdalāmais finansējums” valsts budžeta programmas 17.00.00 “Finansējums Ukrainas civiliedzīvotāju atbalsta likumā noteikto pasākumu īstenošanai””” projekta (23-TA-3060) </t>
  </si>
  <si>
    <r>
      <t xml:space="preserve">*tiek pieņemts saņēmēju skaita pieaugums ik mēnesi par 5%, vidējais apmērs noteikts atbilstoši normatīvajos aktos noteiktajam vidējam apmēram - janvārī - 125 euro; ar 1.februāri - 137 </t>
    </r>
    <r>
      <rPr>
        <i/>
        <sz val="10"/>
        <rFont val="Times New Roman"/>
        <family val="1"/>
        <charset val="186"/>
      </rPr>
      <t>euro</t>
    </r>
  </si>
  <si>
    <r>
      <rPr>
        <i/>
        <vertAlign val="superscript"/>
        <sz val="10"/>
        <rFont val="Times New Roman"/>
        <family val="1"/>
        <charset val="186"/>
      </rPr>
      <t>4</t>
    </r>
    <r>
      <rPr>
        <sz val="11"/>
        <rFont val="Calibri"/>
        <family val="2"/>
        <charset val="186"/>
        <scheme val="minor"/>
      </rPr>
      <t xml:space="preserve"> </t>
    </r>
    <r>
      <rPr>
        <i/>
        <sz val="10"/>
        <rFont val="Times New Roman"/>
        <family val="1"/>
        <charset val="186"/>
      </rPr>
      <t>plānotais apmērs vidēji uz 1 personu 322.36 euro (atbilstoši prognozētajam izmaksātajam apjomam vidēji uz 1 personu 2023. gadā;</t>
    </r>
  </si>
  <si>
    <r>
      <rPr>
        <i/>
        <vertAlign val="superscript"/>
        <sz val="10"/>
        <rFont val="Times New Roman"/>
        <family val="1"/>
        <charset val="186"/>
      </rPr>
      <t>5</t>
    </r>
    <r>
      <rPr>
        <sz val="11"/>
        <rFont val="Calibri"/>
        <family val="2"/>
        <charset val="186"/>
        <scheme val="minor"/>
      </rPr>
      <t xml:space="preserve"> </t>
    </r>
    <r>
      <rPr>
        <i/>
        <sz val="10"/>
        <rFont val="Times New Roman"/>
        <family val="1"/>
        <charset val="186"/>
      </rPr>
      <t>plānotais apmērs vidēji uz 1 personu 750.40 euro (atbilstoši prognozētajam izmaksātajam apjomam vidēji uz 1 personu 2023. gadā);</t>
    </r>
  </si>
  <si>
    <r>
      <rPr>
        <i/>
        <vertAlign val="superscript"/>
        <sz val="10"/>
        <rFont val="Times New Roman"/>
        <family val="1"/>
        <charset val="186"/>
      </rPr>
      <t>6</t>
    </r>
    <r>
      <rPr>
        <sz val="11"/>
        <rFont val="Calibri"/>
        <family val="2"/>
        <charset val="186"/>
        <scheme val="minor"/>
      </rPr>
      <t xml:space="preserve"> </t>
    </r>
    <r>
      <rPr>
        <i/>
        <sz val="10"/>
        <rFont val="Times New Roman"/>
        <family val="1"/>
        <charset val="186"/>
      </rPr>
      <t>plānotais apmērs vidēji uz 1 personu 1212.44 euro (atbilstoši prognozētajam izmaksātajam apjomam vidēji uz 1 personu 2023. gadā);</t>
    </r>
  </si>
  <si>
    <r>
      <rPr>
        <i/>
        <vertAlign val="superscript"/>
        <sz val="10"/>
        <rFont val="Times New Roman"/>
        <family val="1"/>
        <charset val="186"/>
      </rPr>
      <t>7</t>
    </r>
    <r>
      <rPr>
        <sz val="11"/>
        <rFont val="Calibri"/>
        <family val="2"/>
        <charset val="186"/>
        <scheme val="minor"/>
      </rPr>
      <t xml:space="preserve"> </t>
    </r>
    <r>
      <rPr>
        <i/>
        <sz val="10"/>
        <rFont val="Times New Roman"/>
        <family val="1"/>
        <charset val="186"/>
      </rPr>
      <t>plānotais apmērs vidēji uz 1 personu 437.70 euro (atbilstoši prognozētajam izmaksātajam apjomam vidēji uz 1 personu 2023. gadā);</t>
    </r>
  </si>
  <si>
    <r>
      <rPr>
        <i/>
        <vertAlign val="superscript"/>
        <sz val="10"/>
        <rFont val="Times New Roman"/>
        <family val="1"/>
        <charset val="186"/>
      </rPr>
      <t>8</t>
    </r>
    <r>
      <rPr>
        <sz val="11"/>
        <rFont val="Calibri"/>
        <family val="2"/>
        <charset val="186"/>
        <scheme val="minor"/>
      </rPr>
      <t xml:space="preserve"> </t>
    </r>
    <r>
      <rPr>
        <i/>
        <sz val="10"/>
        <rFont val="Times New Roman"/>
        <family val="1"/>
        <charset val="186"/>
      </rPr>
      <t>2023.gadā vidēji mēnesī izdevumi 105 231 euro. Ņemot vērā, ka samazināsies Ukrainas civiliedzīvotājiem sniegtais atbalsts no ES projektu līdzekļiem, ik mēnesi 2024. gadā tiek prognozēts izdevumu pieaugums par 5%.</t>
    </r>
  </si>
  <si>
    <r>
      <t>Bērna piedzimšanas pabalsts</t>
    </r>
    <r>
      <rPr>
        <vertAlign val="superscript"/>
        <sz val="10"/>
        <rFont val="Times New Roman"/>
        <family val="1"/>
        <charset val="186"/>
      </rPr>
      <t>1</t>
    </r>
  </si>
  <si>
    <r>
      <t>Bērna kopšanas pabalsts</t>
    </r>
    <r>
      <rPr>
        <vertAlign val="superscript"/>
        <sz val="10"/>
        <rFont val="Times New Roman"/>
        <family val="1"/>
        <charset val="186"/>
      </rPr>
      <t>1</t>
    </r>
  </si>
  <si>
    <r>
      <t>Ģimenes valsts pabalsts</t>
    </r>
    <r>
      <rPr>
        <vertAlign val="superscript"/>
        <sz val="10"/>
        <rFont val="Times New Roman"/>
        <family val="1"/>
        <charset val="186"/>
      </rPr>
      <t>1</t>
    </r>
  </si>
  <si>
    <r>
      <t>Valsts atbalsts ar celiakiju slimiem bērniem</t>
    </r>
    <r>
      <rPr>
        <vertAlign val="superscript"/>
        <sz val="10"/>
        <rFont val="Times New Roman"/>
        <family val="1"/>
        <charset val="186"/>
      </rPr>
      <t>1</t>
    </r>
  </si>
  <si>
    <r>
      <rPr>
        <i/>
        <vertAlign val="superscript"/>
        <sz val="10"/>
        <rFont val="Times New Roman"/>
        <family val="1"/>
        <charset val="186"/>
      </rPr>
      <t>1</t>
    </r>
    <r>
      <rPr>
        <i/>
        <sz val="10"/>
        <rFont val="Times New Roman"/>
        <family val="1"/>
        <charset val="186"/>
      </rPr>
      <t xml:space="preserve"> saskaņā ar MK sēdē izskatīto un atbalstīto MK rīkojuma projektu ""Grozījums Ministru kabineta 2023.gada 8.jūnija rīkojumā Nr.336 “Par apropriācijas pārdali no budžeta resora “74. Gadskārtējā valsts budžeta izpildes procesā pārdalāmais finansējums” valsts budžeta programmas 17.00.00 “Finansējums Ukrainas civiliedzīvotāju atbalsta likumā noteikto pasākumu īstenošanai””” projekta (23-TA-3060) </t>
    </r>
  </si>
  <si>
    <r>
      <t>Bērna kopšanas pabalsts</t>
    </r>
    <r>
      <rPr>
        <vertAlign val="superscript"/>
        <sz val="10"/>
        <rFont val="Times New Roman"/>
        <family val="1"/>
        <charset val="186"/>
      </rPr>
      <t>2</t>
    </r>
  </si>
  <si>
    <r>
      <t>Ģimenes valsts pabalsts</t>
    </r>
    <r>
      <rPr>
        <vertAlign val="superscript"/>
        <sz val="10"/>
        <rFont val="Times New Roman"/>
        <family val="1"/>
        <charset val="186"/>
      </rPr>
      <t>3</t>
    </r>
  </si>
  <si>
    <r>
      <t>Valsts atbalsts ar celiakiju slimiem bērniem</t>
    </r>
    <r>
      <rPr>
        <vertAlign val="superscript"/>
        <sz val="10"/>
        <rFont val="Times New Roman"/>
        <family val="1"/>
        <charset val="186"/>
      </rPr>
      <t>4</t>
    </r>
  </si>
  <si>
    <r>
      <t>Piemaksa pie ģimenes valsts pabalsta par bērnu ar invaliditāti</t>
    </r>
    <r>
      <rPr>
        <vertAlign val="superscript"/>
        <sz val="10"/>
        <rFont val="Times New Roman"/>
        <family val="1"/>
        <charset val="186"/>
      </rPr>
      <t>2</t>
    </r>
  </si>
  <si>
    <r>
      <t>Bērna ar invaliditāti kopšanas pabalsts</t>
    </r>
    <r>
      <rPr>
        <vertAlign val="superscript"/>
        <sz val="10"/>
        <rFont val="Times New Roman"/>
        <family val="1"/>
        <charset val="186"/>
      </rPr>
      <t>3</t>
    </r>
  </si>
  <si>
    <r>
      <t>Pabalsts personai ar invaliditāti, kurai nepieciešama kopšana (ar noteiktu invaliditāti Latvijā)</t>
    </r>
    <r>
      <rPr>
        <vertAlign val="superscript"/>
        <sz val="10"/>
        <rFont val="Times New Roman"/>
        <family val="1"/>
        <charset val="186"/>
      </rPr>
      <t>4</t>
    </r>
  </si>
  <si>
    <r>
      <t>Mājokļa pabalsts pēc aprēķina, ja ir noslēgts īres līgums</t>
    </r>
    <r>
      <rPr>
        <vertAlign val="superscript"/>
        <sz val="11"/>
        <rFont val="Times New Roman"/>
        <family val="1"/>
        <charset val="186"/>
      </rPr>
      <t>1;4;5</t>
    </r>
  </si>
  <si>
    <r>
      <rPr>
        <i/>
        <vertAlign val="superscript"/>
        <sz val="11"/>
        <rFont val="Times New Roman"/>
        <family val="1"/>
        <charset val="186"/>
      </rPr>
      <t>5</t>
    </r>
    <r>
      <rPr>
        <i/>
        <sz val="11"/>
        <rFont val="Times New Roman"/>
        <family val="1"/>
        <charset val="186"/>
      </rPr>
      <t xml:space="preserve"> 2024. gada  izdevumu plānas veidots balstoties uz plānoto pabalsta saņēmēju skaitu vidēji mēnesī 2023. gadā. Norādītais sadalījums pa mēnešiem  2024. gadā ir vidējais apmērs mēnesī (visos mēnešos ir vienāds). Faktiskā izpilde, ņemot vērā pabalsta izmaksu nosacījumus, gada aukstajos mēnešos būs lielāka un vasaras mēnešos zemāka.</t>
    </r>
  </si>
  <si>
    <r>
      <rPr>
        <i/>
        <vertAlign val="superscript"/>
        <sz val="11"/>
        <rFont val="Times New Roman"/>
        <family val="1"/>
        <charset val="186"/>
      </rPr>
      <t>1</t>
    </r>
    <r>
      <rPr>
        <i/>
        <sz val="11"/>
        <rFont val="Times New Roman"/>
        <family val="1"/>
        <charset val="186"/>
      </rPr>
      <t>Uz 2023. gada 25. septembri Ukrainas civiliedzīvotāju atbalsta sniegšanai nepieciešamās informācijas reģistrā ( UCASNIR ) kā aktīvi bija reģistrēti 32 607, t.sk. 2023. gadā ( 01.01. – 31.08.) pašvaldībās atbalsta saņemšanai no jauna reģistrējās 6964 Ukrainas civiliedzīvotāji. Ņemot vērā, ka prognozēts, ka līdz 2023. gada beigām Latvijā no jauna ieceļos un pēc palīdzības vērsīsies aptuveni 3000 Ukrainas civiliedzīvotāji. Attiecīgi prognozēts, ka 2023. gadā no jauna būs ieceļojuši un pēc palīdzības vērsušies 9 964 Ukrainas civiliedzīvotāji. 
Ņemot vērā, ka Iekšlietu ministrija prognozē, ka 2024. gadā Latvijas Republikas teritorijā no jauna varētu ierasties aptuveni 12 000 Ukrainas civiliedzīvotāji, kas ir lielāks skaits kā prognozēts 2023. gadā, tad 2024. gadā personu skaits tiek plānots par 5% lielāks nekā  prognozēts 2023. gada decembrī;</t>
    </r>
  </si>
  <si>
    <r>
      <rPr>
        <i/>
        <vertAlign val="superscript"/>
        <sz val="11"/>
        <rFont val="Times New Roman"/>
        <family val="1"/>
        <charset val="186"/>
      </rPr>
      <t>2</t>
    </r>
    <r>
      <rPr>
        <i/>
        <sz val="11"/>
        <rFont val="Times New Roman"/>
        <family val="1"/>
        <charset val="186"/>
      </rPr>
      <t>Ņemot vērā izmaiņas GMI slieksnim ar 01.01.2024. vidēji par 9.66 %, vidējie izdevumi uz 1 personu tiek plānoti par 9.66% lielāki nekā faktiski izmaksātais apmērs vidēji uz 1 personu 2023. gada periodā septembris - oktobris;</t>
    </r>
  </si>
  <si>
    <r>
      <rPr>
        <i/>
        <vertAlign val="superscript"/>
        <sz val="11"/>
        <rFont val="Times New Roman"/>
        <family val="1"/>
        <charset val="186"/>
      </rPr>
      <t>3</t>
    </r>
    <r>
      <rPr>
        <i/>
        <sz val="11"/>
        <rFont val="Times New Roman"/>
        <family val="1"/>
        <charset val="186"/>
      </rPr>
      <t>Ņemot vērā izmaiņas Trūcīgas mājsaimniecības ienākumu slieksnim ar 01.01.2024. vidēji par 9.59 %, vidējie izdevumi uz 1 personu tiek plānoti par 9.59% lielāki nekā faktiski izmaksātais apmērs vidēji uz 1 personu 2023. gada periodā septembris - oktobris;</t>
    </r>
  </si>
  <si>
    <r>
      <rPr>
        <i/>
        <vertAlign val="superscript"/>
        <sz val="11"/>
        <rFont val="Times New Roman"/>
        <family val="1"/>
        <charset val="186"/>
      </rPr>
      <t xml:space="preserve">4 </t>
    </r>
    <r>
      <rPr>
        <i/>
        <sz val="11"/>
        <rFont val="Times New Roman"/>
        <family val="1"/>
        <charset val="186"/>
      </rPr>
      <t>Vidējais apmērs uz 1 personu 2023. gadā tiek prognozēts 133.59 euro. 2024. gadā vidējais apmērs uz 1 personu mēnesī plānots 2023. gada līmenī.</t>
    </r>
  </si>
  <si>
    <t>KOPĀ:</t>
  </si>
  <si>
    <t>.KOPĀ:</t>
  </si>
  <si>
    <r>
      <rPr>
        <vertAlign val="superscript"/>
        <sz val="10"/>
        <rFont val="Times New Roman"/>
        <family val="1"/>
        <charset val="186"/>
      </rPr>
      <t>4</t>
    </r>
    <r>
      <rPr>
        <sz val="10"/>
        <rFont val="Times New Roman"/>
        <family val="1"/>
        <charset val="186"/>
      </rPr>
      <t xml:space="preserve"> tiek pieņemts, ka vidējais bērnu skaits 2024.gadā būs 2 bērni mēnesī. Vidējais apmērs noteikts atbilstoši MK 26.09.2023. sēdē atbalstītajam PP "Atbalsta pasākumi ģimenēm un bērniem" - 160 euro.</t>
    </r>
  </si>
  <si>
    <r>
      <rPr>
        <vertAlign val="superscript"/>
        <sz val="10"/>
        <rFont val="Times New Roman"/>
        <family val="1"/>
        <charset val="186"/>
      </rPr>
      <t>2</t>
    </r>
    <r>
      <rPr>
        <sz val="10"/>
        <rFont val="Times New Roman"/>
        <family val="1"/>
        <charset val="186"/>
      </rPr>
      <t xml:space="preserve"> tiek pieņemts, ka bērnu skaits 2023.gada beigās būs 342. 2024. gadā ik mēnesi tiek prognozēts pieaugums bērnu skaitam 1%, vidējais apmērs 131.38 </t>
    </r>
    <r>
      <rPr>
        <i/>
        <sz val="10"/>
        <rFont val="Times New Roman"/>
        <family val="1"/>
        <charset val="186"/>
      </rPr>
      <t>euro</t>
    </r>
    <r>
      <rPr>
        <sz val="10"/>
        <rFont val="Times New Roman"/>
        <family val="1"/>
        <charset val="186"/>
      </rPr>
      <t xml:space="preserve"> (kas atbilst 2023.gadā vidēji izmaksātajam apmēram par 1 bērnu);</t>
    </r>
  </si>
  <si>
    <r>
      <rPr>
        <vertAlign val="superscript"/>
        <sz val="10"/>
        <rFont val="Times New Roman"/>
        <family val="1"/>
        <charset val="186"/>
      </rPr>
      <t>3</t>
    </r>
    <r>
      <rPr>
        <sz val="10"/>
        <rFont val="Times New Roman"/>
        <family val="1"/>
        <charset val="186"/>
      </rPr>
      <t xml:space="preserve"> tiek pieņemts, ka bērnu skaits 2023.gada beigās būs  5 513 bērni. 2024. gadā tiek prognozēts pieaugums bērnu skaitam  mēnesī 0,01%, vidējais apmērs 46,23 </t>
    </r>
    <r>
      <rPr>
        <i/>
        <sz val="10"/>
        <rFont val="Times New Roman"/>
        <family val="1"/>
        <charset val="186"/>
      </rPr>
      <t>euro</t>
    </r>
    <r>
      <rPr>
        <sz val="10"/>
        <rFont val="Times New Roman"/>
        <family val="1"/>
        <charset val="186"/>
      </rPr>
      <t xml:space="preserve"> (kas atbilst 2023. gada vidējam apmēram uz 1 bērnu);</t>
    </r>
  </si>
  <si>
    <t>4.1. Atbalsta sniegšana Eiropas Sociālā fonda Plus programmas materiālās nenodrošinātības mazināšanai 2021.-2027.gadam ietvaros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</si>
</sst>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x14ac:knownFonts="1">
    <font>
      <sz val="11"/>
      <color theme="1"/>
      <name val="Calibri"/>
      <family val="2"/>
      <scheme val="minor"/>
    </font>
    <font>
      <sz val="8"/>
      <name val="Times New Roman"/>
      <family val="1"/>
      <charset val="186"/>
    </font>
    <font>
      <i/>
      <sz val="8"/>
      <name val="Times New Roman"/>
      <family val="1"/>
      <charset val="186"/>
    </font>
    <font>
      <sz val="11"/>
      <name val="Times New Roman"/>
      <family val="1"/>
      <charset val="186"/>
    </font>
    <font>
      <sz val="11"/>
      <color indexed="8"/>
      <name val="Calibri"/>
      <family val="2"/>
    </font>
    <font>
      <sz val="10"/>
      <name val="Times New Roman"/>
      <family val="1"/>
      <charset val="186"/>
    </font>
    <font>
      <b/>
      <sz val="10"/>
      <name val="Times New Roman"/>
      <family val="1"/>
      <charset val="186"/>
    </font>
    <font>
      <sz val="11"/>
      <name val="Calibri"/>
      <family val="2"/>
      <scheme val="minor"/>
    </font>
    <font>
      <b/>
      <sz val="14"/>
      <name val="Times New Roman"/>
      <family val="1"/>
      <charset val="186"/>
    </font>
    <font>
      <b/>
      <sz val="9"/>
      <name val="Tahoma"/>
      <family val="2"/>
      <charset val="186"/>
    </font>
    <font>
      <sz val="9"/>
      <name val="Tahoma"/>
      <family val="2"/>
      <charset val="186"/>
    </font>
    <font>
      <b/>
      <sz val="11"/>
      <name val="Times New Roman"/>
      <family val="1"/>
      <charset val="186"/>
    </font>
    <font>
      <i/>
      <sz val="10"/>
      <name val="Times New Roman"/>
      <family val="1"/>
      <charset val="186"/>
    </font>
    <font>
      <sz val="11"/>
      <color rgb="FFFF0000"/>
      <name val="Calibri"/>
      <family val="2"/>
      <scheme val="minor"/>
    </font>
    <font>
      <b/>
      <sz val="14"/>
      <name val="Calibri"/>
      <family val="2"/>
      <charset val="186"/>
      <scheme val="minor"/>
    </font>
    <font>
      <b/>
      <sz val="12"/>
      <name val="Times New Roman"/>
      <family val="1"/>
      <charset val="186"/>
    </font>
    <font>
      <sz val="12"/>
      <name val="Times New Roman"/>
      <family val="1"/>
      <charset val="186"/>
    </font>
    <font>
      <i/>
      <sz val="11"/>
      <name val="Times New Roman"/>
      <family val="1"/>
      <charset val="186"/>
    </font>
    <font>
      <sz val="10"/>
      <color rgb="FFFF0000"/>
      <name val="Calibri"/>
      <family val="2"/>
      <charset val="186"/>
      <scheme val="minor"/>
    </font>
    <font>
      <b/>
      <sz val="8"/>
      <name val="Times New Roman"/>
      <family val="1"/>
      <charset val="186"/>
    </font>
    <font>
      <i/>
      <sz val="9"/>
      <name val="Times New Roman"/>
      <family val="1"/>
      <charset val="186"/>
    </font>
    <font>
      <sz val="14"/>
      <name val="Times New Roman"/>
      <family val="1"/>
      <charset val="186"/>
    </font>
    <font>
      <vertAlign val="superscript"/>
      <sz val="10"/>
      <name val="Times New Roman"/>
      <family val="1"/>
      <charset val="186"/>
    </font>
    <font>
      <vertAlign val="superscript"/>
      <sz val="12"/>
      <name val="Times New Roman"/>
      <family val="1"/>
      <charset val="186"/>
    </font>
    <font>
      <vertAlign val="superscript"/>
      <sz val="8"/>
      <name val="Times New Roman"/>
      <family val="1"/>
      <charset val="186"/>
    </font>
    <font>
      <b/>
      <sz val="16"/>
      <name val="Times New Roman"/>
      <family val="1"/>
      <charset val="186"/>
    </font>
    <font>
      <i/>
      <vertAlign val="superscript"/>
      <sz val="10"/>
      <name val="Times New Roman"/>
      <family val="1"/>
      <charset val="186"/>
    </font>
    <font>
      <b/>
      <sz val="9"/>
      <name val="Times New Roman"/>
      <family val="1"/>
      <charset val="186"/>
    </font>
    <font>
      <i/>
      <sz val="12"/>
      <name val="Times New Roman"/>
      <family val="1"/>
      <charset val="186"/>
    </font>
    <font>
      <vertAlign val="superscript"/>
      <sz val="11"/>
      <name val="Times New Roman"/>
      <family val="1"/>
      <charset val="186"/>
    </font>
    <font>
      <sz val="11"/>
      <color theme="1"/>
      <name val="Calibri"/>
      <family val="2"/>
      <scheme val="minor"/>
    </font>
    <font>
      <i/>
      <sz val="11"/>
      <color theme="5" tint="-0.249977111117893"/>
      <name val="Calibri"/>
      <family val="2"/>
      <charset val="186"/>
      <scheme val="minor"/>
    </font>
    <font>
      <b/>
      <i/>
      <sz val="9"/>
      <name val="Times New Roman"/>
      <family val="1"/>
      <charset val="186"/>
    </font>
    <font>
      <sz val="11"/>
      <name val="Calibri"/>
      <family val="2"/>
      <charset val="186"/>
    </font>
    <font>
      <b/>
      <sz val="13"/>
      <name val="Times New Roman"/>
      <family val="1"/>
      <charset val="186"/>
    </font>
    <font>
      <b/>
      <i/>
      <sz val="8"/>
      <name val="Times New Roman"/>
      <family val="1"/>
      <charset val="186"/>
    </font>
    <font>
      <sz val="8"/>
      <name val="Calibri"/>
      <family val="2"/>
      <charset val="186"/>
      <scheme val="minor"/>
    </font>
    <font>
      <b/>
      <sz val="11"/>
      <name val="Calibri"/>
      <family val="2"/>
      <charset val="186"/>
      <scheme val="minor"/>
    </font>
    <font>
      <i/>
      <sz val="14"/>
      <name val="Times New Roman"/>
      <family val="1"/>
      <charset val="186"/>
    </font>
    <font>
      <b/>
      <i/>
      <sz val="11"/>
      <name val="Calibri"/>
      <family val="2"/>
      <charset val="186"/>
      <scheme val="minor"/>
    </font>
    <font>
      <sz val="11"/>
      <name val="Calibri"/>
      <family val="2"/>
      <charset val="186"/>
      <scheme val="minor"/>
    </font>
    <font>
      <i/>
      <sz val="11"/>
      <name val="Calibri"/>
      <family val="2"/>
      <charset val="186"/>
      <scheme val="minor"/>
    </font>
    <font>
      <i/>
      <vertAlign val="superscript"/>
      <sz val="11"/>
      <name val="Times New Roman"/>
      <family val="1"/>
      <charset val="186"/>
    </font>
    <font>
      <i/>
      <sz val="11"/>
      <name val="Calibri"/>
      <family val="2"/>
      <charset val="186"/>
    </font>
    <font>
      <sz val="9"/>
      <name val="Times New Roman"/>
      <family val="1"/>
      <charset val="186"/>
    </font>
    <font>
      <b/>
      <i/>
      <u/>
      <sz val="11"/>
      <name val="Calibri"/>
      <family val="2"/>
      <charset val="186"/>
      <scheme val="minor"/>
    </font>
    <font>
      <sz val="11"/>
      <color rgb="FFFF0000"/>
      <name val="Times New Roman"/>
      <family val="1"/>
      <charset val="186"/>
    </font>
    <font>
      <sz val="9"/>
      <color rgb="FFFF0000"/>
      <name val="Times New Roman"/>
      <family val="1"/>
      <charset val="186"/>
    </font>
  </fonts>
  <fills count="13">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4.9958800012207406E-2"/>
        <bgColor indexed="64"/>
      </patternFill>
    </fill>
    <fill>
      <patternFill patternType="solid">
        <fgColor theme="9" tint="0.59996337778862885"/>
        <bgColor indexed="64"/>
      </patternFill>
    </fill>
    <fill>
      <patternFill patternType="solid">
        <fgColor theme="0" tint="-0.14996795556505021"/>
        <bgColor indexed="64"/>
      </patternFill>
    </fill>
    <fill>
      <patternFill patternType="solid">
        <fgColor rgb="FFD9E1F2"/>
        <bgColor indexed="64"/>
      </patternFill>
    </fill>
    <fill>
      <patternFill patternType="solid">
        <fgColor theme="5" tint="0.79995117038483843"/>
        <bgColor indexed="64"/>
      </patternFill>
    </fill>
    <fill>
      <patternFill patternType="solid">
        <fgColor theme="6" tint="0.79995117038483843"/>
        <bgColor indexed="64"/>
      </patternFill>
    </fill>
    <fill>
      <patternFill patternType="solid">
        <fgColor theme="9" tint="0.79995117038483843"/>
        <bgColor indexed="64"/>
      </patternFill>
    </fill>
    <fill>
      <patternFill patternType="solid">
        <fgColor theme="4" tint="0.79995117038483843"/>
        <bgColor indexed="64"/>
      </patternFill>
    </fill>
    <fill>
      <patternFill patternType="solid">
        <fgColor theme="5" tint="0.59996337778862885"/>
        <bgColor indexed="64"/>
      </patternFill>
    </fill>
  </fills>
  <borders count="115">
    <border>
      <left/>
      <right/>
      <top/>
      <bottom/>
      <diagonal/>
    </border>
    <border>
      <left style="medium">
        <color auto="1"/>
      </left>
      <right/>
      <top style="thin">
        <color indexed="8"/>
      </top>
      <bottom style="thin">
        <color indexed="8"/>
      </bottom>
      <diagonal/>
    </border>
    <border>
      <left style="medium">
        <color auto="1"/>
      </left>
      <right style="thin">
        <color indexed="8"/>
      </right>
      <top style="thin">
        <color indexed="8"/>
      </top>
      <bottom style="thin">
        <color indexed="8"/>
      </bottom>
      <diagonal/>
    </border>
    <border>
      <left style="thin">
        <color indexed="8"/>
      </left>
      <right style="medium">
        <color auto="1"/>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right style="dotted">
        <color auto="1"/>
      </right>
      <top style="thin">
        <color auto="1"/>
      </top>
      <bottom style="thin">
        <color auto="1"/>
      </bottom>
      <diagonal/>
    </border>
    <border>
      <left style="thin">
        <color auto="1"/>
      </left>
      <right style="dotted">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dotted">
        <color auto="1"/>
      </left>
      <right style="thin">
        <color auto="1"/>
      </right>
      <top style="thin">
        <color auto="1"/>
      </top>
      <bottom style="thin">
        <color auto="1"/>
      </bottom>
      <diagonal/>
    </border>
    <border>
      <left style="medium">
        <color auto="1"/>
      </left>
      <right/>
      <top/>
      <bottom/>
      <diagonal/>
    </border>
    <border>
      <left/>
      <right style="medium">
        <color auto="1"/>
      </right>
      <top/>
      <bottom/>
      <diagonal/>
    </border>
    <border>
      <left/>
      <right style="thin">
        <color indexed="8"/>
      </right>
      <top style="thin">
        <color indexed="8"/>
      </top>
      <bottom style="medium">
        <color auto="1"/>
      </bottom>
      <diagonal/>
    </border>
    <border>
      <left/>
      <right/>
      <top style="thin">
        <color indexed="8"/>
      </top>
      <bottom style="thin">
        <color indexed="8"/>
      </bottom>
      <diagonal/>
    </border>
    <border>
      <left style="medium">
        <color auto="1"/>
      </left>
      <right style="medium">
        <color auto="1"/>
      </right>
      <top style="medium">
        <color auto="1"/>
      </top>
      <bottom style="thin">
        <color indexed="8"/>
      </bottom>
      <diagonal/>
    </border>
    <border>
      <left style="dotted">
        <color auto="1"/>
      </left>
      <right/>
      <top style="thin">
        <color auto="1"/>
      </top>
      <bottom style="thin">
        <color auto="1"/>
      </bottom>
      <diagonal/>
    </border>
    <border>
      <left style="thin">
        <color indexed="8"/>
      </left>
      <right/>
      <top style="thin">
        <color indexed="8"/>
      </top>
      <bottom style="thin">
        <color indexed="8"/>
      </bottom>
      <diagonal/>
    </border>
    <border>
      <left style="thin">
        <color rgb="FFA6A6A6"/>
      </left>
      <right style="thin">
        <color rgb="FFA6A6A6"/>
      </right>
      <top style="thin">
        <color rgb="FFA6A6A6"/>
      </top>
      <bottom style="thin">
        <color rgb="FFA6A6A6"/>
      </bottom>
      <diagonal/>
    </border>
    <border>
      <left/>
      <right style="medium">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indexed="8"/>
      </right>
      <top/>
      <bottom/>
      <diagonal/>
    </border>
    <border>
      <left style="thin">
        <color indexed="8"/>
      </left>
      <right style="medium">
        <color auto="1"/>
      </right>
      <top/>
      <bottom/>
      <diagonal/>
    </border>
    <border>
      <left/>
      <right style="thin">
        <color indexed="8"/>
      </right>
      <top/>
      <bottom/>
      <diagonal/>
    </border>
    <border>
      <left/>
      <right style="medium">
        <color auto="1"/>
      </right>
      <top style="thin">
        <color auto="1"/>
      </top>
      <bottom/>
      <diagonal/>
    </border>
    <border>
      <left style="medium">
        <color auto="1"/>
      </left>
      <right style="thin">
        <color indexed="8"/>
      </right>
      <top style="thin">
        <color indexed="8"/>
      </top>
      <bottom style="medium">
        <color auto="1"/>
      </bottom>
      <diagonal/>
    </border>
    <border>
      <left style="thin">
        <color indexed="8"/>
      </left>
      <right style="medium">
        <color auto="1"/>
      </right>
      <top style="thin">
        <color indexed="8"/>
      </top>
      <bottom style="medium">
        <color auto="1"/>
      </bottom>
      <diagonal/>
    </border>
    <border>
      <left/>
      <right style="medium">
        <color auto="1"/>
      </right>
      <top style="thin">
        <color auto="1"/>
      </top>
      <bottom style="medium">
        <color auto="1"/>
      </bottom>
      <diagonal/>
    </border>
    <border>
      <left style="medium">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style="medium">
        <color auto="1"/>
      </top>
      <bottom style="thin">
        <color auto="1"/>
      </bottom>
      <diagonal/>
    </border>
    <border>
      <left style="medium">
        <color auto="1"/>
      </left>
      <right style="medium">
        <color auto="1"/>
      </right>
      <top style="thin">
        <color indexed="8"/>
      </top>
      <bottom/>
      <diagonal/>
    </border>
    <border>
      <left/>
      <right/>
      <top style="thin">
        <color indexed="8"/>
      </top>
      <bottom/>
      <diagonal/>
    </border>
    <border>
      <left style="medium">
        <color auto="1"/>
      </left>
      <right style="thin">
        <color indexed="8"/>
      </right>
      <top style="thin">
        <color indexed="8"/>
      </top>
      <bottom/>
      <diagonal/>
    </border>
    <border>
      <left style="thin">
        <color indexed="8"/>
      </left>
      <right style="medium">
        <color auto="1"/>
      </right>
      <top style="thin">
        <color indexed="8"/>
      </top>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style="medium">
        <color auto="1"/>
      </right>
      <top style="medium">
        <color auto="1"/>
      </top>
      <bottom style="thin">
        <color indexed="8"/>
      </bottom>
      <diagonal/>
    </border>
    <border>
      <left/>
      <right style="thin">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bottom/>
      <diagonal/>
    </border>
    <border>
      <left style="medium">
        <color auto="1"/>
      </left>
      <right style="medium">
        <color auto="1"/>
      </right>
      <top style="thin">
        <color indexed="8"/>
      </top>
      <bottom style="thin">
        <color indexed="8"/>
      </bottom>
      <diagonal/>
    </border>
    <border>
      <left style="medium">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thin">
        <color auto="1"/>
      </left>
      <right style="medium">
        <color auto="1"/>
      </right>
      <top style="medium">
        <color auto="1"/>
      </top>
      <bottom style="medium">
        <color auto="1"/>
      </bottom>
      <diagonal/>
    </border>
    <border>
      <left/>
      <right/>
      <top style="medium">
        <color auto="1"/>
      </top>
      <bottom style="thin">
        <color auto="1"/>
      </bottom>
      <diagonal/>
    </border>
    <border>
      <left/>
      <right/>
      <top style="thin">
        <color auto="1"/>
      </top>
      <bottom style="thin">
        <color auto="1"/>
      </bottom>
      <diagonal/>
    </border>
    <border>
      <left/>
      <right/>
      <top style="medium">
        <color auto="1"/>
      </top>
      <bottom/>
      <diagonal/>
    </border>
    <border>
      <left style="thin">
        <color auto="1"/>
      </left>
      <right/>
      <top/>
      <bottom style="thin">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dotted">
        <color auto="1"/>
      </right>
      <top style="thin">
        <color auto="1"/>
      </top>
      <bottom style="medium">
        <color auto="1"/>
      </bottom>
      <diagonal/>
    </border>
    <border>
      <left style="dotted">
        <color auto="1"/>
      </left>
      <right style="thin">
        <color auto="1"/>
      </right>
      <top style="thin">
        <color auto="1"/>
      </top>
      <bottom style="medium">
        <color auto="1"/>
      </bottom>
      <diagonal/>
    </border>
    <border>
      <left/>
      <right style="dotted">
        <color auto="1"/>
      </right>
      <top style="thin">
        <color auto="1"/>
      </top>
      <bottom style="medium">
        <color auto="1"/>
      </bottom>
      <diagonal/>
    </border>
    <border>
      <left style="dotted">
        <color auto="1"/>
      </left>
      <right/>
      <top style="thin">
        <color auto="1"/>
      </top>
      <bottom style="medium">
        <color auto="1"/>
      </bottom>
      <diagonal/>
    </border>
    <border>
      <left style="medium">
        <color auto="1"/>
      </left>
      <right/>
      <top/>
      <bottom style="thin">
        <color indexed="8"/>
      </bottom>
      <diagonal/>
    </border>
    <border>
      <left style="medium">
        <color auto="1"/>
      </left>
      <right style="thin">
        <color indexed="8"/>
      </right>
      <top/>
      <bottom style="thin">
        <color indexed="8"/>
      </bottom>
      <diagonal/>
    </border>
    <border>
      <left style="thin">
        <color auto="1"/>
      </left>
      <right style="medium">
        <color auto="1"/>
      </right>
      <top style="thin">
        <color indexed="8"/>
      </top>
      <bottom style="thin">
        <color indexed="8"/>
      </bottom>
      <diagonal/>
    </border>
    <border>
      <left style="thin">
        <color auto="1"/>
      </left>
      <right style="medium">
        <color auto="1"/>
      </right>
      <top style="thin">
        <color auto="1"/>
      </top>
      <bottom style="thin">
        <color indexed="8"/>
      </bottom>
      <diagonal/>
    </border>
    <border>
      <left style="medium">
        <color auto="1"/>
      </left>
      <right style="medium">
        <color auto="1"/>
      </right>
      <top style="thin">
        <color auto="1"/>
      </top>
      <bottom style="medium">
        <color auto="1"/>
      </bottom>
      <diagonal/>
    </border>
    <border>
      <left style="thin">
        <color auto="1"/>
      </left>
      <right/>
      <top/>
      <bottom/>
      <diagonal/>
    </border>
    <border>
      <left style="dotted">
        <color auto="1"/>
      </left>
      <right style="medium">
        <color auto="1"/>
      </right>
      <top style="thin">
        <color auto="1"/>
      </top>
      <bottom style="thin">
        <color auto="1"/>
      </bottom>
      <diagonal/>
    </border>
    <border>
      <left style="dotted">
        <color auto="1"/>
      </left>
      <right style="medium">
        <color auto="1"/>
      </right>
      <top style="thin">
        <color auto="1"/>
      </top>
      <bottom style="medium">
        <color auto="1"/>
      </bottom>
      <diagonal/>
    </border>
    <border>
      <left style="thin">
        <color indexed="8"/>
      </left>
      <right/>
      <top style="thin">
        <color indexed="8"/>
      </top>
      <bottom/>
      <diagonal/>
    </border>
    <border>
      <left style="medium">
        <color auto="1"/>
      </left>
      <right style="medium">
        <color auto="1"/>
      </right>
      <top/>
      <bottom style="thin">
        <color indexed="8"/>
      </bottom>
      <diagonal/>
    </border>
    <border>
      <left style="medium">
        <color auto="1"/>
      </left>
      <right style="medium">
        <color auto="1"/>
      </right>
      <top/>
      <bottom style="medium">
        <color auto="1"/>
      </bottom>
      <diagonal/>
    </border>
    <border>
      <left style="thin">
        <color rgb="FFA6A6A6"/>
      </left>
      <right/>
      <top style="thin">
        <color rgb="FFA6A6A6"/>
      </top>
      <bottom style="thin">
        <color rgb="FFA6A6A6"/>
      </bottom>
      <diagonal/>
    </border>
    <border>
      <left/>
      <right style="thin">
        <color rgb="FFA6A6A6"/>
      </right>
      <top style="thin">
        <color rgb="FFA6A6A6"/>
      </top>
      <bottom style="thin">
        <color rgb="FFA6A6A6"/>
      </bottom>
      <diagonal/>
    </border>
    <border>
      <left/>
      <right/>
      <top style="thin">
        <color rgb="FFA6A6A6"/>
      </top>
      <bottom style="thin">
        <color rgb="FFA6A6A6"/>
      </bottom>
      <diagonal/>
    </border>
    <border>
      <left style="thin">
        <color rgb="FFA6A6A6"/>
      </left>
      <right style="thin">
        <color rgb="FFA6A6A6"/>
      </right>
      <top style="thin">
        <color rgb="FFA6A6A6"/>
      </top>
      <bottom/>
      <diagonal/>
    </border>
    <border>
      <left style="thin">
        <color rgb="FFA6A6A6"/>
      </left>
      <right style="thin">
        <color rgb="FFA6A6A6"/>
      </right>
      <top/>
      <bottom/>
      <diagonal/>
    </border>
    <border>
      <left style="thin">
        <color rgb="FFA6A6A6"/>
      </left>
      <right style="thin">
        <color rgb="FFA6A6A6"/>
      </right>
      <top/>
      <bottom style="thin">
        <color rgb="FFA6A6A6"/>
      </bottom>
      <diagonal/>
    </border>
    <border>
      <left style="thin">
        <color rgb="FFA6A6A6"/>
      </left>
      <right/>
      <top style="thin">
        <color rgb="FFA6A6A6"/>
      </top>
      <bottom/>
      <diagonal/>
    </border>
    <border>
      <left/>
      <right/>
      <top style="thin">
        <color rgb="FFA6A6A6"/>
      </top>
      <bottom/>
      <diagonal/>
    </border>
    <border>
      <left/>
      <right style="thin">
        <color rgb="FFA6A6A6"/>
      </right>
      <top style="thin">
        <color rgb="FFA6A6A6"/>
      </top>
      <bottom/>
      <diagonal/>
    </border>
    <border>
      <left/>
      <right/>
      <top/>
      <bottom style="thin">
        <color rgb="FFA6A6A6"/>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diagonal/>
    </border>
    <border>
      <left style="medium">
        <color auto="1"/>
      </left>
      <right/>
      <top style="thin">
        <color auto="1"/>
      </top>
      <bottom style="thin">
        <color auto="1"/>
      </bottom>
      <diagonal/>
    </border>
    <border>
      <left style="medium">
        <color auto="1"/>
      </left>
      <right/>
      <top style="thin">
        <color auto="1"/>
      </top>
      <bottom style="thin">
        <color indexed="8"/>
      </bottom>
      <diagonal/>
    </border>
    <border>
      <left/>
      <right style="medium">
        <color auto="1"/>
      </right>
      <top style="thin">
        <color auto="1"/>
      </top>
      <bottom style="thin">
        <color indexed="8"/>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style="thin">
        <color auto="1"/>
      </bottom>
      <diagonal/>
    </border>
    <border>
      <left style="thin">
        <color indexed="8"/>
      </left>
      <right style="medium">
        <color auto="1"/>
      </right>
      <top/>
      <bottom style="thin">
        <color indexed="8"/>
      </bottom>
      <diagonal/>
    </border>
    <border>
      <left style="medium">
        <color auto="1"/>
      </left>
      <right/>
      <top/>
      <bottom style="medium">
        <color auto="1"/>
      </bottom>
      <diagonal/>
    </border>
    <border>
      <left/>
      <right style="medium">
        <color auto="1"/>
      </right>
      <top/>
      <bottom style="medium">
        <color auto="1"/>
      </bottom>
      <diagonal/>
    </border>
    <border>
      <left/>
      <right/>
      <top/>
      <bottom style="medium">
        <color auto="1"/>
      </bottom>
      <diagonal/>
    </border>
    <border>
      <left style="medium">
        <color auto="1"/>
      </left>
      <right/>
      <top style="thin">
        <color indexed="8"/>
      </top>
      <bottom style="medium">
        <color auto="1"/>
      </bottom>
      <diagonal/>
    </border>
    <border>
      <left/>
      <right style="medium">
        <color auto="1"/>
      </right>
      <top style="thin">
        <color indexed="8"/>
      </top>
      <bottom style="medium">
        <color auto="1"/>
      </bottom>
      <diagonal/>
    </border>
    <border>
      <left style="medium">
        <color auto="1"/>
      </left>
      <right/>
      <top style="thin">
        <color auto="1"/>
      </top>
      <bottom/>
      <diagonal/>
    </border>
    <border>
      <left/>
      <right/>
      <top style="thin">
        <color auto="1"/>
      </top>
      <bottom style="thin">
        <color indexed="8"/>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diagonal/>
    </border>
    <border>
      <left/>
      <right style="thin">
        <color auto="1"/>
      </right>
      <top style="medium">
        <color auto="1"/>
      </top>
      <bottom/>
      <diagonal/>
    </border>
    <border>
      <left/>
      <right style="thin">
        <color auto="1"/>
      </right>
      <top/>
      <bottom/>
      <diagonal/>
    </border>
    <border>
      <left style="medium">
        <color auto="1"/>
      </left>
      <right/>
      <top/>
      <bottom style="thin">
        <color auto="1"/>
      </bottom>
      <diagonal/>
    </border>
    <border>
      <left/>
      <right style="thin">
        <color auto="1"/>
      </right>
      <top/>
      <bottom style="thin">
        <color auto="1"/>
      </bottom>
      <diagonal/>
    </border>
    <border>
      <left style="medium">
        <color auto="1"/>
      </left>
      <right/>
      <top style="thin">
        <color auto="1"/>
      </top>
      <bottom style="medium">
        <color auto="1"/>
      </bottom>
      <diagonal/>
    </border>
    <border>
      <left style="thin">
        <color auto="1"/>
      </left>
      <right style="thin">
        <color auto="1"/>
      </right>
      <top style="medium">
        <color auto="1"/>
      </top>
      <bottom style="thin">
        <color auto="1"/>
      </bottom>
      <diagonal/>
    </border>
    <border>
      <left style="thin">
        <color auto="1"/>
      </left>
      <right/>
      <top/>
      <bottom style="medium">
        <color auto="1"/>
      </bottom>
      <diagonal/>
    </border>
    <border>
      <left style="thin">
        <color auto="1"/>
      </left>
      <right style="medium">
        <color auto="1"/>
      </right>
      <top/>
      <bottom style="medium">
        <color auto="1"/>
      </bottom>
      <diagonal/>
    </border>
  </borders>
  <cellStyleXfs count="5">
    <xf numFmtId="0" fontId="0" fillId="0" borderId="0"/>
    <xf numFmtId="0" fontId="4" fillId="0" borderId="0"/>
    <xf numFmtId="0" fontId="4" fillId="0" borderId="0"/>
    <xf numFmtId="0" fontId="4" fillId="0" borderId="0"/>
    <xf numFmtId="9" fontId="30" fillId="0" borderId="0" applyFont="0" applyFill="0" applyBorder="0" applyAlignment="0" applyProtection="0"/>
  </cellStyleXfs>
  <cellXfs count="568">
    <xf numFmtId="0" fontId="0" fillId="0" borderId="0" xfId="0"/>
    <xf numFmtId="0" fontId="7" fillId="0" borderId="0" xfId="0" applyFont="1"/>
    <xf numFmtId="49" fontId="5" fillId="2" borderId="1" xfId="1" applyNumberFormat="1" applyFont="1" applyFill="1" applyBorder="1" applyAlignment="1">
      <alignment horizontal="center" vertical="center" wrapText="1"/>
    </xf>
    <xf numFmtId="0" fontId="5" fillId="2" borderId="1" xfId="3" applyFont="1" applyFill="1" applyBorder="1" applyAlignment="1">
      <alignment horizontal="center" vertical="center"/>
    </xf>
    <xf numFmtId="0" fontId="5" fillId="2" borderId="2" xfId="3" applyFont="1" applyFill="1" applyBorder="1" applyAlignment="1">
      <alignment horizontal="center" vertical="center"/>
    </xf>
    <xf numFmtId="0" fontId="5" fillId="2" borderId="3" xfId="3" applyFont="1" applyFill="1" applyBorder="1" applyAlignment="1">
      <alignment horizontal="center" vertical="center"/>
    </xf>
    <xf numFmtId="0" fontId="5" fillId="2" borderId="4" xfId="3" applyFont="1" applyFill="1" applyBorder="1" applyAlignment="1">
      <alignment horizontal="center" vertical="center"/>
    </xf>
    <xf numFmtId="0" fontId="5" fillId="2" borderId="5" xfId="3" applyFont="1" applyFill="1" applyBorder="1" applyAlignment="1">
      <alignment horizontal="center" vertical="center"/>
    </xf>
    <xf numFmtId="0" fontId="5" fillId="0" borderId="6" xfId="0" applyFont="1" applyBorder="1" applyAlignment="1">
      <alignment horizontal="justify" vertical="center"/>
    </xf>
    <xf numFmtId="0" fontId="1" fillId="3" borderId="9" xfId="3" applyFont="1" applyFill="1" applyBorder="1" applyAlignment="1">
      <alignment horizontal="center" vertical="center"/>
    </xf>
    <xf numFmtId="0" fontId="2" fillId="4" borderId="9" xfId="1" applyFont="1" applyFill="1" applyBorder="1" applyAlignment="1">
      <alignment horizontal="right" vertical="center"/>
    </xf>
    <xf numFmtId="0" fontId="1" fillId="4" borderId="9" xfId="3" applyFont="1" applyFill="1" applyBorder="1" applyAlignment="1">
      <alignment horizontal="center" vertical="center"/>
    </xf>
    <xf numFmtId="0" fontId="2" fillId="2" borderId="8" xfId="1" applyFont="1" applyFill="1" applyBorder="1" applyAlignment="1">
      <alignment horizontal="center" vertical="center"/>
    </xf>
    <xf numFmtId="49" fontId="5" fillId="2" borderId="8" xfId="1" applyNumberFormat="1" applyFont="1" applyFill="1" applyBorder="1" applyAlignment="1">
      <alignment horizontal="center" vertical="center" wrapText="1"/>
    </xf>
    <xf numFmtId="0" fontId="1" fillId="2" borderId="8" xfId="3" applyFont="1" applyFill="1" applyBorder="1" applyAlignment="1">
      <alignment horizontal="center" vertical="center"/>
    </xf>
    <xf numFmtId="0" fontId="2" fillId="2" borderId="10" xfId="1" applyFont="1" applyFill="1" applyBorder="1" applyAlignment="1">
      <alignment horizontal="center" vertical="center"/>
    </xf>
    <xf numFmtId="49" fontId="5" fillId="2" borderId="10" xfId="1" applyNumberFormat="1" applyFont="1" applyFill="1" applyBorder="1" applyAlignment="1">
      <alignment horizontal="center" vertical="center" wrapText="1"/>
    </xf>
    <xf numFmtId="0" fontId="1" fillId="2" borderId="10" xfId="3" applyFont="1" applyFill="1" applyBorder="1" applyAlignment="1">
      <alignment horizontal="center" vertical="center"/>
    </xf>
    <xf numFmtId="0" fontId="2" fillId="4" borderId="11" xfId="1" applyFont="1" applyFill="1" applyBorder="1" applyAlignment="1">
      <alignment horizontal="right" vertical="center"/>
    </xf>
    <xf numFmtId="49" fontId="6" fillId="4" borderId="11" xfId="1" applyNumberFormat="1" applyFont="1" applyFill="1" applyBorder="1" applyAlignment="1">
      <alignment horizontal="center" vertical="center" wrapText="1"/>
    </xf>
    <xf numFmtId="0" fontId="1" fillId="4" borderId="11" xfId="3" applyFont="1" applyFill="1" applyBorder="1" applyAlignment="1">
      <alignment horizontal="center" vertical="center"/>
    </xf>
    <xf numFmtId="0" fontId="12" fillId="0" borderId="6" xfId="0" applyFont="1" applyBorder="1" applyAlignment="1">
      <alignment horizontal="right" vertical="center"/>
    </xf>
    <xf numFmtId="0" fontId="13" fillId="0" borderId="0" xfId="0" applyFont="1"/>
    <xf numFmtId="0" fontId="13" fillId="0" borderId="0" xfId="0" applyFont="1" applyFill="1" applyBorder="1"/>
    <xf numFmtId="3" fontId="7" fillId="0" borderId="8" xfId="0" applyNumberFormat="1" applyFont="1" applyBorder="1" applyAlignment="1">
      <alignment horizontal="center" vertical="center"/>
    </xf>
    <xf numFmtId="3" fontId="7" fillId="0" borderId="7" xfId="0" applyNumberFormat="1" applyFont="1" applyBorder="1" applyAlignment="1">
      <alignment horizontal="center" vertical="center"/>
    </xf>
    <xf numFmtId="3" fontId="7" fillId="4" borderId="11" xfId="0" applyNumberFormat="1" applyFont="1" applyFill="1" applyBorder="1" applyAlignment="1">
      <alignment vertical="center"/>
    </xf>
    <xf numFmtId="0" fontId="2" fillId="2" borderId="12" xfId="1" applyFont="1" applyFill="1" applyBorder="1" applyAlignment="1">
      <alignment horizontal="center" vertical="center"/>
    </xf>
    <xf numFmtId="0" fontId="2" fillId="2" borderId="13" xfId="1" applyFont="1" applyFill="1" applyBorder="1" applyAlignment="1">
      <alignment horizontal="right" vertical="center"/>
    </xf>
    <xf numFmtId="49" fontId="5" fillId="2" borderId="2" xfId="1" applyNumberFormat="1" applyFont="1" applyFill="1" applyBorder="1" applyAlignment="1">
      <alignment horizontal="center" vertical="center" wrapText="1"/>
    </xf>
    <xf numFmtId="49" fontId="5" fillId="2" borderId="3" xfId="1" applyNumberFormat="1" applyFont="1" applyFill="1" applyBorder="1" applyAlignment="1">
      <alignment horizontal="center" vertical="center" wrapText="1"/>
    </xf>
    <xf numFmtId="3" fontId="7" fillId="4" borderId="17" xfId="0" applyNumberFormat="1" applyFont="1" applyFill="1" applyBorder="1" applyAlignment="1">
      <alignment vertical="center"/>
    </xf>
    <xf numFmtId="49" fontId="5" fillId="2" borderId="18" xfId="1" applyNumberFormat="1" applyFont="1" applyFill="1" applyBorder="1" applyAlignment="1">
      <alignment horizontal="center" vertical="center" wrapText="1"/>
    </xf>
    <xf numFmtId="0" fontId="5" fillId="2" borderId="18" xfId="3" applyFont="1" applyFill="1" applyBorder="1" applyAlignment="1">
      <alignment horizontal="center" vertical="center"/>
    </xf>
    <xf numFmtId="0" fontId="2" fillId="2" borderId="12" xfId="1" applyFont="1" applyFill="1" applyBorder="1" applyAlignment="1">
      <alignment horizontal="right" vertical="center"/>
    </xf>
    <xf numFmtId="49" fontId="5" fillId="2" borderId="4" xfId="1" applyNumberFormat="1" applyFont="1" applyFill="1" applyBorder="1" applyAlignment="1">
      <alignment horizontal="center" vertical="center" wrapText="1"/>
    </xf>
    <xf numFmtId="3" fontId="1" fillId="6" borderId="19" xfId="0" applyNumberFormat="1" applyFont="1" applyFill="1" applyBorder="1" applyAlignment="1">
      <alignment horizontal="right" vertical="center"/>
    </xf>
    <xf numFmtId="0" fontId="13" fillId="0" borderId="0" xfId="0" applyFont="1" applyAlignment="1">
      <alignment vertical="center"/>
    </xf>
    <xf numFmtId="3" fontId="15" fillId="7" borderId="19" xfId="0" applyNumberFormat="1" applyFont="1" applyFill="1" applyBorder="1" applyAlignment="1">
      <alignment horizontal="right" vertical="center"/>
    </xf>
    <xf numFmtId="3" fontId="16" fillId="7" borderId="19" xfId="0" applyNumberFormat="1" applyFont="1" applyFill="1" applyBorder="1" applyAlignment="1">
      <alignment horizontal="right" vertical="center"/>
    </xf>
    <xf numFmtId="0" fontId="13" fillId="0" borderId="0" xfId="0" applyFont="1" applyAlignment="1">
      <alignment vertical="top"/>
    </xf>
    <xf numFmtId="0" fontId="18" fillId="0" borderId="0" xfId="0" applyFont="1"/>
    <xf numFmtId="0" fontId="13" fillId="0" borderId="0" xfId="0" applyFont="1" applyFill="1" applyBorder="1" applyAlignment="1">
      <alignment vertical="top"/>
    </xf>
    <xf numFmtId="0" fontId="13" fillId="0" borderId="0" xfId="0" applyFont="1" applyFill="1"/>
    <xf numFmtId="3" fontId="13" fillId="0" borderId="0" xfId="0" applyNumberFormat="1" applyFont="1" applyAlignment="1">
      <alignment horizontal="right"/>
    </xf>
    <xf numFmtId="0" fontId="7" fillId="0" borderId="0" xfId="0" applyFont="1" applyAlignment="1">
      <alignment vertical="top"/>
    </xf>
    <xf numFmtId="0" fontId="19" fillId="7" borderId="19" xfId="0" applyFont="1" applyFill="1" applyBorder="1" applyAlignment="1">
      <alignment horizontal="center" vertical="center" wrapText="1"/>
    </xf>
    <xf numFmtId="0" fontId="19" fillId="7" borderId="19" xfId="0" applyFont="1" applyFill="1" applyBorder="1" applyAlignment="1">
      <alignment horizontal="right" vertical="center" wrapText="1"/>
    </xf>
    <xf numFmtId="3" fontId="19" fillId="7" borderId="19" xfId="0" applyNumberFormat="1" applyFont="1" applyFill="1" applyBorder="1" applyAlignment="1">
      <alignment horizontal="right" vertical="center" wrapText="1"/>
    </xf>
    <xf numFmtId="0" fontId="1" fillId="6" borderId="19" xfId="0" applyFont="1" applyFill="1" applyBorder="1" applyAlignment="1">
      <alignment vertical="center" wrapText="1"/>
    </xf>
    <xf numFmtId="0" fontId="1" fillId="6" borderId="19" xfId="0" applyFont="1" applyFill="1" applyBorder="1" applyAlignment="1">
      <alignment horizontal="left" vertical="center" wrapText="1"/>
    </xf>
    <xf numFmtId="0" fontId="20" fillId="6" borderId="19" xfId="0" applyFont="1" applyFill="1" applyBorder="1" applyAlignment="1">
      <alignment horizontal="left" vertical="center" wrapText="1"/>
    </xf>
    <xf numFmtId="0" fontId="1" fillId="0" borderId="6" xfId="0" applyFont="1" applyBorder="1" applyAlignment="1">
      <alignment horizontal="center"/>
    </xf>
    <xf numFmtId="0" fontId="15" fillId="7" borderId="19" xfId="0" applyFont="1" applyFill="1" applyBorder="1" applyAlignment="1">
      <alignment vertical="center" wrapText="1"/>
    </xf>
    <xf numFmtId="0" fontId="15" fillId="7" borderId="19" xfId="0" applyFont="1" applyFill="1" applyBorder="1" applyAlignment="1">
      <alignment horizontal="right" vertical="center"/>
    </xf>
    <xf numFmtId="0" fontId="1" fillId="7" borderId="19" xfId="0" applyFont="1" applyFill="1" applyBorder="1" applyAlignment="1">
      <alignment vertical="center" wrapText="1"/>
    </xf>
    <xf numFmtId="0" fontId="1" fillId="7" borderId="19" xfId="0" applyFont="1" applyFill="1" applyBorder="1" applyAlignment="1">
      <alignment horizontal="left" vertical="center" wrapText="1"/>
    </xf>
    <xf numFmtId="0" fontId="1" fillId="7" borderId="19" xfId="0" applyFont="1" applyFill="1" applyBorder="1" applyAlignment="1">
      <alignment horizontal="right" vertical="center" wrapText="1"/>
    </xf>
    <xf numFmtId="0" fontId="1" fillId="7" borderId="19" xfId="0" applyFont="1" applyFill="1" applyBorder="1" applyAlignment="1">
      <alignment horizontal="right" vertical="center"/>
    </xf>
    <xf numFmtId="0" fontId="5" fillId="0" borderId="1" xfId="3" applyFont="1" applyBorder="1" applyAlignment="1">
      <alignment horizontal="left" vertical="center" wrapText="1"/>
    </xf>
    <xf numFmtId="0" fontId="5" fillId="0" borderId="1" xfId="3" applyFont="1" applyBorder="1" applyAlignment="1">
      <alignment horizontal="center" vertical="center" wrapText="1"/>
    </xf>
    <xf numFmtId="3" fontId="5" fillId="0" borderId="2" xfId="3" applyNumberFormat="1" applyFont="1" applyBorder="1" applyAlignment="1">
      <alignment horizontal="center" vertical="center"/>
    </xf>
    <xf numFmtId="4" fontId="5" fillId="0" borderId="3" xfId="3" applyNumberFormat="1" applyFont="1" applyBorder="1" applyAlignment="1">
      <alignment horizontal="right" vertical="center"/>
    </xf>
    <xf numFmtId="4" fontId="3" fillId="0" borderId="33" xfId="0" applyNumberFormat="1" applyFont="1" applyBorder="1" applyAlignment="1">
      <alignment horizontal="right" vertical="center"/>
    </xf>
    <xf numFmtId="3" fontId="5" fillId="0" borderId="4" xfId="3" applyNumberFormat="1" applyFont="1" applyBorder="1" applyAlignment="1">
      <alignment horizontal="center" vertical="center"/>
    </xf>
    <xf numFmtId="4" fontId="3" fillId="0" borderId="10" xfId="0" applyNumberFormat="1" applyFont="1" applyBorder="1" applyAlignment="1">
      <alignment horizontal="right" vertical="center"/>
    </xf>
    <xf numFmtId="0" fontId="2" fillId="2" borderId="0" xfId="1" applyFont="1" applyFill="1" applyAlignment="1">
      <alignment horizontal="right" vertical="center"/>
    </xf>
    <xf numFmtId="0" fontId="19" fillId="7" borderId="19" xfId="0" applyFont="1" applyFill="1" applyBorder="1" applyAlignment="1">
      <alignment horizontal="left" vertical="center" wrapText="1"/>
    </xf>
    <xf numFmtId="0" fontId="1" fillId="0" borderId="19" xfId="0" applyFont="1" applyFill="1" applyBorder="1" applyAlignment="1">
      <alignment horizontal="left" vertical="center" wrapText="1"/>
    </xf>
    <xf numFmtId="0" fontId="5" fillId="0" borderId="2" xfId="3" applyFont="1" applyFill="1" applyBorder="1" applyAlignment="1">
      <alignment horizontal="center" vertical="center"/>
    </xf>
    <xf numFmtId="0" fontId="5" fillId="0" borderId="3" xfId="3" applyFont="1" applyFill="1" applyBorder="1" applyAlignment="1">
      <alignment horizontal="center" vertical="center"/>
    </xf>
    <xf numFmtId="0" fontId="5" fillId="0" borderId="4" xfId="3" applyFont="1" applyFill="1" applyBorder="1" applyAlignment="1">
      <alignment horizontal="center" vertical="center"/>
    </xf>
    <xf numFmtId="0" fontId="5" fillId="0" borderId="5" xfId="3" applyFont="1" applyFill="1" applyBorder="1" applyAlignment="1">
      <alignment horizontal="center" vertical="center"/>
    </xf>
    <xf numFmtId="0" fontId="5" fillId="0" borderId="18" xfId="3" applyFont="1" applyFill="1" applyBorder="1" applyAlignment="1">
      <alignment horizontal="center" vertical="center"/>
    </xf>
    <xf numFmtId="0" fontId="5" fillId="0" borderId="49" xfId="3" applyFont="1" applyFill="1" applyBorder="1" applyAlignment="1">
      <alignment horizontal="center" vertical="center"/>
    </xf>
    <xf numFmtId="0" fontId="19" fillId="11" borderId="19" xfId="0" applyFont="1" applyFill="1" applyBorder="1" applyAlignment="1">
      <alignment horizontal="center" vertical="center" wrapText="1"/>
    </xf>
    <xf numFmtId="0" fontId="19" fillId="11" borderId="19" xfId="0" applyFont="1" applyFill="1" applyBorder="1" applyAlignment="1">
      <alignment horizontal="right" vertical="center" wrapText="1"/>
    </xf>
    <xf numFmtId="3" fontId="19" fillId="11" borderId="19" xfId="0" applyNumberFormat="1" applyFont="1" applyFill="1" applyBorder="1" applyAlignment="1">
      <alignment horizontal="right" vertical="center" wrapText="1"/>
    </xf>
    <xf numFmtId="0" fontId="1" fillId="9" borderId="19" xfId="0" applyFont="1" applyFill="1" applyBorder="1" applyAlignment="1">
      <alignment vertical="center" wrapText="1"/>
    </xf>
    <xf numFmtId="0" fontId="1" fillId="9" borderId="19" xfId="0" applyFont="1" applyFill="1" applyBorder="1" applyAlignment="1">
      <alignment horizontal="left" vertical="center" wrapText="1"/>
    </xf>
    <xf numFmtId="0" fontId="20" fillId="9" borderId="19" xfId="0" applyFont="1" applyFill="1" applyBorder="1" applyAlignment="1">
      <alignment horizontal="left" vertical="center" wrapText="1"/>
    </xf>
    <xf numFmtId="3" fontId="1" fillId="9" borderId="19" xfId="0" applyNumberFormat="1" applyFont="1" applyFill="1" applyBorder="1" applyAlignment="1">
      <alignment horizontal="right" vertical="center"/>
    </xf>
    <xf numFmtId="4" fontId="20" fillId="9" borderId="19" xfId="0" applyNumberFormat="1" applyFont="1" applyFill="1" applyBorder="1" applyAlignment="1">
      <alignment horizontal="left" vertical="center" wrapText="1"/>
    </xf>
    <xf numFmtId="3" fontId="3" fillId="0" borderId="8" xfId="0" applyNumberFormat="1" applyFont="1" applyBorder="1" applyAlignment="1">
      <alignment horizontal="center" vertical="center"/>
    </xf>
    <xf numFmtId="3" fontId="3" fillId="4" borderId="11" xfId="0" applyNumberFormat="1" applyFont="1" applyFill="1" applyBorder="1" applyAlignment="1">
      <alignment vertical="center"/>
    </xf>
    <xf numFmtId="3" fontId="3" fillId="0" borderId="7" xfId="0" applyNumberFormat="1" applyFont="1" applyBorder="1" applyAlignment="1">
      <alignment horizontal="center" vertical="center"/>
    </xf>
    <xf numFmtId="3" fontId="3" fillId="4" borderId="17" xfId="0" applyNumberFormat="1" applyFont="1" applyFill="1" applyBorder="1" applyAlignment="1">
      <alignment vertical="center"/>
    </xf>
    <xf numFmtId="0" fontId="25" fillId="0" borderId="0" xfId="0" applyFont="1" applyAlignment="1">
      <alignment horizontal="right" vertical="top" textRotation="90"/>
    </xf>
    <xf numFmtId="3" fontId="3" fillId="0" borderId="59" xfId="0" applyNumberFormat="1" applyFont="1" applyBorder="1" applyAlignment="1">
      <alignment horizontal="center" vertical="center"/>
    </xf>
    <xf numFmtId="3" fontId="3" fillId="4" borderId="60" xfId="0" applyNumberFormat="1" applyFont="1" applyFill="1" applyBorder="1" applyAlignment="1">
      <alignment vertical="center"/>
    </xf>
    <xf numFmtId="3" fontId="3" fillId="0" borderId="61" xfId="0" applyNumberFormat="1" applyFont="1" applyBorder="1" applyAlignment="1">
      <alignment horizontal="center" vertical="center"/>
    </xf>
    <xf numFmtId="3" fontId="3" fillId="4" borderId="62" xfId="0" applyNumberFormat="1" applyFont="1" applyFill="1" applyBorder="1" applyAlignment="1">
      <alignment vertical="center"/>
    </xf>
    <xf numFmtId="0" fontId="1" fillId="2" borderId="1" xfId="3" applyFont="1" applyFill="1" applyBorder="1" applyAlignment="1">
      <alignment horizontal="center" vertical="center"/>
    </xf>
    <xf numFmtId="0" fontId="1" fillId="2" borderId="2" xfId="3" applyFont="1" applyFill="1" applyBorder="1" applyAlignment="1">
      <alignment horizontal="center" vertical="center"/>
    </xf>
    <xf numFmtId="0" fontId="1" fillId="2" borderId="3" xfId="3" applyFont="1" applyFill="1" applyBorder="1" applyAlignment="1">
      <alignment horizontal="center" vertical="center"/>
    </xf>
    <xf numFmtId="0" fontId="1" fillId="2" borderId="4" xfId="3" applyFont="1" applyFill="1" applyBorder="1" applyAlignment="1">
      <alignment horizontal="center" vertical="center"/>
    </xf>
    <xf numFmtId="0" fontId="1" fillId="2" borderId="5" xfId="3" applyFont="1" applyFill="1" applyBorder="1" applyAlignment="1">
      <alignment horizontal="center" vertical="center"/>
    </xf>
    <xf numFmtId="0" fontId="1" fillId="2" borderId="18" xfId="3" applyFont="1" applyFill="1" applyBorder="1" applyAlignment="1">
      <alignment horizontal="center" vertical="center"/>
    </xf>
    <xf numFmtId="0" fontId="5" fillId="0" borderId="0" xfId="0" applyFont="1" applyAlignment="1">
      <alignment horizontal="left"/>
    </xf>
    <xf numFmtId="0" fontId="3" fillId="0" borderId="0" xfId="0" applyFont="1"/>
    <xf numFmtId="0" fontId="11" fillId="0" borderId="0" xfId="0" applyFont="1"/>
    <xf numFmtId="0" fontId="5" fillId="0" borderId="63" xfId="3" applyFont="1" applyBorder="1" applyAlignment="1">
      <alignment horizontal="center" vertical="center" wrapText="1"/>
    </xf>
    <xf numFmtId="3" fontId="17" fillId="0" borderId="0" xfId="0" applyNumberFormat="1" applyFont="1" applyAlignment="1">
      <alignment horizontal="center" vertical="top"/>
    </xf>
    <xf numFmtId="3" fontId="11" fillId="0" borderId="0" xfId="0" applyNumberFormat="1" applyFont="1" applyAlignment="1">
      <alignment horizontal="right" vertical="top"/>
    </xf>
    <xf numFmtId="49" fontId="5" fillId="4" borderId="9" xfId="1" applyNumberFormat="1" applyFont="1" applyFill="1" applyBorder="1" applyAlignment="1">
      <alignment horizontal="center" vertical="center" wrapText="1"/>
    </xf>
    <xf numFmtId="49" fontId="5" fillId="4" borderId="11" xfId="1" applyNumberFormat="1" applyFont="1" applyFill="1" applyBorder="1" applyAlignment="1">
      <alignment horizontal="center" vertical="center" wrapText="1"/>
    </xf>
    <xf numFmtId="0" fontId="2" fillId="0" borderId="0" xfId="0" applyFont="1" applyAlignment="1">
      <alignment horizontal="justify" vertical="top"/>
    </xf>
    <xf numFmtId="0" fontId="1" fillId="3" borderId="8" xfId="3" applyFont="1" applyFill="1" applyBorder="1" applyAlignment="1">
      <alignment horizontal="center" vertical="center"/>
    </xf>
    <xf numFmtId="0" fontId="1" fillId="3" borderId="10" xfId="3" applyFont="1" applyFill="1" applyBorder="1" applyAlignment="1">
      <alignment horizontal="center" vertical="center"/>
    </xf>
    <xf numFmtId="0" fontId="1" fillId="3" borderId="11" xfId="3" applyFont="1" applyFill="1" applyBorder="1" applyAlignment="1">
      <alignment horizontal="center" vertical="center"/>
    </xf>
    <xf numFmtId="0" fontId="11" fillId="0" borderId="0" xfId="0" applyFont="1" applyAlignment="1">
      <alignment vertical="center"/>
    </xf>
    <xf numFmtId="0" fontId="27" fillId="0" borderId="68" xfId="0" applyFont="1" applyBorder="1" applyAlignment="1">
      <alignment horizontal="left" vertical="center" wrapText="1"/>
    </xf>
    <xf numFmtId="0" fontId="27" fillId="0" borderId="0" xfId="0" applyFont="1"/>
    <xf numFmtId="0" fontId="27" fillId="0" borderId="13" xfId="0" applyFont="1" applyBorder="1" applyAlignment="1">
      <alignment vertical="center" wrapText="1"/>
    </xf>
    <xf numFmtId="0" fontId="2" fillId="0" borderId="12" xfId="1" applyFont="1" applyFill="1" applyBorder="1" applyAlignment="1">
      <alignment horizontal="right" vertical="center"/>
    </xf>
    <xf numFmtId="0" fontId="2" fillId="0" borderId="13" xfId="1" applyFont="1" applyFill="1" applyBorder="1" applyAlignment="1">
      <alignment horizontal="right" vertical="center"/>
    </xf>
    <xf numFmtId="49" fontId="5" fillId="0" borderId="2" xfId="1" applyNumberFormat="1" applyFont="1" applyFill="1" applyBorder="1" applyAlignment="1">
      <alignment horizontal="center" vertical="center" wrapText="1"/>
    </xf>
    <xf numFmtId="49" fontId="5" fillId="0" borderId="3" xfId="1" applyNumberFormat="1" applyFont="1" applyFill="1" applyBorder="1" applyAlignment="1">
      <alignment horizontal="center" vertical="center" wrapText="1"/>
    </xf>
    <xf numFmtId="3" fontId="5" fillId="0" borderId="2" xfId="3" applyNumberFormat="1" applyFont="1" applyFill="1" applyBorder="1" applyAlignment="1">
      <alignment horizontal="center" vertical="center"/>
    </xf>
    <xf numFmtId="4" fontId="3" fillId="0" borderId="33" xfId="0" applyNumberFormat="1" applyFont="1" applyFill="1" applyBorder="1" applyAlignment="1">
      <alignment horizontal="right" vertical="center"/>
    </xf>
    <xf numFmtId="0" fontId="2" fillId="3" borderId="12" xfId="1" applyFont="1" applyFill="1" applyBorder="1" applyAlignment="1">
      <alignment horizontal="right" vertical="center"/>
    </xf>
    <xf numFmtId="0" fontId="2" fillId="3" borderId="13" xfId="1" applyFont="1" applyFill="1" applyBorder="1" applyAlignment="1">
      <alignment horizontal="right" vertical="center"/>
    </xf>
    <xf numFmtId="49" fontId="5" fillId="3" borderId="2" xfId="1" applyNumberFormat="1" applyFont="1" applyFill="1" applyBorder="1" applyAlignment="1">
      <alignment horizontal="center" vertical="center" wrapText="1"/>
    </xf>
    <xf numFmtId="49" fontId="5" fillId="3" borderId="3" xfId="1" applyNumberFormat="1" applyFont="1" applyFill="1" applyBorder="1" applyAlignment="1">
      <alignment horizontal="center" vertical="center" wrapText="1"/>
    </xf>
    <xf numFmtId="0" fontId="1" fillId="3" borderId="2" xfId="3" applyFont="1" applyFill="1" applyBorder="1" applyAlignment="1">
      <alignment horizontal="center" vertical="center"/>
    </xf>
    <xf numFmtId="0" fontId="1" fillId="3" borderId="3" xfId="3" applyFont="1" applyFill="1" applyBorder="1" applyAlignment="1">
      <alignment horizontal="center" vertical="center"/>
    </xf>
    <xf numFmtId="3" fontId="5" fillId="3" borderId="2" xfId="3" applyNumberFormat="1" applyFont="1" applyFill="1" applyBorder="1" applyAlignment="1">
      <alignment horizontal="center" vertical="center"/>
    </xf>
    <xf numFmtId="4" fontId="3" fillId="3" borderId="33" xfId="0" applyNumberFormat="1" applyFont="1" applyFill="1" applyBorder="1" applyAlignment="1">
      <alignment horizontal="right" vertical="center"/>
    </xf>
    <xf numFmtId="4" fontId="3" fillId="3" borderId="10" xfId="0" applyNumberFormat="1" applyFont="1" applyFill="1" applyBorder="1" applyAlignment="1">
      <alignment horizontal="right" vertical="center"/>
    </xf>
    <xf numFmtId="3" fontId="3" fillId="0" borderId="0" xfId="0" applyNumberFormat="1" applyFont="1"/>
    <xf numFmtId="3" fontId="11" fillId="0" borderId="0" xfId="0" applyNumberFormat="1" applyFont="1"/>
    <xf numFmtId="4" fontId="3" fillId="0" borderId="0" xfId="0" applyNumberFormat="1" applyFont="1"/>
    <xf numFmtId="0" fontId="5" fillId="3" borderId="2" xfId="3" applyFont="1" applyFill="1" applyBorder="1" applyAlignment="1">
      <alignment horizontal="center" vertical="center"/>
    </xf>
    <xf numFmtId="0" fontId="5" fillId="3" borderId="3" xfId="3" applyFont="1" applyFill="1" applyBorder="1" applyAlignment="1">
      <alignment horizontal="center" vertical="center"/>
    </xf>
    <xf numFmtId="0" fontId="12" fillId="0" borderId="0" xfId="0" applyFont="1" applyAlignment="1">
      <alignment horizontal="left"/>
    </xf>
    <xf numFmtId="2" fontId="13" fillId="0" borderId="0" xfId="0" applyNumberFormat="1" applyFont="1"/>
    <xf numFmtId="10" fontId="3" fillId="0" borderId="0" xfId="4" applyNumberFormat="1" applyFont="1"/>
    <xf numFmtId="0" fontId="31" fillId="0" borderId="0" xfId="0" applyFont="1" applyAlignment="1">
      <alignment wrapText="1"/>
    </xf>
    <xf numFmtId="0" fontId="31" fillId="0" borderId="0" xfId="0" applyFont="1" applyFill="1" applyBorder="1" applyAlignment="1">
      <alignment wrapText="1"/>
    </xf>
    <xf numFmtId="0" fontId="31" fillId="0" borderId="0" xfId="0" applyFont="1" applyAlignment="1">
      <alignment vertical="center" wrapText="1"/>
    </xf>
    <xf numFmtId="4" fontId="6" fillId="9" borderId="114" xfId="3" applyNumberFormat="1" applyFont="1" applyFill="1" applyBorder="1" applyAlignment="1">
      <alignment horizontal="right" vertical="center"/>
    </xf>
    <xf numFmtId="49" fontId="6" fillId="4" borderId="9" xfId="1" applyNumberFormat="1" applyFont="1" applyFill="1" applyBorder="1" applyAlignment="1">
      <alignment horizontal="center" vertical="center" wrapText="1"/>
    </xf>
    <xf numFmtId="0" fontId="5" fillId="9" borderId="32" xfId="2" applyFont="1" applyFill="1" applyBorder="1" applyAlignment="1">
      <alignment horizontal="left" vertical="center" wrapText="1"/>
    </xf>
    <xf numFmtId="0" fontId="5" fillId="9" borderId="34" xfId="2" applyFont="1" applyFill="1" applyBorder="1" applyAlignment="1">
      <alignment horizontal="left" vertical="center" wrapText="1"/>
    </xf>
    <xf numFmtId="49" fontId="5" fillId="0" borderId="9" xfId="1" applyNumberFormat="1" applyFont="1" applyBorder="1" applyAlignment="1">
      <alignment horizontal="center" vertical="center" wrapText="1"/>
    </xf>
    <xf numFmtId="0" fontId="33" fillId="0" borderId="0" xfId="2" applyFont="1" applyAlignment="1">
      <alignment vertical="center"/>
    </xf>
    <xf numFmtId="0" fontId="34" fillId="0" borderId="0" xfId="1" applyFont="1" applyAlignment="1">
      <alignment horizontal="left" vertical="center" wrapText="1"/>
    </xf>
    <xf numFmtId="0" fontId="34" fillId="0" borderId="0" xfId="1" applyFont="1" applyAlignment="1">
      <alignment horizontal="center" vertical="center" wrapText="1"/>
    </xf>
    <xf numFmtId="49" fontId="6" fillId="3" borderId="46" xfId="1" applyNumberFormat="1" applyFont="1" applyFill="1" applyBorder="1" applyAlignment="1">
      <alignment horizontal="center" vertical="center" wrapText="1"/>
    </xf>
    <xf numFmtId="49" fontId="6" fillId="3" borderId="47" xfId="1" applyNumberFormat="1" applyFont="1" applyFill="1" applyBorder="1" applyAlignment="1">
      <alignment horizontal="center" vertical="center" wrapText="1"/>
    </xf>
    <xf numFmtId="0" fontId="2" fillId="3" borderId="0" xfId="1" applyFont="1" applyFill="1" applyAlignment="1">
      <alignment horizontal="right" vertical="center"/>
    </xf>
    <xf numFmtId="0" fontId="35" fillId="3" borderId="48" xfId="1" applyFont="1" applyFill="1" applyBorder="1" applyAlignment="1">
      <alignment horizontal="right" vertical="center"/>
    </xf>
    <xf numFmtId="49" fontId="6" fillId="3" borderId="3" xfId="1" applyNumberFormat="1" applyFont="1" applyFill="1" applyBorder="1" applyAlignment="1">
      <alignment horizontal="center" vertical="center" wrapText="1"/>
    </xf>
    <xf numFmtId="0" fontId="5" fillId="3" borderId="18" xfId="3" applyFont="1" applyFill="1" applyBorder="1" applyAlignment="1">
      <alignment horizontal="center" vertical="center"/>
    </xf>
    <xf numFmtId="0" fontId="5" fillId="3" borderId="49" xfId="3" applyFont="1" applyFill="1" applyBorder="1" applyAlignment="1">
      <alignment horizontal="center" vertical="center"/>
    </xf>
    <xf numFmtId="3" fontId="11" fillId="3" borderId="67" xfId="0" applyNumberFormat="1" applyFont="1" applyFill="1" applyBorder="1" applyAlignment="1">
      <alignment horizontal="right" vertical="center"/>
    </xf>
    <xf numFmtId="9" fontId="3" fillId="0" borderId="0" xfId="4" applyFont="1"/>
    <xf numFmtId="9" fontId="3" fillId="0" borderId="0" xfId="0" applyNumberFormat="1" applyFont="1"/>
    <xf numFmtId="49" fontId="6" fillId="3" borderId="6" xfId="1" applyNumberFormat="1" applyFont="1" applyFill="1" applyBorder="1" applyAlignment="1">
      <alignment horizontal="center" vertical="center" wrapText="1"/>
    </xf>
    <xf numFmtId="49" fontId="6" fillId="6" borderId="6" xfId="1" applyNumberFormat="1" applyFont="1" applyFill="1" applyBorder="1" applyAlignment="1">
      <alignment horizontal="center" vertical="center" wrapText="1"/>
    </xf>
    <xf numFmtId="0" fontId="35" fillId="3" borderId="9" xfId="1" applyFont="1" applyFill="1" applyBorder="1" applyAlignment="1">
      <alignment horizontal="right" vertical="center"/>
    </xf>
    <xf numFmtId="0" fontId="2" fillId="3" borderId="6" xfId="1" applyFont="1" applyFill="1" applyBorder="1" applyAlignment="1">
      <alignment horizontal="right" vertical="center"/>
    </xf>
    <xf numFmtId="0" fontId="35" fillId="3" borderId="6" xfId="1" applyFont="1" applyFill="1" applyBorder="1" applyAlignment="1">
      <alignment horizontal="right" vertical="center"/>
    </xf>
    <xf numFmtId="0" fontId="2" fillId="6" borderId="6" xfId="1" applyFont="1" applyFill="1" applyBorder="1" applyAlignment="1">
      <alignment horizontal="right" vertical="center"/>
    </xf>
    <xf numFmtId="49" fontId="5" fillId="3" borderId="9" xfId="1" applyNumberFormat="1" applyFont="1" applyFill="1" applyBorder="1" applyAlignment="1">
      <alignment horizontal="center" vertical="center" wrapText="1"/>
    </xf>
    <xf numFmtId="49" fontId="5" fillId="3" borderId="6" xfId="1" applyNumberFormat="1" applyFont="1" applyFill="1" applyBorder="1" applyAlignment="1">
      <alignment horizontal="center" vertical="center" wrapText="1"/>
    </xf>
    <xf numFmtId="0" fontId="36" fillId="0" borderId="6" xfId="0" applyFont="1" applyBorder="1" applyAlignment="1">
      <alignment horizontal="center"/>
    </xf>
    <xf numFmtId="0" fontId="1" fillId="3" borderId="6" xfId="3" applyFont="1" applyFill="1" applyBorder="1" applyAlignment="1">
      <alignment horizontal="center" vertical="center"/>
    </xf>
    <xf numFmtId="0" fontId="1" fillId="6" borderId="6" xfId="3" applyFont="1" applyFill="1" applyBorder="1" applyAlignment="1">
      <alignment horizontal="center" vertical="center"/>
    </xf>
    <xf numFmtId="3" fontId="7" fillId="3" borderId="8" xfId="0" applyNumberFormat="1" applyFont="1" applyFill="1" applyBorder="1" applyAlignment="1">
      <alignment horizontal="center" vertical="center"/>
    </xf>
    <xf numFmtId="3" fontId="7" fillId="3" borderId="11" xfId="0" applyNumberFormat="1" applyFont="1" applyFill="1" applyBorder="1" applyAlignment="1">
      <alignment vertical="center"/>
    </xf>
    <xf numFmtId="3" fontId="7" fillId="6" borderId="11" xfId="0" applyNumberFormat="1" applyFont="1" applyFill="1" applyBorder="1" applyAlignment="1">
      <alignment vertical="center"/>
    </xf>
    <xf numFmtId="3" fontId="7" fillId="0" borderId="0" xfId="0" applyNumberFormat="1" applyFont="1"/>
    <xf numFmtId="2" fontId="7" fillId="0" borderId="0" xfId="0" applyNumberFormat="1" applyFont="1"/>
    <xf numFmtId="3" fontId="37" fillId="0" borderId="0" xfId="0" applyNumberFormat="1" applyFont="1"/>
    <xf numFmtId="0" fontId="2" fillId="3" borderId="8" xfId="1" applyFont="1" applyFill="1" applyBorder="1" applyAlignment="1">
      <alignment horizontal="center" vertical="center"/>
    </xf>
    <xf numFmtId="0" fontId="2" fillId="3" borderId="9" xfId="1" applyFont="1" applyFill="1" applyBorder="1" applyAlignment="1">
      <alignment horizontal="right" vertical="center"/>
    </xf>
    <xf numFmtId="0" fontId="2" fillId="3" borderId="10" xfId="1" applyFont="1" applyFill="1" applyBorder="1" applyAlignment="1">
      <alignment horizontal="center" vertical="center"/>
    </xf>
    <xf numFmtId="0" fontId="2" fillId="3" borderId="11" xfId="1" applyFont="1" applyFill="1" applyBorder="1" applyAlignment="1">
      <alignment horizontal="right" vertical="center"/>
    </xf>
    <xf numFmtId="49" fontId="5" fillId="3" borderId="8" xfId="1" applyNumberFormat="1" applyFont="1" applyFill="1" applyBorder="1" applyAlignment="1">
      <alignment horizontal="center" vertical="center" wrapText="1"/>
    </xf>
    <xf numFmtId="49" fontId="5" fillId="3" borderId="10" xfId="1" applyNumberFormat="1" applyFont="1" applyFill="1" applyBorder="1" applyAlignment="1">
      <alignment horizontal="center" vertical="center" wrapText="1"/>
    </xf>
    <xf numFmtId="0" fontId="38" fillId="0" borderId="0" xfId="0" applyFont="1"/>
    <xf numFmtId="0" fontId="39" fillId="0" borderId="0" xfId="0" applyFont="1"/>
    <xf numFmtId="1" fontId="7" fillId="0" borderId="0" xfId="0" applyNumberFormat="1" applyFont="1"/>
    <xf numFmtId="3" fontId="37" fillId="0" borderId="0" xfId="0" applyNumberFormat="1" applyFont="1" applyAlignment="1">
      <alignment vertical="top"/>
    </xf>
    <xf numFmtId="0" fontId="1" fillId="3" borderId="18" xfId="3" applyFont="1" applyFill="1" applyBorder="1" applyAlignment="1">
      <alignment horizontal="center" vertical="center"/>
    </xf>
    <xf numFmtId="0" fontId="1" fillId="3" borderId="49" xfId="3" applyFont="1" applyFill="1" applyBorder="1" applyAlignment="1">
      <alignment horizontal="center" vertical="center"/>
    </xf>
    <xf numFmtId="0" fontId="1" fillId="0" borderId="0" xfId="0" applyFont="1"/>
    <xf numFmtId="0" fontId="5" fillId="0" borderId="63" xfId="3" applyFont="1" applyBorder="1" applyAlignment="1">
      <alignment horizontal="left" vertical="center" wrapText="1"/>
    </xf>
    <xf numFmtId="3" fontId="5" fillId="0" borderId="64" xfId="3" applyNumberFormat="1" applyFont="1" applyBorder="1" applyAlignment="1">
      <alignment horizontal="center" vertical="center"/>
    </xf>
    <xf numFmtId="3" fontId="11" fillId="3" borderId="47" xfId="0" applyNumberFormat="1" applyFont="1" applyFill="1" applyBorder="1" applyAlignment="1">
      <alignment horizontal="right" vertical="center"/>
    </xf>
    <xf numFmtId="4" fontId="3" fillId="0" borderId="6" xfId="0" applyNumberFormat="1" applyFont="1" applyBorder="1" applyAlignment="1">
      <alignment horizontal="right" vertical="center"/>
    </xf>
    <xf numFmtId="2" fontId="3" fillId="0" borderId="0" xfId="0" applyNumberFormat="1" applyFont="1"/>
    <xf numFmtId="3" fontId="3" fillId="0" borderId="6" xfId="0" applyNumberFormat="1" applyFont="1" applyBorder="1" applyAlignment="1">
      <alignment horizontal="center" vertical="center"/>
    </xf>
    <xf numFmtId="4" fontId="3" fillId="0" borderId="65" xfId="0" applyNumberFormat="1" applyFont="1" applyBorder="1" applyAlignment="1">
      <alignment horizontal="right" vertical="center"/>
    </xf>
    <xf numFmtId="3" fontId="3" fillId="0" borderId="9" xfId="0" applyNumberFormat="1" applyFont="1" applyBorder="1" applyAlignment="1">
      <alignment horizontal="center" vertical="center"/>
    </xf>
    <xf numFmtId="4" fontId="3" fillId="0" borderId="66" xfId="0" applyNumberFormat="1" applyFont="1" applyBorder="1" applyAlignment="1">
      <alignment horizontal="right" vertical="center"/>
    </xf>
    <xf numFmtId="3" fontId="3" fillId="0" borderId="32" xfId="0" applyNumberFormat="1" applyFont="1" applyBorder="1" applyAlignment="1">
      <alignment horizontal="center" vertical="center"/>
    </xf>
    <xf numFmtId="0" fontId="6" fillId="0" borderId="0" xfId="3" applyFont="1" applyAlignment="1">
      <alignment horizontal="left" vertical="center" wrapText="1"/>
    </xf>
    <xf numFmtId="0" fontId="5" fillId="0" borderId="0" xfId="3" applyFont="1" applyAlignment="1">
      <alignment horizontal="center" vertical="center" wrapText="1"/>
    </xf>
    <xf numFmtId="3" fontId="5" fillId="0" borderId="0" xfId="3" applyNumberFormat="1" applyFont="1" applyAlignment="1">
      <alignment horizontal="center" vertical="center"/>
    </xf>
    <xf numFmtId="3" fontId="6" fillId="0" borderId="0" xfId="3" applyNumberFormat="1" applyFont="1" applyAlignment="1">
      <alignment horizontal="right" vertical="center"/>
    </xf>
    <xf numFmtId="3" fontId="5" fillId="3" borderId="0" xfId="3" applyNumberFormat="1" applyFont="1" applyFill="1" applyAlignment="1">
      <alignment horizontal="center" vertical="center"/>
    </xf>
    <xf numFmtId="3" fontId="6" fillId="3" borderId="0" xfId="3" applyNumberFormat="1" applyFont="1" applyFill="1" applyAlignment="1">
      <alignment horizontal="right" vertical="center"/>
    </xf>
    <xf numFmtId="3" fontId="11" fillId="3" borderId="0" xfId="0" applyNumberFormat="1" applyFont="1" applyFill="1"/>
    <xf numFmtId="2" fontId="11" fillId="0" borderId="0" xfId="0" applyNumberFormat="1" applyFont="1"/>
    <xf numFmtId="0" fontId="2" fillId="3" borderId="12" xfId="1" applyFont="1" applyFill="1" applyBorder="1" applyAlignment="1">
      <alignment horizontal="center" vertical="center"/>
    </xf>
    <xf numFmtId="49" fontId="5" fillId="3" borderId="4" xfId="1" applyNumberFormat="1" applyFont="1" applyFill="1" applyBorder="1" applyAlignment="1">
      <alignment horizontal="center" vertical="center" wrapText="1"/>
    </xf>
    <xf numFmtId="0" fontId="1" fillId="3" borderId="4" xfId="3" applyFont="1" applyFill="1" applyBorder="1" applyAlignment="1">
      <alignment horizontal="center" vertical="center"/>
    </xf>
    <xf numFmtId="0" fontId="1" fillId="3" borderId="5" xfId="3" applyFont="1" applyFill="1" applyBorder="1" applyAlignment="1">
      <alignment horizontal="center" vertical="center"/>
    </xf>
    <xf numFmtId="3" fontId="5" fillId="3" borderId="64" xfId="3" applyNumberFormat="1" applyFont="1" applyFill="1" applyBorder="1" applyAlignment="1">
      <alignment horizontal="center" vertical="center"/>
    </xf>
    <xf numFmtId="4" fontId="5" fillId="3" borderId="3" xfId="3" applyNumberFormat="1" applyFont="1" applyFill="1" applyBorder="1" applyAlignment="1">
      <alignment horizontal="right" vertical="center"/>
    </xf>
    <xf numFmtId="49" fontId="6" fillId="3" borderId="31" xfId="1" applyNumberFormat="1" applyFont="1" applyFill="1" applyBorder="1" applyAlignment="1">
      <alignment horizontal="center" vertical="center" wrapText="1"/>
    </xf>
    <xf numFmtId="49" fontId="6" fillId="6" borderId="33" xfId="1" applyNumberFormat="1" applyFont="1" applyFill="1" applyBorder="1" applyAlignment="1">
      <alignment horizontal="center" vertical="center" wrapText="1"/>
    </xf>
    <xf numFmtId="0" fontId="35" fillId="0" borderId="9" xfId="1" applyFont="1" applyFill="1" applyBorder="1" applyAlignment="1">
      <alignment horizontal="right" vertical="center"/>
    </xf>
    <xf numFmtId="0" fontId="2" fillId="0" borderId="6" xfId="1" applyFont="1" applyFill="1" applyBorder="1" applyAlignment="1">
      <alignment horizontal="right" vertical="center"/>
    </xf>
    <xf numFmtId="0" fontId="35" fillId="0" borderId="6" xfId="1" applyFont="1" applyFill="1" applyBorder="1" applyAlignment="1">
      <alignment horizontal="right" vertical="center"/>
    </xf>
    <xf numFmtId="0" fontId="2" fillId="6" borderId="33" xfId="1" applyFont="1" applyFill="1" applyBorder="1" applyAlignment="1">
      <alignment horizontal="right" vertical="center"/>
    </xf>
    <xf numFmtId="49" fontId="5" fillId="0" borderId="9" xfId="1" applyNumberFormat="1" applyFont="1" applyFill="1" applyBorder="1" applyAlignment="1">
      <alignment horizontal="center" vertical="center" wrapText="1"/>
    </xf>
    <xf numFmtId="49" fontId="5" fillId="0" borderId="6" xfId="1" applyNumberFormat="1" applyFont="1" applyFill="1" applyBorder="1" applyAlignment="1">
      <alignment horizontal="center" vertical="center" wrapText="1"/>
    </xf>
    <xf numFmtId="0" fontId="1" fillId="0" borderId="9" xfId="3" applyFont="1" applyFill="1" applyBorder="1" applyAlignment="1">
      <alignment horizontal="center" vertical="center"/>
    </xf>
    <xf numFmtId="0" fontId="1" fillId="0" borderId="6" xfId="3" applyFont="1" applyFill="1" applyBorder="1" applyAlignment="1">
      <alignment horizontal="center" vertical="center"/>
    </xf>
    <xf numFmtId="0" fontId="1" fillId="6" borderId="33" xfId="3" applyFont="1" applyFill="1" applyBorder="1" applyAlignment="1">
      <alignment horizontal="center" vertical="center"/>
    </xf>
    <xf numFmtId="3" fontId="3" fillId="0" borderId="8" xfId="0" applyNumberFormat="1" applyFont="1" applyFill="1" applyBorder="1" applyAlignment="1">
      <alignment horizontal="center" vertical="center"/>
    </xf>
    <xf numFmtId="3" fontId="3" fillId="0" borderId="11" xfId="0" applyNumberFormat="1" applyFont="1" applyFill="1" applyBorder="1" applyAlignment="1">
      <alignment vertical="center"/>
    </xf>
    <xf numFmtId="3" fontId="3" fillId="6" borderId="69" xfId="0" applyNumberFormat="1" applyFont="1" applyFill="1" applyBorder="1" applyAlignment="1">
      <alignment vertical="center"/>
    </xf>
    <xf numFmtId="4" fontId="3" fillId="0" borderId="0" xfId="0" applyNumberFormat="1" applyFont="1" applyBorder="1" applyAlignment="1">
      <alignment vertical="top"/>
    </xf>
    <xf numFmtId="0" fontId="3" fillId="0" borderId="0" xfId="0" applyFont="1" applyAlignment="1">
      <alignment vertical="top"/>
    </xf>
    <xf numFmtId="3" fontId="3" fillId="0" borderId="59" xfId="0" applyNumberFormat="1" applyFont="1" applyFill="1" applyBorder="1" applyAlignment="1">
      <alignment horizontal="center" vertical="center"/>
    </xf>
    <xf numFmtId="3" fontId="3" fillId="0" borderId="60" xfId="0" applyNumberFormat="1" applyFont="1" applyFill="1" applyBorder="1" applyAlignment="1">
      <alignment vertical="center"/>
    </xf>
    <xf numFmtId="3" fontId="3" fillId="6" borderId="70" xfId="0" applyNumberFormat="1" applyFont="1" applyFill="1" applyBorder="1" applyAlignment="1">
      <alignment vertical="center"/>
    </xf>
    <xf numFmtId="4" fontId="3" fillId="0" borderId="0" xfId="0" applyNumberFormat="1" applyFont="1" applyAlignment="1">
      <alignment vertical="top"/>
    </xf>
    <xf numFmtId="3" fontId="3" fillId="0" borderId="0" xfId="0" applyNumberFormat="1" applyFont="1" applyAlignment="1">
      <alignment vertical="top"/>
    </xf>
    <xf numFmtId="0" fontId="17" fillId="0" borderId="0" xfId="0" applyFont="1"/>
    <xf numFmtId="0" fontId="41" fillId="0" borderId="0" xfId="0" applyFont="1"/>
    <xf numFmtId="0" fontId="17" fillId="0" borderId="0" xfId="0" applyFont="1" applyAlignment="1">
      <alignment horizontal="center"/>
    </xf>
    <xf numFmtId="2" fontId="17" fillId="0" borderId="0" xfId="0" applyNumberFormat="1" applyFont="1" applyAlignment="1">
      <alignment horizontal="center"/>
    </xf>
    <xf numFmtId="0" fontId="3" fillId="0" borderId="0" xfId="0" applyFont="1" applyAlignment="1">
      <alignment horizontal="center"/>
    </xf>
    <xf numFmtId="0" fontId="2" fillId="0" borderId="8" xfId="1" applyFont="1" applyFill="1" applyBorder="1" applyAlignment="1">
      <alignment horizontal="center" vertical="center"/>
    </xf>
    <xf numFmtId="0" fontId="2" fillId="0" borderId="9" xfId="1" applyFont="1" applyFill="1" applyBorder="1" applyAlignment="1">
      <alignment horizontal="right" vertical="center"/>
    </xf>
    <xf numFmtId="0" fontId="2" fillId="0" borderId="10" xfId="1" applyFont="1" applyFill="1" applyBorder="1" applyAlignment="1">
      <alignment horizontal="center" vertical="center"/>
    </xf>
    <xf numFmtId="0" fontId="2" fillId="0" borderId="11" xfId="1" applyFont="1" applyFill="1" applyBorder="1" applyAlignment="1">
      <alignment horizontal="right" vertical="center"/>
    </xf>
    <xf numFmtId="49" fontId="5" fillId="0" borderId="8" xfId="1" applyNumberFormat="1" applyFont="1" applyFill="1" applyBorder="1" applyAlignment="1">
      <alignment horizontal="center" vertical="center" wrapText="1"/>
    </xf>
    <xf numFmtId="49" fontId="5" fillId="0" borderId="10" xfId="1" applyNumberFormat="1" applyFont="1" applyFill="1" applyBorder="1" applyAlignment="1">
      <alignment horizontal="center" vertical="center" wrapText="1"/>
    </xf>
    <xf numFmtId="0" fontId="1" fillId="0" borderId="8" xfId="3" applyFont="1" applyFill="1" applyBorder="1" applyAlignment="1">
      <alignment horizontal="center" vertical="center"/>
    </xf>
    <xf numFmtId="0" fontId="1" fillId="0" borderId="10" xfId="3" applyFont="1" applyFill="1" applyBorder="1" applyAlignment="1">
      <alignment horizontal="center" vertical="center"/>
    </xf>
    <xf numFmtId="0" fontId="1" fillId="0" borderId="11" xfId="3" applyFont="1" applyFill="1" applyBorder="1" applyAlignment="1">
      <alignment horizontal="center" vertical="center"/>
    </xf>
    <xf numFmtId="3" fontId="3" fillId="0" borderId="7" xfId="0" applyNumberFormat="1" applyFont="1" applyFill="1" applyBorder="1" applyAlignment="1">
      <alignment horizontal="center" vertical="center"/>
    </xf>
    <xf numFmtId="3" fontId="11" fillId="0" borderId="0" xfId="0" applyNumberFormat="1" applyFont="1" applyAlignment="1">
      <alignment vertical="top"/>
    </xf>
    <xf numFmtId="0" fontId="3" fillId="0" borderId="0" xfId="0" applyFont="1" applyAlignment="1"/>
    <xf numFmtId="49" fontId="6" fillId="0" borderId="46" xfId="1" applyNumberFormat="1" applyFont="1" applyBorder="1" applyAlignment="1">
      <alignment horizontal="center" vertical="center" wrapText="1"/>
    </xf>
    <xf numFmtId="49" fontId="6" fillId="0" borderId="47" xfId="1" applyNumberFormat="1" applyFont="1" applyBorder="1" applyAlignment="1">
      <alignment horizontal="center" vertical="center" wrapText="1"/>
    </xf>
    <xf numFmtId="0" fontId="2" fillId="2" borderId="0" xfId="1" applyFont="1" applyFill="1" applyBorder="1" applyAlignment="1">
      <alignment horizontal="center" vertical="center"/>
    </xf>
    <xf numFmtId="0" fontId="2" fillId="2" borderId="0" xfId="1" applyFont="1" applyFill="1" applyBorder="1" applyAlignment="1">
      <alignment horizontal="right" vertical="center"/>
    </xf>
    <xf numFmtId="0" fontId="35" fillId="2" borderId="48" xfId="1" applyFont="1" applyFill="1" applyBorder="1" applyAlignment="1">
      <alignment horizontal="right" vertical="center"/>
    </xf>
    <xf numFmtId="49" fontId="5" fillId="2" borderId="16" xfId="1" applyNumberFormat="1" applyFont="1" applyFill="1" applyBorder="1" applyAlignment="1">
      <alignment horizontal="center" vertical="center" wrapText="1"/>
    </xf>
    <xf numFmtId="49" fontId="5" fillId="2" borderId="15" xfId="1" applyNumberFormat="1" applyFont="1" applyFill="1" applyBorder="1" applyAlignment="1">
      <alignment horizontal="center" vertical="center" wrapText="1"/>
    </xf>
    <xf numFmtId="49" fontId="5" fillId="2" borderId="49" xfId="1" applyNumberFormat="1" applyFont="1" applyFill="1" applyBorder="1" applyAlignment="1">
      <alignment horizontal="center" vertical="center" wrapText="1"/>
    </xf>
    <xf numFmtId="49" fontId="6" fillId="2" borderId="49" xfId="1" applyNumberFormat="1" applyFont="1" applyFill="1" applyBorder="1" applyAlignment="1">
      <alignment horizontal="center" vertical="center" wrapText="1"/>
    </xf>
    <xf numFmtId="0" fontId="5" fillId="2" borderId="38" xfId="3" applyFont="1" applyFill="1" applyBorder="1" applyAlignment="1">
      <alignment horizontal="center" vertical="center"/>
    </xf>
    <xf numFmtId="0" fontId="5" fillId="2" borderId="39" xfId="3" applyFont="1" applyFill="1" applyBorder="1" applyAlignment="1">
      <alignment horizontal="center" vertical="center"/>
    </xf>
    <xf numFmtId="0" fontId="5" fillId="2" borderId="40" xfId="3" applyFont="1" applyFill="1" applyBorder="1" applyAlignment="1">
      <alignment horizontal="center" vertical="center"/>
    </xf>
    <xf numFmtId="0" fontId="5" fillId="2" borderId="41" xfId="3" applyFont="1" applyFill="1" applyBorder="1" applyAlignment="1">
      <alignment horizontal="center" vertical="center"/>
    </xf>
    <xf numFmtId="0" fontId="5" fillId="2" borderId="42" xfId="3" applyFont="1" applyFill="1" applyBorder="1" applyAlignment="1">
      <alignment horizontal="center" vertical="center"/>
    </xf>
    <xf numFmtId="0" fontId="5" fillId="2" borderId="43" xfId="3" applyFont="1" applyFill="1" applyBorder="1" applyAlignment="1">
      <alignment horizontal="center" vertical="center"/>
    </xf>
    <xf numFmtId="0" fontId="5" fillId="2" borderId="71" xfId="3" applyFont="1" applyFill="1" applyBorder="1" applyAlignment="1">
      <alignment horizontal="center" vertical="center"/>
    </xf>
    <xf numFmtId="0" fontId="5" fillId="9" borderId="56" xfId="2" applyFont="1" applyFill="1" applyBorder="1" applyAlignment="1">
      <alignment horizontal="center" vertical="center" wrapText="1"/>
    </xf>
    <xf numFmtId="3" fontId="5" fillId="9" borderId="57" xfId="3" applyNumberFormat="1" applyFont="1" applyFill="1" applyBorder="1" applyAlignment="1">
      <alignment horizontal="center" vertical="center"/>
    </xf>
    <xf numFmtId="4" fontId="5" fillId="9" borderId="58" xfId="3" applyNumberFormat="1" applyFont="1" applyFill="1" applyBorder="1" applyAlignment="1">
      <alignment horizontal="right" vertical="center"/>
    </xf>
    <xf numFmtId="4" fontId="5" fillId="9" borderId="56" xfId="3" applyNumberFormat="1" applyFont="1" applyFill="1" applyBorder="1" applyAlignment="1">
      <alignment horizontal="right" vertical="center"/>
    </xf>
    <xf numFmtId="4" fontId="6" fillId="9" borderId="72" xfId="3" applyNumberFormat="1" applyFont="1" applyFill="1" applyBorder="1" applyAlignment="1">
      <alignment horizontal="right" vertical="center"/>
    </xf>
    <xf numFmtId="0" fontId="5" fillId="9" borderId="10" xfId="2" applyFont="1" applyFill="1" applyBorder="1" applyAlignment="1">
      <alignment horizontal="center" vertical="center" wrapText="1"/>
    </xf>
    <xf numFmtId="3" fontId="5" fillId="9" borderId="32" xfId="3" applyNumberFormat="1" applyFont="1" applyFill="1" applyBorder="1" applyAlignment="1">
      <alignment horizontal="center" vertical="center"/>
    </xf>
    <xf numFmtId="4" fontId="5" fillId="9" borderId="33" xfId="3" applyNumberFormat="1" applyFont="1" applyFill="1" applyBorder="1" applyAlignment="1">
      <alignment horizontal="right" vertical="center"/>
    </xf>
    <xf numFmtId="4" fontId="5" fillId="9" borderId="10" xfId="3" applyNumberFormat="1" applyFont="1" applyFill="1" applyBorder="1" applyAlignment="1">
      <alignment horizontal="right" vertical="center"/>
    </xf>
    <xf numFmtId="0" fontId="5" fillId="9" borderId="35" xfId="2" applyFont="1" applyFill="1" applyBorder="1" applyAlignment="1">
      <alignment horizontal="center" vertical="center" wrapText="1"/>
    </xf>
    <xf numFmtId="3" fontId="5" fillId="9" borderId="34" xfId="3" applyNumberFormat="1" applyFont="1" applyFill="1" applyBorder="1" applyAlignment="1">
      <alignment horizontal="center" vertical="center"/>
    </xf>
    <xf numFmtId="4" fontId="5" fillId="9" borderId="36" xfId="3" applyNumberFormat="1" applyFont="1" applyFill="1" applyBorder="1" applyAlignment="1">
      <alignment horizontal="right" vertical="center"/>
    </xf>
    <xf numFmtId="4" fontId="5" fillId="9" borderId="35" xfId="3" applyNumberFormat="1" applyFont="1" applyFill="1" applyBorder="1" applyAlignment="1">
      <alignment horizontal="right" vertical="center"/>
    </xf>
    <xf numFmtId="4" fontId="6" fillId="9" borderId="73" xfId="3" applyNumberFormat="1" applyFont="1" applyFill="1" applyBorder="1" applyAlignment="1">
      <alignment horizontal="right" vertical="center"/>
    </xf>
    <xf numFmtId="4" fontId="11" fillId="0" borderId="0" xfId="0" applyNumberFormat="1" applyFont="1"/>
    <xf numFmtId="0" fontId="2" fillId="4" borderId="6" xfId="1" applyFont="1" applyFill="1" applyBorder="1" applyAlignment="1">
      <alignment horizontal="right" vertical="center"/>
    </xf>
    <xf numFmtId="49" fontId="5" fillId="4" borderId="6" xfId="1" applyNumberFormat="1" applyFont="1" applyFill="1" applyBorder="1" applyAlignment="1">
      <alignment horizontal="center" vertical="center" wrapText="1"/>
    </xf>
    <xf numFmtId="0" fontId="1" fillId="4" borderId="6" xfId="3" applyFont="1" applyFill="1" applyBorder="1" applyAlignment="1">
      <alignment horizontal="center" vertical="center"/>
    </xf>
    <xf numFmtId="3" fontId="3" fillId="4" borderId="11" xfId="0" applyNumberFormat="1" applyFont="1" applyFill="1" applyBorder="1" applyAlignment="1">
      <alignment horizontal="right" vertical="center"/>
    </xf>
    <xf numFmtId="4" fontId="3" fillId="4" borderId="11" xfId="0" applyNumberFormat="1" applyFont="1" applyFill="1" applyBorder="1" applyAlignment="1">
      <alignment horizontal="center" vertical="center"/>
    </xf>
    <xf numFmtId="4" fontId="11" fillId="6" borderId="11" xfId="0" applyNumberFormat="1" applyFont="1" applyFill="1" applyBorder="1" applyAlignment="1">
      <alignment vertical="center"/>
    </xf>
    <xf numFmtId="4" fontId="3" fillId="4" borderId="11" xfId="0" applyNumberFormat="1" applyFont="1" applyFill="1" applyBorder="1" applyAlignment="1">
      <alignment vertical="center"/>
    </xf>
    <xf numFmtId="4" fontId="3" fillId="6" borderId="11" xfId="0" applyNumberFormat="1" applyFont="1" applyFill="1" applyBorder="1" applyAlignment="1">
      <alignment vertical="center"/>
    </xf>
    <xf numFmtId="49" fontId="6" fillId="5" borderId="6" xfId="1" applyNumberFormat="1" applyFont="1" applyFill="1" applyBorder="1" applyAlignment="1">
      <alignment horizontal="center" vertical="center" wrapText="1"/>
    </xf>
    <xf numFmtId="0" fontId="3" fillId="0" borderId="0" xfId="0" applyFont="1" applyAlignment="1">
      <alignment horizontal="right"/>
    </xf>
    <xf numFmtId="3" fontId="11" fillId="5" borderId="6" xfId="0" applyNumberFormat="1" applyFont="1" applyFill="1" applyBorder="1" applyAlignment="1">
      <alignment vertical="center"/>
    </xf>
    <xf numFmtId="3" fontId="3" fillId="6" borderId="6" xfId="0" applyNumberFormat="1" applyFont="1" applyFill="1" applyBorder="1" applyAlignment="1">
      <alignment vertical="center"/>
    </xf>
    <xf numFmtId="49" fontId="5" fillId="0" borderId="37" xfId="1" applyNumberFormat="1" applyFont="1" applyBorder="1" applyAlignment="1">
      <alignment horizontal="center" vertical="center" wrapText="1"/>
    </xf>
    <xf numFmtId="49" fontId="5" fillId="8" borderId="20" xfId="3" applyNumberFormat="1" applyFont="1" applyFill="1" applyBorder="1" applyAlignment="1">
      <alignment horizontal="center" vertical="center" wrapText="1"/>
    </xf>
    <xf numFmtId="0" fontId="5" fillId="4" borderId="21" xfId="3" applyFont="1" applyFill="1" applyBorder="1" applyAlignment="1">
      <alignment horizontal="left" vertical="center" wrapText="1"/>
    </xf>
    <xf numFmtId="0" fontId="5" fillId="4" borderId="13" xfId="3" applyFont="1" applyFill="1" applyBorder="1" applyAlignment="1">
      <alignment horizontal="center" vertical="center" wrapText="1"/>
    </xf>
    <xf numFmtId="3" fontId="5" fillId="4" borderId="22" xfId="3" applyNumberFormat="1" applyFont="1" applyFill="1" applyBorder="1" applyAlignment="1">
      <alignment horizontal="center" vertical="center"/>
    </xf>
    <xf numFmtId="4" fontId="5" fillId="4" borderId="23" xfId="3" applyNumberFormat="1" applyFont="1" applyFill="1" applyBorder="1" applyAlignment="1">
      <alignment horizontal="right" vertical="center"/>
    </xf>
    <xf numFmtId="3" fontId="5" fillId="4" borderId="24" xfId="3" applyNumberFormat="1" applyFont="1" applyFill="1" applyBorder="1" applyAlignment="1">
      <alignment horizontal="center" vertical="center"/>
    </xf>
    <xf numFmtId="3" fontId="44" fillId="4" borderId="22" xfId="3" applyNumberFormat="1" applyFont="1" applyFill="1" applyBorder="1" applyAlignment="1">
      <alignment horizontal="center" vertical="center"/>
    </xf>
    <xf numFmtId="4" fontId="44" fillId="4" borderId="23" xfId="3" applyNumberFormat="1" applyFont="1" applyFill="1" applyBorder="1" applyAlignment="1">
      <alignment horizontal="right" vertical="center"/>
    </xf>
    <xf numFmtId="3" fontId="44" fillId="4" borderId="24" xfId="3" applyNumberFormat="1" applyFont="1" applyFill="1" applyBorder="1" applyAlignment="1">
      <alignment horizontal="center" vertical="center"/>
    </xf>
    <xf numFmtId="3" fontId="44" fillId="4" borderId="23" xfId="3" applyNumberFormat="1" applyFont="1" applyFill="1" applyBorder="1" applyAlignment="1">
      <alignment horizontal="right" vertical="center"/>
    </xf>
    <xf numFmtId="49" fontId="5" fillId="8" borderId="25" xfId="3" applyNumberFormat="1" applyFont="1" applyFill="1" applyBorder="1" applyAlignment="1">
      <alignment horizontal="center" vertical="center" wrapText="1"/>
    </xf>
    <xf numFmtId="3" fontId="6" fillId="0" borderId="26" xfId="3" applyNumberFormat="1" applyFont="1" applyBorder="1" applyAlignment="1">
      <alignment horizontal="center" vertical="center"/>
    </xf>
    <xf numFmtId="4" fontId="6" fillId="0" borderId="27" xfId="3" applyNumberFormat="1" applyFont="1" applyBorder="1" applyAlignment="1">
      <alignment horizontal="right" vertical="center"/>
    </xf>
    <xf numFmtId="3" fontId="6" fillId="0" borderId="14" xfId="3" applyNumberFormat="1" applyFont="1" applyBorder="1" applyAlignment="1">
      <alignment horizontal="center" vertical="center"/>
    </xf>
    <xf numFmtId="3" fontId="27" fillId="0" borderId="26" xfId="3" applyNumberFormat="1" applyFont="1" applyBorder="1" applyAlignment="1">
      <alignment horizontal="center" vertical="center"/>
    </xf>
    <xf numFmtId="3" fontId="27" fillId="0" borderId="14" xfId="3" applyNumberFormat="1" applyFont="1" applyBorder="1" applyAlignment="1">
      <alignment horizontal="center" vertical="center"/>
    </xf>
    <xf numFmtId="4" fontId="6" fillId="10" borderId="27" xfId="3" applyNumberFormat="1" applyFont="1" applyFill="1" applyBorder="1" applyAlignment="1">
      <alignment horizontal="right" vertical="center"/>
    </xf>
    <xf numFmtId="49" fontId="5" fillId="0" borderId="28" xfId="3" applyNumberFormat="1" applyFont="1" applyBorder="1" applyAlignment="1">
      <alignment horizontal="center" vertical="center" wrapText="1"/>
    </xf>
    <xf numFmtId="49" fontId="6" fillId="0" borderId="37" xfId="1" applyNumberFormat="1" applyFont="1" applyBorder="1" applyAlignment="1">
      <alignment horizontal="center" vertical="center" wrapText="1"/>
    </xf>
    <xf numFmtId="49" fontId="6" fillId="0" borderId="9" xfId="1" applyNumberFormat="1" applyFont="1" applyBorder="1" applyAlignment="1">
      <alignment horizontal="center" vertical="center" wrapText="1"/>
    </xf>
    <xf numFmtId="0" fontId="2" fillId="2" borderId="0" xfId="1" applyFont="1" applyFill="1" applyAlignment="1">
      <alignment horizontal="center" vertical="center"/>
    </xf>
    <xf numFmtId="0" fontId="35" fillId="2" borderId="0" xfId="1" applyFont="1" applyFill="1" applyAlignment="1">
      <alignment horizontal="right" vertical="center"/>
    </xf>
    <xf numFmtId="0" fontId="6" fillId="2" borderId="42" xfId="3" applyFont="1" applyFill="1" applyBorder="1" applyAlignment="1">
      <alignment horizontal="center" vertical="center"/>
    </xf>
    <xf numFmtId="0" fontId="5" fillId="9" borderId="29" xfId="2" applyFont="1" applyFill="1" applyBorder="1" applyAlignment="1">
      <alignment horizontal="left" vertical="center" wrapText="1"/>
    </xf>
    <xf numFmtId="0" fontId="5" fillId="9" borderId="30" xfId="2" applyFont="1" applyFill="1" applyBorder="1" applyAlignment="1">
      <alignment horizontal="center" vertical="center" wrapText="1"/>
    </xf>
    <xf numFmtId="3" fontId="5" fillId="9" borderId="29" xfId="3" applyNumberFormat="1" applyFont="1" applyFill="1" applyBorder="1" applyAlignment="1">
      <alignment horizontal="center" vertical="center"/>
    </xf>
    <xf numFmtId="4" fontId="5" fillId="9" borderId="31" xfId="3" applyNumberFormat="1" applyFont="1" applyFill="1" applyBorder="1" applyAlignment="1">
      <alignment horizontal="right" vertical="center"/>
    </xf>
    <xf numFmtId="3" fontId="5" fillId="9" borderId="37" xfId="3" applyNumberFormat="1" applyFont="1" applyFill="1" applyBorder="1" applyAlignment="1">
      <alignment horizontal="center" vertical="center"/>
    </xf>
    <xf numFmtId="4" fontId="6" fillId="9" borderId="44" xfId="3" applyNumberFormat="1" applyFont="1" applyFill="1" applyBorder="1" applyAlignment="1">
      <alignment horizontal="right" vertical="center"/>
    </xf>
    <xf numFmtId="3" fontId="5" fillId="9" borderId="9" xfId="3" applyNumberFormat="1" applyFont="1" applyFill="1" applyBorder="1" applyAlignment="1">
      <alignment horizontal="center" vertical="center"/>
    </xf>
    <xf numFmtId="4" fontId="6" fillId="9" borderId="3" xfId="3" applyNumberFormat="1" applyFont="1" applyFill="1" applyBorder="1" applyAlignment="1">
      <alignment horizontal="right" vertical="center"/>
    </xf>
    <xf numFmtId="3" fontId="5" fillId="9" borderId="45" xfId="3" applyNumberFormat="1" applyFont="1" applyFill="1" applyBorder="1" applyAlignment="1">
      <alignment horizontal="center" vertical="center"/>
    </xf>
    <xf numFmtId="4" fontId="6" fillId="9" borderId="27" xfId="3" applyNumberFormat="1" applyFont="1" applyFill="1" applyBorder="1" applyAlignment="1">
      <alignment horizontal="right" vertical="center"/>
    </xf>
    <xf numFmtId="3" fontId="6" fillId="0" borderId="14" xfId="3" applyNumberFormat="1" applyFont="1" applyFill="1" applyBorder="1" applyAlignment="1">
      <alignment horizontal="center" vertical="center"/>
    </xf>
    <xf numFmtId="2" fontId="11" fillId="0" borderId="0" xfId="3" applyNumberFormat="1" applyFont="1" applyAlignment="1">
      <alignment vertical="center"/>
    </xf>
    <xf numFmtId="0" fontId="11" fillId="0" borderId="0" xfId="3" applyFont="1" applyAlignment="1">
      <alignment horizontal="center" vertical="center"/>
    </xf>
    <xf numFmtId="3" fontId="11" fillId="5" borderId="0" xfId="3" applyNumberFormat="1" applyFont="1" applyFill="1" applyAlignment="1">
      <alignment vertical="center"/>
    </xf>
    <xf numFmtId="49" fontId="6" fillId="0" borderId="46" xfId="1" applyNumberFormat="1" applyFont="1" applyFill="1" applyBorder="1" applyAlignment="1">
      <alignment horizontal="center" vertical="center" wrapText="1"/>
    </xf>
    <xf numFmtId="49" fontId="6" fillId="0" borderId="47" xfId="1" applyNumberFormat="1" applyFont="1" applyFill="1" applyBorder="1" applyAlignment="1">
      <alignment horizontal="center" vertical="center" wrapText="1"/>
    </xf>
    <xf numFmtId="0" fontId="2" fillId="0" borderId="0" xfId="1" applyFont="1" applyFill="1" applyAlignment="1">
      <alignment horizontal="right" vertical="center"/>
    </xf>
    <xf numFmtId="0" fontId="35" fillId="0" borderId="48" xfId="1" applyFont="1" applyFill="1" applyBorder="1" applyAlignment="1">
      <alignment horizontal="right" vertical="center"/>
    </xf>
    <xf numFmtId="49" fontId="6" fillId="0" borderId="3" xfId="1" applyNumberFormat="1" applyFont="1" applyFill="1" applyBorder="1" applyAlignment="1">
      <alignment horizontal="center" vertical="center" wrapText="1"/>
    </xf>
    <xf numFmtId="3" fontId="11" fillId="0" borderId="47" xfId="0" applyNumberFormat="1" applyFont="1" applyFill="1" applyBorder="1" applyAlignment="1">
      <alignment horizontal="right" vertical="center"/>
    </xf>
    <xf numFmtId="4" fontId="3" fillId="0" borderId="10" xfId="0" applyNumberFormat="1" applyFont="1" applyFill="1" applyBorder="1" applyAlignment="1">
      <alignment horizontal="right" vertical="center"/>
    </xf>
    <xf numFmtId="3" fontId="6" fillId="0" borderId="0" xfId="3" applyNumberFormat="1" applyFont="1" applyFill="1" applyAlignment="1">
      <alignment vertical="center"/>
    </xf>
    <xf numFmtId="3" fontId="5" fillId="0" borderId="0" xfId="3" applyNumberFormat="1" applyFont="1" applyFill="1" applyAlignment="1">
      <alignment horizontal="center" vertical="center"/>
    </xf>
    <xf numFmtId="3" fontId="6" fillId="0" borderId="0" xfId="3" applyNumberFormat="1" applyFont="1" applyFill="1" applyAlignment="1">
      <alignment horizontal="right" vertical="center"/>
    </xf>
    <xf numFmtId="4" fontId="3" fillId="0" borderId="0" xfId="0" applyNumberFormat="1" applyFont="1" applyAlignment="1">
      <alignment horizontal="right" vertical="center"/>
    </xf>
    <xf numFmtId="3" fontId="11" fillId="0" borderId="0" xfId="0" applyNumberFormat="1" applyFont="1" applyAlignment="1">
      <alignment horizontal="right" vertical="center"/>
    </xf>
    <xf numFmtId="4" fontId="5" fillId="0" borderId="0" xfId="3" applyNumberFormat="1" applyFont="1" applyAlignment="1">
      <alignment horizontal="right" vertical="center"/>
    </xf>
    <xf numFmtId="3" fontId="3" fillId="0" borderId="0" xfId="0" applyNumberFormat="1" applyFont="1" applyFill="1"/>
    <xf numFmtId="4" fontId="3" fillId="0" borderId="0" xfId="0" applyNumberFormat="1" applyFont="1" applyFill="1"/>
    <xf numFmtId="0" fontId="3" fillId="0" borderId="0" xfId="0" applyFont="1" applyFill="1"/>
    <xf numFmtId="4" fontId="7" fillId="0" borderId="0" xfId="0" applyNumberFormat="1" applyFont="1"/>
    <xf numFmtId="0" fontId="7" fillId="0" borderId="0" xfId="0" applyFont="1" applyAlignment="1">
      <alignment horizontal="center" wrapText="1"/>
    </xf>
    <xf numFmtId="0" fontId="41" fillId="0" borderId="0" xfId="0" applyFont="1" applyAlignment="1">
      <alignment horizontal="center" wrapText="1"/>
    </xf>
    <xf numFmtId="2" fontId="41" fillId="0" borderId="0" xfId="0" applyNumberFormat="1" applyFont="1" applyAlignment="1">
      <alignment horizontal="center"/>
    </xf>
    <xf numFmtId="2" fontId="45" fillId="0" borderId="0" xfId="0" applyNumberFormat="1" applyFont="1" applyAlignment="1">
      <alignment horizontal="center"/>
    </xf>
    <xf numFmtId="0" fontId="2" fillId="0" borderId="12" xfId="1" applyFont="1" applyFill="1" applyBorder="1" applyAlignment="1">
      <alignment horizontal="center" vertical="center"/>
    </xf>
    <xf numFmtId="49" fontId="5" fillId="0" borderId="1" xfId="1" applyNumberFormat="1" applyFont="1" applyFill="1" applyBorder="1" applyAlignment="1">
      <alignment horizontal="center" vertical="center" wrapText="1"/>
    </xf>
    <xf numFmtId="49" fontId="5" fillId="0" borderId="4" xfId="1" applyNumberFormat="1" applyFont="1" applyFill="1" applyBorder="1" applyAlignment="1">
      <alignment horizontal="center" vertical="center" wrapText="1"/>
    </xf>
    <xf numFmtId="0" fontId="5" fillId="0" borderId="1" xfId="3" applyFont="1" applyFill="1" applyBorder="1" applyAlignment="1">
      <alignment horizontal="center" vertical="center"/>
    </xf>
    <xf numFmtId="0" fontId="5" fillId="0" borderId="1" xfId="3" applyFont="1" applyFill="1" applyBorder="1" applyAlignment="1">
      <alignment horizontal="left" vertical="center" wrapText="1"/>
    </xf>
    <xf numFmtId="0" fontId="5" fillId="0" borderId="1" xfId="3" applyFont="1" applyFill="1" applyBorder="1" applyAlignment="1">
      <alignment horizontal="center" vertical="center" wrapText="1"/>
    </xf>
    <xf numFmtId="4" fontId="5" fillId="0" borderId="3" xfId="3" applyNumberFormat="1" applyFont="1" applyFill="1" applyBorder="1" applyAlignment="1">
      <alignment horizontal="right" vertical="center"/>
    </xf>
    <xf numFmtId="4" fontId="11" fillId="0" borderId="47" xfId="0" applyNumberFormat="1" applyFont="1" applyFill="1" applyBorder="1" applyAlignment="1">
      <alignment horizontal="right" vertical="center"/>
    </xf>
    <xf numFmtId="0" fontId="8" fillId="0" borderId="0" xfId="3" applyFont="1" applyAlignment="1">
      <alignment vertical="center"/>
    </xf>
    <xf numFmtId="0" fontId="7" fillId="0" borderId="0" xfId="0" applyFont="1" applyAlignment="1"/>
    <xf numFmtId="49" fontId="6" fillId="0" borderId="53" xfId="1" applyNumberFormat="1" applyFont="1" applyBorder="1" applyAlignment="1">
      <alignment horizontal="center" vertical="center" wrapText="1"/>
    </xf>
    <xf numFmtId="49" fontId="6" fillId="0" borderId="54" xfId="1" applyNumberFormat="1" applyFont="1" applyBorder="1" applyAlignment="1">
      <alignment horizontal="center" vertical="center" wrapText="1"/>
    </xf>
    <xf numFmtId="0" fontId="35" fillId="2" borderId="0" xfId="1" applyFont="1" applyFill="1" applyBorder="1" applyAlignment="1">
      <alignment horizontal="right" vertical="center"/>
    </xf>
    <xf numFmtId="49" fontId="5" fillId="0" borderId="0" xfId="1" applyNumberFormat="1" applyFont="1" applyFill="1" applyBorder="1" applyAlignment="1">
      <alignment vertical="center" wrapText="1"/>
    </xf>
    <xf numFmtId="49" fontId="5" fillId="0" borderId="18" xfId="1" applyNumberFormat="1" applyFont="1" applyFill="1" applyBorder="1" applyAlignment="1">
      <alignment horizontal="center" vertical="center" wrapText="1"/>
    </xf>
    <xf numFmtId="49" fontId="5" fillId="0" borderId="49" xfId="1" applyNumberFormat="1" applyFont="1" applyFill="1" applyBorder="1" applyAlignment="1">
      <alignment horizontal="center" vertical="center" wrapText="1"/>
    </xf>
    <xf numFmtId="4" fontId="5" fillId="9" borderId="29" xfId="3" applyNumberFormat="1" applyFont="1" applyFill="1" applyBorder="1" applyAlignment="1">
      <alignment horizontal="center" vertical="center"/>
    </xf>
    <xf numFmtId="4" fontId="5" fillId="9" borderId="91" xfId="3" applyNumberFormat="1" applyFont="1" applyFill="1" applyBorder="1" applyAlignment="1">
      <alignment horizontal="right" vertical="center"/>
    </xf>
    <xf numFmtId="4" fontId="5" fillId="9" borderId="32" xfId="3" applyNumberFormat="1" applyFont="1" applyFill="1" applyBorder="1" applyAlignment="1">
      <alignment horizontal="center" vertical="center"/>
    </xf>
    <xf numFmtId="4" fontId="5" fillId="9" borderId="88" xfId="3" applyNumberFormat="1" applyFont="1" applyFill="1" applyBorder="1" applyAlignment="1">
      <alignment horizontal="right" vertical="center"/>
    </xf>
    <xf numFmtId="4" fontId="5" fillId="9" borderId="111" xfId="3" applyNumberFormat="1" applyFont="1" applyFill="1" applyBorder="1" applyAlignment="1">
      <alignment horizontal="right" vertical="center"/>
    </xf>
    <xf numFmtId="0" fontId="5" fillId="9" borderId="50" xfId="2" applyFont="1" applyFill="1" applyBorder="1" applyAlignment="1">
      <alignment horizontal="left" vertical="center" wrapText="1"/>
    </xf>
    <xf numFmtId="0" fontId="5" fillId="9" borderId="51" xfId="2" applyFont="1" applyFill="1" applyBorder="1" applyAlignment="1">
      <alignment horizontal="center" vertical="center" wrapText="1"/>
    </xf>
    <xf numFmtId="3" fontId="5" fillId="9" borderId="50" xfId="3" applyNumberFormat="1" applyFont="1" applyFill="1" applyBorder="1" applyAlignment="1">
      <alignment horizontal="center" vertical="center"/>
    </xf>
    <xf numFmtId="4" fontId="5" fillId="9" borderId="52" xfId="3" applyNumberFormat="1" applyFont="1" applyFill="1" applyBorder="1" applyAlignment="1">
      <alignment horizontal="right" vertical="center"/>
    </xf>
    <xf numFmtId="4" fontId="5" fillId="9" borderId="113" xfId="3" applyNumberFormat="1" applyFont="1" applyFill="1" applyBorder="1" applyAlignment="1">
      <alignment horizontal="right" vertical="center"/>
    </xf>
    <xf numFmtId="0" fontId="15" fillId="0" borderId="55" xfId="3" applyFont="1" applyBorder="1" applyAlignment="1">
      <alignment vertical="top" wrapText="1"/>
    </xf>
    <xf numFmtId="49" fontId="6" fillId="2" borderId="3" xfId="1" applyNumberFormat="1" applyFont="1" applyFill="1" applyBorder="1" applyAlignment="1">
      <alignment horizontal="center" vertical="center" wrapText="1"/>
    </xf>
    <xf numFmtId="0" fontId="7" fillId="0" borderId="98" xfId="0" applyFont="1" applyBorder="1" applyAlignment="1"/>
    <xf numFmtId="0" fontId="7" fillId="0" borderId="97" xfId="0" applyFont="1" applyBorder="1" applyAlignment="1"/>
    <xf numFmtId="0" fontId="3" fillId="3" borderId="98" xfId="0" applyFont="1" applyFill="1" applyBorder="1" applyAlignment="1">
      <alignment vertical="center"/>
    </xf>
    <xf numFmtId="0" fontId="3" fillId="3" borderId="97" xfId="0" applyFont="1" applyFill="1" applyBorder="1" applyAlignment="1">
      <alignment vertical="center"/>
    </xf>
    <xf numFmtId="0" fontId="34" fillId="0" borderId="98" xfId="1" applyFont="1" applyBorder="1" applyAlignment="1">
      <alignment vertical="center" wrapText="1"/>
    </xf>
    <xf numFmtId="0" fontId="34" fillId="0" borderId="97" xfId="1" applyFont="1" applyBorder="1" applyAlignment="1">
      <alignment vertical="center" wrapText="1"/>
    </xf>
    <xf numFmtId="0" fontId="5" fillId="0" borderId="0" xfId="0" applyFont="1" applyAlignment="1">
      <alignment horizontal="right" vertical="center" wrapText="1"/>
    </xf>
    <xf numFmtId="0" fontId="15" fillId="7" borderId="74" xfId="0" applyFont="1" applyFill="1" applyBorder="1" applyAlignment="1">
      <alignment horizontal="right" vertical="center" wrapText="1"/>
    </xf>
    <xf numFmtId="0" fontId="15" fillId="7" borderId="75" xfId="0" applyFont="1" applyFill="1" applyBorder="1" applyAlignment="1">
      <alignment horizontal="right" vertical="center" wrapText="1"/>
    </xf>
    <xf numFmtId="0" fontId="12" fillId="0" borderId="76" xfId="0" applyFont="1" applyFill="1" applyBorder="1" applyAlignment="1">
      <alignment horizontal="left" vertical="top" wrapText="1"/>
    </xf>
    <xf numFmtId="0" fontId="1" fillId="0" borderId="77" xfId="0" applyFont="1" applyFill="1" applyBorder="1" applyAlignment="1">
      <alignment horizontal="left" vertical="center" wrapText="1"/>
    </xf>
    <xf numFmtId="0" fontId="1" fillId="0" borderId="78" xfId="0" applyFont="1" applyFill="1" applyBorder="1" applyAlignment="1">
      <alignment horizontal="left" vertical="center" wrapText="1"/>
    </xf>
    <xf numFmtId="0" fontId="1" fillId="0" borderId="79" xfId="0" applyFont="1" applyFill="1" applyBorder="1" applyAlignment="1">
      <alignment horizontal="left" vertical="center" wrapText="1"/>
    </xf>
    <xf numFmtId="0" fontId="11" fillId="0" borderId="0" xfId="0" applyFont="1" applyAlignment="1">
      <alignment horizontal="center" vertical="center"/>
    </xf>
    <xf numFmtId="0" fontId="1" fillId="0" borderId="0" xfId="0" applyFont="1" applyAlignment="1">
      <alignment horizontal="center" vertical="top" wrapText="1"/>
    </xf>
    <xf numFmtId="0" fontId="20" fillId="6" borderId="77" xfId="0" applyFont="1" applyFill="1" applyBorder="1" applyAlignment="1">
      <alignment horizontal="left" vertical="center" wrapText="1"/>
    </xf>
    <xf numFmtId="0" fontId="20" fillId="6" borderId="79" xfId="0" applyFont="1" applyFill="1" applyBorder="1" applyAlignment="1">
      <alignment horizontal="left" vertical="center" wrapText="1"/>
    </xf>
    <xf numFmtId="0" fontId="3" fillId="0" borderId="0" xfId="0" applyFont="1" applyAlignment="1">
      <alignment horizontal="center" vertical="center" wrapText="1"/>
    </xf>
    <xf numFmtId="0" fontId="17" fillId="8" borderId="80" xfId="0" applyFont="1" applyFill="1" applyBorder="1" applyAlignment="1">
      <alignment horizontal="left" wrapText="1"/>
    </xf>
    <xf numFmtId="0" fontId="17" fillId="8" borderId="81" xfId="0" applyFont="1" applyFill="1" applyBorder="1" applyAlignment="1">
      <alignment horizontal="left" wrapText="1"/>
    </xf>
    <xf numFmtId="0" fontId="17" fillId="8" borderId="82" xfId="0" applyFont="1" applyFill="1" applyBorder="1" applyAlignment="1">
      <alignment horizontal="left" wrapText="1"/>
    </xf>
    <xf numFmtId="0" fontId="17" fillId="0" borderId="74" xfId="0" applyFont="1" applyFill="1" applyBorder="1" applyAlignment="1">
      <alignment vertical="center" wrapText="1"/>
    </xf>
    <xf numFmtId="0" fontId="17" fillId="0" borderId="76" xfId="0" applyFont="1" applyFill="1" applyBorder="1" applyAlignment="1">
      <alignment vertical="center" wrapText="1"/>
    </xf>
    <xf numFmtId="0" fontId="17" fillId="0" borderId="75" xfId="0" applyFont="1" applyFill="1" applyBorder="1" applyAlignment="1">
      <alignment vertical="center" wrapText="1"/>
    </xf>
    <xf numFmtId="0" fontId="11" fillId="12" borderId="80" xfId="0" applyFont="1" applyFill="1" applyBorder="1" applyAlignment="1">
      <alignment vertical="center" wrapText="1"/>
    </xf>
    <xf numFmtId="0" fontId="11" fillId="12" borderId="81" xfId="0" applyFont="1" applyFill="1" applyBorder="1" applyAlignment="1">
      <alignment vertical="center" wrapText="1"/>
    </xf>
    <xf numFmtId="0" fontId="11" fillId="12" borderId="82" xfId="0" applyFont="1" applyFill="1" applyBorder="1" applyAlignment="1">
      <alignment vertical="center" wrapText="1"/>
    </xf>
    <xf numFmtId="0" fontId="11" fillId="12" borderId="80" xfId="0" applyFont="1" applyFill="1" applyBorder="1" applyAlignment="1">
      <alignment wrapText="1"/>
    </xf>
    <xf numFmtId="0" fontId="11" fillId="12" borderId="81" xfId="0" applyFont="1" applyFill="1" applyBorder="1" applyAlignment="1">
      <alignment wrapText="1"/>
    </xf>
    <xf numFmtId="0" fontId="11" fillId="12" borderId="82" xfId="0" applyFont="1" applyFill="1" applyBorder="1" applyAlignment="1">
      <alignment wrapText="1"/>
    </xf>
    <xf numFmtId="0" fontId="1" fillId="0" borderId="83" xfId="0" applyFont="1" applyBorder="1" applyAlignment="1">
      <alignment horizontal="center" vertical="top" wrapText="1"/>
    </xf>
    <xf numFmtId="0" fontId="3" fillId="0" borderId="0" xfId="0" applyFont="1" applyAlignment="1">
      <alignment horizontal="center" vertical="center"/>
    </xf>
    <xf numFmtId="0" fontId="15" fillId="0" borderId="0" xfId="0" applyFont="1" applyAlignment="1">
      <alignment horizontal="center"/>
    </xf>
    <xf numFmtId="0" fontId="15" fillId="0" borderId="0" xfId="0" applyFont="1" applyAlignment="1">
      <alignment horizontal="center" vertical="center"/>
    </xf>
    <xf numFmtId="0" fontId="19" fillId="0" borderId="77" xfId="0" applyFont="1" applyBorder="1" applyAlignment="1">
      <alignment horizontal="center" vertical="center"/>
    </xf>
    <xf numFmtId="0" fontId="19" fillId="0" borderId="79" xfId="0" applyFont="1" applyBorder="1" applyAlignment="1">
      <alignment horizontal="center" vertical="center"/>
    </xf>
    <xf numFmtId="0" fontId="19" fillId="0" borderId="77" xfId="0" applyFont="1" applyBorder="1" applyAlignment="1">
      <alignment horizontal="center" vertical="center" wrapText="1"/>
    </xf>
    <xf numFmtId="0" fontId="19" fillId="0" borderId="79" xfId="0" applyFont="1" applyBorder="1" applyAlignment="1">
      <alignment horizontal="center" vertical="center" wrapText="1"/>
    </xf>
    <xf numFmtId="3" fontId="19" fillId="0" borderId="77" xfId="0" applyNumberFormat="1" applyFont="1" applyBorder="1" applyAlignment="1">
      <alignment horizontal="center" vertical="center"/>
    </xf>
    <xf numFmtId="3" fontId="19" fillId="0" borderId="79" xfId="0" applyNumberFormat="1" applyFont="1" applyBorder="1" applyAlignment="1">
      <alignment horizontal="center" vertical="center"/>
    </xf>
    <xf numFmtId="0" fontId="16" fillId="0" borderId="0" xfId="0" applyFont="1" applyAlignment="1">
      <alignment horizontal="right"/>
    </xf>
    <xf numFmtId="49" fontId="6" fillId="4" borderId="6" xfId="1" applyNumberFormat="1" applyFont="1" applyFill="1" applyBorder="1" applyAlignment="1">
      <alignment horizontal="center" vertical="center" wrapText="1"/>
    </xf>
    <xf numFmtId="49" fontId="6" fillId="4" borderId="9" xfId="1" applyNumberFormat="1" applyFont="1" applyFill="1" applyBorder="1" applyAlignment="1">
      <alignment horizontal="center" vertical="center" wrapText="1"/>
    </xf>
    <xf numFmtId="49" fontId="6" fillId="4" borderId="10" xfId="1" applyNumberFormat="1" applyFont="1" applyFill="1" applyBorder="1" applyAlignment="1">
      <alignment horizontal="center" vertical="center" wrapText="1"/>
    </xf>
    <xf numFmtId="0" fontId="8" fillId="0" borderId="84" xfId="0" applyFont="1" applyBorder="1" applyAlignment="1">
      <alignment horizontal="center" vertical="center"/>
    </xf>
    <xf numFmtId="0" fontId="21" fillId="0" borderId="84" xfId="0" applyFont="1" applyBorder="1" applyAlignment="1">
      <alignment horizontal="center" vertical="center"/>
    </xf>
    <xf numFmtId="49" fontId="6" fillId="0" borderId="6" xfId="1" applyNumberFormat="1" applyFont="1" applyBorder="1" applyAlignment="1">
      <alignment horizontal="center" vertical="center" wrapText="1"/>
    </xf>
    <xf numFmtId="0" fontId="3" fillId="0" borderId="6" xfId="0" applyFont="1" applyBorder="1" applyAlignment="1">
      <alignment horizontal="center"/>
    </xf>
    <xf numFmtId="49" fontId="6" fillId="3" borderId="85" xfId="1" applyNumberFormat="1" applyFont="1" applyFill="1" applyBorder="1" applyAlignment="1">
      <alignment horizontal="center" vertical="center" wrapText="1"/>
    </xf>
    <xf numFmtId="49" fontId="6" fillId="3" borderId="86" xfId="1" applyNumberFormat="1" applyFont="1" applyFill="1" applyBorder="1" applyAlignment="1">
      <alignment horizontal="center" vertical="center" wrapText="1"/>
    </xf>
    <xf numFmtId="0" fontId="17" fillId="0" borderId="87" xfId="0" applyFont="1" applyBorder="1" applyAlignment="1">
      <alignment horizontal="left" vertical="top" wrapText="1"/>
    </xf>
    <xf numFmtId="49" fontId="5" fillId="0" borderId="88" xfId="1" applyNumberFormat="1" applyFont="1" applyBorder="1" applyAlignment="1">
      <alignment horizontal="center" vertical="center" wrapText="1"/>
    </xf>
    <xf numFmtId="49" fontId="5" fillId="0" borderId="20" xfId="1" applyNumberFormat="1" applyFont="1" applyBorder="1" applyAlignment="1">
      <alignment horizontal="center" vertical="center" wrapText="1"/>
    </xf>
    <xf numFmtId="49" fontId="5" fillId="0" borderId="54" xfId="1" applyNumberFormat="1" applyFont="1" applyBorder="1" applyAlignment="1">
      <alignment horizontal="center" vertical="center" wrapText="1"/>
    </xf>
    <xf numFmtId="49" fontId="5" fillId="0" borderId="9" xfId="1" applyNumberFormat="1" applyFont="1" applyBorder="1" applyAlignment="1">
      <alignment horizontal="center" vertical="center" wrapText="1"/>
    </xf>
    <xf numFmtId="0" fontId="2" fillId="2" borderId="89" xfId="1" applyFont="1" applyFill="1" applyBorder="1" applyAlignment="1">
      <alignment horizontal="center" vertical="center"/>
    </xf>
    <xf numFmtId="0" fontId="2" fillId="2" borderId="90" xfId="1" applyFont="1" applyFill="1" applyBorder="1" applyAlignment="1">
      <alignment horizontal="center" vertical="center"/>
    </xf>
    <xf numFmtId="49" fontId="5" fillId="0" borderId="91" xfId="1" applyNumberFormat="1" applyFont="1" applyBorder="1" applyAlignment="1">
      <alignment horizontal="center" vertical="center" wrapText="1"/>
    </xf>
    <xf numFmtId="49" fontId="5" fillId="0" borderId="92" xfId="1" applyNumberFormat="1" applyFont="1" applyBorder="1" applyAlignment="1">
      <alignment horizontal="center" vertical="center" wrapText="1"/>
    </xf>
    <xf numFmtId="0" fontId="43" fillId="0" borderId="93" xfId="2" applyFont="1" applyBorder="1" applyAlignment="1">
      <alignment horizontal="center" vertical="center" wrapText="1"/>
    </xf>
    <xf numFmtId="0" fontId="43" fillId="0" borderId="48" xfId="2" applyFont="1" applyBorder="1" applyAlignment="1">
      <alignment horizontal="center" vertical="center" wrapText="1"/>
    </xf>
    <xf numFmtId="0" fontId="43" fillId="0" borderId="94" xfId="2" applyFont="1" applyBorder="1" applyAlignment="1">
      <alignment horizontal="center" vertical="center" wrapText="1"/>
    </xf>
    <xf numFmtId="0" fontId="5" fillId="0" borderId="88" xfId="1" applyFont="1" applyBorder="1" applyAlignment="1">
      <alignment horizontal="right" vertical="center" wrapText="1"/>
    </xf>
    <xf numFmtId="0" fontId="5" fillId="0" borderId="20" xfId="1" applyFont="1" applyBorder="1" applyAlignment="1">
      <alignment horizontal="right" vertical="center" wrapText="1"/>
    </xf>
    <xf numFmtId="0" fontId="5" fillId="0" borderId="91" xfId="1" applyFont="1" applyBorder="1" applyAlignment="1">
      <alignment horizontal="right" vertical="center" wrapText="1"/>
    </xf>
    <xf numFmtId="0" fontId="5" fillId="0" borderId="92" xfId="1" applyFont="1" applyBorder="1" applyAlignment="1">
      <alignment horizontal="right" vertical="center" wrapText="1"/>
    </xf>
    <xf numFmtId="4" fontId="5" fillId="4" borderId="41" xfId="3" applyNumberFormat="1" applyFont="1" applyFill="1" applyBorder="1" applyAlignment="1">
      <alignment horizontal="right" vertical="center"/>
    </xf>
    <xf numFmtId="4" fontId="5" fillId="4" borderId="95" xfId="3" applyNumberFormat="1" applyFont="1" applyFill="1" applyBorder="1" applyAlignment="1">
      <alignment horizontal="right" vertical="center"/>
    </xf>
    <xf numFmtId="3" fontId="5" fillId="4" borderId="40" xfId="3" applyNumberFormat="1" applyFont="1" applyFill="1" applyBorder="1" applyAlignment="1">
      <alignment horizontal="center" vertical="center"/>
    </xf>
    <xf numFmtId="3" fontId="5" fillId="4" borderId="64" xfId="3" applyNumberFormat="1" applyFont="1" applyFill="1" applyBorder="1" applyAlignment="1">
      <alignment horizontal="center" vertical="center"/>
    </xf>
    <xf numFmtId="3" fontId="44" fillId="4" borderId="40" xfId="3" applyNumberFormat="1" applyFont="1" applyFill="1" applyBorder="1" applyAlignment="1">
      <alignment horizontal="center" vertical="center"/>
    </xf>
    <xf numFmtId="3" fontId="44" fillId="4" borderId="64" xfId="3" applyNumberFormat="1" applyFont="1" applyFill="1" applyBorder="1" applyAlignment="1">
      <alignment horizontal="center" vertical="center"/>
    </xf>
    <xf numFmtId="0" fontId="5" fillId="4" borderId="38" xfId="3" applyFont="1" applyFill="1" applyBorder="1" applyAlignment="1">
      <alignment horizontal="left" vertical="center" wrapText="1"/>
    </xf>
    <xf numFmtId="0" fontId="5" fillId="4" borderId="72" xfId="3" applyFont="1" applyFill="1" applyBorder="1" applyAlignment="1">
      <alignment horizontal="left" vertical="center" wrapText="1"/>
    </xf>
    <xf numFmtId="0" fontId="5" fillId="4" borderId="38" xfId="3" applyFont="1" applyFill="1" applyBorder="1" applyAlignment="1">
      <alignment horizontal="center" vertical="center" wrapText="1"/>
    </xf>
    <xf numFmtId="0" fontId="5" fillId="4" borderId="72" xfId="3" applyFont="1" applyFill="1" applyBorder="1" applyAlignment="1">
      <alignment horizontal="center" vertical="center" wrapText="1"/>
    </xf>
    <xf numFmtId="4" fontId="47" fillId="4" borderId="41" xfId="3" applyNumberFormat="1" applyFont="1" applyFill="1" applyBorder="1" applyAlignment="1">
      <alignment horizontal="right" vertical="center"/>
    </xf>
    <xf numFmtId="4" fontId="47" fillId="4" borderId="95" xfId="3" applyNumberFormat="1" applyFont="1" applyFill="1" applyBorder="1" applyAlignment="1">
      <alignment horizontal="right" vertical="center"/>
    </xf>
    <xf numFmtId="3" fontId="47" fillId="4" borderId="40" xfId="3" applyNumberFormat="1" applyFont="1" applyFill="1" applyBorder="1" applyAlignment="1">
      <alignment horizontal="center" vertical="center"/>
    </xf>
    <xf numFmtId="3" fontId="47" fillId="4" borderId="64" xfId="3" applyNumberFormat="1" applyFont="1" applyFill="1" applyBorder="1" applyAlignment="1">
      <alignment horizontal="center" vertical="center"/>
    </xf>
    <xf numFmtId="3" fontId="44" fillId="4" borderId="41" xfId="3" applyNumberFormat="1" applyFont="1" applyFill="1" applyBorder="1" applyAlignment="1">
      <alignment horizontal="right" vertical="center"/>
    </xf>
    <xf numFmtId="3" fontId="44" fillId="4" borderId="95" xfId="3" applyNumberFormat="1" applyFont="1" applyFill="1" applyBorder="1" applyAlignment="1">
      <alignment horizontal="right" vertical="center"/>
    </xf>
    <xf numFmtId="0" fontId="5" fillId="4" borderId="48" xfId="3" applyFont="1" applyFill="1" applyBorder="1" applyAlignment="1">
      <alignment horizontal="left" vertical="center" wrapText="1"/>
    </xf>
    <xf numFmtId="4" fontId="44" fillId="4" borderId="41" xfId="3" applyNumberFormat="1" applyFont="1" applyFill="1" applyBorder="1" applyAlignment="1">
      <alignment horizontal="right" vertical="center"/>
    </xf>
    <xf numFmtId="4" fontId="44" fillId="4" borderId="95" xfId="3" applyNumberFormat="1" applyFont="1" applyFill="1" applyBorder="1" applyAlignment="1">
      <alignment horizontal="right" vertical="center"/>
    </xf>
    <xf numFmtId="3" fontId="5" fillId="4" borderId="40" xfId="3" applyNumberFormat="1" applyFont="1" applyFill="1" applyBorder="1" applyAlignment="1">
      <alignment horizontal="center" vertical="center" wrapText="1"/>
    </xf>
    <xf numFmtId="3" fontId="5" fillId="4" borderId="64" xfId="3" applyNumberFormat="1" applyFont="1" applyFill="1" applyBorder="1" applyAlignment="1">
      <alignment horizontal="center" vertical="center" wrapText="1"/>
    </xf>
    <xf numFmtId="3" fontId="44" fillId="4" borderId="40" xfId="3" applyNumberFormat="1" applyFont="1" applyFill="1" applyBorder="1" applyAlignment="1">
      <alignment horizontal="center" vertical="center" wrapText="1"/>
    </xf>
    <xf numFmtId="3" fontId="44" fillId="4" borderId="64" xfId="3" applyNumberFormat="1" applyFont="1" applyFill="1" applyBorder="1" applyAlignment="1">
      <alignment horizontal="center" vertical="center" wrapText="1"/>
    </xf>
    <xf numFmtId="0" fontId="17" fillId="0" borderId="55" xfId="0" applyFont="1" applyBorder="1" applyAlignment="1">
      <alignment horizontal="left" vertical="top" wrapText="1"/>
    </xf>
    <xf numFmtId="0" fontId="6" fillId="0" borderId="96" xfId="3" applyFont="1" applyBorder="1" applyAlignment="1">
      <alignment horizontal="right" vertical="center" wrapText="1"/>
    </xf>
    <xf numFmtId="0" fontId="6" fillId="0" borderId="97" xfId="3" applyFont="1" applyBorder="1" applyAlignment="1">
      <alignment horizontal="right" vertical="center" wrapText="1"/>
    </xf>
    <xf numFmtId="0" fontId="3" fillId="0" borderId="0" xfId="3" applyFont="1" applyAlignment="1">
      <alignment horizontal="right" vertical="center"/>
    </xf>
    <xf numFmtId="0" fontId="34" fillId="0" borderId="98" xfId="1" applyFont="1" applyBorder="1" applyAlignment="1">
      <alignment horizontal="center" vertical="center" wrapText="1"/>
    </xf>
    <xf numFmtId="0" fontId="6" fillId="0" borderId="99" xfId="3" applyFont="1" applyFill="1" applyBorder="1" applyAlignment="1">
      <alignment horizontal="right" vertical="center" wrapText="1"/>
    </xf>
    <xf numFmtId="0" fontId="6" fillId="0" borderId="100" xfId="3" applyFont="1" applyFill="1" applyBorder="1" applyAlignment="1">
      <alignment horizontal="right" vertical="center" wrapText="1"/>
    </xf>
    <xf numFmtId="0" fontId="17" fillId="0" borderId="0" xfId="3" applyFont="1" applyAlignment="1">
      <alignment horizontal="right" vertical="top" wrapText="1"/>
    </xf>
    <xf numFmtId="0" fontId="11" fillId="0" borderId="0" xfId="3" applyFont="1" applyAlignment="1">
      <alignment horizontal="right" vertical="center"/>
    </xf>
    <xf numFmtId="0" fontId="2" fillId="2" borderId="101" xfId="1" applyFont="1" applyFill="1" applyBorder="1" applyAlignment="1">
      <alignment horizontal="center" vertical="center"/>
    </xf>
    <xf numFmtId="0" fontId="2" fillId="2" borderId="102" xfId="1" applyFont="1" applyFill="1" applyBorder="1" applyAlignment="1">
      <alignment horizontal="center" vertical="center"/>
    </xf>
    <xf numFmtId="0" fontId="5" fillId="0" borderId="54" xfId="1" applyFont="1" applyBorder="1" applyAlignment="1">
      <alignment horizontal="right" vertical="center" wrapText="1"/>
    </xf>
    <xf numFmtId="0" fontId="34" fillId="0" borderId="0" xfId="1" applyFont="1" applyAlignment="1">
      <alignment horizontal="center" vertical="center" wrapText="1"/>
    </xf>
    <xf numFmtId="49" fontId="5" fillId="0" borderId="53" xfId="1" applyNumberFormat="1" applyFont="1" applyBorder="1" applyAlignment="1">
      <alignment horizontal="center" vertical="center" wrapText="1"/>
    </xf>
    <xf numFmtId="0" fontId="12" fillId="0" borderId="39" xfId="0" applyFont="1" applyBorder="1" applyAlignment="1">
      <alignment horizontal="left" wrapText="1"/>
    </xf>
    <xf numFmtId="0" fontId="16" fillId="0" borderId="55" xfId="3" applyFont="1" applyBorder="1" applyAlignment="1">
      <alignment horizontal="left" vertical="top" wrapText="1"/>
    </xf>
    <xf numFmtId="0" fontId="5" fillId="9" borderId="29" xfId="2" applyFont="1" applyFill="1" applyBorder="1" applyAlignment="1">
      <alignment horizontal="left" vertical="center" wrapText="1"/>
    </xf>
    <xf numFmtId="0" fontId="5" fillId="9" borderId="32" xfId="2" applyFont="1" applyFill="1" applyBorder="1" applyAlignment="1">
      <alignment horizontal="left" vertical="center" wrapText="1"/>
    </xf>
    <xf numFmtId="0" fontId="5" fillId="9" borderId="34" xfId="2" applyFont="1" applyFill="1" applyBorder="1" applyAlignment="1">
      <alignment horizontal="left" vertical="center" wrapText="1"/>
    </xf>
    <xf numFmtId="0" fontId="2" fillId="0" borderId="89" xfId="1" applyFont="1" applyFill="1" applyBorder="1" applyAlignment="1">
      <alignment horizontal="center" vertical="center"/>
    </xf>
    <xf numFmtId="0" fontId="2" fillId="0" borderId="90" xfId="1" applyFont="1" applyFill="1" applyBorder="1" applyAlignment="1">
      <alignment horizontal="center" vertical="center"/>
    </xf>
    <xf numFmtId="0" fontId="12" fillId="0" borderId="0" xfId="0" applyFont="1" applyAlignment="1">
      <alignment horizontal="left" vertical="top" wrapText="1"/>
    </xf>
    <xf numFmtId="49" fontId="5" fillId="0" borderId="88" xfId="1" applyNumberFormat="1" applyFont="1" applyFill="1" applyBorder="1" applyAlignment="1">
      <alignment horizontal="center" vertical="center" wrapText="1"/>
    </xf>
    <xf numFmtId="49" fontId="5" fillId="0" borderId="20" xfId="1" applyNumberFormat="1" applyFont="1" applyFill="1" applyBorder="1" applyAlignment="1">
      <alignment horizontal="center" vertical="center" wrapText="1"/>
    </xf>
    <xf numFmtId="49" fontId="5" fillId="0" borderId="54" xfId="1" applyNumberFormat="1" applyFont="1" applyFill="1" applyBorder="1" applyAlignment="1">
      <alignment horizontal="center" vertical="center" wrapText="1"/>
    </xf>
    <xf numFmtId="49" fontId="5" fillId="0" borderId="91" xfId="1" applyNumberFormat="1" applyFont="1" applyFill="1" applyBorder="1" applyAlignment="1">
      <alignment horizontal="center" vertical="center" wrapText="1"/>
    </xf>
    <xf numFmtId="49" fontId="5" fillId="0" borderId="92" xfId="1" applyNumberFormat="1" applyFont="1" applyFill="1" applyBorder="1" applyAlignment="1">
      <alignment horizontal="center" vertical="center" wrapText="1"/>
    </xf>
    <xf numFmtId="0" fontId="5" fillId="0" borderId="88" xfId="1" applyFont="1" applyFill="1" applyBorder="1" applyAlignment="1">
      <alignment horizontal="right" vertical="center" wrapText="1"/>
    </xf>
    <xf numFmtId="0" fontId="5" fillId="0" borderId="20" xfId="1" applyFont="1" applyFill="1" applyBorder="1" applyAlignment="1">
      <alignment horizontal="right" vertical="center" wrapText="1"/>
    </xf>
    <xf numFmtId="49" fontId="5" fillId="0" borderId="9" xfId="1" applyNumberFormat="1" applyFont="1" applyFill="1" applyBorder="1" applyAlignment="1">
      <alignment horizontal="center" vertical="center" wrapText="1"/>
    </xf>
    <xf numFmtId="0" fontId="7" fillId="0" borderId="0" xfId="0" applyFont="1" applyAlignment="1">
      <alignment horizontal="right"/>
    </xf>
    <xf numFmtId="0" fontId="37" fillId="0" borderId="0" xfId="0" applyFont="1" applyAlignment="1">
      <alignment horizontal="right"/>
    </xf>
    <xf numFmtId="0" fontId="5" fillId="0" borderId="91" xfId="1" applyFont="1" applyFill="1" applyBorder="1" applyAlignment="1">
      <alignment horizontal="right" vertical="center" wrapText="1"/>
    </xf>
    <xf numFmtId="0" fontId="5" fillId="0" borderId="92" xfId="1" applyFont="1" applyFill="1" applyBorder="1" applyAlignment="1">
      <alignment horizontal="right" vertical="center" wrapText="1"/>
    </xf>
    <xf numFmtId="0" fontId="21" fillId="0" borderId="0" xfId="3" applyFont="1" applyAlignment="1">
      <alignment horizontal="right" vertical="center"/>
    </xf>
    <xf numFmtId="0" fontId="8" fillId="0" borderId="0" xfId="1" applyFont="1" applyAlignment="1">
      <alignment horizontal="center" vertical="center" wrapText="1"/>
    </xf>
    <xf numFmtId="0" fontId="7" fillId="0" borderId="103" xfId="0" applyFont="1" applyBorder="1" applyAlignment="1">
      <alignment horizontal="center"/>
    </xf>
    <xf numFmtId="0" fontId="7" fillId="0" borderId="104" xfId="0" applyFont="1" applyBorder="1" applyAlignment="1">
      <alignment horizontal="center"/>
    </xf>
    <xf numFmtId="0" fontId="7" fillId="0" borderId="105" xfId="0" applyFont="1" applyBorder="1" applyAlignment="1">
      <alignment horizontal="center"/>
    </xf>
    <xf numFmtId="49" fontId="5" fillId="0" borderId="53" xfId="1" applyNumberFormat="1" applyFont="1" applyFill="1" applyBorder="1" applyAlignment="1">
      <alignment horizontal="center" vertical="center" wrapText="1"/>
    </xf>
    <xf numFmtId="0" fontId="17" fillId="0" borderId="0" xfId="0" applyFont="1" applyAlignment="1">
      <alignment horizontal="left" vertical="top" wrapText="1"/>
    </xf>
    <xf numFmtId="0" fontId="3" fillId="0" borderId="106" xfId="0" applyFont="1" applyBorder="1" applyAlignment="1">
      <alignment horizontal="center"/>
    </xf>
    <xf numFmtId="0" fontId="3" fillId="0" borderId="107" xfId="0" applyFont="1" applyBorder="1" applyAlignment="1">
      <alignment horizontal="center"/>
    </xf>
    <xf numFmtId="0" fontId="3" fillId="0" borderId="12" xfId="0" applyFont="1" applyBorder="1" applyAlignment="1">
      <alignment horizontal="center"/>
    </xf>
    <xf numFmtId="0" fontId="3" fillId="0" borderId="108" xfId="0" applyFont="1" applyBorder="1" applyAlignment="1">
      <alignment horizontal="center"/>
    </xf>
    <xf numFmtId="0" fontId="3" fillId="0" borderId="109" xfId="0" applyFont="1" applyBorder="1" applyAlignment="1">
      <alignment horizontal="center"/>
    </xf>
    <xf numFmtId="0" fontId="3" fillId="0" borderId="110" xfId="0" applyFont="1" applyBorder="1" applyAlignment="1">
      <alignment horizontal="center"/>
    </xf>
    <xf numFmtId="0" fontId="1" fillId="0" borderId="88" xfId="0" applyFont="1" applyBorder="1" applyAlignment="1">
      <alignment horizontal="center"/>
    </xf>
    <xf numFmtId="0" fontId="1" fillId="0" borderId="9" xfId="0" applyFont="1" applyBorder="1" applyAlignment="1">
      <alignment horizontal="center"/>
    </xf>
    <xf numFmtId="0" fontId="3" fillId="3" borderId="88" xfId="0" applyFont="1" applyFill="1" applyBorder="1" applyAlignment="1">
      <alignment horizontal="left" vertical="center" wrapText="1"/>
    </xf>
    <xf numFmtId="0" fontId="3" fillId="3" borderId="9" xfId="0" applyFont="1" applyFill="1" applyBorder="1" applyAlignment="1">
      <alignment horizontal="left" vertical="center" wrapText="1"/>
    </xf>
    <xf numFmtId="0" fontId="3" fillId="3" borderId="111" xfId="0" applyFont="1" applyFill="1" applyBorder="1" applyAlignment="1">
      <alignment horizontal="left" vertical="center" wrapText="1"/>
    </xf>
    <xf numFmtId="0" fontId="3" fillId="3" borderId="45" xfId="0" applyFont="1" applyFill="1" applyBorder="1" applyAlignment="1">
      <alignment horizontal="left" vertical="center" wrapText="1"/>
    </xf>
    <xf numFmtId="0" fontId="17" fillId="0" borderId="0" xfId="0" applyFont="1" applyAlignment="1">
      <alignment horizontal="center" wrapText="1"/>
    </xf>
    <xf numFmtId="2" fontId="17" fillId="0" borderId="0" xfId="0" applyNumberFormat="1" applyFont="1" applyAlignment="1">
      <alignment horizontal="center"/>
    </xf>
    <xf numFmtId="0" fontId="3" fillId="0" borderId="106" xfId="0" applyFont="1" applyFill="1" applyBorder="1" applyAlignment="1">
      <alignment horizontal="center"/>
    </xf>
    <xf numFmtId="0" fontId="3" fillId="0" borderId="107" xfId="0" applyFont="1" applyFill="1" applyBorder="1" applyAlignment="1">
      <alignment horizontal="center"/>
    </xf>
    <xf numFmtId="0" fontId="3" fillId="0" borderId="12" xfId="0" applyFont="1" applyFill="1" applyBorder="1" applyAlignment="1">
      <alignment horizontal="center"/>
    </xf>
    <xf numFmtId="0" fontId="3" fillId="0" borderId="108" xfId="0" applyFont="1" applyFill="1" applyBorder="1" applyAlignment="1">
      <alignment horizontal="center"/>
    </xf>
    <xf numFmtId="0" fontId="3" fillId="0" borderId="109" xfId="0" applyFont="1" applyFill="1" applyBorder="1" applyAlignment="1">
      <alignment horizontal="center"/>
    </xf>
    <xf numFmtId="0" fontId="3" fillId="0" borderId="110" xfId="0" applyFont="1" applyFill="1" applyBorder="1" applyAlignment="1">
      <alignment horizontal="center"/>
    </xf>
    <xf numFmtId="49" fontId="6" fillId="0" borderId="112" xfId="1" applyNumberFormat="1" applyFont="1" applyFill="1" applyBorder="1" applyAlignment="1">
      <alignment horizontal="center" vertical="center" wrapText="1"/>
    </xf>
    <xf numFmtId="0" fontId="1" fillId="0" borderId="88" xfId="0" applyFont="1" applyFill="1" applyBorder="1" applyAlignment="1">
      <alignment horizontal="center"/>
    </xf>
    <xf numFmtId="0" fontId="1" fillId="0" borderId="9" xfId="0" applyFont="1" applyFill="1" applyBorder="1" applyAlignment="1">
      <alignment horizontal="center"/>
    </xf>
    <xf numFmtId="0" fontId="3" fillId="0" borderId="88" xfId="0" applyFont="1" applyFill="1" applyBorder="1" applyAlignment="1">
      <alignment horizontal="left" vertical="center" wrapText="1"/>
    </xf>
    <xf numFmtId="0" fontId="3" fillId="0" borderId="9" xfId="0" applyFont="1" applyFill="1" applyBorder="1" applyAlignment="1">
      <alignment horizontal="left" vertical="center" wrapText="1"/>
    </xf>
    <xf numFmtId="0" fontId="3" fillId="0" borderId="111" xfId="0" applyFont="1" applyFill="1" applyBorder="1" applyAlignment="1">
      <alignment horizontal="left" vertical="center" wrapText="1"/>
    </xf>
    <xf numFmtId="0" fontId="3" fillId="0" borderId="45" xfId="0" applyFont="1" applyFill="1" applyBorder="1" applyAlignment="1">
      <alignment horizontal="left" vertical="center" wrapText="1"/>
    </xf>
    <xf numFmtId="49" fontId="6" fillId="0" borderId="6" xfId="1" applyNumberFormat="1" applyFont="1" applyFill="1" applyBorder="1" applyAlignment="1">
      <alignment horizontal="center" vertical="center" wrapText="1"/>
    </xf>
    <xf numFmtId="49" fontId="6" fillId="0" borderId="9" xfId="1" applyNumberFormat="1" applyFont="1" applyFill="1" applyBorder="1" applyAlignment="1">
      <alignment horizontal="center" vertical="center" wrapText="1"/>
    </xf>
    <xf numFmtId="49" fontId="6" fillId="0" borderId="10" xfId="1" applyNumberFormat="1" applyFont="1" applyFill="1" applyBorder="1" applyAlignment="1">
      <alignment horizontal="center" vertical="center" wrapText="1"/>
    </xf>
    <xf numFmtId="0" fontId="27" fillId="0" borderId="48" xfId="0" applyFont="1" applyBorder="1" applyAlignment="1">
      <alignment horizontal="left" vertical="center" wrapText="1"/>
    </xf>
    <xf numFmtId="0" fontId="27" fillId="0" borderId="73" xfId="0" applyFont="1" applyBorder="1" applyAlignment="1">
      <alignment horizontal="left" vertical="center" wrapText="1"/>
    </xf>
    <xf numFmtId="0" fontId="5" fillId="9" borderId="57" xfId="2" applyFont="1" applyFill="1" applyBorder="1" applyAlignment="1">
      <alignment horizontal="left" vertical="center" wrapText="1"/>
    </xf>
    <xf numFmtId="0" fontId="28" fillId="0" borderId="0" xfId="0" applyFont="1" applyAlignment="1">
      <alignment horizontal="left" vertical="top" wrapText="1"/>
    </xf>
    <xf numFmtId="0" fontId="25" fillId="0" borderId="0" xfId="0" applyFont="1" applyBorder="1" applyAlignment="1">
      <alignment horizontal="center" vertical="center"/>
    </xf>
    <xf numFmtId="49" fontId="6" fillId="0" borderId="112" xfId="1" applyNumberFormat="1" applyFont="1" applyBorder="1" applyAlignment="1">
      <alignment horizontal="center" vertical="center" wrapText="1"/>
    </xf>
    <xf numFmtId="0" fontId="46" fillId="0" borderId="55" xfId="0" applyFont="1" applyBorder="1" applyAlignment="1">
      <alignment horizontal="left" vertical="top" wrapText="1"/>
    </xf>
    <xf numFmtId="0" fontId="3" fillId="3" borderId="103" xfId="0" applyFont="1" applyFill="1" applyBorder="1" applyAlignment="1">
      <alignment horizontal="center" vertical="center"/>
    </xf>
    <xf numFmtId="0" fontId="3" fillId="3" borderId="104" xfId="0" applyFont="1" applyFill="1" applyBorder="1" applyAlignment="1">
      <alignment horizontal="center" vertical="center"/>
    </xf>
    <xf numFmtId="0" fontId="3" fillId="3" borderId="105" xfId="0" applyFont="1" applyFill="1" applyBorder="1" applyAlignment="1">
      <alignment horizontal="center" vertical="center"/>
    </xf>
    <xf numFmtId="49" fontId="5" fillId="3" borderId="88" xfId="1" applyNumberFormat="1" applyFont="1" applyFill="1" applyBorder="1" applyAlignment="1">
      <alignment horizontal="center" vertical="center" wrapText="1"/>
    </xf>
    <xf numFmtId="49" fontId="5" fillId="3" borderId="20" xfId="1" applyNumberFormat="1" applyFont="1" applyFill="1" applyBorder="1" applyAlignment="1">
      <alignment horizontal="center" vertical="center" wrapText="1"/>
    </xf>
    <xf numFmtId="49" fontId="5" fillId="3" borderId="54" xfId="1" applyNumberFormat="1" applyFont="1" applyFill="1" applyBorder="1" applyAlignment="1">
      <alignment horizontal="center" vertical="center" wrapText="1"/>
    </xf>
    <xf numFmtId="49" fontId="5" fillId="3" borderId="91" xfId="1" applyNumberFormat="1" applyFont="1" applyFill="1" applyBorder="1" applyAlignment="1">
      <alignment horizontal="center" vertical="center" wrapText="1"/>
    </xf>
    <xf numFmtId="49" fontId="5" fillId="3" borderId="92" xfId="1" applyNumberFormat="1" applyFont="1" applyFill="1" applyBorder="1" applyAlignment="1">
      <alignment horizontal="center" vertical="center" wrapText="1"/>
    </xf>
    <xf numFmtId="49" fontId="5" fillId="3" borderId="9" xfId="1" applyNumberFormat="1" applyFont="1" applyFill="1" applyBorder="1" applyAlignment="1">
      <alignment horizontal="center" vertical="center" wrapText="1"/>
    </xf>
    <xf numFmtId="49" fontId="5" fillId="3" borderId="53" xfId="1" applyNumberFormat="1" applyFont="1" applyFill="1" applyBorder="1" applyAlignment="1">
      <alignment horizontal="center" vertical="center" wrapText="1"/>
    </xf>
    <xf numFmtId="49" fontId="6" fillId="3" borderId="9" xfId="1" applyNumberFormat="1" applyFont="1" applyFill="1" applyBorder="1" applyAlignment="1">
      <alignment horizontal="center" vertical="center" wrapText="1"/>
    </xf>
    <xf numFmtId="49" fontId="6" fillId="3" borderId="6" xfId="1" applyNumberFormat="1" applyFont="1" applyFill="1" applyBorder="1" applyAlignment="1">
      <alignment horizontal="center" vertical="center" wrapText="1"/>
    </xf>
    <xf numFmtId="0" fontId="7" fillId="0" borderId="6" xfId="0" applyFont="1" applyBorder="1" applyAlignment="1">
      <alignment horizontal="center"/>
    </xf>
    <xf numFmtId="0" fontId="14" fillId="0" borderId="0" xfId="0" applyFont="1" applyBorder="1" applyAlignment="1">
      <alignment horizontal="center" vertical="center" wrapText="1"/>
    </xf>
    <xf numFmtId="0" fontId="12" fillId="0" borderId="68" xfId="0" applyFont="1" applyFill="1" applyBorder="1" applyAlignment="1">
      <alignment horizontal="left" vertical="top" wrapText="1"/>
    </xf>
    <xf numFmtId="0" fontId="12" fillId="0" borderId="0" xfId="0" applyFont="1" applyFill="1" applyBorder="1" applyAlignment="1">
      <alignment horizontal="left" vertical="top" wrapText="1"/>
    </xf>
    <xf numFmtId="49" fontId="6" fillId="3" borderId="10" xfId="1" applyNumberFormat="1" applyFont="1" applyFill="1" applyBorder="1" applyAlignment="1">
      <alignment horizontal="center" vertical="center" wrapText="1"/>
    </xf>
    <xf numFmtId="0" fontId="20" fillId="0" borderId="87" xfId="0" applyFont="1" applyBorder="1" applyAlignment="1">
      <alignment horizontal="left" vertical="top"/>
    </xf>
    <xf numFmtId="0" fontId="20" fillId="0" borderId="0" xfId="0" applyFont="1" applyFill="1" applyBorder="1" applyAlignment="1">
      <alignment horizontal="left" vertical="top"/>
    </xf>
    <xf numFmtId="0" fontId="14" fillId="0" borderId="84" xfId="0" applyFont="1" applyBorder="1" applyAlignment="1">
      <alignment horizontal="center" vertical="center"/>
    </xf>
    <xf numFmtId="0" fontId="5" fillId="0" borderId="0" xfId="0" applyFont="1" applyAlignment="1">
      <alignment horizontal="left" wrapText="1"/>
    </xf>
  </cellXfs>
  <cellStyles count="5">
    <cellStyle name="Excel Built-in Normal" xfId="2" xr:uid="{00000000-0005-0000-0000-000007000000}"/>
    <cellStyle name="Excel Built-in Normal 1" xfId="1" xr:uid="{00000000-0005-0000-0000-000006000000}"/>
    <cellStyle name="Excel Built-in Normal 2" xfId="3" xr:uid="{00000000-0005-0000-0000-000008000000}"/>
    <cellStyle name="Normal" xfId="0" builtinId="0"/>
    <cellStyle name="Percent"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tint="-0.49995422223578601"/>
  </sheetPr>
  <dimension ref="A1:N237"/>
  <sheetViews>
    <sheetView tabSelected="1" zoomScale="90" zoomScaleNormal="90" workbookViewId="0">
      <selection activeCell="J159" sqref="J159"/>
    </sheetView>
  </sheetViews>
  <sheetFormatPr defaultColWidth="8.90625" defaultRowHeight="14.5" x14ac:dyDescent="0.35"/>
  <cols>
    <col min="1" max="1" width="8.08984375" style="40" customWidth="1"/>
    <col min="2" max="2" width="10" style="22" customWidth="1"/>
    <col min="3" max="3" width="32.08984375" style="22" customWidth="1"/>
    <col min="4" max="4" width="44.08984375" style="22" customWidth="1"/>
    <col min="5" max="5" width="13.90625" style="44" customWidth="1"/>
    <col min="6" max="6" width="11.453125" style="22" customWidth="1"/>
    <col min="7" max="7" width="39.54296875" style="137" hidden="1" customWidth="1"/>
    <col min="8" max="16384" width="8.90625" style="22"/>
  </cols>
  <sheetData>
    <row r="1" spans="1:10" s="41" customFormat="1" x14ac:dyDescent="0.35">
      <c r="A1" s="386" t="s">
        <v>140</v>
      </c>
      <c r="B1" s="386"/>
      <c r="C1" s="386"/>
      <c r="D1" s="386"/>
      <c r="E1" s="386"/>
      <c r="F1" s="386"/>
      <c r="G1" s="137"/>
      <c r="H1" s="22"/>
      <c r="I1" s="22"/>
      <c r="J1" s="22"/>
    </row>
    <row r="2" spans="1:10" s="41" customFormat="1" ht="31.4" customHeight="1" x14ac:dyDescent="0.35">
      <c r="A2" s="386" t="s">
        <v>296</v>
      </c>
      <c r="B2" s="386"/>
      <c r="C2" s="386"/>
      <c r="D2" s="386"/>
      <c r="E2" s="386"/>
      <c r="F2" s="386"/>
      <c r="G2" s="137"/>
      <c r="H2" s="22"/>
      <c r="I2" s="22"/>
      <c r="J2" s="22"/>
    </row>
    <row r="3" spans="1:10" ht="15.5" x14ac:dyDescent="0.35">
      <c r="B3" s="412" t="s">
        <v>2</v>
      </c>
      <c r="C3" s="412"/>
      <c r="D3" s="412"/>
      <c r="E3" s="412"/>
      <c r="F3" s="412"/>
    </row>
    <row r="4" spans="1:10" ht="15" x14ac:dyDescent="0.35">
      <c r="B4" s="413" t="s">
        <v>133</v>
      </c>
      <c r="C4" s="413"/>
      <c r="D4" s="413"/>
      <c r="E4" s="413"/>
      <c r="F4" s="413"/>
    </row>
    <row r="5" spans="1:10" x14ac:dyDescent="0.35">
      <c r="B5" s="414" t="s">
        <v>40</v>
      </c>
      <c r="C5" s="416" t="s">
        <v>113</v>
      </c>
      <c r="D5" s="416" t="s">
        <v>114</v>
      </c>
      <c r="E5" s="418" t="s">
        <v>161</v>
      </c>
      <c r="F5" s="416" t="s">
        <v>115</v>
      </c>
    </row>
    <row r="6" spans="1:10" x14ac:dyDescent="0.35">
      <c r="B6" s="415"/>
      <c r="C6" s="417"/>
      <c r="D6" s="417"/>
      <c r="E6" s="419"/>
      <c r="F6" s="417"/>
    </row>
    <row r="7" spans="1:10" ht="15" x14ac:dyDescent="0.35">
      <c r="B7" s="53"/>
      <c r="C7" s="387" t="s">
        <v>132</v>
      </c>
      <c r="D7" s="388"/>
      <c r="E7" s="38">
        <f>SUM(E8:E13)</f>
        <v>27515281</v>
      </c>
      <c r="F7" s="54"/>
    </row>
    <row r="8" spans="1:10" ht="16.399999999999999" customHeight="1" x14ac:dyDescent="0.35">
      <c r="B8" s="55" t="s">
        <v>116</v>
      </c>
      <c r="C8" s="56" t="s">
        <v>117</v>
      </c>
      <c r="D8" s="55"/>
      <c r="E8" s="39">
        <f t="shared" ref="E8:E12" si="0">E20+E31+E45+E58+E69+E115+E126+E137+E149+E161+E172+E184+E195+E207+E219+E231</f>
        <v>88849</v>
      </c>
      <c r="F8" s="57"/>
    </row>
    <row r="9" spans="1:10" ht="15.5" x14ac:dyDescent="0.35">
      <c r="B9" s="55" t="s">
        <v>118</v>
      </c>
      <c r="C9" s="56" t="s">
        <v>119</v>
      </c>
      <c r="D9" s="55"/>
      <c r="E9" s="39">
        <f t="shared" si="0"/>
        <v>78616</v>
      </c>
      <c r="F9" s="58"/>
    </row>
    <row r="10" spans="1:10" ht="15.5" x14ac:dyDescent="0.35">
      <c r="B10" s="55" t="s">
        <v>120</v>
      </c>
      <c r="C10" s="56" t="s">
        <v>121</v>
      </c>
      <c r="D10" s="55"/>
      <c r="E10" s="39">
        <f t="shared" si="0"/>
        <v>421703</v>
      </c>
      <c r="F10" s="58"/>
    </row>
    <row r="11" spans="1:10" ht="15.5" x14ac:dyDescent="0.35">
      <c r="B11" s="55" t="s">
        <v>122</v>
      </c>
      <c r="C11" s="56" t="s">
        <v>123</v>
      </c>
      <c r="D11" s="55"/>
      <c r="E11" s="39">
        <f t="shared" si="0"/>
        <v>0</v>
      </c>
      <c r="F11" s="58"/>
    </row>
    <row r="12" spans="1:10" ht="15.5" x14ac:dyDescent="0.35">
      <c r="B12" s="55" t="s">
        <v>102</v>
      </c>
      <c r="C12" s="56" t="s">
        <v>124</v>
      </c>
      <c r="D12" s="55"/>
      <c r="E12" s="39">
        <f t="shared" si="0"/>
        <v>8501428</v>
      </c>
      <c r="F12" s="58"/>
    </row>
    <row r="13" spans="1:10" ht="15.5" x14ac:dyDescent="0.35">
      <c r="B13" s="55" t="s">
        <v>125</v>
      </c>
      <c r="C13" s="56" t="s">
        <v>126</v>
      </c>
      <c r="D13" s="55"/>
      <c r="E13" s="39">
        <f>E25+E36+E50+E63+E74+E120+E131+E142+E154+E166+E177+E189+E200+E212+E224+E236</f>
        <v>18424685</v>
      </c>
      <c r="F13" s="58"/>
    </row>
    <row r="14" spans="1:10" s="43" customFormat="1" ht="52.4" customHeight="1" x14ac:dyDescent="0.35">
      <c r="A14" s="42"/>
      <c r="B14" s="389" t="s">
        <v>170</v>
      </c>
      <c r="C14" s="389"/>
      <c r="D14" s="389"/>
      <c r="E14" s="389"/>
      <c r="F14" s="389"/>
      <c r="G14" s="138"/>
      <c r="H14" s="23"/>
    </row>
    <row r="15" spans="1:10" ht="56.25" customHeight="1" x14ac:dyDescent="0.35">
      <c r="A15" s="45" t="s">
        <v>272</v>
      </c>
      <c r="B15" s="404" t="s">
        <v>271</v>
      </c>
      <c r="C15" s="405"/>
      <c r="D15" s="405"/>
      <c r="E15" s="405"/>
      <c r="F15" s="406"/>
      <c r="G15" s="139" t="s">
        <v>268</v>
      </c>
    </row>
    <row r="16" spans="1:10" s="37" customFormat="1" ht="18.649999999999999" customHeight="1" x14ac:dyDescent="0.35">
      <c r="A16" s="45" t="s">
        <v>272</v>
      </c>
      <c r="B16" s="393" t="s">
        <v>127</v>
      </c>
      <c r="C16" s="393"/>
      <c r="D16" s="393"/>
      <c r="E16" s="393"/>
      <c r="F16" s="393"/>
      <c r="G16" s="137"/>
    </row>
    <row r="17" spans="1:7" s="37" customFormat="1" ht="18.649999999999999" customHeight="1" x14ac:dyDescent="0.35">
      <c r="A17" s="45" t="s">
        <v>272</v>
      </c>
      <c r="B17" s="397"/>
      <c r="C17" s="397"/>
      <c r="D17" s="397"/>
      <c r="E17" s="397"/>
      <c r="F17" s="397"/>
      <c r="G17" s="137"/>
    </row>
    <row r="18" spans="1:7" s="37" customFormat="1" ht="18.649999999999999" customHeight="1" x14ac:dyDescent="0.35">
      <c r="A18" s="45" t="s">
        <v>272</v>
      </c>
      <c r="B18" s="393" t="s">
        <v>0</v>
      </c>
      <c r="C18" s="393"/>
      <c r="D18" s="393"/>
      <c r="E18" s="393"/>
      <c r="F18" s="393"/>
      <c r="G18" s="137"/>
    </row>
    <row r="19" spans="1:7" x14ac:dyDescent="0.35">
      <c r="A19" s="45" t="s">
        <v>272</v>
      </c>
      <c r="B19" s="46"/>
      <c r="C19" s="46"/>
      <c r="D19" s="47" t="s">
        <v>333</v>
      </c>
      <c r="E19" s="48">
        <f>SUM(E20:E25)</f>
        <v>1942847</v>
      </c>
      <c r="F19" s="390" t="s">
        <v>105</v>
      </c>
    </row>
    <row r="20" spans="1:7" x14ac:dyDescent="0.35">
      <c r="A20" s="45" t="s">
        <v>272</v>
      </c>
      <c r="B20" s="49" t="s">
        <v>116</v>
      </c>
      <c r="C20" s="50" t="s">
        <v>117</v>
      </c>
      <c r="D20" s="51"/>
      <c r="E20" s="36"/>
      <c r="F20" s="391"/>
    </row>
    <row r="21" spans="1:7" x14ac:dyDescent="0.35">
      <c r="A21" s="45" t="s">
        <v>272</v>
      </c>
      <c r="B21" s="49" t="s">
        <v>118</v>
      </c>
      <c r="C21" s="50" t="s">
        <v>119</v>
      </c>
      <c r="D21" s="51"/>
      <c r="E21" s="36"/>
      <c r="F21" s="391"/>
    </row>
    <row r="22" spans="1:7" x14ac:dyDescent="0.35">
      <c r="A22" s="45" t="s">
        <v>272</v>
      </c>
      <c r="B22" s="49" t="s">
        <v>120</v>
      </c>
      <c r="C22" s="50" t="s">
        <v>121</v>
      </c>
      <c r="D22" s="51"/>
      <c r="E22" s="36"/>
      <c r="F22" s="391"/>
    </row>
    <row r="23" spans="1:7" x14ac:dyDescent="0.35">
      <c r="A23" s="45" t="s">
        <v>272</v>
      </c>
      <c r="B23" s="49" t="s">
        <v>122</v>
      </c>
      <c r="C23" s="50" t="s">
        <v>123</v>
      </c>
      <c r="D23" s="51"/>
      <c r="E23" s="36"/>
      <c r="F23" s="391"/>
    </row>
    <row r="24" spans="1:7" x14ac:dyDescent="0.35">
      <c r="A24" s="45" t="s">
        <v>272</v>
      </c>
      <c r="B24" s="49" t="s">
        <v>102</v>
      </c>
      <c r="C24" s="50" t="s">
        <v>124</v>
      </c>
      <c r="D24" s="51"/>
      <c r="E24" s="36"/>
      <c r="F24" s="391"/>
    </row>
    <row r="25" spans="1:7" ht="24.65" customHeight="1" x14ac:dyDescent="0.35">
      <c r="A25" s="45" t="s">
        <v>272</v>
      </c>
      <c r="B25" s="49" t="s">
        <v>125</v>
      </c>
      <c r="C25" s="50" t="s">
        <v>126</v>
      </c>
      <c r="D25" s="51" t="s">
        <v>141</v>
      </c>
      <c r="E25" s="36">
        <f>'1.tab.'!Z18</f>
        <v>1942847</v>
      </c>
      <c r="F25" s="392"/>
    </row>
    <row r="26" spans="1:7" ht="27" customHeight="1" x14ac:dyDescent="0.35">
      <c r="A26" s="45" t="s">
        <v>273</v>
      </c>
      <c r="B26" s="404" t="s">
        <v>338</v>
      </c>
      <c r="C26" s="405"/>
      <c r="D26" s="405"/>
      <c r="E26" s="405"/>
      <c r="F26" s="406"/>
    </row>
    <row r="27" spans="1:7" s="37" customFormat="1" ht="18.649999999999999" customHeight="1" x14ac:dyDescent="0.35">
      <c r="A27" s="45" t="s">
        <v>273</v>
      </c>
      <c r="B27" s="393" t="s">
        <v>2</v>
      </c>
      <c r="C27" s="393"/>
      <c r="D27" s="393"/>
      <c r="E27" s="393"/>
      <c r="F27" s="393"/>
      <c r="G27" s="137"/>
    </row>
    <row r="28" spans="1:7" s="37" customFormat="1" ht="18.649999999999999" customHeight="1" x14ac:dyDescent="0.35">
      <c r="A28" s="45" t="s">
        <v>273</v>
      </c>
      <c r="B28" s="393" t="s">
        <v>1</v>
      </c>
      <c r="C28" s="393"/>
      <c r="D28" s="393"/>
      <c r="E28" s="393"/>
      <c r="F28" s="393"/>
      <c r="G28" s="137"/>
    </row>
    <row r="29" spans="1:7" s="37" customFormat="1" ht="44.4" customHeight="1" x14ac:dyDescent="0.35">
      <c r="A29" s="45" t="s">
        <v>273</v>
      </c>
      <c r="B29" s="397" t="s">
        <v>134</v>
      </c>
      <c r="C29" s="397"/>
      <c r="D29" s="397"/>
      <c r="E29" s="397"/>
      <c r="F29" s="397"/>
      <c r="G29" s="137"/>
    </row>
    <row r="30" spans="1:7" x14ac:dyDescent="0.35">
      <c r="A30" s="45" t="s">
        <v>273</v>
      </c>
      <c r="B30" s="46"/>
      <c r="C30" s="46"/>
      <c r="D30" s="47" t="s">
        <v>333</v>
      </c>
      <c r="E30" s="48">
        <f>SUM(E31:E36)</f>
        <v>0</v>
      </c>
      <c r="F30" s="390" t="s">
        <v>110</v>
      </c>
    </row>
    <row r="31" spans="1:7" x14ac:dyDescent="0.35">
      <c r="A31" s="45" t="s">
        <v>273</v>
      </c>
      <c r="B31" s="49" t="s">
        <v>116</v>
      </c>
      <c r="C31" s="50" t="s">
        <v>117</v>
      </c>
      <c r="D31" s="51"/>
      <c r="E31" s="36"/>
      <c r="F31" s="391"/>
    </row>
    <row r="32" spans="1:7" ht="312.64999999999998" customHeight="1" x14ac:dyDescent="0.35">
      <c r="A32" s="45" t="s">
        <v>273</v>
      </c>
      <c r="B32" s="49" t="s">
        <v>118</v>
      </c>
      <c r="C32" s="50" t="s">
        <v>135</v>
      </c>
      <c r="D32" s="51" t="s">
        <v>269</v>
      </c>
      <c r="E32" s="36">
        <v>0</v>
      </c>
      <c r="F32" s="391"/>
    </row>
    <row r="33" spans="1:7" x14ac:dyDescent="0.35">
      <c r="A33" s="45" t="s">
        <v>273</v>
      </c>
      <c r="B33" s="49" t="s">
        <v>120</v>
      </c>
      <c r="C33" s="50" t="s">
        <v>121</v>
      </c>
      <c r="D33" s="51"/>
      <c r="E33" s="36"/>
      <c r="F33" s="391"/>
    </row>
    <row r="34" spans="1:7" x14ac:dyDescent="0.35">
      <c r="A34" s="45" t="s">
        <v>273</v>
      </c>
      <c r="B34" s="49" t="s">
        <v>122</v>
      </c>
      <c r="C34" s="50" t="s">
        <v>123</v>
      </c>
      <c r="D34" s="51"/>
      <c r="E34" s="36"/>
      <c r="F34" s="391"/>
    </row>
    <row r="35" spans="1:7" x14ac:dyDescent="0.35">
      <c r="A35" s="45" t="s">
        <v>273</v>
      </c>
      <c r="B35" s="49" t="s">
        <v>102</v>
      </c>
      <c r="C35" s="50" t="s">
        <v>124</v>
      </c>
      <c r="D35" s="51"/>
      <c r="E35" s="36"/>
      <c r="F35" s="391"/>
    </row>
    <row r="36" spans="1:7" x14ac:dyDescent="0.35">
      <c r="A36" s="45" t="s">
        <v>273</v>
      </c>
      <c r="B36" s="49" t="s">
        <v>125</v>
      </c>
      <c r="C36" s="50" t="s">
        <v>126</v>
      </c>
      <c r="D36" s="51"/>
      <c r="E36" s="36"/>
      <c r="F36" s="392"/>
    </row>
    <row r="37" spans="1:7" ht="85.4" customHeight="1" x14ac:dyDescent="0.35">
      <c r="A37" s="45" t="s">
        <v>273</v>
      </c>
      <c r="B37" s="401" t="s">
        <v>264</v>
      </c>
      <c r="C37" s="402"/>
      <c r="D37" s="402"/>
      <c r="E37" s="402"/>
      <c r="F37" s="403"/>
    </row>
    <row r="38" spans="1:7" ht="21.75" customHeight="1" x14ac:dyDescent="0.35">
      <c r="A38" s="45" t="s">
        <v>273</v>
      </c>
      <c r="B38" s="401" t="s">
        <v>136</v>
      </c>
      <c r="C38" s="402"/>
      <c r="D38" s="402"/>
      <c r="E38" s="402"/>
      <c r="F38" s="403"/>
    </row>
    <row r="39" spans="1:7" ht="69.650000000000006" customHeight="1" x14ac:dyDescent="0.35">
      <c r="A39" s="45" t="s">
        <v>3</v>
      </c>
      <c r="B39" s="407" t="s">
        <v>298</v>
      </c>
      <c r="C39" s="408"/>
      <c r="D39" s="408"/>
      <c r="E39" s="408"/>
      <c r="F39" s="409"/>
    </row>
    <row r="40" spans="1:7" s="37" customFormat="1" ht="18.649999999999999" customHeight="1" x14ac:dyDescent="0.35">
      <c r="A40" s="45" t="s">
        <v>3</v>
      </c>
      <c r="B40" s="393" t="s">
        <v>2</v>
      </c>
      <c r="C40" s="393"/>
      <c r="D40" s="393"/>
      <c r="E40" s="393"/>
      <c r="F40" s="393"/>
      <c r="G40" s="137"/>
    </row>
    <row r="41" spans="1:7" s="37" customFormat="1" ht="18.649999999999999" customHeight="1" x14ac:dyDescent="0.35">
      <c r="A41" s="45" t="s">
        <v>3</v>
      </c>
      <c r="B41" s="397"/>
      <c r="C41" s="397"/>
      <c r="D41" s="397"/>
      <c r="E41" s="397"/>
      <c r="F41" s="397"/>
      <c r="G41" s="137"/>
    </row>
    <row r="42" spans="1:7" s="37" customFormat="1" ht="18.649999999999999" customHeight="1" x14ac:dyDescent="0.35">
      <c r="A42" s="45" t="s">
        <v>3</v>
      </c>
      <c r="B42" s="393" t="s">
        <v>5</v>
      </c>
      <c r="C42" s="393"/>
      <c r="D42" s="393"/>
      <c r="E42" s="393"/>
      <c r="F42" s="393"/>
      <c r="G42" s="137"/>
    </row>
    <row r="43" spans="1:7" s="37" customFormat="1" ht="18.649999999999999" customHeight="1" x14ac:dyDescent="0.35">
      <c r="A43" s="45" t="s">
        <v>3</v>
      </c>
      <c r="B43" s="394" t="s">
        <v>81</v>
      </c>
      <c r="C43" s="394"/>
      <c r="D43" s="394"/>
      <c r="E43" s="394"/>
      <c r="F43" s="394"/>
      <c r="G43" s="137"/>
    </row>
    <row r="44" spans="1:7" ht="20.399999999999999" customHeight="1" x14ac:dyDescent="0.35">
      <c r="A44" s="45" t="s">
        <v>3</v>
      </c>
      <c r="B44" s="46"/>
      <c r="C44" s="46"/>
      <c r="D44" s="47" t="s">
        <v>334</v>
      </c>
      <c r="E44" s="48">
        <f>SUM(E45:E50)</f>
        <v>118465</v>
      </c>
      <c r="F44" s="390" t="s">
        <v>83</v>
      </c>
    </row>
    <row r="45" spans="1:7" x14ac:dyDescent="0.35">
      <c r="A45" s="45" t="s">
        <v>3</v>
      </c>
      <c r="B45" s="49" t="s">
        <v>116</v>
      </c>
      <c r="C45" s="50" t="s">
        <v>181</v>
      </c>
      <c r="D45" s="395" t="s">
        <v>142</v>
      </c>
      <c r="E45" s="36">
        <f>ROUND('2.tab.'!AB18*0.75,0)</f>
        <v>88849</v>
      </c>
      <c r="F45" s="391"/>
    </row>
    <row r="46" spans="1:7" x14ac:dyDescent="0.35">
      <c r="A46" s="45" t="s">
        <v>3</v>
      </c>
      <c r="B46" s="49" t="s">
        <v>118</v>
      </c>
      <c r="C46" s="50" t="s">
        <v>182</v>
      </c>
      <c r="D46" s="396"/>
      <c r="E46" s="36">
        <f>'2.tab.'!AB18-'Ietekme uz valsts budžetu 2024'!E45</f>
        <v>29616</v>
      </c>
      <c r="F46" s="391"/>
    </row>
    <row r="47" spans="1:7" x14ac:dyDescent="0.35">
      <c r="A47" s="45" t="s">
        <v>3</v>
      </c>
      <c r="B47" s="49" t="s">
        <v>120</v>
      </c>
      <c r="C47" s="50" t="s">
        <v>121</v>
      </c>
      <c r="D47" s="51"/>
      <c r="E47" s="36"/>
      <c r="F47" s="391"/>
    </row>
    <row r="48" spans="1:7" x14ac:dyDescent="0.35">
      <c r="A48" s="45" t="s">
        <v>3</v>
      </c>
      <c r="B48" s="49" t="s">
        <v>122</v>
      </c>
      <c r="C48" s="50" t="s">
        <v>123</v>
      </c>
      <c r="D48" s="51"/>
      <c r="E48" s="36"/>
      <c r="F48" s="391"/>
    </row>
    <row r="49" spans="1:7" x14ac:dyDescent="0.35">
      <c r="A49" s="45" t="s">
        <v>3</v>
      </c>
      <c r="B49" s="49" t="s">
        <v>102</v>
      </c>
      <c r="C49" s="50" t="s">
        <v>124</v>
      </c>
      <c r="D49" s="51"/>
      <c r="E49" s="36"/>
      <c r="F49" s="391"/>
    </row>
    <row r="50" spans="1:7" x14ac:dyDescent="0.35">
      <c r="A50" s="45" t="s">
        <v>3</v>
      </c>
      <c r="B50" s="49" t="s">
        <v>125</v>
      </c>
      <c r="C50" s="50" t="s">
        <v>126</v>
      </c>
      <c r="D50" s="51"/>
      <c r="E50" s="36"/>
      <c r="F50" s="392"/>
    </row>
    <row r="51" spans="1:7" x14ac:dyDescent="0.35">
      <c r="A51" s="45" t="s">
        <v>3</v>
      </c>
      <c r="B51" s="401" t="s">
        <v>180</v>
      </c>
      <c r="C51" s="402"/>
      <c r="D51" s="402"/>
      <c r="E51" s="402"/>
      <c r="F51" s="403"/>
    </row>
    <row r="52" spans="1:7" ht="27" customHeight="1" x14ac:dyDescent="0.35">
      <c r="A52" s="45" t="s">
        <v>4</v>
      </c>
      <c r="B52" s="404" t="s">
        <v>274</v>
      </c>
      <c r="C52" s="405"/>
      <c r="D52" s="405"/>
      <c r="E52" s="405"/>
      <c r="F52" s="406"/>
    </row>
    <row r="53" spans="1:7" s="37" customFormat="1" ht="18.649999999999999" customHeight="1" x14ac:dyDescent="0.35">
      <c r="A53" s="45" t="s">
        <v>4</v>
      </c>
      <c r="B53" s="393" t="s">
        <v>2</v>
      </c>
      <c r="C53" s="393"/>
      <c r="D53" s="393"/>
      <c r="E53" s="393"/>
      <c r="F53" s="393"/>
      <c r="G53" s="137"/>
    </row>
    <row r="54" spans="1:7" s="37" customFormat="1" ht="18.649999999999999" customHeight="1" x14ac:dyDescent="0.35">
      <c r="A54" s="45" t="s">
        <v>4</v>
      </c>
      <c r="B54" s="397"/>
      <c r="C54" s="397"/>
      <c r="D54" s="397"/>
      <c r="E54" s="397"/>
      <c r="F54" s="397"/>
      <c r="G54" s="137"/>
    </row>
    <row r="55" spans="1:7" s="37" customFormat="1" ht="18.649999999999999" customHeight="1" x14ac:dyDescent="0.35">
      <c r="A55" s="45" t="s">
        <v>4</v>
      </c>
      <c r="B55" s="393" t="s">
        <v>7</v>
      </c>
      <c r="C55" s="393"/>
      <c r="D55" s="393"/>
      <c r="E55" s="393"/>
      <c r="F55" s="393"/>
      <c r="G55" s="137"/>
    </row>
    <row r="56" spans="1:7" s="37" customFormat="1" ht="18.649999999999999" customHeight="1" x14ac:dyDescent="0.35">
      <c r="A56" s="45" t="s">
        <v>4</v>
      </c>
      <c r="B56" s="394" t="s">
        <v>66</v>
      </c>
      <c r="C56" s="394"/>
      <c r="D56" s="394"/>
      <c r="E56" s="394"/>
      <c r="F56" s="394"/>
      <c r="G56" s="137"/>
    </row>
    <row r="57" spans="1:7" x14ac:dyDescent="0.35">
      <c r="A57" s="45" t="s">
        <v>4</v>
      </c>
      <c r="B57" s="46"/>
      <c r="C57" s="46"/>
      <c r="D57" s="47" t="s">
        <v>128</v>
      </c>
      <c r="E57" s="48">
        <f>SUM(E58:E63)</f>
        <v>373386</v>
      </c>
      <c r="F57" s="390" t="s">
        <v>67</v>
      </c>
    </row>
    <row r="58" spans="1:7" x14ac:dyDescent="0.35">
      <c r="A58" s="45" t="s">
        <v>4</v>
      </c>
      <c r="B58" s="49" t="s">
        <v>116</v>
      </c>
      <c r="C58" s="50" t="s">
        <v>117</v>
      </c>
      <c r="D58" s="51"/>
      <c r="E58" s="36"/>
      <c r="F58" s="391"/>
    </row>
    <row r="59" spans="1:7" x14ac:dyDescent="0.35">
      <c r="A59" s="45" t="s">
        <v>4</v>
      </c>
      <c r="B59" s="49" t="s">
        <v>118</v>
      </c>
      <c r="C59" s="50" t="s">
        <v>119</v>
      </c>
      <c r="D59" s="51"/>
      <c r="E59" s="36"/>
      <c r="F59" s="391"/>
    </row>
    <row r="60" spans="1:7" x14ac:dyDescent="0.35">
      <c r="A60" s="45" t="s">
        <v>4</v>
      </c>
      <c r="B60" s="49" t="s">
        <v>120</v>
      </c>
      <c r="C60" s="50" t="s">
        <v>121</v>
      </c>
      <c r="D60" s="51" t="s">
        <v>143</v>
      </c>
      <c r="E60" s="36">
        <f>'3.tab.'!AA15</f>
        <v>373386</v>
      </c>
      <c r="F60" s="391"/>
    </row>
    <row r="61" spans="1:7" x14ac:dyDescent="0.35">
      <c r="A61" s="45" t="s">
        <v>4</v>
      </c>
      <c r="B61" s="49" t="s">
        <v>122</v>
      </c>
      <c r="C61" s="50" t="s">
        <v>123</v>
      </c>
      <c r="D61" s="51"/>
      <c r="E61" s="36"/>
      <c r="F61" s="391"/>
    </row>
    <row r="62" spans="1:7" x14ac:dyDescent="0.35">
      <c r="A62" s="45" t="s">
        <v>4</v>
      </c>
      <c r="B62" s="49" t="s">
        <v>102</v>
      </c>
      <c r="C62" s="50" t="s">
        <v>124</v>
      </c>
      <c r="D62" s="51"/>
      <c r="E62" s="36"/>
      <c r="F62" s="391"/>
    </row>
    <row r="63" spans="1:7" x14ac:dyDescent="0.35">
      <c r="A63" s="45" t="s">
        <v>4</v>
      </c>
      <c r="B63" s="49" t="s">
        <v>125</v>
      </c>
      <c r="C63" s="50" t="s">
        <v>126</v>
      </c>
      <c r="D63" s="51"/>
      <c r="E63" s="36"/>
      <c r="F63" s="392"/>
    </row>
    <row r="64" spans="1:7" ht="27" customHeight="1" x14ac:dyDescent="0.35">
      <c r="A64" s="45" t="s">
        <v>6</v>
      </c>
      <c r="B64" s="404" t="s">
        <v>275</v>
      </c>
      <c r="C64" s="405"/>
      <c r="D64" s="405"/>
      <c r="E64" s="405"/>
      <c r="F64" s="406"/>
    </row>
    <row r="65" spans="1:7" s="37" customFormat="1" ht="18.649999999999999" hidden="1" customHeight="1" x14ac:dyDescent="0.35">
      <c r="A65" s="45" t="s">
        <v>6</v>
      </c>
      <c r="B65" s="393"/>
      <c r="C65" s="393"/>
      <c r="D65" s="393"/>
      <c r="E65" s="393"/>
      <c r="F65" s="393"/>
      <c r="G65" s="137"/>
    </row>
    <row r="66" spans="1:7" s="37" customFormat="1" ht="18.649999999999999" hidden="1" customHeight="1" x14ac:dyDescent="0.35">
      <c r="A66" s="45" t="s">
        <v>6</v>
      </c>
      <c r="B66" s="411"/>
      <c r="C66" s="411"/>
      <c r="D66" s="411"/>
      <c r="E66" s="411"/>
      <c r="F66" s="411"/>
      <c r="G66" s="137"/>
    </row>
    <row r="67" spans="1:7" s="37" customFormat="1" ht="18.649999999999999" hidden="1" customHeight="1" x14ac:dyDescent="0.35">
      <c r="A67" s="45" t="s">
        <v>6</v>
      </c>
      <c r="B67" s="397"/>
      <c r="C67" s="397"/>
      <c r="D67" s="397"/>
      <c r="E67" s="397"/>
      <c r="F67" s="397"/>
      <c r="G67" s="137"/>
    </row>
    <row r="68" spans="1:7" x14ac:dyDescent="0.35">
      <c r="A68" s="45" t="s">
        <v>6</v>
      </c>
      <c r="B68" s="46"/>
      <c r="C68" s="46"/>
      <c r="D68" s="47" t="s">
        <v>333</v>
      </c>
      <c r="E68" s="48">
        <f>SUM(E69:E74)</f>
        <v>1750946</v>
      </c>
      <c r="F68" s="67"/>
    </row>
    <row r="69" spans="1:7" x14ac:dyDescent="0.35">
      <c r="A69" s="45" t="s">
        <v>6</v>
      </c>
      <c r="B69" s="49" t="s">
        <v>116</v>
      </c>
      <c r="C69" s="50" t="s">
        <v>117</v>
      </c>
      <c r="D69" s="51"/>
      <c r="E69" s="36">
        <f>E80+E92+E104</f>
        <v>0</v>
      </c>
      <c r="F69" s="68"/>
    </row>
    <row r="70" spans="1:7" x14ac:dyDescent="0.35">
      <c r="A70" s="45" t="s">
        <v>6</v>
      </c>
      <c r="B70" s="49" t="s">
        <v>118</v>
      </c>
      <c r="C70" s="50" t="s">
        <v>119</v>
      </c>
      <c r="D70" s="51"/>
      <c r="E70" s="36">
        <f t="shared" ref="E70:E74" si="1">E81+E93+E105</f>
        <v>0</v>
      </c>
      <c r="F70" s="68"/>
    </row>
    <row r="71" spans="1:7" x14ac:dyDescent="0.35">
      <c r="A71" s="45" t="s">
        <v>6</v>
      </c>
      <c r="B71" s="49" t="s">
        <v>120</v>
      </c>
      <c r="C71" s="50" t="s">
        <v>121</v>
      </c>
      <c r="D71" s="51"/>
      <c r="E71" s="36">
        <f t="shared" si="1"/>
        <v>10654</v>
      </c>
      <c r="F71" s="68"/>
    </row>
    <row r="72" spans="1:7" x14ac:dyDescent="0.35">
      <c r="A72" s="45" t="s">
        <v>6</v>
      </c>
      <c r="B72" s="49" t="s">
        <v>122</v>
      </c>
      <c r="C72" s="50" t="s">
        <v>123</v>
      </c>
      <c r="D72" s="51"/>
      <c r="E72" s="36">
        <f t="shared" si="1"/>
        <v>0</v>
      </c>
      <c r="F72" s="68"/>
    </row>
    <row r="73" spans="1:7" x14ac:dyDescent="0.35">
      <c r="A73" s="45" t="s">
        <v>6</v>
      </c>
      <c r="B73" s="49" t="s">
        <v>102</v>
      </c>
      <c r="C73" s="50" t="s">
        <v>124</v>
      </c>
      <c r="D73" s="51"/>
      <c r="E73" s="36">
        <f t="shared" si="1"/>
        <v>1540004</v>
      </c>
      <c r="F73" s="68"/>
    </row>
    <row r="74" spans="1:7" x14ac:dyDescent="0.35">
      <c r="A74" s="45" t="s">
        <v>6</v>
      </c>
      <c r="B74" s="49" t="s">
        <v>125</v>
      </c>
      <c r="C74" s="50" t="s">
        <v>126</v>
      </c>
      <c r="D74" s="51"/>
      <c r="E74" s="36">
        <f t="shared" si="1"/>
        <v>200288</v>
      </c>
      <c r="F74" s="68"/>
    </row>
    <row r="75" spans="1:7" ht="27" customHeight="1" x14ac:dyDescent="0.35">
      <c r="B75" s="398">
        <v>1</v>
      </c>
      <c r="C75" s="399"/>
      <c r="D75" s="399"/>
      <c r="E75" s="399"/>
      <c r="F75" s="400"/>
    </row>
    <row r="76" spans="1:7" s="37" customFormat="1" ht="18.649999999999999" customHeight="1" x14ac:dyDescent="0.35">
      <c r="A76" s="40"/>
      <c r="B76" s="393" t="s">
        <v>127</v>
      </c>
      <c r="C76" s="393"/>
      <c r="D76" s="393"/>
      <c r="E76" s="393"/>
      <c r="F76" s="393"/>
      <c r="G76" s="137"/>
    </row>
    <row r="77" spans="1:7" s="37" customFormat="1" ht="18.649999999999999" customHeight="1" x14ac:dyDescent="0.35">
      <c r="A77" s="40"/>
      <c r="B77" s="397"/>
      <c r="C77" s="397"/>
      <c r="D77" s="397"/>
      <c r="E77" s="397"/>
      <c r="F77" s="397"/>
      <c r="G77" s="137"/>
    </row>
    <row r="78" spans="1:7" s="37" customFormat="1" ht="18.649999999999999" customHeight="1" x14ac:dyDescent="0.35">
      <c r="A78" s="40"/>
      <c r="B78" s="393" t="s">
        <v>0</v>
      </c>
      <c r="C78" s="393"/>
      <c r="D78" s="393"/>
      <c r="E78" s="393"/>
      <c r="F78" s="393"/>
      <c r="G78" s="137"/>
    </row>
    <row r="79" spans="1:7" x14ac:dyDescent="0.35">
      <c r="B79" s="75"/>
      <c r="C79" s="75"/>
      <c r="D79" s="76" t="s">
        <v>128</v>
      </c>
      <c r="E79" s="77">
        <f>SUM(E80:E85)</f>
        <v>200288</v>
      </c>
      <c r="F79" s="390" t="s">
        <v>71</v>
      </c>
    </row>
    <row r="80" spans="1:7" x14ac:dyDescent="0.35">
      <c r="B80" s="78" t="s">
        <v>116</v>
      </c>
      <c r="C80" s="79" t="s">
        <v>117</v>
      </c>
      <c r="D80" s="80"/>
      <c r="E80" s="81"/>
      <c r="F80" s="391"/>
    </row>
    <row r="81" spans="1:7" x14ac:dyDescent="0.35">
      <c r="B81" s="78" t="s">
        <v>118</v>
      </c>
      <c r="C81" s="79" t="s">
        <v>119</v>
      </c>
      <c r="D81" s="80"/>
      <c r="E81" s="81"/>
      <c r="F81" s="391"/>
    </row>
    <row r="82" spans="1:7" x14ac:dyDescent="0.35">
      <c r="B82" s="78" t="s">
        <v>120</v>
      </c>
      <c r="C82" s="79" t="s">
        <v>121</v>
      </c>
      <c r="D82" s="80"/>
      <c r="E82" s="81"/>
      <c r="F82" s="391"/>
    </row>
    <row r="83" spans="1:7" x14ac:dyDescent="0.35">
      <c r="B83" s="78" t="s">
        <v>122</v>
      </c>
      <c r="C83" s="79" t="s">
        <v>123</v>
      </c>
      <c r="D83" s="80"/>
      <c r="E83" s="81"/>
      <c r="F83" s="391"/>
    </row>
    <row r="84" spans="1:7" x14ac:dyDescent="0.35">
      <c r="B84" s="78" t="s">
        <v>102</v>
      </c>
      <c r="C84" s="79" t="s">
        <v>124</v>
      </c>
      <c r="D84" s="80"/>
      <c r="E84" s="81"/>
      <c r="F84" s="391"/>
    </row>
    <row r="85" spans="1:7" x14ac:dyDescent="0.35">
      <c r="B85" s="78" t="s">
        <v>125</v>
      </c>
      <c r="C85" s="79" t="s">
        <v>126</v>
      </c>
      <c r="D85" s="80" t="s">
        <v>144</v>
      </c>
      <c r="E85" s="81">
        <f>'4.tab.'!U60</f>
        <v>200288</v>
      </c>
      <c r="F85" s="392"/>
    </row>
    <row r="86" spans="1:7" ht="27" customHeight="1" x14ac:dyDescent="0.35">
      <c r="B86" s="398">
        <v>2</v>
      </c>
      <c r="C86" s="399"/>
      <c r="D86" s="399"/>
      <c r="E86" s="399"/>
      <c r="F86" s="400"/>
    </row>
    <row r="87" spans="1:7" s="37" customFormat="1" ht="18.649999999999999" customHeight="1" x14ac:dyDescent="0.35">
      <c r="A87" s="40"/>
      <c r="B87" s="393" t="s">
        <v>2</v>
      </c>
      <c r="C87" s="393"/>
      <c r="D87" s="393"/>
      <c r="E87" s="393"/>
      <c r="F87" s="393"/>
      <c r="G87" s="137"/>
    </row>
    <row r="88" spans="1:7" s="37" customFormat="1" ht="18.649999999999999" customHeight="1" x14ac:dyDescent="0.35">
      <c r="A88" s="40"/>
      <c r="B88" s="397"/>
      <c r="C88" s="397"/>
      <c r="D88" s="397"/>
      <c r="E88" s="397"/>
      <c r="F88" s="397"/>
      <c r="G88" s="137"/>
    </row>
    <row r="89" spans="1:7" s="37" customFormat="1" ht="18.649999999999999" customHeight="1" x14ac:dyDescent="0.35">
      <c r="A89" s="40"/>
      <c r="B89" s="393" t="s">
        <v>11</v>
      </c>
      <c r="C89" s="393"/>
      <c r="D89" s="393"/>
      <c r="E89" s="393"/>
      <c r="F89" s="393"/>
      <c r="G89" s="137"/>
    </row>
    <row r="90" spans="1:7" s="37" customFormat="1" ht="18.649999999999999" customHeight="1" x14ac:dyDescent="0.35">
      <c r="A90" s="40"/>
      <c r="B90" s="394" t="s">
        <v>54</v>
      </c>
      <c r="C90" s="394"/>
      <c r="D90" s="394"/>
      <c r="E90" s="394"/>
      <c r="F90" s="394"/>
      <c r="G90" s="137"/>
    </row>
    <row r="91" spans="1:7" x14ac:dyDescent="0.35">
      <c r="B91" s="75"/>
      <c r="C91" s="75"/>
      <c r="D91" s="76" t="s">
        <v>128</v>
      </c>
      <c r="E91" s="77">
        <f>SUM(E92:E97)</f>
        <v>1540004</v>
      </c>
      <c r="F91" s="390" t="s">
        <v>212</v>
      </c>
    </row>
    <row r="92" spans="1:7" x14ac:dyDescent="0.35">
      <c r="B92" s="78" t="s">
        <v>116</v>
      </c>
      <c r="C92" s="79" t="s">
        <v>117</v>
      </c>
      <c r="D92" s="80"/>
      <c r="E92" s="81"/>
      <c r="F92" s="391"/>
    </row>
    <row r="93" spans="1:7" x14ac:dyDescent="0.35">
      <c r="B93" s="78" t="s">
        <v>118</v>
      </c>
      <c r="C93" s="79" t="s">
        <v>119</v>
      </c>
      <c r="D93" s="80"/>
      <c r="E93" s="81"/>
      <c r="F93" s="391"/>
    </row>
    <row r="94" spans="1:7" x14ac:dyDescent="0.35">
      <c r="B94" s="78" t="s">
        <v>120</v>
      </c>
      <c r="C94" s="79" t="s">
        <v>121</v>
      </c>
      <c r="D94" s="80"/>
      <c r="E94" s="81"/>
      <c r="F94" s="391"/>
    </row>
    <row r="95" spans="1:7" x14ac:dyDescent="0.35">
      <c r="B95" s="78" t="s">
        <v>122</v>
      </c>
      <c r="C95" s="79" t="s">
        <v>123</v>
      </c>
      <c r="D95" s="80"/>
      <c r="E95" s="81"/>
      <c r="F95" s="391"/>
    </row>
    <row r="96" spans="1:7" x14ac:dyDescent="0.35">
      <c r="B96" s="78" t="s">
        <v>102</v>
      </c>
      <c r="C96" s="79" t="s">
        <v>124</v>
      </c>
      <c r="D96" s="80" t="s">
        <v>144</v>
      </c>
      <c r="E96" s="81">
        <f>'4.tab.'!AA43</f>
        <v>1540004</v>
      </c>
      <c r="F96" s="391"/>
    </row>
    <row r="97" spans="1:7" x14ac:dyDescent="0.35">
      <c r="B97" s="78" t="s">
        <v>125</v>
      </c>
      <c r="C97" s="79" t="s">
        <v>126</v>
      </c>
      <c r="D97" s="82"/>
      <c r="E97" s="81"/>
      <c r="F97" s="392"/>
    </row>
    <row r="98" spans="1:7" ht="27" customHeight="1" x14ac:dyDescent="0.35">
      <c r="B98" s="398">
        <v>3</v>
      </c>
      <c r="C98" s="399"/>
      <c r="D98" s="399"/>
      <c r="E98" s="399"/>
      <c r="F98" s="400"/>
    </row>
    <row r="99" spans="1:7" s="37" customFormat="1" ht="18.649999999999999" customHeight="1" x14ac:dyDescent="0.35">
      <c r="A99" s="40"/>
      <c r="B99" s="393" t="s">
        <v>2</v>
      </c>
      <c r="C99" s="393"/>
      <c r="D99" s="393"/>
      <c r="E99" s="393"/>
      <c r="F99" s="393"/>
      <c r="G99" s="137"/>
    </row>
    <row r="100" spans="1:7" s="37" customFormat="1" ht="18.649999999999999" customHeight="1" x14ac:dyDescent="0.35">
      <c r="A100" s="40"/>
      <c r="B100" s="397"/>
      <c r="C100" s="397"/>
      <c r="D100" s="397"/>
      <c r="E100" s="397"/>
      <c r="F100" s="397"/>
      <c r="G100" s="137"/>
    </row>
    <row r="101" spans="1:7" s="37" customFormat="1" ht="18.649999999999999" customHeight="1" x14ac:dyDescent="0.35">
      <c r="A101" s="40"/>
      <c r="B101" s="393" t="s">
        <v>8</v>
      </c>
      <c r="C101" s="393"/>
      <c r="D101" s="393"/>
      <c r="E101" s="393"/>
      <c r="F101" s="393"/>
      <c r="G101" s="137"/>
    </row>
    <row r="102" spans="1:7" s="37" customFormat="1" ht="18.649999999999999" customHeight="1" x14ac:dyDescent="0.35">
      <c r="A102" s="40"/>
      <c r="B102" s="394" t="s">
        <v>66</v>
      </c>
      <c r="C102" s="394"/>
      <c r="D102" s="394"/>
      <c r="E102" s="394"/>
      <c r="F102" s="394"/>
      <c r="G102" s="137"/>
    </row>
    <row r="103" spans="1:7" x14ac:dyDescent="0.35">
      <c r="B103" s="75"/>
      <c r="C103" s="75"/>
      <c r="D103" s="76" t="s">
        <v>128</v>
      </c>
      <c r="E103" s="77">
        <f>SUM(E104:E109)</f>
        <v>10654</v>
      </c>
      <c r="F103" s="390" t="s">
        <v>71</v>
      </c>
    </row>
    <row r="104" spans="1:7" x14ac:dyDescent="0.35">
      <c r="B104" s="78" t="s">
        <v>116</v>
      </c>
      <c r="C104" s="79" t="s">
        <v>117</v>
      </c>
      <c r="D104" s="80"/>
      <c r="E104" s="81"/>
      <c r="F104" s="391"/>
    </row>
    <row r="105" spans="1:7" x14ac:dyDescent="0.35">
      <c r="B105" s="78" t="s">
        <v>118</v>
      </c>
      <c r="C105" s="79" t="s">
        <v>119</v>
      </c>
      <c r="D105" s="80"/>
      <c r="E105" s="81"/>
      <c r="F105" s="391"/>
    </row>
    <row r="106" spans="1:7" x14ac:dyDescent="0.35">
      <c r="B106" s="78" t="s">
        <v>120</v>
      </c>
      <c r="C106" s="79" t="s">
        <v>121</v>
      </c>
      <c r="D106" s="80" t="s">
        <v>144</v>
      </c>
      <c r="E106" s="81">
        <f>'4.tab.'!U54+'4.tab.'!U55+'4.tab.'!U56+'4.tab.'!U57+'4.tab.'!U58+'4.tab.'!U59</f>
        <v>10654</v>
      </c>
      <c r="F106" s="391"/>
    </row>
    <row r="107" spans="1:7" x14ac:dyDescent="0.35">
      <c r="B107" s="78" t="s">
        <v>122</v>
      </c>
      <c r="C107" s="79" t="s">
        <v>123</v>
      </c>
      <c r="D107" s="80"/>
      <c r="E107" s="81"/>
      <c r="F107" s="391"/>
    </row>
    <row r="108" spans="1:7" x14ac:dyDescent="0.35">
      <c r="B108" s="78" t="s">
        <v>102</v>
      </c>
      <c r="C108" s="79" t="s">
        <v>124</v>
      </c>
      <c r="D108" s="80"/>
      <c r="E108" s="81"/>
      <c r="F108" s="391"/>
    </row>
    <row r="109" spans="1:7" x14ac:dyDescent="0.35">
      <c r="B109" s="78" t="s">
        <v>125</v>
      </c>
      <c r="C109" s="79" t="s">
        <v>126</v>
      </c>
      <c r="D109" s="82"/>
      <c r="E109" s="81"/>
      <c r="F109" s="392"/>
    </row>
    <row r="110" spans="1:7" ht="30.65" customHeight="1" x14ac:dyDescent="0.35">
      <c r="A110" s="45" t="s">
        <v>276</v>
      </c>
      <c r="B110" s="407" t="s">
        <v>278</v>
      </c>
      <c r="C110" s="408"/>
      <c r="D110" s="408"/>
      <c r="E110" s="408"/>
      <c r="F110" s="409"/>
    </row>
    <row r="111" spans="1:7" s="37" customFormat="1" ht="18.649999999999999" customHeight="1" x14ac:dyDescent="0.35">
      <c r="A111" s="45" t="s">
        <v>276</v>
      </c>
      <c r="B111" s="393" t="s">
        <v>127</v>
      </c>
      <c r="C111" s="393"/>
      <c r="D111" s="393"/>
      <c r="E111" s="393"/>
      <c r="F111" s="393"/>
      <c r="G111" s="137"/>
    </row>
    <row r="112" spans="1:7" s="37" customFormat="1" ht="18.649999999999999" customHeight="1" x14ac:dyDescent="0.35">
      <c r="A112" s="45" t="s">
        <v>276</v>
      </c>
      <c r="B112" s="397"/>
      <c r="C112" s="397"/>
      <c r="D112" s="397"/>
      <c r="E112" s="397"/>
      <c r="F112" s="397"/>
      <c r="G112" s="137"/>
    </row>
    <row r="113" spans="1:7" s="37" customFormat="1" ht="18.649999999999999" customHeight="1" x14ac:dyDescent="0.35">
      <c r="A113" s="45" t="s">
        <v>276</v>
      </c>
      <c r="B113" s="393" t="s">
        <v>0</v>
      </c>
      <c r="C113" s="393"/>
      <c r="D113" s="393"/>
      <c r="E113" s="393"/>
      <c r="F113" s="393"/>
      <c r="G113" s="137"/>
    </row>
    <row r="114" spans="1:7" ht="14.4" customHeight="1" x14ac:dyDescent="0.35">
      <c r="A114" s="45" t="s">
        <v>276</v>
      </c>
      <c r="B114" s="46"/>
      <c r="C114" s="46"/>
      <c r="D114" s="47" t="s">
        <v>333</v>
      </c>
      <c r="E114" s="48">
        <f>SUM(E115:E120)</f>
        <v>4642329</v>
      </c>
      <c r="F114" s="390" t="s">
        <v>50</v>
      </c>
    </row>
    <row r="115" spans="1:7" x14ac:dyDescent="0.35">
      <c r="A115" s="45" t="s">
        <v>276</v>
      </c>
      <c r="B115" s="49" t="s">
        <v>116</v>
      </c>
      <c r="C115" s="50" t="s">
        <v>117</v>
      </c>
      <c r="D115" s="51"/>
      <c r="E115" s="36"/>
      <c r="F115" s="391"/>
    </row>
    <row r="116" spans="1:7" x14ac:dyDescent="0.35">
      <c r="A116" s="45" t="s">
        <v>276</v>
      </c>
      <c r="B116" s="49" t="s">
        <v>118</v>
      </c>
      <c r="C116" s="50" t="s">
        <v>119</v>
      </c>
      <c r="D116" s="51"/>
      <c r="E116" s="36"/>
      <c r="F116" s="391"/>
    </row>
    <row r="117" spans="1:7" x14ac:dyDescent="0.35">
      <c r="A117" s="45" t="s">
        <v>276</v>
      </c>
      <c r="B117" s="49" t="s">
        <v>120</v>
      </c>
      <c r="C117" s="50" t="s">
        <v>121</v>
      </c>
      <c r="D117" s="51"/>
      <c r="E117" s="36"/>
      <c r="F117" s="391"/>
    </row>
    <row r="118" spans="1:7" x14ac:dyDescent="0.35">
      <c r="A118" s="45" t="s">
        <v>276</v>
      </c>
      <c r="B118" s="49" t="s">
        <v>122</v>
      </c>
      <c r="C118" s="50" t="s">
        <v>123</v>
      </c>
      <c r="D118" s="51"/>
      <c r="E118" s="36"/>
      <c r="F118" s="391"/>
    </row>
    <row r="119" spans="1:7" x14ac:dyDescent="0.35">
      <c r="A119" s="45" t="s">
        <v>276</v>
      </c>
      <c r="B119" s="49" t="s">
        <v>102</v>
      </c>
      <c r="C119" s="50" t="s">
        <v>124</v>
      </c>
      <c r="D119" s="51"/>
      <c r="E119" s="36"/>
      <c r="F119" s="391"/>
    </row>
    <row r="120" spans="1:7" x14ac:dyDescent="0.35">
      <c r="A120" s="45" t="s">
        <v>276</v>
      </c>
      <c r="B120" s="49" t="s">
        <v>125</v>
      </c>
      <c r="C120" s="50" t="s">
        <v>126</v>
      </c>
      <c r="D120" s="51" t="s">
        <v>145</v>
      </c>
      <c r="E120" s="36">
        <f>'5.tab.'!AB26</f>
        <v>4642329</v>
      </c>
      <c r="F120" s="392"/>
    </row>
    <row r="121" spans="1:7" ht="36.75" customHeight="1" x14ac:dyDescent="0.35">
      <c r="A121" s="45" t="s">
        <v>277</v>
      </c>
      <c r="B121" s="404" t="s">
        <v>279</v>
      </c>
      <c r="C121" s="405"/>
      <c r="D121" s="405"/>
      <c r="E121" s="405"/>
      <c r="F121" s="406"/>
    </row>
    <row r="122" spans="1:7" s="37" customFormat="1" ht="18.649999999999999" customHeight="1" x14ac:dyDescent="0.35">
      <c r="A122" s="45" t="s">
        <v>277</v>
      </c>
      <c r="B122" s="393" t="s">
        <v>127</v>
      </c>
      <c r="C122" s="393"/>
      <c r="D122" s="393"/>
      <c r="E122" s="393"/>
      <c r="F122" s="393"/>
      <c r="G122" s="137"/>
    </row>
    <row r="123" spans="1:7" s="37" customFormat="1" ht="18.649999999999999" customHeight="1" x14ac:dyDescent="0.35">
      <c r="A123" s="45" t="s">
        <v>277</v>
      </c>
      <c r="B123" s="397"/>
      <c r="C123" s="397"/>
      <c r="D123" s="397"/>
      <c r="E123" s="397"/>
      <c r="F123" s="397"/>
      <c r="G123" s="137"/>
    </row>
    <row r="124" spans="1:7" s="37" customFormat="1" ht="18.649999999999999" customHeight="1" x14ac:dyDescent="0.35">
      <c r="A124" s="45" t="s">
        <v>277</v>
      </c>
      <c r="B124" s="393" t="s">
        <v>0</v>
      </c>
      <c r="C124" s="393"/>
      <c r="D124" s="393"/>
      <c r="E124" s="393"/>
      <c r="F124" s="393"/>
      <c r="G124" s="137"/>
    </row>
    <row r="125" spans="1:7" ht="14.4" customHeight="1" x14ac:dyDescent="0.35">
      <c r="A125" s="45" t="s">
        <v>277</v>
      </c>
      <c r="B125" s="46"/>
      <c r="C125" s="46"/>
      <c r="D125" s="47" t="s">
        <v>128</v>
      </c>
      <c r="E125" s="48">
        <f>SUM(E126:E131)</f>
        <v>1440841</v>
      </c>
      <c r="F125" s="390" t="s">
        <v>52</v>
      </c>
    </row>
    <row r="126" spans="1:7" x14ac:dyDescent="0.35">
      <c r="A126" s="45" t="s">
        <v>277</v>
      </c>
      <c r="B126" s="49" t="s">
        <v>116</v>
      </c>
      <c r="C126" s="50" t="s">
        <v>117</v>
      </c>
      <c r="D126" s="51"/>
      <c r="E126" s="36"/>
      <c r="F126" s="391"/>
    </row>
    <row r="127" spans="1:7" x14ac:dyDescent="0.35">
      <c r="A127" s="45" t="s">
        <v>277</v>
      </c>
      <c r="B127" s="49" t="s">
        <v>118</v>
      </c>
      <c r="C127" s="50" t="s">
        <v>119</v>
      </c>
      <c r="D127" s="51"/>
      <c r="E127" s="36"/>
      <c r="F127" s="391"/>
    </row>
    <row r="128" spans="1:7" x14ac:dyDescent="0.35">
      <c r="A128" s="45" t="s">
        <v>277</v>
      </c>
      <c r="B128" s="49" t="s">
        <v>120</v>
      </c>
      <c r="C128" s="50" t="s">
        <v>121</v>
      </c>
      <c r="D128" s="51"/>
      <c r="E128" s="36"/>
      <c r="F128" s="391"/>
    </row>
    <row r="129" spans="1:7" x14ac:dyDescent="0.35">
      <c r="A129" s="45" t="s">
        <v>277</v>
      </c>
      <c r="B129" s="49" t="s">
        <v>122</v>
      </c>
      <c r="C129" s="50" t="s">
        <v>123</v>
      </c>
      <c r="D129" s="51"/>
      <c r="E129" s="36"/>
      <c r="F129" s="391"/>
    </row>
    <row r="130" spans="1:7" x14ac:dyDescent="0.35">
      <c r="A130" s="45" t="s">
        <v>277</v>
      </c>
      <c r="B130" s="49" t="s">
        <v>102</v>
      </c>
      <c r="C130" s="50" t="s">
        <v>124</v>
      </c>
      <c r="D130" s="51"/>
      <c r="E130" s="36"/>
      <c r="F130" s="391"/>
    </row>
    <row r="131" spans="1:7" x14ac:dyDescent="0.35">
      <c r="A131" s="45" t="s">
        <v>277</v>
      </c>
      <c r="B131" s="49" t="s">
        <v>125</v>
      </c>
      <c r="C131" s="50" t="s">
        <v>126</v>
      </c>
      <c r="D131" s="51" t="s">
        <v>145</v>
      </c>
      <c r="E131" s="36">
        <f>'5.tab.'!AB27</f>
        <v>1440841</v>
      </c>
      <c r="F131" s="392"/>
    </row>
    <row r="132" spans="1:7" ht="27" customHeight="1" x14ac:dyDescent="0.35">
      <c r="A132" s="45" t="s">
        <v>283</v>
      </c>
      <c r="B132" s="404" t="s">
        <v>282</v>
      </c>
      <c r="C132" s="405"/>
      <c r="D132" s="405"/>
      <c r="E132" s="405"/>
      <c r="F132" s="406"/>
    </row>
    <row r="133" spans="1:7" s="37" customFormat="1" ht="18.649999999999999" customHeight="1" x14ac:dyDescent="0.35">
      <c r="A133" s="45" t="s">
        <v>283</v>
      </c>
      <c r="B133" s="393" t="s">
        <v>127</v>
      </c>
      <c r="C133" s="393"/>
      <c r="D133" s="393"/>
      <c r="E133" s="393"/>
      <c r="F133" s="393"/>
      <c r="G133" s="137"/>
    </row>
    <row r="134" spans="1:7" s="37" customFormat="1" ht="18.649999999999999" customHeight="1" x14ac:dyDescent="0.35">
      <c r="A134" s="45" t="s">
        <v>283</v>
      </c>
      <c r="B134" s="397"/>
      <c r="C134" s="397"/>
      <c r="D134" s="397"/>
      <c r="E134" s="397"/>
      <c r="F134" s="397"/>
      <c r="G134" s="137"/>
    </row>
    <row r="135" spans="1:7" s="37" customFormat="1" ht="18.649999999999999" customHeight="1" x14ac:dyDescent="0.35">
      <c r="A135" s="45" t="s">
        <v>283</v>
      </c>
      <c r="B135" s="393" t="s">
        <v>0</v>
      </c>
      <c r="C135" s="393"/>
      <c r="D135" s="393"/>
      <c r="E135" s="393"/>
      <c r="F135" s="393"/>
      <c r="G135" s="137"/>
    </row>
    <row r="136" spans="1:7" x14ac:dyDescent="0.35">
      <c r="A136" s="45" t="s">
        <v>283</v>
      </c>
      <c r="B136" s="46"/>
      <c r="C136" s="46"/>
      <c r="D136" s="47" t="s">
        <v>128</v>
      </c>
      <c r="E136" s="48">
        <f>SUM(E137:E142)</f>
        <v>5266685</v>
      </c>
      <c r="F136" s="390" t="s">
        <v>51</v>
      </c>
    </row>
    <row r="137" spans="1:7" x14ac:dyDescent="0.35">
      <c r="A137" s="45" t="s">
        <v>283</v>
      </c>
      <c r="B137" s="49" t="s">
        <v>116</v>
      </c>
      <c r="C137" s="50" t="s">
        <v>117</v>
      </c>
      <c r="D137" s="51"/>
      <c r="E137" s="36"/>
      <c r="F137" s="391"/>
    </row>
    <row r="138" spans="1:7" x14ac:dyDescent="0.35">
      <c r="A138" s="45" t="s">
        <v>283</v>
      </c>
      <c r="B138" s="49" t="s">
        <v>118</v>
      </c>
      <c r="C138" s="50" t="s">
        <v>119</v>
      </c>
      <c r="D138" s="51"/>
      <c r="E138" s="36"/>
      <c r="F138" s="391"/>
    </row>
    <row r="139" spans="1:7" x14ac:dyDescent="0.35">
      <c r="A139" s="45" t="s">
        <v>283</v>
      </c>
      <c r="B139" s="49" t="s">
        <v>120</v>
      </c>
      <c r="C139" s="50" t="s">
        <v>121</v>
      </c>
      <c r="D139" s="51"/>
      <c r="E139" s="36"/>
      <c r="F139" s="391"/>
    </row>
    <row r="140" spans="1:7" x14ac:dyDescent="0.35">
      <c r="A140" s="45" t="s">
        <v>283</v>
      </c>
      <c r="B140" s="49" t="s">
        <v>122</v>
      </c>
      <c r="C140" s="50" t="s">
        <v>123</v>
      </c>
      <c r="D140" s="51"/>
      <c r="E140" s="36"/>
      <c r="F140" s="391"/>
    </row>
    <row r="141" spans="1:7" x14ac:dyDescent="0.35">
      <c r="A141" s="45" t="s">
        <v>283</v>
      </c>
      <c r="B141" s="49" t="s">
        <v>102</v>
      </c>
      <c r="C141" s="50" t="s">
        <v>124</v>
      </c>
      <c r="D141" s="51"/>
      <c r="E141" s="36"/>
      <c r="F141" s="391"/>
    </row>
    <row r="142" spans="1:7" x14ac:dyDescent="0.35">
      <c r="A142" s="45" t="s">
        <v>283</v>
      </c>
      <c r="B142" s="49" t="s">
        <v>125</v>
      </c>
      <c r="C142" s="50" t="s">
        <v>126</v>
      </c>
      <c r="D142" s="51" t="s">
        <v>145</v>
      </c>
      <c r="E142" s="36">
        <f>'5.tab.'!AB28</f>
        <v>5266685</v>
      </c>
      <c r="F142" s="392"/>
    </row>
    <row r="143" spans="1:7" ht="27" customHeight="1" x14ac:dyDescent="0.35">
      <c r="A143" s="45" t="s">
        <v>285</v>
      </c>
      <c r="B143" s="404" t="s">
        <v>284</v>
      </c>
      <c r="C143" s="405"/>
      <c r="D143" s="405"/>
      <c r="E143" s="405"/>
      <c r="F143" s="406"/>
    </row>
    <row r="144" spans="1:7" s="37" customFormat="1" ht="18.649999999999999" customHeight="1" x14ac:dyDescent="0.35">
      <c r="A144" s="45" t="s">
        <v>285</v>
      </c>
      <c r="B144" s="393" t="s">
        <v>2</v>
      </c>
      <c r="C144" s="393"/>
      <c r="D144" s="393"/>
      <c r="E144" s="393"/>
      <c r="F144" s="393"/>
      <c r="G144" s="137"/>
    </row>
    <row r="145" spans="1:7" s="37" customFormat="1" ht="18.649999999999999" customHeight="1" x14ac:dyDescent="0.35">
      <c r="A145" s="45" t="s">
        <v>285</v>
      </c>
      <c r="B145" s="397"/>
      <c r="C145" s="397"/>
      <c r="D145" s="397"/>
      <c r="E145" s="397"/>
      <c r="F145" s="397"/>
      <c r="G145" s="137"/>
    </row>
    <row r="146" spans="1:7" s="37" customFormat="1" ht="18.649999999999999" customHeight="1" x14ac:dyDescent="0.35">
      <c r="A146" s="45" t="s">
        <v>285</v>
      </c>
      <c r="B146" s="393" t="s">
        <v>8</v>
      </c>
      <c r="C146" s="393"/>
      <c r="D146" s="393"/>
      <c r="E146" s="393"/>
      <c r="F146" s="393"/>
      <c r="G146" s="137"/>
    </row>
    <row r="147" spans="1:7" s="37" customFormat="1" ht="18.649999999999999" customHeight="1" x14ac:dyDescent="0.35">
      <c r="A147" s="45" t="s">
        <v>285</v>
      </c>
      <c r="B147" s="394" t="s">
        <v>66</v>
      </c>
      <c r="C147" s="394"/>
      <c r="D147" s="394"/>
      <c r="E147" s="394"/>
      <c r="F147" s="394"/>
      <c r="G147" s="137"/>
    </row>
    <row r="148" spans="1:7" x14ac:dyDescent="0.35">
      <c r="A148" s="45" t="s">
        <v>285</v>
      </c>
      <c r="B148" s="46"/>
      <c r="C148" s="46"/>
      <c r="D148" s="47" t="s">
        <v>128</v>
      </c>
      <c r="E148" s="48">
        <f>SUM(E149:E154)</f>
        <v>33883</v>
      </c>
      <c r="F148" s="390" t="s">
        <v>71</v>
      </c>
    </row>
    <row r="149" spans="1:7" x14ac:dyDescent="0.35">
      <c r="A149" s="45" t="s">
        <v>285</v>
      </c>
      <c r="B149" s="49" t="s">
        <v>116</v>
      </c>
      <c r="C149" s="50" t="s">
        <v>117</v>
      </c>
      <c r="D149" s="51"/>
      <c r="E149" s="36"/>
      <c r="F149" s="391"/>
    </row>
    <row r="150" spans="1:7" x14ac:dyDescent="0.35">
      <c r="A150" s="45" t="s">
        <v>285</v>
      </c>
      <c r="B150" s="49" t="s">
        <v>118</v>
      </c>
      <c r="C150" s="50" t="s">
        <v>119</v>
      </c>
      <c r="D150" s="51"/>
      <c r="E150" s="36"/>
      <c r="F150" s="391"/>
    </row>
    <row r="151" spans="1:7" x14ac:dyDescent="0.35">
      <c r="A151" s="45" t="s">
        <v>285</v>
      </c>
      <c r="B151" s="49" t="s">
        <v>120</v>
      </c>
      <c r="C151" s="50" t="s">
        <v>121</v>
      </c>
      <c r="D151" s="51" t="s">
        <v>145</v>
      </c>
      <c r="E151" s="36">
        <f>'5.tab.'!S45</f>
        <v>33883</v>
      </c>
      <c r="F151" s="391"/>
    </row>
    <row r="152" spans="1:7" x14ac:dyDescent="0.35">
      <c r="A152" s="45" t="s">
        <v>285</v>
      </c>
      <c r="B152" s="49" t="s">
        <v>122</v>
      </c>
      <c r="C152" s="50" t="s">
        <v>123</v>
      </c>
      <c r="D152" s="51"/>
      <c r="E152" s="36"/>
      <c r="F152" s="391"/>
    </row>
    <row r="153" spans="1:7" x14ac:dyDescent="0.35">
      <c r="A153" s="45" t="s">
        <v>285</v>
      </c>
      <c r="B153" s="49" t="s">
        <v>102</v>
      </c>
      <c r="C153" s="50" t="s">
        <v>124</v>
      </c>
      <c r="D153" s="51"/>
      <c r="E153" s="36"/>
      <c r="F153" s="391"/>
    </row>
    <row r="154" spans="1:7" x14ac:dyDescent="0.35">
      <c r="A154" s="45" t="s">
        <v>285</v>
      </c>
      <c r="B154" s="49" t="s">
        <v>125</v>
      </c>
      <c r="C154" s="50" t="s">
        <v>126</v>
      </c>
      <c r="D154" s="51"/>
      <c r="E154" s="36"/>
      <c r="F154" s="392"/>
    </row>
    <row r="155" spans="1:7" ht="27" customHeight="1" x14ac:dyDescent="0.35">
      <c r="A155" s="45" t="s">
        <v>287</v>
      </c>
      <c r="B155" s="404" t="s">
        <v>286</v>
      </c>
      <c r="C155" s="405"/>
      <c r="D155" s="405"/>
      <c r="E155" s="405"/>
      <c r="F155" s="406"/>
    </row>
    <row r="156" spans="1:7" s="37" customFormat="1" ht="18.649999999999999" customHeight="1" x14ac:dyDescent="0.35">
      <c r="A156" s="45" t="s">
        <v>287</v>
      </c>
      <c r="B156" s="393" t="s">
        <v>2</v>
      </c>
      <c r="C156" s="393"/>
      <c r="D156" s="393"/>
      <c r="E156" s="393"/>
      <c r="F156" s="393"/>
      <c r="G156" s="137"/>
    </row>
    <row r="157" spans="1:7" s="37" customFormat="1" ht="18.649999999999999" customHeight="1" x14ac:dyDescent="0.35">
      <c r="A157" s="45" t="s">
        <v>287</v>
      </c>
      <c r="B157" s="397"/>
      <c r="C157" s="397"/>
      <c r="D157" s="397"/>
      <c r="E157" s="397"/>
      <c r="F157" s="397"/>
      <c r="G157" s="137"/>
    </row>
    <row r="158" spans="1:7" s="37" customFormat="1" ht="18.649999999999999" customHeight="1" x14ac:dyDescent="0.35">
      <c r="A158" s="45" t="s">
        <v>287</v>
      </c>
      <c r="B158" s="393" t="s">
        <v>11</v>
      </c>
      <c r="C158" s="393"/>
      <c r="D158" s="393"/>
      <c r="E158" s="393"/>
      <c r="F158" s="393"/>
      <c r="G158" s="137"/>
    </row>
    <row r="159" spans="1:7" s="37" customFormat="1" ht="18.649999999999999" customHeight="1" x14ac:dyDescent="0.35">
      <c r="A159" s="45" t="s">
        <v>287</v>
      </c>
      <c r="B159" s="394" t="s">
        <v>54</v>
      </c>
      <c r="C159" s="394"/>
      <c r="D159" s="394"/>
      <c r="E159" s="394"/>
      <c r="F159" s="394"/>
      <c r="G159" s="137"/>
    </row>
    <row r="160" spans="1:7" x14ac:dyDescent="0.35">
      <c r="A160" s="45" t="s">
        <v>287</v>
      </c>
      <c r="B160" s="46"/>
      <c r="C160" s="46"/>
      <c r="D160" s="47" t="s">
        <v>128</v>
      </c>
      <c r="E160" s="48">
        <f>SUM(E161:E166)</f>
        <v>3560429</v>
      </c>
      <c r="F160" s="390" t="s">
        <v>92</v>
      </c>
    </row>
    <row r="161" spans="1:7" x14ac:dyDescent="0.35">
      <c r="A161" s="45" t="s">
        <v>287</v>
      </c>
      <c r="B161" s="49" t="s">
        <v>116</v>
      </c>
      <c r="C161" s="50" t="s">
        <v>117</v>
      </c>
      <c r="D161" s="51"/>
      <c r="E161" s="36"/>
      <c r="F161" s="391"/>
    </row>
    <row r="162" spans="1:7" x14ac:dyDescent="0.35">
      <c r="A162" s="45" t="s">
        <v>287</v>
      </c>
      <c r="B162" s="49" t="s">
        <v>118</v>
      </c>
      <c r="C162" s="50" t="s">
        <v>119</v>
      </c>
      <c r="D162" s="51"/>
      <c r="E162" s="36"/>
      <c r="F162" s="391"/>
    </row>
    <row r="163" spans="1:7" x14ac:dyDescent="0.35">
      <c r="A163" s="45" t="s">
        <v>287</v>
      </c>
      <c r="B163" s="49" t="s">
        <v>120</v>
      </c>
      <c r="C163" s="50" t="s">
        <v>121</v>
      </c>
      <c r="D163" s="51"/>
      <c r="E163" s="36"/>
      <c r="F163" s="391"/>
    </row>
    <row r="164" spans="1:7" x14ac:dyDescent="0.35">
      <c r="A164" s="45" t="s">
        <v>287</v>
      </c>
      <c r="B164" s="49" t="s">
        <v>122</v>
      </c>
      <c r="C164" s="50" t="s">
        <v>123</v>
      </c>
      <c r="D164" s="51"/>
      <c r="E164" s="36"/>
      <c r="F164" s="391"/>
    </row>
    <row r="165" spans="1:7" x14ac:dyDescent="0.35">
      <c r="A165" s="45" t="s">
        <v>287</v>
      </c>
      <c r="B165" s="49" t="s">
        <v>102</v>
      </c>
      <c r="C165" s="50" t="s">
        <v>124</v>
      </c>
      <c r="D165" s="51" t="s">
        <v>146</v>
      </c>
      <c r="E165" s="36">
        <f>'6.tab.'!AA33</f>
        <v>3560429</v>
      </c>
      <c r="F165" s="391"/>
    </row>
    <row r="166" spans="1:7" x14ac:dyDescent="0.35">
      <c r="A166" s="45" t="s">
        <v>287</v>
      </c>
      <c r="B166" s="49" t="s">
        <v>125</v>
      </c>
      <c r="C166" s="50" t="s">
        <v>126</v>
      </c>
      <c r="D166" s="51"/>
      <c r="E166" s="36"/>
      <c r="F166" s="392"/>
    </row>
    <row r="167" spans="1:7" ht="66.75" customHeight="1" x14ac:dyDescent="0.35">
      <c r="A167" s="45" t="s">
        <v>288</v>
      </c>
      <c r="B167" s="404" t="s">
        <v>289</v>
      </c>
      <c r="C167" s="405"/>
      <c r="D167" s="405"/>
      <c r="E167" s="405"/>
      <c r="F167" s="406"/>
    </row>
    <row r="168" spans="1:7" s="37" customFormat="1" ht="18.649999999999999" customHeight="1" x14ac:dyDescent="0.35">
      <c r="A168" s="45" t="s">
        <v>288</v>
      </c>
      <c r="B168" s="393" t="s">
        <v>127</v>
      </c>
      <c r="C168" s="393"/>
      <c r="D168" s="393"/>
      <c r="E168" s="393"/>
      <c r="F168" s="393"/>
      <c r="G168" s="137"/>
    </row>
    <row r="169" spans="1:7" s="37" customFormat="1" ht="18.649999999999999" customHeight="1" x14ac:dyDescent="0.35">
      <c r="A169" s="45" t="s">
        <v>288</v>
      </c>
      <c r="B169" s="397"/>
      <c r="C169" s="397"/>
      <c r="D169" s="397"/>
      <c r="E169" s="397"/>
      <c r="F169" s="397"/>
      <c r="G169" s="137"/>
    </row>
    <row r="170" spans="1:7" s="37" customFormat="1" ht="18.649999999999999" customHeight="1" x14ac:dyDescent="0.35">
      <c r="A170" s="45" t="s">
        <v>288</v>
      </c>
      <c r="B170" s="393" t="s">
        <v>0</v>
      </c>
      <c r="C170" s="393"/>
      <c r="D170" s="393"/>
      <c r="E170" s="393"/>
      <c r="F170" s="393"/>
      <c r="G170" s="137"/>
    </row>
    <row r="171" spans="1:7" x14ac:dyDescent="0.35">
      <c r="A171" s="45" t="s">
        <v>288</v>
      </c>
      <c r="B171" s="46"/>
      <c r="C171" s="46"/>
      <c r="D171" s="47" t="s">
        <v>128</v>
      </c>
      <c r="E171" s="48">
        <f>SUM(E172:E177)</f>
        <v>2880488</v>
      </c>
      <c r="F171" s="390" t="s">
        <v>219</v>
      </c>
    </row>
    <row r="172" spans="1:7" x14ac:dyDescent="0.35">
      <c r="A172" s="45" t="s">
        <v>288</v>
      </c>
      <c r="B172" s="49" t="s">
        <v>116</v>
      </c>
      <c r="C172" s="50" t="s">
        <v>117</v>
      </c>
      <c r="D172" s="51"/>
      <c r="E172" s="36"/>
      <c r="F172" s="391"/>
    </row>
    <row r="173" spans="1:7" x14ac:dyDescent="0.35">
      <c r="A173" s="45" t="s">
        <v>288</v>
      </c>
      <c r="B173" s="49" t="s">
        <v>118</v>
      </c>
      <c r="C173" s="50" t="s">
        <v>119</v>
      </c>
      <c r="D173" s="51"/>
      <c r="E173" s="36"/>
      <c r="F173" s="391"/>
    </row>
    <row r="174" spans="1:7" x14ac:dyDescent="0.35">
      <c r="A174" s="45" t="s">
        <v>288</v>
      </c>
      <c r="B174" s="49" t="s">
        <v>120</v>
      </c>
      <c r="C174" s="50" t="s">
        <v>121</v>
      </c>
      <c r="D174" s="51"/>
      <c r="E174" s="36"/>
      <c r="F174" s="391"/>
    </row>
    <row r="175" spans="1:7" x14ac:dyDescent="0.35">
      <c r="A175" s="45" t="s">
        <v>288</v>
      </c>
      <c r="B175" s="49" t="s">
        <v>122</v>
      </c>
      <c r="C175" s="50" t="s">
        <v>123</v>
      </c>
      <c r="D175" s="51"/>
      <c r="E175" s="36"/>
      <c r="F175" s="391"/>
    </row>
    <row r="176" spans="1:7" x14ac:dyDescent="0.35">
      <c r="A176" s="45" t="s">
        <v>288</v>
      </c>
      <c r="B176" s="49" t="s">
        <v>102</v>
      </c>
      <c r="C176" s="50" t="s">
        <v>124</v>
      </c>
      <c r="D176" s="51"/>
      <c r="E176" s="36"/>
      <c r="F176" s="391"/>
    </row>
    <row r="177" spans="1:7" x14ac:dyDescent="0.35">
      <c r="A177" s="45" t="s">
        <v>288</v>
      </c>
      <c r="B177" s="49" t="s">
        <v>125</v>
      </c>
      <c r="C177" s="50" t="s">
        <v>126</v>
      </c>
      <c r="D177" s="51" t="s">
        <v>147</v>
      </c>
      <c r="E177" s="36">
        <f>'7.tab.'!Z35</f>
        <v>2880488</v>
      </c>
      <c r="F177" s="392"/>
    </row>
    <row r="178" spans="1:7" ht="37.5" customHeight="1" x14ac:dyDescent="0.35">
      <c r="A178" s="45" t="s">
        <v>10</v>
      </c>
      <c r="B178" s="404" t="s">
        <v>291</v>
      </c>
      <c r="C178" s="405"/>
      <c r="D178" s="405"/>
      <c r="E178" s="405"/>
      <c r="F178" s="406"/>
    </row>
    <row r="179" spans="1:7" s="37" customFormat="1" ht="18.649999999999999" customHeight="1" x14ac:dyDescent="0.35">
      <c r="A179" s="45" t="s">
        <v>10</v>
      </c>
      <c r="B179" s="393" t="s">
        <v>2</v>
      </c>
      <c r="C179" s="393"/>
      <c r="D179" s="393"/>
      <c r="E179" s="393"/>
      <c r="F179" s="393"/>
      <c r="G179" s="137"/>
    </row>
    <row r="180" spans="1:7" s="37" customFormat="1" ht="18.649999999999999" customHeight="1" x14ac:dyDescent="0.35">
      <c r="A180" s="45" t="s">
        <v>10</v>
      </c>
      <c r="B180" s="397"/>
      <c r="C180" s="397"/>
      <c r="D180" s="397"/>
      <c r="E180" s="397"/>
      <c r="F180" s="397"/>
      <c r="G180" s="137"/>
    </row>
    <row r="181" spans="1:7" s="37" customFormat="1" ht="18.649999999999999" customHeight="1" x14ac:dyDescent="0.35">
      <c r="A181" s="45" t="s">
        <v>10</v>
      </c>
      <c r="B181" s="393" t="s">
        <v>130</v>
      </c>
      <c r="C181" s="393"/>
      <c r="D181" s="393"/>
      <c r="E181" s="393"/>
      <c r="F181" s="393"/>
      <c r="G181" s="137"/>
    </row>
    <row r="182" spans="1:7" s="37" customFormat="1" ht="18.649999999999999" customHeight="1" x14ac:dyDescent="0.35">
      <c r="A182" s="45" t="s">
        <v>10</v>
      </c>
      <c r="B182" s="394" t="s">
        <v>78</v>
      </c>
      <c r="C182" s="394"/>
      <c r="D182" s="394"/>
      <c r="E182" s="394"/>
      <c r="F182" s="394"/>
      <c r="G182" s="137"/>
    </row>
    <row r="183" spans="1:7" x14ac:dyDescent="0.35">
      <c r="A183" s="45" t="s">
        <v>10</v>
      </c>
      <c r="B183" s="46"/>
      <c r="C183" s="46"/>
      <c r="D183" s="47" t="s">
        <v>333</v>
      </c>
      <c r="E183" s="48">
        <f>SUM(E184:E189)</f>
        <v>49000</v>
      </c>
      <c r="F183" s="390" t="s">
        <v>93</v>
      </c>
    </row>
    <row r="184" spans="1:7" x14ac:dyDescent="0.35">
      <c r="A184" s="45" t="s">
        <v>10</v>
      </c>
      <c r="B184" s="49" t="s">
        <v>116</v>
      </c>
      <c r="C184" s="50" t="s">
        <v>117</v>
      </c>
      <c r="D184" s="51"/>
      <c r="E184" s="36"/>
      <c r="F184" s="391"/>
    </row>
    <row r="185" spans="1:7" ht="125.15" customHeight="1" x14ac:dyDescent="0.35">
      <c r="A185" s="45" t="s">
        <v>10</v>
      </c>
      <c r="B185" s="49" t="s">
        <v>118</v>
      </c>
      <c r="C185" s="50" t="s">
        <v>119</v>
      </c>
      <c r="D185" s="51" t="s">
        <v>258</v>
      </c>
      <c r="E185" s="36">
        <v>49000</v>
      </c>
      <c r="F185" s="391"/>
    </row>
    <row r="186" spans="1:7" x14ac:dyDescent="0.35">
      <c r="A186" s="45" t="s">
        <v>10</v>
      </c>
      <c r="B186" s="49" t="s">
        <v>120</v>
      </c>
      <c r="C186" s="50" t="s">
        <v>121</v>
      </c>
      <c r="D186" s="51"/>
      <c r="E186" s="36"/>
      <c r="F186" s="391"/>
    </row>
    <row r="187" spans="1:7" x14ac:dyDescent="0.35">
      <c r="A187" s="45" t="s">
        <v>10</v>
      </c>
      <c r="B187" s="49" t="s">
        <v>122</v>
      </c>
      <c r="C187" s="50" t="s">
        <v>123</v>
      </c>
      <c r="D187" s="51"/>
      <c r="E187" s="36"/>
      <c r="F187" s="391"/>
    </row>
    <row r="188" spans="1:7" x14ac:dyDescent="0.35">
      <c r="A188" s="45" t="s">
        <v>10</v>
      </c>
      <c r="B188" s="49" t="s">
        <v>102</v>
      </c>
      <c r="C188" s="50" t="s">
        <v>124</v>
      </c>
      <c r="D188" s="51"/>
      <c r="E188" s="36"/>
      <c r="F188" s="391"/>
    </row>
    <row r="189" spans="1:7" x14ac:dyDescent="0.35">
      <c r="A189" s="45" t="s">
        <v>10</v>
      </c>
      <c r="B189" s="49" t="s">
        <v>125</v>
      </c>
      <c r="C189" s="50" t="s">
        <v>126</v>
      </c>
      <c r="D189" s="51"/>
      <c r="E189" s="36"/>
      <c r="F189" s="392"/>
    </row>
    <row r="190" spans="1:7" ht="34.5" customHeight="1" x14ac:dyDescent="0.35">
      <c r="A190" s="45" t="s">
        <v>138</v>
      </c>
      <c r="B190" s="407" t="s">
        <v>292</v>
      </c>
      <c r="C190" s="408"/>
      <c r="D190" s="408"/>
      <c r="E190" s="408"/>
      <c r="F190" s="409"/>
      <c r="G190" s="137" t="s">
        <v>270</v>
      </c>
    </row>
    <row r="191" spans="1:7" s="37" customFormat="1" ht="18.649999999999999" customHeight="1" x14ac:dyDescent="0.35">
      <c r="A191" s="45" t="s">
        <v>138</v>
      </c>
      <c r="B191" s="393" t="s">
        <v>127</v>
      </c>
      <c r="C191" s="393"/>
      <c r="D191" s="393"/>
      <c r="E191" s="393"/>
      <c r="F191" s="393"/>
      <c r="G191" s="137"/>
    </row>
    <row r="192" spans="1:7" s="37" customFormat="1" ht="18.649999999999999" customHeight="1" x14ac:dyDescent="0.35">
      <c r="A192" s="45" t="s">
        <v>138</v>
      </c>
      <c r="B192" s="397"/>
      <c r="C192" s="397"/>
      <c r="D192" s="397"/>
      <c r="E192" s="397"/>
      <c r="F192" s="397"/>
      <c r="G192" s="137"/>
    </row>
    <row r="193" spans="1:7" s="37" customFormat="1" ht="18.649999999999999" customHeight="1" x14ac:dyDescent="0.35">
      <c r="A193" s="45" t="s">
        <v>138</v>
      </c>
      <c r="B193" s="393" t="s">
        <v>0</v>
      </c>
      <c r="C193" s="393"/>
      <c r="D193" s="393"/>
      <c r="E193" s="393"/>
      <c r="F193" s="393"/>
      <c r="G193" s="137"/>
    </row>
    <row r="194" spans="1:7" ht="14.4" customHeight="1" x14ac:dyDescent="0.35">
      <c r="A194" s="45" t="s">
        <v>138</v>
      </c>
      <c r="B194" s="46"/>
      <c r="C194" s="46"/>
      <c r="D194" s="47" t="s">
        <v>333</v>
      </c>
      <c r="E194" s="48">
        <f>SUM(E195:E200)</f>
        <v>2051207</v>
      </c>
      <c r="F194" s="390" t="s">
        <v>53</v>
      </c>
    </row>
    <row r="195" spans="1:7" x14ac:dyDescent="0.35">
      <c r="A195" s="45" t="s">
        <v>138</v>
      </c>
      <c r="B195" s="49" t="s">
        <v>116</v>
      </c>
      <c r="C195" s="50" t="s">
        <v>117</v>
      </c>
      <c r="D195" s="51"/>
      <c r="E195" s="36"/>
      <c r="F195" s="391"/>
    </row>
    <row r="196" spans="1:7" x14ac:dyDescent="0.35">
      <c r="A196" s="45" t="s">
        <v>138</v>
      </c>
      <c r="B196" s="49" t="s">
        <v>118</v>
      </c>
      <c r="C196" s="50" t="s">
        <v>119</v>
      </c>
      <c r="D196" s="51"/>
      <c r="E196" s="36"/>
      <c r="F196" s="391"/>
    </row>
    <row r="197" spans="1:7" x14ac:dyDescent="0.35">
      <c r="A197" s="45" t="s">
        <v>138</v>
      </c>
      <c r="B197" s="49" t="s">
        <v>120</v>
      </c>
      <c r="C197" s="50" t="s">
        <v>121</v>
      </c>
      <c r="D197" s="51"/>
      <c r="E197" s="36"/>
      <c r="F197" s="391"/>
    </row>
    <row r="198" spans="1:7" x14ac:dyDescent="0.35">
      <c r="A198" s="45" t="s">
        <v>138</v>
      </c>
      <c r="B198" s="49" t="s">
        <v>122</v>
      </c>
      <c r="C198" s="50" t="s">
        <v>123</v>
      </c>
      <c r="D198" s="51"/>
      <c r="E198" s="36"/>
      <c r="F198" s="391"/>
    </row>
    <row r="199" spans="1:7" x14ac:dyDescent="0.35">
      <c r="A199" s="45" t="s">
        <v>138</v>
      </c>
      <c r="B199" s="49" t="s">
        <v>102</v>
      </c>
      <c r="C199" s="50" t="s">
        <v>124</v>
      </c>
      <c r="D199" s="51"/>
      <c r="E199" s="36"/>
      <c r="F199" s="391"/>
    </row>
    <row r="200" spans="1:7" x14ac:dyDescent="0.35">
      <c r="A200" s="45" t="s">
        <v>138</v>
      </c>
      <c r="B200" s="49" t="s">
        <v>125</v>
      </c>
      <c r="C200" s="50" t="s">
        <v>126</v>
      </c>
      <c r="D200" s="51" t="s">
        <v>148</v>
      </c>
      <c r="E200" s="36">
        <f>'8.tab.'!Z23</f>
        <v>2051207</v>
      </c>
      <c r="F200" s="392"/>
    </row>
    <row r="201" spans="1:7" ht="27" customHeight="1" x14ac:dyDescent="0.35">
      <c r="A201" s="45" t="s">
        <v>139</v>
      </c>
      <c r="B201" s="407" t="s">
        <v>294</v>
      </c>
      <c r="C201" s="408"/>
      <c r="D201" s="408"/>
      <c r="E201" s="408"/>
      <c r="F201" s="409"/>
    </row>
    <row r="202" spans="1:7" s="37" customFormat="1" ht="18.649999999999999" customHeight="1" x14ac:dyDescent="0.35">
      <c r="A202" s="45" t="s">
        <v>139</v>
      </c>
      <c r="B202" s="393" t="s">
        <v>2</v>
      </c>
      <c r="C202" s="393"/>
      <c r="D202" s="393"/>
      <c r="E202" s="393"/>
      <c r="F202" s="393"/>
      <c r="G202" s="137"/>
    </row>
    <row r="203" spans="1:7" s="37" customFormat="1" ht="24.65" customHeight="1" x14ac:dyDescent="0.35">
      <c r="A203" s="45" t="s">
        <v>139</v>
      </c>
      <c r="B203" s="397"/>
      <c r="C203" s="397"/>
      <c r="D203" s="397"/>
      <c r="E203" s="397"/>
      <c r="F203" s="397"/>
      <c r="G203" s="137"/>
    </row>
    <row r="204" spans="1:7" s="37" customFormat="1" ht="35.4" customHeight="1" x14ac:dyDescent="0.35">
      <c r="A204" s="45" t="s">
        <v>139</v>
      </c>
      <c r="B204" s="393" t="s">
        <v>160</v>
      </c>
      <c r="C204" s="393"/>
      <c r="D204" s="393"/>
      <c r="E204" s="393"/>
      <c r="F204" s="393"/>
      <c r="G204" s="137"/>
    </row>
    <row r="205" spans="1:7" s="37" customFormat="1" ht="18.649999999999999" customHeight="1" x14ac:dyDescent="0.35">
      <c r="A205" s="45" t="s">
        <v>139</v>
      </c>
      <c r="B205" s="394" t="s">
        <v>104</v>
      </c>
      <c r="C205" s="394"/>
      <c r="D205" s="394"/>
      <c r="E205" s="394"/>
      <c r="F205" s="394"/>
      <c r="G205" s="137"/>
    </row>
    <row r="206" spans="1:7" ht="14.4" customHeight="1" x14ac:dyDescent="0.35">
      <c r="A206" s="45" t="s">
        <v>139</v>
      </c>
      <c r="B206" s="46"/>
      <c r="C206" s="46"/>
      <c r="D206" s="47" t="s">
        <v>333</v>
      </c>
      <c r="E206" s="48">
        <f>SUM(E207:E212)</f>
        <v>3780</v>
      </c>
      <c r="F206" s="390" t="s">
        <v>112</v>
      </c>
    </row>
    <row r="207" spans="1:7" x14ac:dyDescent="0.35">
      <c r="A207" s="45" t="s">
        <v>139</v>
      </c>
      <c r="B207" s="49" t="s">
        <v>116</v>
      </c>
      <c r="C207" s="50" t="s">
        <v>117</v>
      </c>
      <c r="D207" s="51"/>
      <c r="E207" s="36"/>
      <c r="F207" s="391"/>
    </row>
    <row r="208" spans="1:7" x14ac:dyDescent="0.35">
      <c r="A208" s="45" t="s">
        <v>139</v>
      </c>
      <c r="B208" s="49" t="s">
        <v>118</v>
      </c>
      <c r="C208" s="50" t="s">
        <v>119</v>
      </c>
      <c r="D208" s="51"/>
      <c r="E208" s="36"/>
      <c r="F208" s="391"/>
    </row>
    <row r="209" spans="1:14" ht="338.4" customHeight="1" x14ac:dyDescent="0.35">
      <c r="A209" s="45" t="s">
        <v>139</v>
      </c>
      <c r="B209" s="49" t="s">
        <v>120</v>
      </c>
      <c r="C209" s="50" t="s">
        <v>121</v>
      </c>
      <c r="D209" s="51" t="s">
        <v>262</v>
      </c>
      <c r="E209" s="36">
        <v>3780</v>
      </c>
      <c r="F209" s="391"/>
      <c r="N209" s="135"/>
    </row>
    <row r="210" spans="1:14" x14ac:dyDescent="0.35">
      <c r="A210" s="45" t="s">
        <v>139</v>
      </c>
      <c r="B210" s="49" t="s">
        <v>122</v>
      </c>
      <c r="C210" s="50" t="s">
        <v>123</v>
      </c>
      <c r="D210" s="51"/>
      <c r="E210" s="36"/>
      <c r="F210" s="391"/>
    </row>
    <row r="211" spans="1:14" x14ac:dyDescent="0.35">
      <c r="A211" s="45" t="s">
        <v>139</v>
      </c>
      <c r="B211" s="49" t="s">
        <v>102</v>
      </c>
      <c r="C211" s="50" t="s">
        <v>124</v>
      </c>
      <c r="D211" s="51"/>
      <c r="E211" s="36"/>
      <c r="F211" s="391"/>
    </row>
    <row r="212" spans="1:14" x14ac:dyDescent="0.35">
      <c r="A212" s="45" t="s">
        <v>139</v>
      </c>
      <c r="B212" s="49" t="s">
        <v>125</v>
      </c>
      <c r="C212" s="50" t="s">
        <v>126</v>
      </c>
      <c r="D212" s="51"/>
      <c r="E212" s="36"/>
      <c r="F212" s="392"/>
    </row>
    <row r="213" spans="1:14" ht="33" customHeight="1" x14ac:dyDescent="0.35">
      <c r="A213" s="45" t="s">
        <v>12</v>
      </c>
      <c r="B213" s="407" t="s">
        <v>295</v>
      </c>
      <c r="C213" s="408"/>
      <c r="D213" s="408"/>
      <c r="E213" s="408"/>
      <c r="F213" s="409"/>
    </row>
    <row r="214" spans="1:14" s="37" customFormat="1" ht="18.649999999999999" customHeight="1" x14ac:dyDescent="0.35">
      <c r="A214" s="45" t="s">
        <v>12</v>
      </c>
      <c r="B214" s="393" t="s">
        <v>2</v>
      </c>
      <c r="C214" s="393"/>
      <c r="D214" s="393"/>
      <c r="E214" s="393"/>
      <c r="F214" s="393"/>
      <c r="G214" s="137"/>
    </row>
    <row r="215" spans="1:14" s="37" customFormat="1" ht="18.649999999999999" customHeight="1" x14ac:dyDescent="0.35">
      <c r="A215" s="45" t="s">
        <v>12</v>
      </c>
      <c r="B215" s="397"/>
      <c r="C215" s="397"/>
      <c r="D215" s="397"/>
      <c r="E215" s="397"/>
      <c r="F215" s="397"/>
      <c r="G215" s="137"/>
    </row>
    <row r="216" spans="1:14" s="37" customFormat="1" ht="18.649999999999999" customHeight="1" x14ac:dyDescent="0.35">
      <c r="A216" s="45" t="s">
        <v>12</v>
      </c>
      <c r="B216" s="393" t="s">
        <v>11</v>
      </c>
      <c r="C216" s="393"/>
      <c r="D216" s="393"/>
      <c r="E216" s="393"/>
      <c r="F216" s="393"/>
      <c r="G216" s="137"/>
    </row>
    <row r="217" spans="1:14" s="37" customFormat="1" ht="18.649999999999999" customHeight="1" x14ac:dyDescent="0.35">
      <c r="A217" s="45" t="s">
        <v>12</v>
      </c>
      <c r="B217" s="410" t="s">
        <v>54</v>
      </c>
      <c r="C217" s="410"/>
      <c r="D217" s="410"/>
      <c r="E217" s="410"/>
      <c r="F217" s="410"/>
      <c r="G217" s="137"/>
    </row>
    <row r="218" spans="1:14" ht="14.4" customHeight="1" x14ac:dyDescent="0.35">
      <c r="A218" s="45" t="s">
        <v>12</v>
      </c>
      <c r="B218" s="46"/>
      <c r="C218" s="46"/>
      <c r="D218" s="47" t="s">
        <v>129</v>
      </c>
      <c r="E218" s="48">
        <f>SUM(E219:E224)</f>
        <v>600995</v>
      </c>
      <c r="F218" s="390" t="s">
        <v>94</v>
      </c>
    </row>
    <row r="219" spans="1:14" x14ac:dyDescent="0.35">
      <c r="A219" s="45" t="s">
        <v>12</v>
      </c>
      <c r="B219" s="49" t="s">
        <v>116</v>
      </c>
      <c r="C219" s="50" t="s">
        <v>117</v>
      </c>
      <c r="D219" s="51"/>
      <c r="E219" s="36"/>
      <c r="F219" s="391"/>
    </row>
    <row r="220" spans="1:14" x14ac:dyDescent="0.35">
      <c r="A220" s="45" t="s">
        <v>12</v>
      </c>
      <c r="B220" s="49" t="s">
        <v>118</v>
      </c>
      <c r="C220" s="50" t="s">
        <v>119</v>
      </c>
      <c r="D220" s="51"/>
      <c r="E220" s="36"/>
      <c r="F220" s="391"/>
    </row>
    <row r="221" spans="1:14" x14ac:dyDescent="0.35">
      <c r="A221" s="45" t="s">
        <v>12</v>
      </c>
      <c r="B221" s="49" t="s">
        <v>120</v>
      </c>
      <c r="C221" s="50" t="s">
        <v>121</v>
      </c>
      <c r="D221" s="51"/>
      <c r="E221" s="36"/>
      <c r="F221" s="391"/>
    </row>
    <row r="222" spans="1:14" x14ac:dyDescent="0.35">
      <c r="A222" s="45" t="s">
        <v>12</v>
      </c>
      <c r="B222" s="49" t="s">
        <v>122</v>
      </c>
      <c r="C222" s="50" t="s">
        <v>123</v>
      </c>
      <c r="D222" s="51"/>
      <c r="E222" s="36"/>
      <c r="F222" s="391"/>
    </row>
    <row r="223" spans="1:14" x14ac:dyDescent="0.35">
      <c r="A223" s="45" t="s">
        <v>12</v>
      </c>
      <c r="B223" s="49" t="s">
        <v>102</v>
      </c>
      <c r="C223" s="50" t="s">
        <v>124</v>
      </c>
      <c r="D223" s="51" t="s">
        <v>149</v>
      </c>
      <c r="E223" s="36">
        <f>'9.tab.'!AA21</f>
        <v>600995</v>
      </c>
      <c r="F223" s="391"/>
    </row>
    <row r="224" spans="1:14" x14ac:dyDescent="0.35">
      <c r="A224" s="45" t="s">
        <v>12</v>
      </c>
      <c r="B224" s="49" t="s">
        <v>125</v>
      </c>
      <c r="C224" s="50" t="s">
        <v>126</v>
      </c>
      <c r="D224" s="51"/>
      <c r="E224" s="36"/>
      <c r="F224" s="392"/>
    </row>
    <row r="225" spans="1:7" ht="36.75" customHeight="1" x14ac:dyDescent="0.35">
      <c r="A225" s="45" t="s">
        <v>14</v>
      </c>
      <c r="B225" s="407" t="s">
        <v>131</v>
      </c>
      <c r="C225" s="408"/>
      <c r="D225" s="408"/>
      <c r="E225" s="408"/>
      <c r="F225" s="409"/>
    </row>
    <row r="226" spans="1:7" s="37" customFormat="1" ht="18.649999999999999" customHeight="1" x14ac:dyDescent="0.35">
      <c r="A226" s="45" t="s">
        <v>14</v>
      </c>
      <c r="B226" s="393" t="s">
        <v>2</v>
      </c>
      <c r="C226" s="393"/>
      <c r="D226" s="393"/>
      <c r="E226" s="393"/>
      <c r="F226" s="393"/>
      <c r="G226" s="137"/>
    </row>
    <row r="227" spans="1:7" s="37" customFormat="1" ht="18.649999999999999" customHeight="1" x14ac:dyDescent="0.35">
      <c r="A227" s="45" t="s">
        <v>14</v>
      </c>
      <c r="B227" s="397"/>
      <c r="C227" s="397"/>
      <c r="D227" s="397"/>
      <c r="E227" s="397"/>
      <c r="F227" s="397"/>
      <c r="G227" s="137"/>
    </row>
    <row r="228" spans="1:7" s="37" customFormat="1" ht="18.649999999999999" customHeight="1" x14ac:dyDescent="0.35">
      <c r="A228" s="45" t="s">
        <v>14</v>
      </c>
      <c r="B228" s="393" t="s">
        <v>13</v>
      </c>
      <c r="C228" s="393"/>
      <c r="D228" s="393"/>
      <c r="E228" s="393"/>
      <c r="F228" s="393"/>
      <c r="G228" s="137"/>
    </row>
    <row r="229" spans="1:7" s="37" customFormat="1" ht="18.649999999999999" customHeight="1" x14ac:dyDescent="0.35">
      <c r="A229" s="45" t="s">
        <v>14</v>
      </c>
      <c r="B229" s="410" t="s">
        <v>257</v>
      </c>
      <c r="C229" s="410"/>
      <c r="D229" s="410"/>
      <c r="E229" s="410"/>
      <c r="F229" s="410"/>
      <c r="G229" s="137"/>
    </row>
    <row r="230" spans="1:7" ht="14.4" customHeight="1" x14ac:dyDescent="0.35">
      <c r="A230" s="45" t="s">
        <v>14</v>
      </c>
      <c r="B230" s="46"/>
      <c r="C230" s="46"/>
      <c r="D230" s="47" t="s">
        <v>333</v>
      </c>
      <c r="E230" s="48">
        <f>SUM(E231:E236)</f>
        <v>2800000</v>
      </c>
      <c r="F230" s="390" t="s">
        <v>109</v>
      </c>
    </row>
    <row r="231" spans="1:7" x14ac:dyDescent="0.35">
      <c r="A231" s="45" t="s">
        <v>14</v>
      </c>
      <c r="B231" s="49" t="s">
        <v>116</v>
      </c>
      <c r="C231" s="50" t="s">
        <v>117</v>
      </c>
      <c r="D231" s="51"/>
      <c r="E231" s="36"/>
      <c r="F231" s="391"/>
    </row>
    <row r="232" spans="1:7" x14ac:dyDescent="0.35">
      <c r="A232" s="45" t="s">
        <v>14</v>
      </c>
      <c r="B232" s="49" t="s">
        <v>118</v>
      </c>
      <c r="C232" s="50" t="s">
        <v>119</v>
      </c>
      <c r="D232" s="51"/>
      <c r="E232" s="36"/>
      <c r="F232" s="391"/>
    </row>
    <row r="233" spans="1:7" x14ac:dyDescent="0.35">
      <c r="A233" s="45" t="s">
        <v>14</v>
      </c>
      <c r="B233" s="49" t="s">
        <v>120</v>
      </c>
      <c r="C233" s="50" t="s">
        <v>121</v>
      </c>
      <c r="D233" s="51"/>
      <c r="E233" s="36"/>
      <c r="F233" s="391"/>
    </row>
    <row r="234" spans="1:7" x14ac:dyDescent="0.35">
      <c r="A234" s="45" t="s">
        <v>14</v>
      </c>
      <c r="B234" s="49" t="s">
        <v>122</v>
      </c>
      <c r="C234" s="50" t="s">
        <v>123</v>
      </c>
      <c r="D234" s="51"/>
      <c r="E234" s="36"/>
      <c r="F234" s="391"/>
    </row>
    <row r="235" spans="1:7" ht="86.4" customHeight="1" x14ac:dyDescent="0.35">
      <c r="A235" s="45" t="s">
        <v>14</v>
      </c>
      <c r="B235" s="49" t="s">
        <v>102</v>
      </c>
      <c r="C235" s="50" t="s">
        <v>124</v>
      </c>
      <c r="D235" s="51" t="s">
        <v>218</v>
      </c>
      <c r="E235" s="36">
        <f>4000*700</f>
        <v>2800000</v>
      </c>
      <c r="F235" s="391"/>
    </row>
    <row r="236" spans="1:7" x14ac:dyDescent="0.35">
      <c r="A236" s="45" t="s">
        <v>14</v>
      </c>
      <c r="B236" s="49" t="s">
        <v>125</v>
      </c>
      <c r="C236" s="50" t="s">
        <v>126</v>
      </c>
      <c r="D236" s="51"/>
      <c r="E236" s="36"/>
      <c r="F236" s="392"/>
    </row>
    <row r="237" spans="1:7" x14ac:dyDescent="0.35">
      <c r="A237" s="45"/>
    </row>
  </sheetData>
  <mergeCells count="119">
    <mergeCell ref="B51:F51"/>
    <mergeCell ref="B43:F43"/>
    <mergeCell ref="B15:F15"/>
    <mergeCell ref="B16:F16"/>
    <mergeCell ref="B18:F18"/>
    <mergeCell ref="B26:F26"/>
    <mergeCell ref="B27:F27"/>
    <mergeCell ref="B17:F17"/>
    <mergeCell ref="B3:F3"/>
    <mergeCell ref="B4:F4"/>
    <mergeCell ref="B5:B6"/>
    <mergeCell ref="C5:C6"/>
    <mergeCell ref="D5:D6"/>
    <mergeCell ref="E5:E6"/>
    <mergeCell ref="F5:F6"/>
    <mergeCell ref="F19:F25"/>
    <mergeCell ref="F30:F36"/>
    <mergeCell ref="B29:F29"/>
    <mergeCell ref="B39:F39"/>
    <mergeCell ref="B40:F40"/>
    <mergeCell ref="B42:F42"/>
    <mergeCell ref="B66:F66"/>
    <mergeCell ref="B67:F67"/>
    <mergeCell ref="B110:F110"/>
    <mergeCell ref="B111:F111"/>
    <mergeCell ref="B112:F112"/>
    <mergeCell ref="B113:F113"/>
    <mergeCell ref="B75:F75"/>
    <mergeCell ref="B76:F76"/>
    <mergeCell ref="B78:F78"/>
    <mergeCell ref="B101:F101"/>
    <mergeCell ref="F79:F85"/>
    <mergeCell ref="B86:F86"/>
    <mergeCell ref="B87:F87"/>
    <mergeCell ref="B89:F89"/>
    <mergeCell ref="B90:F90"/>
    <mergeCell ref="F91:F97"/>
    <mergeCell ref="B134:F134"/>
    <mergeCell ref="B135:F135"/>
    <mergeCell ref="B143:F143"/>
    <mergeCell ref="B144:F144"/>
    <mergeCell ref="B145:F145"/>
    <mergeCell ref="B147:F147"/>
    <mergeCell ref="B146:F146"/>
    <mergeCell ref="B121:F121"/>
    <mergeCell ref="B122:F122"/>
    <mergeCell ref="B123:F123"/>
    <mergeCell ref="B124:F124"/>
    <mergeCell ref="B132:F132"/>
    <mergeCell ref="B133:F133"/>
    <mergeCell ref="B169:F169"/>
    <mergeCell ref="B170:F170"/>
    <mergeCell ref="B178:F178"/>
    <mergeCell ref="B179:F179"/>
    <mergeCell ref="B180:F180"/>
    <mergeCell ref="B182:F182"/>
    <mergeCell ref="B155:F155"/>
    <mergeCell ref="B156:F156"/>
    <mergeCell ref="B157:F157"/>
    <mergeCell ref="B159:F159"/>
    <mergeCell ref="B167:F167"/>
    <mergeCell ref="B168:F168"/>
    <mergeCell ref="F206:F212"/>
    <mergeCell ref="B216:F216"/>
    <mergeCell ref="B190:F190"/>
    <mergeCell ref="B191:F191"/>
    <mergeCell ref="B192:F192"/>
    <mergeCell ref="B193:F193"/>
    <mergeCell ref="B201:F201"/>
    <mergeCell ref="B202:F202"/>
    <mergeCell ref="F194:F200"/>
    <mergeCell ref="F218:F224"/>
    <mergeCell ref="B228:F228"/>
    <mergeCell ref="F230:F236"/>
    <mergeCell ref="F183:F189"/>
    <mergeCell ref="F44:F50"/>
    <mergeCell ref="B41:F41"/>
    <mergeCell ref="B56:F56"/>
    <mergeCell ref="F57:F63"/>
    <mergeCell ref="B52:F52"/>
    <mergeCell ref="B53:F53"/>
    <mergeCell ref="B54:F54"/>
    <mergeCell ref="B55:F55"/>
    <mergeCell ref="B64:F64"/>
    <mergeCell ref="B225:F225"/>
    <mergeCell ref="B226:F226"/>
    <mergeCell ref="B227:F227"/>
    <mergeCell ref="B229:F229"/>
    <mergeCell ref="B203:F203"/>
    <mergeCell ref="B205:F205"/>
    <mergeCell ref="B213:F213"/>
    <mergeCell ref="B214:F214"/>
    <mergeCell ref="B215:F215"/>
    <mergeCell ref="B217:F217"/>
    <mergeCell ref="B204:F204"/>
    <mergeCell ref="A2:F2"/>
    <mergeCell ref="A1:F1"/>
    <mergeCell ref="C7:D7"/>
    <mergeCell ref="B14:F14"/>
    <mergeCell ref="F148:F154"/>
    <mergeCell ref="B158:F158"/>
    <mergeCell ref="F160:F166"/>
    <mergeCell ref="F171:F177"/>
    <mergeCell ref="B181:F181"/>
    <mergeCell ref="B102:F102"/>
    <mergeCell ref="F103:F109"/>
    <mergeCell ref="D45:D46"/>
    <mergeCell ref="F114:F120"/>
    <mergeCell ref="F125:F131"/>
    <mergeCell ref="F136:F142"/>
    <mergeCell ref="B77:F77"/>
    <mergeCell ref="B88:F88"/>
    <mergeCell ref="B98:F98"/>
    <mergeCell ref="B99:F99"/>
    <mergeCell ref="B100:F100"/>
    <mergeCell ref="B37:F37"/>
    <mergeCell ref="B38:F38"/>
    <mergeCell ref="B65:F65"/>
    <mergeCell ref="B28:F28"/>
  </mergeCells>
  <pageMargins left="0.9055118110236221" right="0.70866141732283472" top="0.74803149606299213" bottom="0.74803149606299213" header="0.31496062992125984" footer="0.31496062992125984"/>
  <pageSetup scale="7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21"/>
  <sheetViews>
    <sheetView topLeftCell="A8" zoomScale="60" zoomScaleNormal="60" workbookViewId="0">
      <selection activeCell="I14" sqref="I14"/>
    </sheetView>
  </sheetViews>
  <sheetFormatPr defaultColWidth="8.90625" defaultRowHeight="14" x14ac:dyDescent="0.3"/>
  <cols>
    <col min="1" max="1" width="22" style="99" customWidth="1"/>
    <col min="2" max="2" width="7.54296875" style="99" customWidth="1"/>
    <col min="3" max="3" width="12.453125" style="99" customWidth="1"/>
    <col min="4" max="4" width="7.54296875" style="99" customWidth="1"/>
    <col min="5" max="5" width="12.453125" style="99" customWidth="1"/>
    <col min="6" max="6" width="7.54296875" style="99" customWidth="1"/>
    <col min="7" max="7" width="12.453125" style="99" customWidth="1"/>
    <col min="8" max="8" width="7.54296875" style="99" customWidth="1"/>
    <col min="9" max="9" width="12.453125" style="99" customWidth="1"/>
    <col min="10" max="10" width="7.54296875" style="99" customWidth="1"/>
    <col min="11" max="11" width="12.453125" style="99" customWidth="1"/>
    <col min="12" max="12" width="7.54296875" style="99" customWidth="1"/>
    <col min="13" max="13" width="12.453125" style="99" customWidth="1"/>
    <col min="14" max="14" width="7.54296875" style="99" customWidth="1"/>
    <col min="15" max="15" width="12.453125" style="99" customWidth="1"/>
    <col min="16" max="16" width="7.54296875" style="99" customWidth="1"/>
    <col min="17" max="17" width="12.453125" style="99" customWidth="1"/>
    <col min="18" max="18" width="7.54296875" style="99" customWidth="1"/>
    <col min="19" max="19" width="12.453125" style="99" customWidth="1"/>
    <col min="20" max="20" width="7.54296875" style="99" customWidth="1"/>
    <col min="21" max="21" width="12.453125" style="99" customWidth="1"/>
    <col min="22" max="22" width="7.54296875" style="99" customWidth="1"/>
    <col min="23" max="23" width="12.453125" style="99" customWidth="1"/>
    <col min="24" max="24" width="7.54296875" style="99" customWidth="1"/>
    <col min="25" max="25" width="12.453125" style="99" customWidth="1"/>
    <col min="26" max="26" width="15.453125" style="99" customWidth="1"/>
    <col min="27" max="16384" width="8.90625" style="99"/>
  </cols>
  <sheetData>
    <row r="1" spans="1:26" ht="15.5" x14ac:dyDescent="0.35">
      <c r="A1" s="420" t="s">
        <v>158</v>
      </c>
      <c r="B1" s="420"/>
      <c r="C1" s="420"/>
      <c r="D1" s="420"/>
      <c r="E1" s="420"/>
      <c r="F1" s="420"/>
      <c r="G1" s="420"/>
      <c r="H1" s="420"/>
      <c r="I1" s="420"/>
      <c r="J1" s="420"/>
      <c r="K1" s="420"/>
      <c r="L1" s="420"/>
      <c r="M1" s="420"/>
      <c r="N1" s="420"/>
      <c r="O1" s="420"/>
      <c r="P1" s="420"/>
      <c r="Q1" s="420"/>
      <c r="R1" s="420"/>
      <c r="S1" s="420"/>
      <c r="T1" s="420"/>
      <c r="U1" s="420"/>
      <c r="V1" s="420"/>
      <c r="W1" s="420"/>
      <c r="X1" s="420"/>
      <c r="Y1" s="420"/>
      <c r="Z1" s="420"/>
    </row>
    <row r="2" spans="1:26" ht="15.5" x14ac:dyDescent="0.35">
      <c r="A2" s="420" t="s">
        <v>162</v>
      </c>
      <c r="B2" s="420"/>
      <c r="C2" s="420"/>
      <c r="D2" s="420"/>
      <c r="E2" s="420"/>
      <c r="F2" s="420"/>
      <c r="G2" s="420"/>
      <c r="H2" s="420"/>
      <c r="I2" s="420"/>
      <c r="J2" s="420"/>
      <c r="K2" s="420"/>
      <c r="L2" s="420"/>
      <c r="M2" s="420"/>
      <c r="N2" s="420"/>
      <c r="O2" s="420"/>
      <c r="P2" s="420"/>
      <c r="Q2" s="420"/>
      <c r="R2" s="420"/>
      <c r="S2" s="420"/>
      <c r="T2" s="420"/>
      <c r="U2" s="420"/>
      <c r="V2" s="420"/>
      <c r="W2" s="420"/>
      <c r="X2" s="420"/>
      <c r="Y2" s="420"/>
      <c r="Z2" s="420"/>
    </row>
    <row r="3" spans="1:26" ht="40.4" customHeight="1" x14ac:dyDescent="0.3">
      <c r="A3" s="424" t="str">
        <f>'Ietekme uz valsts budžetu 2024'!B15</f>
        <v>3.3. Virsstundu darba vai papildu darba apmaksa bāriņtiesu un pašvaldības sociālo dienestu darbiniekiem</v>
      </c>
      <c r="B3" s="424"/>
      <c r="C3" s="424"/>
      <c r="D3" s="424"/>
      <c r="E3" s="424"/>
      <c r="F3" s="425"/>
      <c r="G3" s="425"/>
      <c r="H3" s="425"/>
      <c r="I3" s="425"/>
      <c r="J3" s="425"/>
      <c r="K3" s="425"/>
      <c r="L3" s="425"/>
      <c r="M3" s="425"/>
      <c r="N3" s="425"/>
      <c r="O3" s="425"/>
      <c r="P3" s="425"/>
      <c r="Q3" s="425"/>
      <c r="R3" s="425"/>
      <c r="S3" s="425"/>
      <c r="T3" s="425"/>
      <c r="U3" s="425"/>
      <c r="V3" s="425"/>
      <c r="W3" s="425"/>
      <c r="X3" s="425"/>
      <c r="Y3" s="425"/>
      <c r="Z3" s="425"/>
    </row>
    <row r="4" spans="1:26" x14ac:dyDescent="0.3">
      <c r="A4" s="427" t="s">
        <v>41</v>
      </c>
      <c r="B4" s="426" t="s">
        <v>90</v>
      </c>
      <c r="C4" s="426"/>
      <c r="D4" s="426" t="s">
        <v>90</v>
      </c>
      <c r="E4" s="426"/>
      <c r="F4" s="426" t="s">
        <v>90</v>
      </c>
      <c r="G4" s="426"/>
      <c r="H4" s="426" t="s">
        <v>90</v>
      </c>
      <c r="I4" s="426"/>
      <c r="J4" s="426" t="s">
        <v>90</v>
      </c>
      <c r="K4" s="426"/>
      <c r="L4" s="426" t="s">
        <v>90</v>
      </c>
      <c r="M4" s="426"/>
      <c r="N4" s="426" t="s">
        <v>90</v>
      </c>
      <c r="O4" s="426"/>
      <c r="P4" s="426" t="s">
        <v>90</v>
      </c>
      <c r="Q4" s="426"/>
      <c r="R4" s="426" t="s">
        <v>90</v>
      </c>
      <c r="S4" s="426"/>
      <c r="T4" s="426" t="s">
        <v>90</v>
      </c>
      <c r="U4" s="426"/>
      <c r="V4" s="426" t="s">
        <v>90</v>
      </c>
      <c r="W4" s="426"/>
      <c r="X4" s="426" t="s">
        <v>90</v>
      </c>
      <c r="Y4" s="426"/>
      <c r="Z4" s="428" t="s">
        <v>90</v>
      </c>
    </row>
    <row r="5" spans="1:26" x14ac:dyDescent="0.3">
      <c r="A5" s="427"/>
      <c r="B5" s="421" t="s">
        <v>95</v>
      </c>
      <c r="C5" s="421"/>
      <c r="D5" s="421" t="s">
        <v>96</v>
      </c>
      <c r="E5" s="421"/>
      <c r="F5" s="421" t="s">
        <v>17</v>
      </c>
      <c r="G5" s="421"/>
      <c r="H5" s="421" t="s">
        <v>18</v>
      </c>
      <c r="I5" s="421"/>
      <c r="J5" s="422" t="s">
        <v>19</v>
      </c>
      <c r="K5" s="423"/>
      <c r="L5" s="421" t="s">
        <v>20</v>
      </c>
      <c r="M5" s="421"/>
      <c r="N5" s="422" t="s">
        <v>21</v>
      </c>
      <c r="O5" s="423"/>
      <c r="P5" s="421" t="s">
        <v>22</v>
      </c>
      <c r="Q5" s="421"/>
      <c r="R5" s="422" t="s">
        <v>164</v>
      </c>
      <c r="S5" s="421"/>
      <c r="T5" s="421" t="s">
        <v>165</v>
      </c>
      <c r="U5" s="421"/>
      <c r="V5" s="421" t="s">
        <v>166</v>
      </c>
      <c r="W5" s="421"/>
      <c r="X5" s="421" t="s">
        <v>167</v>
      </c>
      <c r="Y5" s="421"/>
      <c r="Z5" s="429"/>
    </row>
    <row r="6" spans="1:26" x14ac:dyDescent="0.3">
      <c r="A6" s="427"/>
      <c r="B6" s="12"/>
      <c r="C6" s="10" t="s">
        <v>27</v>
      </c>
      <c r="D6" s="15"/>
      <c r="E6" s="18" t="s">
        <v>27</v>
      </c>
      <c r="F6" s="12"/>
      <c r="G6" s="10" t="s">
        <v>27</v>
      </c>
      <c r="H6" s="15"/>
      <c r="I6" s="18" t="s">
        <v>27</v>
      </c>
      <c r="J6" s="12"/>
      <c r="K6" s="18" t="s">
        <v>27</v>
      </c>
      <c r="L6" s="12"/>
      <c r="M6" s="18" t="s">
        <v>27</v>
      </c>
      <c r="N6" s="12"/>
      <c r="O6" s="18" t="s">
        <v>27</v>
      </c>
      <c r="P6" s="12"/>
      <c r="Q6" s="18" t="s">
        <v>27</v>
      </c>
      <c r="R6" s="160"/>
      <c r="S6" s="281" t="s">
        <v>27</v>
      </c>
      <c r="T6" s="162"/>
      <c r="U6" s="281" t="s">
        <v>27</v>
      </c>
      <c r="V6" s="162"/>
      <c r="W6" s="281" t="s">
        <v>27</v>
      </c>
      <c r="X6" s="162"/>
      <c r="Y6" s="281" t="s">
        <v>27</v>
      </c>
      <c r="Z6" s="163" t="s">
        <v>27</v>
      </c>
    </row>
    <row r="7" spans="1:26" ht="65.400000000000006" customHeight="1" x14ac:dyDescent="0.3">
      <c r="A7" s="427"/>
      <c r="B7" s="13" t="s">
        <v>29</v>
      </c>
      <c r="C7" s="104" t="s">
        <v>30</v>
      </c>
      <c r="D7" s="16" t="s">
        <v>29</v>
      </c>
      <c r="E7" s="105" t="s">
        <v>30</v>
      </c>
      <c r="F7" s="13" t="s">
        <v>29</v>
      </c>
      <c r="G7" s="104" t="s">
        <v>30</v>
      </c>
      <c r="H7" s="16" t="s">
        <v>29</v>
      </c>
      <c r="I7" s="105" t="s">
        <v>30</v>
      </c>
      <c r="J7" s="13" t="s">
        <v>29</v>
      </c>
      <c r="K7" s="105" t="s">
        <v>30</v>
      </c>
      <c r="L7" s="13" t="s">
        <v>29</v>
      </c>
      <c r="M7" s="105" t="s">
        <v>30</v>
      </c>
      <c r="N7" s="13" t="s">
        <v>29</v>
      </c>
      <c r="O7" s="105" t="s">
        <v>30</v>
      </c>
      <c r="P7" s="13" t="s">
        <v>29</v>
      </c>
      <c r="Q7" s="105" t="s">
        <v>30</v>
      </c>
      <c r="R7" s="164" t="s">
        <v>29</v>
      </c>
      <c r="S7" s="282" t="s">
        <v>31</v>
      </c>
      <c r="T7" s="165" t="s">
        <v>29</v>
      </c>
      <c r="U7" s="282" t="s">
        <v>31</v>
      </c>
      <c r="V7" s="165" t="s">
        <v>29</v>
      </c>
      <c r="W7" s="282" t="s">
        <v>31</v>
      </c>
      <c r="X7" s="165" t="s">
        <v>29</v>
      </c>
      <c r="Y7" s="282" t="s">
        <v>31</v>
      </c>
      <c r="Z7" s="159" t="s">
        <v>106</v>
      </c>
    </row>
    <row r="8" spans="1:26" s="187" customFormat="1" ht="10.5" x14ac:dyDescent="0.25">
      <c r="A8" s="52" t="s">
        <v>42</v>
      </c>
      <c r="B8" s="14">
        <v>1</v>
      </c>
      <c r="C8" s="11">
        <v>2</v>
      </c>
      <c r="D8" s="17">
        <v>3</v>
      </c>
      <c r="E8" s="20">
        <v>4</v>
      </c>
      <c r="F8" s="14">
        <v>5</v>
      </c>
      <c r="G8" s="11">
        <v>6</v>
      </c>
      <c r="H8" s="17">
        <v>7</v>
      </c>
      <c r="I8" s="20">
        <v>8</v>
      </c>
      <c r="J8" s="14">
        <v>9</v>
      </c>
      <c r="K8" s="20">
        <v>10</v>
      </c>
      <c r="L8" s="14">
        <v>11</v>
      </c>
      <c r="M8" s="20">
        <v>12</v>
      </c>
      <c r="N8" s="14">
        <v>13</v>
      </c>
      <c r="O8" s="20">
        <v>14</v>
      </c>
      <c r="P8" s="14">
        <v>15</v>
      </c>
      <c r="Q8" s="20">
        <v>16</v>
      </c>
      <c r="R8" s="9">
        <v>17</v>
      </c>
      <c r="S8" s="283">
        <v>18</v>
      </c>
      <c r="T8" s="167">
        <v>19</v>
      </c>
      <c r="U8" s="283">
        <v>20</v>
      </c>
      <c r="V8" s="167">
        <v>21</v>
      </c>
      <c r="W8" s="283">
        <v>22</v>
      </c>
      <c r="X8" s="167">
        <v>23</v>
      </c>
      <c r="Y8" s="283">
        <v>24</v>
      </c>
      <c r="Z8" s="168">
        <v>25</v>
      </c>
    </row>
    <row r="9" spans="1:26" ht="97.4" customHeight="1" x14ac:dyDescent="0.3">
      <c r="A9" s="8" t="s">
        <v>107</v>
      </c>
      <c r="B9" s="83" t="s">
        <v>35</v>
      </c>
      <c r="C9" s="284">
        <f>C10+C11</f>
        <v>82658.63</v>
      </c>
      <c r="D9" s="83" t="s">
        <v>35</v>
      </c>
      <c r="E9" s="284">
        <f>E10+E11</f>
        <v>175311.62</v>
      </c>
      <c r="F9" s="83" t="s">
        <v>35</v>
      </c>
      <c r="G9" s="284">
        <f>G10+G11</f>
        <v>190022.59</v>
      </c>
      <c r="H9" s="83" t="s">
        <v>35</v>
      </c>
      <c r="I9" s="284">
        <f>I10+I11</f>
        <v>169374.25999999998</v>
      </c>
      <c r="J9" s="85" t="s">
        <v>35</v>
      </c>
      <c r="K9" s="284">
        <f>K10+K11</f>
        <v>169216.83</v>
      </c>
      <c r="L9" s="83" t="s">
        <v>35</v>
      </c>
      <c r="M9" s="284">
        <f>M10+M11</f>
        <v>157080.91999999998</v>
      </c>
      <c r="N9" s="85" t="s">
        <v>35</v>
      </c>
      <c r="O9" s="284">
        <f>O10+O11</f>
        <v>136711.76999999999</v>
      </c>
      <c r="P9" s="83" t="s">
        <v>35</v>
      </c>
      <c r="Q9" s="284">
        <f>Q10+Q11</f>
        <v>133006.24</v>
      </c>
      <c r="R9" s="83" t="s">
        <v>35</v>
      </c>
      <c r="S9" s="285">
        <f>S10+S11</f>
        <v>159237</v>
      </c>
      <c r="T9" s="83" t="s">
        <v>35</v>
      </c>
      <c r="U9" s="285">
        <f>U10+U11</f>
        <v>159237</v>
      </c>
      <c r="V9" s="83" t="s">
        <v>35</v>
      </c>
      <c r="W9" s="285">
        <f>W10+W11</f>
        <v>159237</v>
      </c>
      <c r="X9" s="83" t="s">
        <v>35</v>
      </c>
      <c r="Y9" s="285">
        <f>Y10+Y11</f>
        <v>159237</v>
      </c>
      <c r="Z9" s="286">
        <f>Z10+Z11</f>
        <v>1850330.86</v>
      </c>
    </row>
    <row r="10" spans="1:26" ht="20.399999999999999" customHeight="1" x14ac:dyDescent="0.3">
      <c r="A10" s="21" t="s">
        <v>47</v>
      </c>
      <c r="B10" s="83">
        <v>261</v>
      </c>
      <c r="C10" s="84">
        <v>82658.63</v>
      </c>
      <c r="D10" s="83">
        <v>487</v>
      </c>
      <c r="E10" s="84">
        <v>173672.37</v>
      </c>
      <c r="F10" s="83">
        <v>480</v>
      </c>
      <c r="G10" s="84">
        <v>188697.47</v>
      </c>
      <c r="H10" s="83">
        <v>454</v>
      </c>
      <c r="I10" s="84">
        <v>167022.74</v>
      </c>
      <c r="J10" s="85">
        <v>470</v>
      </c>
      <c r="K10" s="86">
        <v>166977.71</v>
      </c>
      <c r="L10" s="83">
        <v>439</v>
      </c>
      <c r="M10" s="84">
        <v>156043.49</v>
      </c>
      <c r="N10" s="85">
        <v>425</v>
      </c>
      <c r="O10" s="86">
        <v>135583.32999999999</v>
      </c>
      <c r="P10" s="83">
        <v>409</v>
      </c>
      <c r="Q10" s="84">
        <v>131023.92</v>
      </c>
      <c r="R10" s="83">
        <f>ROUNDUP(AVERAGE(P10,N10,L10,J10,H10,F10),0)</f>
        <v>447</v>
      </c>
      <c r="S10" s="287">
        <f>ROUNDUP(AVERAGE(Q10,O10,M10,K10,I10,G10),0)</f>
        <v>157559</v>
      </c>
      <c r="T10" s="83">
        <f t="shared" ref="T10:Y11" si="0">R10</f>
        <v>447</v>
      </c>
      <c r="U10" s="287">
        <f t="shared" si="0"/>
        <v>157559</v>
      </c>
      <c r="V10" s="83">
        <f t="shared" si="0"/>
        <v>447</v>
      </c>
      <c r="W10" s="287">
        <f t="shared" si="0"/>
        <v>157559</v>
      </c>
      <c r="X10" s="83">
        <f t="shared" si="0"/>
        <v>447</v>
      </c>
      <c r="Y10" s="287">
        <f t="shared" si="0"/>
        <v>157559</v>
      </c>
      <c r="Z10" s="288">
        <f>G10+I10+K10+M10+O10+Q10+S10+U10+W10+Y10+C10+E10</f>
        <v>1831915.6600000001</v>
      </c>
    </row>
    <row r="11" spans="1:26" ht="20.399999999999999" customHeight="1" x14ac:dyDescent="0.3">
      <c r="A11" s="21" t="s">
        <v>48</v>
      </c>
      <c r="B11" s="83">
        <v>0</v>
      </c>
      <c r="C11" s="84">
        <v>0</v>
      </c>
      <c r="D11" s="83">
        <v>4</v>
      </c>
      <c r="E11" s="84">
        <v>1639.25</v>
      </c>
      <c r="F11" s="83">
        <v>4</v>
      </c>
      <c r="G11" s="84">
        <v>1325.12</v>
      </c>
      <c r="H11" s="83">
        <v>4</v>
      </c>
      <c r="I11" s="84">
        <v>2351.52</v>
      </c>
      <c r="J11" s="85">
        <v>5</v>
      </c>
      <c r="K11" s="86">
        <v>2239.12</v>
      </c>
      <c r="L11" s="83">
        <v>2</v>
      </c>
      <c r="M11" s="84">
        <v>1037.43</v>
      </c>
      <c r="N11" s="85">
        <v>2</v>
      </c>
      <c r="O11" s="86">
        <v>1128.44</v>
      </c>
      <c r="P11" s="83">
        <v>6</v>
      </c>
      <c r="Q11" s="84">
        <v>1982.32</v>
      </c>
      <c r="R11" s="83">
        <f>ROUNDUP(AVERAGE(P11,N11,L11,J11,H11,F11),0)</f>
        <v>4</v>
      </c>
      <c r="S11" s="287">
        <f>ROUNDUP(AVERAGE(Q11,O11,M11,K11,I11,G11),0)</f>
        <v>1678</v>
      </c>
      <c r="T11" s="83">
        <f t="shared" si="0"/>
        <v>4</v>
      </c>
      <c r="U11" s="287">
        <f t="shared" si="0"/>
        <v>1678</v>
      </c>
      <c r="V11" s="83">
        <f t="shared" si="0"/>
        <v>4</v>
      </c>
      <c r="W11" s="287">
        <f t="shared" si="0"/>
        <v>1678</v>
      </c>
      <c r="X11" s="83">
        <f t="shared" si="0"/>
        <v>4</v>
      </c>
      <c r="Y11" s="287">
        <f t="shared" si="0"/>
        <v>1678</v>
      </c>
      <c r="Z11" s="288">
        <f>G11+I11+K11+M11+O11+Q11+S11+U11+W11+Y11+C11+E11</f>
        <v>18415.2</v>
      </c>
    </row>
    <row r="12" spans="1:26" ht="48" customHeight="1" x14ac:dyDescent="0.3">
      <c r="A12" s="430" t="s">
        <v>168</v>
      </c>
      <c r="B12" s="430"/>
      <c r="C12" s="430"/>
      <c r="D12" s="430"/>
      <c r="E12" s="430"/>
      <c r="F12" s="430"/>
      <c r="G12" s="430"/>
      <c r="H12" s="430"/>
      <c r="I12" s="430"/>
      <c r="J12" s="430"/>
      <c r="K12" s="430"/>
      <c r="L12" s="430"/>
      <c r="M12" s="430"/>
      <c r="N12" s="430"/>
      <c r="O12" s="430"/>
      <c r="P12" s="430"/>
      <c r="Q12" s="430"/>
      <c r="R12" s="430"/>
      <c r="S12" s="430"/>
      <c r="T12" s="430"/>
      <c r="U12" s="430"/>
      <c r="V12" s="430"/>
      <c r="W12" s="430"/>
      <c r="X12" s="430"/>
      <c r="Y12" s="430"/>
      <c r="Z12" s="430"/>
    </row>
    <row r="13" spans="1:26" x14ac:dyDescent="0.3">
      <c r="Z13" s="289" t="s">
        <v>163</v>
      </c>
    </row>
    <row r="14" spans="1:26" ht="26" x14ac:dyDescent="0.3">
      <c r="Z14" s="159" t="s">
        <v>108</v>
      </c>
    </row>
    <row r="15" spans="1:26" x14ac:dyDescent="0.3">
      <c r="Z15" s="163" t="s">
        <v>27</v>
      </c>
    </row>
    <row r="16" spans="1:26" ht="45" customHeight="1" x14ac:dyDescent="0.3">
      <c r="Z16" s="159" t="s">
        <v>169</v>
      </c>
    </row>
    <row r="17" spans="1:26" x14ac:dyDescent="0.3">
      <c r="Z17" s="168">
        <v>26</v>
      </c>
    </row>
    <row r="18" spans="1:26" x14ac:dyDescent="0.3">
      <c r="Y18" s="290" t="str">
        <f>A9</f>
        <v>Piemaksa pie mēnešalgas un virsstundu darbs bāriņtiesu un sociālo dienestu darbiniekiem, kuri iesaistīti atbalsta sniegšanā Ukrainas civiliedzīvotājiem</v>
      </c>
      <c r="Z18" s="291">
        <f>Z19+Z20</f>
        <v>1942847</v>
      </c>
    </row>
    <row r="19" spans="1:26" x14ac:dyDescent="0.3">
      <c r="Y19" s="290" t="str">
        <f>A10</f>
        <v>Piemaksa pie mēnešalgas</v>
      </c>
      <c r="Z19" s="292">
        <f>ROUND(Z10*1.05,0)</f>
        <v>1923511</v>
      </c>
    </row>
    <row r="20" spans="1:26" x14ac:dyDescent="0.3">
      <c r="Y20" s="290" t="str">
        <f>A11</f>
        <v>Virsstundu darbs</v>
      </c>
      <c r="Z20" s="292">
        <f>ROUND(Z11*1.05,0)</f>
        <v>19336</v>
      </c>
    </row>
    <row r="21" spans="1:26" ht="59.4" customHeight="1" x14ac:dyDescent="0.3">
      <c r="A21" s="430" t="s">
        <v>281</v>
      </c>
      <c r="B21" s="430"/>
      <c r="C21" s="430"/>
      <c r="D21" s="430"/>
      <c r="E21" s="430"/>
      <c r="F21" s="430"/>
      <c r="G21" s="430"/>
      <c r="H21" s="430"/>
      <c r="I21" s="430"/>
      <c r="J21" s="430"/>
      <c r="K21" s="430"/>
      <c r="L21" s="430"/>
      <c r="M21" s="430"/>
      <c r="N21" s="430"/>
      <c r="O21" s="430"/>
      <c r="P21" s="430"/>
      <c r="Q21" s="430"/>
      <c r="R21" s="430"/>
      <c r="S21" s="430"/>
      <c r="T21" s="430"/>
      <c r="U21" s="430"/>
      <c r="V21" s="430"/>
      <c r="W21" s="430"/>
      <c r="X21" s="430"/>
      <c r="Y21" s="430"/>
      <c r="Z21" s="430"/>
    </row>
  </sheetData>
  <mergeCells count="31">
    <mergeCell ref="Z4:Z5"/>
    <mergeCell ref="A12:Z12"/>
    <mergeCell ref="A21:Z21"/>
    <mergeCell ref="B4:C4"/>
    <mergeCell ref="D4:E4"/>
    <mergeCell ref="B5:C5"/>
    <mergeCell ref="D5:E5"/>
    <mergeCell ref="P5:Q5"/>
    <mergeCell ref="R5:S5"/>
    <mergeCell ref="T5:U5"/>
    <mergeCell ref="F4:G4"/>
    <mergeCell ref="H4:I4"/>
    <mergeCell ref="J4:K4"/>
    <mergeCell ref="L4:M4"/>
    <mergeCell ref="N4:O4"/>
    <mergeCell ref="A1:Z1"/>
    <mergeCell ref="A2:Z2"/>
    <mergeCell ref="V5:W5"/>
    <mergeCell ref="F5:G5"/>
    <mergeCell ref="H5:I5"/>
    <mergeCell ref="J5:K5"/>
    <mergeCell ref="L5:M5"/>
    <mergeCell ref="N5:O5"/>
    <mergeCell ref="X5:Y5"/>
    <mergeCell ref="A3:Z3"/>
    <mergeCell ref="P4:Q4"/>
    <mergeCell ref="R4:S4"/>
    <mergeCell ref="T4:U4"/>
    <mergeCell ref="V4:W4"/>
    <mergeCell ref="X4:Y4"/>
    <mergeCell ref="A4:A7"/>
  </mergeCells>
  <pageMargins left="0.51181102362204722" right="0.51181102362204722" top="0.74803149606299213" bottom="0.74803149606299213" header="0.31496062992125984" footer="0.31496062992125984"/>
  <pageSetup paperSize="9" scale="48" orientation="landscape"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E88F88-1BA6-4D24-98FE-F2373C1FB635}">
  <dimension ref="A1:AC19"/>
  <sheetViews>
    <sheetView topLeftCell="B8" zoomScale="60" zoomScaleNormal="60" workbookViewId="0">
      <selection activeCell="Q33" sqref="Q33"/>
    </sheetView>
  </sheetViews>
  <sheetFormatPr defaultColWidth="8.90625" defaultRowHeight="14.5" x14ac:dyDescent="0.35"/>
  <cols>
    <col min="1" max="1" width="33.453125" style="1" customWidth="1"/>
    <col min="2" max="24" width="8.90625" style="1"/>
    <col min="25" max="25" width="10" style="1" customWidth="1"/>
    <col min="26" max="26" width="8.90625" style="1"/>
    <col min="27" max="28" width="10.54296875" style="1" customWidth="1"/>
    <col min="29" max="30" width="8.90625" style="1"/>
    <col min="31" max="31" width="20.90625" style="1" customWidth="1"/>
    <col min="32" max="16384" width="8.90625" style="1"/>
  </cols>
  <sheetData>
    <row r="1" spans="1:29" s="145" customFormat="1" x14ac:dyDescent="0.35">
      <c r="A1" s="472" t="s">
        <v>157</v>
      </c>
      <c r="B1" s="472"/>
      <c r="C1" s="472"/>
      <c r="D1" s="472"/>
      <c r="E1" s="472"/>
      <c r="F1" s="472"/>
      <c r="G1" s="472"/>
      <c r="H1" s="472"/>
      <c r="I1" s="472"/>
      <c r="J1" s="472"/>
      <c r="K1" s="472"/>
      <c r="L1" s="472"/>
      <c r="M1" s="472"/>
      <c r="N1" s="472"/>
      <c r="O1" s="472"/>
      <c r="P1" s="472"/>
      <c r="Q1" s="472"/>
      <c r="R1" s="472"/>
      <c r="S1" s="472"/>
      <c r="T1" s="472"/>
      <c r="U1" s="472"/>
      <c r="V1" s="472"/>
      <c r="W1" s="472"/>
      <c r="X1" s="472"/>
      <c r="Y1" s="472"/>
      <c r="Z1" s="472"/>
      <c r="AA1" s="472"/>
      <c r="AB1" s="472"/>
      <c r="AC1" s="472"/>
    </row>
    <row r="2" spans="1:29" s="145" customFormat="1" x14ac:dyDescent="0.35">
      <c r="A2" s="472" t="s">
        <v>162</v>
      </c>
      <c r="B2" s="472"/>
      <c r="C2" s="472"/>
      <c r="D2" s="472"/>
      <c r="E2" s="472"/>
      <c r="F2" s="472"/>
      <c r="G2" s="472"/>
      <c r="H2" s="472"/>
      <c r="I2" s="472"/>
      <c r="J2" s="472"/>
      <c r="K2" s="472"/>
      <c r="L2" s="472"/>
      <c r="M2" s="472"/>
      <c r="N2" s="472"/>
      <c r="O2" s="472"/>
      <c r="P2" s="472"/>
      <c r="Q2" s="472"/>
      <c r="R2" s="472"/>
      <c r="S2" s="472"/>
      <c r="T2" s="472"/>
      <c r="U2" s="472"/>
      <c r="V2" s="472"/>
      <c r="W2" s="472"/>
      <c r="X2" s="472"/>
      <c r="Y2" s="472"/>
      <c r="Z2" s="472"/>
      <c r="AA2" s="472"/>
      <c r="AB2" s="472"/>
      <c r="AC2" s="472"/>
    </row>
    <row r="3" spans="1:29" s="145" customFormat="1" ht="62.4" customHeight="1" thickBot="1" x14ac:dyDescent="0.4">
      <c r="A3" s="473" t="str">
        <f>'Ietekme uz valsts budžetu 2024'!B39</f>
        <v>4.2. Sociālās rehabilitācijas pakalpojuma sniegšana Sociālās integrācijas valsts aģentūrā personām, kurām psihoemocionālā stāvokļa dēļ ir nepieciešams diennakts pakalpojums (līdz 30 dienām), un personām, kuras valsts apmaksātās medicīniskās transportēšanas ietvaros pārvestas no Ukrainas ārstniecības iestādes uz stacionāro ārstniecības iestādi Latvijā un saņem veselības aprūpes pakalpojumus atbilstoši medicīniskās transportēšanas mērķim (līdz 60 dienām)</v>
      </c>
      <c r="B3" s="473"/>
      <c r="C3" s="473"/>
      <c r="D3" s="473"/>
      <c r="E3" s="473"/>
      <c r="F3" s="473"/>
      <c r="G3" s="473"/>
      <c r="H3" s="473"/>
      <c r="I3" s="473"/>
      <c r="J3" s="473"/>
      <c r="K3" s="473"/>
      <c r="L3" s="473"/>
      <c r="M3" s="473"/>
      <c r="N3" s="473"/>
      <c r="O3" s="473"/>
      <c r="P3" s="473"/>
      <c r="Q3" s="473"/>
      <c r="R3" s="473"/>
      <c r="S3" s="473"/>
      <c r="T3" s="473"/>
      <c r="U3" s="473"/>
      <c r="V3" s="473"/>
      <c r="W3" s="473"/>
      <c r="X3" s="473"/>
      <c r="Y3" s="473"/>
      <c r="Z3" s="473"/>
      <c r="AA3" s="473"/>
      <c r="AB3" s="473"/>
      <c r="AC3" s="473"/>
    </row>
    <row r="4" spans="1:29" x14ac:dyDescent="0.35">
      <c r="A4" s="444" t="s">
        <v>15</v>
      </c>
      <c r="B4" s="445"/>
      <c r="C4" s="437" t="s">
        <v>90</v>
      </c>
      <c r="D4" s="438"/>
      <c r="E4" s="437" t="s">
        <v>90</v>
      </c>
      <c r="F4" s="438"/>
      <c r="G4" s="437" t="s">
        <v>90</v>
      </c>
      <c r="H4" s="438"/>
      <c r="I4" s="437" t="s">
        <v>90</v>
      </c>
      <c r="J4" s="438"/>
      <c r="K4" s="437" t="s">
        <v>90</v>
      </c>
      <c r="L4" s="438"/>
      <c r="M4" s="437" t="s">
        <v>90</v>
      </c>
      <c r="N4" s="438"/>
      <c r="O4" s="437" t="s">
        <v>90</v>
      </c>
      <c r="P4" s="438"/>
      <c r="Q4" s="437" t="s">
        <v>90</v>
      </c>
      <c r="R4" s="438"/>
      <c r="S4" s="437" t="s">
        <v>90</v>
      </c>
      <c r="T4" s="438"/>
      <c r="U4" s="437" t="s">
        <v>90</v>
      </c>
      <c r="V4" s="438"/>
      <c r="W4" s="437" t="s">
        <v>90</v>
      </c>
      <c r="X4" s="438"/>
      <c r="Y4" s="437" t="s">
        <v>90</v>
      </c>
      <c r="Z4" s="438"/>
      <c r="AA4" s="293" t="s">
        <v>90</v>
      </c>
      <c r="AB4" s="293" t="s">
        <v>163</v>
      </c>
      <c r="AC4" s="439" t="s">
        <v>40</v>
      </c>
    </row>
    <row r="5" spans="1:29" x14ac:dyDescent="0.35">
      <c r="A5" s="442" t="s">
        <v>16</v>
      </c>
      <c r="B5" s="443"/>
      <c r="C5" s="431" t="s">
        <v>97</v>
      </c>
      <c r="D5" s="432"/>
      <c r="E5" s="431" t="s">
        <v>55</v>
      </c>
      <c r="F5" s="432"/>
      <c r="G5" s="431" t="s">
        <v>56</v>
      </c>
      <c r="H5" s="432"/>
      <c r="I5" s="433" t="s">
        <v>57</v>
      </c>
      <c r="J5" s="434"/>
      <c r="K5" s="431" t="s">
        <v>58</v>
      </c>
      <c r="L5" s="432"/>
      <c r="M5" s="431" t="s">
        <v>59</v>
      </c>
      <c r="N5" s="432"/>
      <c r="O5" s="433" t="s">
        <v>60</v>
      </c>
      <c r="P5" s="434"/>
      <c r="Q5" s="433" t="s">
        <v>89</v>
      </c>
      <c r="R5" s="434"/>
      <c r="S5" s="431" t="s">
        <v>98</v>
      </c>
      <c r="T5" s="432"/>
      <c r="U5" s="433" t="s">
        <v>99</v>
      </c>
      <c r="V5" s="434"/>
      <c r="W5" s="433" t="s">
        <v>100</v>
      </c>
      <c r="X5" s="434"/>
      <c r="Y5" s="431" t="s">
        <v>101</v>
      </c>
      <c r="Z5" s="432"/>
      <c r="AA5" s="144" t="s">
        <v>39</v>
      </c>
      <c r="AB5" s="144" t="s">
        <v>39</v>
      </c>
      <c r="AC5" s="440"/>
    </row>
    <row r="6" spans="1:29" x14ac:dyDescent="0.35">
      <c r="A6" s="435" t="s">
        <v>35</v>
      </c>
      <c r="B6" s="436"/>
      <c r="C6" s="27"/>
      <c r="D6" s="28" t="s">
        <v>27</v>
      </c>
      <c r="E6" s="27"/>
      <c r="F6" s="28" t="s">
        <v>27</v>
      </c>
      <c r="G6" s="27"/>
      <c r="H6" s="28" t="s">
        <v>27</v>
      </c>
      <c r="I6" s="66"/>
      <c r="J6" s="66" t="s">
        <v>27</v>
      </c>
      <c r="K6" s="27"/>
      <c r="L6" s="28" t="s">
        <v>27</v>
      </c>
      <c r="M6" s="27"/>
      <c r="N6" s="28" t="s">
        <v>27</v>
      </c>
      <c r="O6" s="66"/>
      <c r="P6" s="66" t="s">
        <v>27</v>
      </c>
      <c r="Q6" s="66"/>
      <c r="R6" s="66" t="s">
        <v>27</v>
      </c>
      <c r="S6" s="66"/>
      <c r="T6" s="66" t="s">
        <v>27</v>
      </c>
      <c r="U6" s="66"/>
      <c r="V6" s="66" t="s">
        <v>27</v>
      </c>
      <c r="W6" s="66"/>
      <c r="X6" s="66" t="s">
        <v>27</v>
      </c>
      <c r="Y6" s="66"/>
      <c r="Z6" s="66" t="s">
        <v>27</v>
      </c>
      <c r="AA6" s="66" t="s">
        <v>27</v>
      </c>
      <c r="AB6" s="66" t="s">
        <v>27</v>
      </c>
      <c r="AC6" s="440"/>
    </row>
    <row r="7" spans="1:29" ht="52" x14ac:dyDescent="0.35">
      <c r="A7" s="2" t="s">
        <v>28</v>
      </c>
      <c r="B7" s="2" t="s">
        <v>61</v>
      </c>
      <c r="C7" s="29" t="s">
        <v>62</v>
      </c>
      <c r="D7" s="30" t="s">
        <v>30</v>
      </c>
      <c r="E7" s="29" t="s">
        <v>62</v>
      </c>
      <c r="F7" s="30" t="s">
        <v>30</v>
      </c>
      <c r="G7" s="29" t="s">
        <v>62</v>
      </c>
      <c r="H7" s="30" t="s">
        <v>30</v>
      </c>
      <c r="I7" s="29" t="s">
        <v>62</v>
      </c>
      <c r="J7" s="30" t="s">
        <v>30</v>
      </c>
      <c r="K7" s="29" t="s">
        <v>62</v>
      </c>
      <c r="L7" s="30" t="s">
        <v>30</v>
      </c>
      <c r="M7" s="29" t="s">
        <v>62</v>
      </c>
      <c r="N7" s="30" t="s">
        <v>30</v>
      </c>
      <c r="O7" s="29" t="s">
        <v>62</v>
      </c>
      <c r="P7" s="30" t="s">
        <v>30</v>
      </c>
      <c r="Q7" s="29" t="s">
        <v>62</v>
      </c>
      <c r="R7" s="30" t="s">
        <v>30</v>
      </c>
      <c r="S7" s="29" t="s">
        <v>62</v>
      </c>
      <c r="T7" s="30" t="s">
        <v>30</v>
      </c>
      <c r="U7" s="29" t="s">
        <v>62</v>
      </c>
      <c r="V7" s="379" t="s">
        <v>30</v>
      </c>
      <c r="W7" s="29" t="s">
        <v>62</v>
      </c>
      <c r="X7" s="282" t="s">
        <v>31</v>
      </c>
      <c r="Y7" s="29" t="s">
        <v>62</v>
      </c>
      <c r="Z7" s="282" t="s">
        <v>31</v>
      </c>
      <c r="AA7" s="282" t="s">
        <v>31</v>
      </c>
      <c r="AB7" s="282" t="s">
        <v>31</v>
      </c>
      <c r="AC7" s="441"/>
    </row>
    <row r="8" spans="1:29" x14ac:dyDescent="0.35">
      <c r="A8" s="3" t="s">
        <v>32</v>
      </c>
      <c r="B8" s="3" t="s">
        <v>63</v>
      </c>
      <c r="C8" s="4">
        <v>1</v>
      </c>
      <c r="D8" s="5">
        <v>2</v>
      </c>
      <c r="E8" s="4">
        <v>3</v>
      </c>
      <c r="F8" s="5">
        <v>4</v>
      </c>
      <c r="G8" s="4">
        <v>5</v>
      </c>
      <c r="H8" s="5">
        <v>6</v>
      </c>
      <c r="I8" s="6">
        <v>7</v>
      </c>
      <c r="J8" s="7">
        <v>8</v>
      </c>
      <c r="K8" s="4">
        <v>9</v>
      </c>
      <c r="L8" s="5">
        <v>10</v>
      </c>
      <c r="M8" s="4">
        <v>11</v>
      </c>
      <c r="N8" s="5">
        <v>12</v>
      </c>
      <c r="O8" s="6">
        <v>13</v>
      </c>
      <c r="P8" s="7">
        <v>14</v>
      </c>
      <c r="Q8" s="4">
        <v>15</v>
      </c>
      <c r="R8" s="5">
        <v>16</v>
      </c>
      <c r="S8" s="4">
        <v>17</v>
      </c>
      <c r="T8" s="5">
        <v>18</v>
      </c>
      <c r="U8" s="6">
        <v>19</v>
      </c>
      <c r="V8" s="7">
        <v>20</v>
      </c>
      <c r="W8" s="4">
        <v>21</v>
      </c>
      <c r="X8" s="5">
        <v>22</v>
      </c>
      <c r="Y8" s="4">
        <v>23</v>
      </c>
      <c r="Z8" s="5">
        <v>24</v>
      </c>
      <c r="AA8" s="6">
        <v>25</v>
      </c>
      <c r="AB8" s="6">
        <v>26</v>
      </c>
      <c r="AC8" s="7">
        <v>27</v>
      </c>
    </row>
    <row r="9" spans="1:29" ht="45.65" customHeight="1" x14ac:dyDescent="0.35">
      <c r="A9" s="452" t="s">
        <v>79</v>
      </c>
      <c r="B9" s="454" t="s">
        <v>80</v>
      </c>
      <c r="C9" s="448">
        <v>0</v>
      </c>
      <c r="D9" s="446"/>
      <c r="E9" s="448">
        <v>3</v>
      </c>
      <c r="F9" s="446">
        <f>30*E9*62.8</f>
        <v>5652</v>
      </c>
      <c r="G9" s="448">
        <v>3</v>
      </c>
      <c r="H9" s="446">
        <f>30*G9*62.8</f>
        <v>5652</v>
      </c>
      <c r="I9" s="448">
        <v>7</v>
      </c>
      <c r="J9" s="446">
        <f>30*I9*62.8</f>
        <v>13188</v>
      </c>
      <c r="K9" s="450">
        <v>5</v>
      </c>
      <c r="L9" s="446">
        <f>30*K9*62.8</f>
        <v>9420</v>
      </c>
      <c r="M9" s="450">
        <v>0</v>
      </c>
      <c r="N9" s="463"/>
      <c r="O9" s="450">
        <v>1</v>
      </c>
      <c r="P9" s="446">
        <f>30*O9*62.8</f>
        <v>1884</v>
      </c>
      <c r="Q9" s="450"/>
      <c r="R9" s="463"/>
      <c r="S9" s="450"/>
      <c r="T9" s="463"/>
      <c r="U9" s="458"/>
      <c r="V9" s="456"/>
      <c r="W9" s="458"/>
      <c r="X9" s="456"/>
      <c r="Y9" s="458"/>
      <c r="Z9" s="456"/>
      <c r="AA9" s="460">
        <f>Z9+X9+V9+T9+R9+P9+N9+L9+J9+H9+F9+D9</f>
        <v>35796</v>
      </c>
      <c r="AB9" s="460">
        <f>AA9*1.05</f>
        <v>37585.800000000003</v>
      </c>
      <c r="AC9" s="294" t="s">
        <v>82</v>
      </c>
    </row>
    <row r="10" spans="1:29" ht="45.65" customHeight="1" x14ac:dyDescent="0.35">
      <c r="A10" s="453"/>
      <c r="B10" s="455"/>
      <c r="C10" s="449"/>
      <c r="D10" s="447"/>
      <c r="E10" s="449"/>
      <c r="F10" s="447"/>
      <c r="G10" s="449"/>
      <c r="H10" s="447"/>
      <c r="I10" s="449"/>
      <c r="J10" s="447"/>
      <c r="K10" s="451"/>
      <c r="L10" s="447"/>
      <c r="M10" s="451"/>
      <c r="N10" s="464"/>
      <c r="O10" s="451"/>
      <c r="P10" s="447"/>
      <c r="Q10" s="451"/>
      <c r="R10" s="464"/>
      <c r="S10" s="451"/>
      <c r="T10" s="464"/>
      <c r="U10" s="459"/>
      <c r="V10" s="457"/>
      <c r="W10" s="459"/>
      <c r="X10" s="457"/>
      <c r="Y10" s="459"/>
      <c r="Z10" s="457"/>
      <c r="AA10" s="461"/>
      <c r="AB10" s="461"/>
      <c r="AC10" s="294" t="s">
        <v>84</v>
      </c>
    </row>
    <row r="11" spans="1:29" ht="45.65" customHeight="1" x14ac:dyDescent="0.35">
      <c r="A11" s="452" t="s">
        <v>85</v>
      </c>
      <c r="B11" s="454" t="s">
        <v>86</v>
      </c>
      <c r="C11" s="448">
        <v>0</v>
      </c>
      <c r="D11" s="446"/>
      <c r="E11" s="448"/>
      <c r="F11" s="446"/>
      <c r="G11" s="465" t="s">
        <v>171</v>
      </c>
      <c r="H11" s="446">
        <f>25*62.8+29*62.8*2+62.8*28</f>
        <v>6970.7999999999993</v>
      </c>
      <c r="I11" s="448" t="s">
        <v>172</v>
      </c>
      <c r="J11" s="446">
        <f>29*62.8</f>
        <v>1821.1999999999998</v>
      </c>
      <c r="K11" s="450" t="s">
        <v>173</v>
      </c>
      <c r="L11" s="446">
        <f>27*62.8</f>
        <v>1695.6</v>
      </c>
      <c r="M11" s="450">
        <v>0</v>
      </c>
      <c r="N11" s="463"/>
      <c r="O11" s="450">
        <v>0</v>
      </c>
      <c r="P11" s="463"/>
      <c r="Q11" s="450"/>
      <c r="R11" s="463"/>
      <c r="S11" s="450"/>
      <c r="T11" s="463"/>
      <c r="U11" s="458"/>
      <c r="V11" s="456"/>
      <c r="W11" s="458"/>
      <c r="X11" s="456"/>
      <c r="Y11" s="458"/>
      <c r="Z11" s="456"/>
      <c r="AA11" s="460">
        <f>Z11+X11+V11+T11+R11+P11+N11+L11+J11+H11+F11+D11</f>
        <v>10487.599999999999</v>
      </c>
      <c r="AB11" s="460">
        <f>AA11*1.05</f>
        <v>11011.98</v>
      </c>
      <c r="AC11" s="294" t="s">
        <v>82</v>
      </c>
    </row>
    <row r="12" spans="1:29" ht="45.65" customHeight="1" x14ac:dyDescent="0.35">
      <c r="A12" s="462"/>
      <c r="B12" s="455"/>
      <c r="C12" s="449"/>
      <c r="D12" s="447"/>
      <c r="E12" s="449"/>
      <c r="F12" s="447"/>
      <c r="G12" s="466"/>
      <c r="H12" s="447"/>
      <c r="I12" s="449"/>
      <c r="J12" s="447"/>
      <c r="K12" s="451"/>
      <c r="L12" s="447"/>
      <c r="M12" s="451"/>
      <c r="N12" s="464"/>
      <c r="O12" s="451"/>
      <c r="P12" s="464"/>
      <c r="Q12" s="451"/>
      <c r="R12" s="464"/>
      <c r="S12" s="451"/>
      <c r="T12" s="464"/>
      <c r="U12" s="459"/>
      <c r="V12" s="457"/>
      <c r="W12" s="459"/>
      <c r="X12" s="457"/>
      <c r="Y12" s="459"/>
      <c r="Z12" s="457"/>
      <c r="AA12" s="461"/>
      <c r="AB12" s="461"/>
      <c r="AC12" s="294" t="s">
        <v>84</v>
      </c>
    </row>
    <row r="13" spans="1:29" ht="45.65" customHeight="1" x14ac:dyDescent="0.35">
      <c r="A13" s="452" t="s">
        <v>174</v>
      </c>
      <c r="B13" s="454" t="s">
        <v>80</v>
      </c>
      <c r="C13" s="448"/>
      <c r="D13" s="446"/>
      <c r="E13" s="448"/>
      <c r="F13" s="446"/>
      <c r="G13" s="448"/>
      <c r="H13" s="446"/>
      <c r="I13" s="448"/>
      <c r="J13" s="446"/>
      <c r="K13" s="450">
        <v>0</v>
      </c>
      <c r="L13" s="446">
        <f>60*K13*70.17</f>
        <v>0</v>
      </c>
      <c r="M13" s="450">
        <v>0</v>
      </c>
      <c r="N13" s="446">
        <f>60*M13*70.17</f>
        <v>0</v>
      </c>
      <c r="O13" s="450">
        <v>1</v>
      </c>
      <c r="P13" s="446">
        <f>60*O13*70.17</f>
        <v>4210.2</v>
      </c>
      <c r="Q13" s="450">
        <v>3</v>
      </c>
      <c r="R13" s="446">
        <f>60*Q13*70.17</f>
        <v>12630.6</v>
      </c>
      <c r="S13" s="450">
        <v>0</v>
      </c>
      <c r="T13" s="463"/>
      <c r="U13" s="450">
        <v>6</v>
      </c>
      <c r="V13" s="446">
        <v>23666.61</v>
      </c>
      <c r="W13" s="450">
        <v>1</v>
      </c>
      <c r="X13" s="446">
        <f>60*W13*70.17</f>
        <v>4210.2</v>
      </c>
      <c r="Y13" s="450">
        <v>0</v>
      </c>
      <c r="Z13" s="463"/>
      <c r="AA13" s="460">
        <f>Z13+X13+V13+T13+R13+P13+N13+L13+J13+H13+F13+D13</f>
        <v>44717.61</v>
      </c>
      <c r="AB13" s="460">
        <f>AA13*1.05</f>
        <v>46953.4905</v>
      </c>
      <c r="AC13" s="294" t="s">
        <v>82</v>
      </c>
    </row>
    <row r="14" spans="1:29" ht="37.5" customHeight="1" x14ac:dyDescent="0.35">
      <c r="A14" s="453"/>
      <c r="B14" s="455"/>
      <c r="C14" s="449"/>
      <c r="D14" s="447"/>
      <c r="E14" s="449"/>
      <c r="F14" s="447"/>
      <c r="G14" s="449"/>
      <c r="H14" s="447"/>
      <c r="I14" s="449"/>
      <c r="J14" s="447"/>
      <c r="K14" s="451"/>
      <c r="L14" s="447"/>
      <c r="M14" s="451"/>
      <c r="N14" s="447"/>
      <c r="O14" s="451"/>
      <c r="P14" s="447"/>
      <c r="Q14" s="451"/>
      <c r="R14" s="447"/>
      <c r="S14" s="451"/>
      <c r="T14" s="464"/>
      <c r="U14" s="451"/>
      <c r="V14" s="447"/>
      <c r="W14" s="451"/>
      <c r="X14" s="447"/>
      <c r="Y14" s="451"/>
      <c r="Z14" s="464"/>
      <c r="AA14" s="461"/>
      <c r="AB14" s="461"/>
      <c r="AC14" s="294" t="s">
        <v>84</v>
      </c>
    </row>
    <row r="15" spans="1:29" x14ac:dyDescent="0.35">
      <c r="A15" s="452" t="s">
        <v>175</v>
      </c>
      <c r="B15" s="454" t="s">
        <v>86</v>
      </c>
      <c r="C15" s="448"/>
      <c r="D15" s="446"/>
      <c r="E15" s="448"/>
      <c r="F15" s="446"/>
      <c r="G15" s="448"/>
      <c r="H15" s="446"/>
      <c r="I15" s="448"/>
      <c r="J15" s="446"/>
      <c r="K15" s="467" t="s">
        <v>176</v>
      </c>
      <c r="L15" s="446">
        <f>5*70.17*2+8*70.17*2</f>
        <v>1824.42</v>
      </c>
      <c r="M15" s="450" t="s">
        <v>177</v>
      </c>
      <c r="N15" s="446">
        <f>70.17*33</f>
        <v>2315.61</v>
      </c>
      <c r="O15" s="467" t="s">
        <v>178</v>
      </c>
      <c r="P15" s="446">
        <f>70.17*58+70.17*25</f>
        <v>5824.1100000000006</v>
      </c>
      <c r="Q15" s="450">
        <v>0</v>
      </c>
      <c r="R15" s="463"/>
      <c r="S15" s="467" t="s">
        <v>179</v>
      </c>
      <c r="T15" s="446">
        <f>70.17*58*2+70.17*53</f>
        <v>11858.73</v>
      </c>
      <c r="U15" s="450">
        <v>0</v>
      </c>
      <c r="V15" s="463"/>
      <c r="W15" s="450">
        <v>0</v>
      </c>
      <c r="X15" s="463"/>
      <c r="Y15" s="450">
        <v>0</v>
      </c>
      <c r="Z15" s="463"/>
      <c r="AA15" s="460">
        <f>Z15+X15+V15+T15+R15+P15+N15+L15+J15+H15+F15+D15</f>
        <v>21822.870000000003</v>
      </c>
      <c r="AB15" s="460">
        <f>AA15*1.05</f>
        <v>22914.013500000005</v>
      </c>
      <c r="AC15" s="294" t="s">
        <v>82</v>
      </c>
    </row>
    <row r="16" spans="1:29" ht="80.150000000000006" customHeight="1" x14ac:dyDescent="0.35">
      <c r="A16" s="453"/>
      <c r="B16" s="455"/>
      <c r="C16" s="449"/>
      <c r="D16" s="447"/>
      <c r="E16" s="449"/>
      <c r="F16" s="447"/>
      <c r="G16" s="449"/>
      <c r="H16" s="447"/>
      <c r="I16" s="449"/>
      <c r="J16" s="447"/>
      <c r="K16" s="468"/>
      <c r="L16" s="447"/>
      <c r="M16" s="451"/>
      <c r="N16" s="447"/>
      <c r="O16" s="468"/>
      <c r="P16" s="447"/>
      <c r="Q16" s="451"/>
      <c r="R16" s="464"/>
      <c r="S16" s="468"/>
      <c r="T16" s="447"/>
      <c r="U16" s="451"/>
      <c r="V16" s="464"/>
      <c r="W16" s="451"/>
      <c r="X16" s="464"/>
      <c r="Y16" s="451"/>
      <c r="Z16" s="464"/>
      <c r="AA16" s="461"/>
      <c r="AB16" s="461"/>
      <c r="AC16" s="294" t="s">
        <v>84</v>
      </c>
    </row>
    <row r="17" spans="1:29" ht="15" hidden="1" thickBot="1" x14ac:dyDescent="0.4">
      <c r="A17" s="295"/>
      <c r="B17" s="296"/>
      <c r="C17" s="297"/>
      <c r="D17" s="298"/>
      <c r="E17" s="297"/>
      <c r="F17" s="298"/>
      <c r="G17" s="297"/>
      <c r="H17" s="298"/>
      <c r="I17" s="299"/>
      <c r="J17" s="298"/>
      <c r="K17" s="300"/>
      <c r="L17" s="298"/>
      <c r="M17" s="300"/>
      <c r="N17" s="301"/>
      <c r="O17" s="302"/>
      <c r="P17" s="301"/>
      <c r="Q17" s="302"/>
      <c r="R17" s="301"/>
      <c r="S17" s="302"/>
      <c r="T17" s="301"/>
      <c r="U17" s="302"/>
      <c r="V17" s="301"/>
      <c r="W17" s="302"/>
      <c r="X17" s="301"/>
      <c r="Y17" s="302"/>
      <c r="Z17" s="301"/>
      <c r="AA17" s="303"/>
      <c r="AB17" s="303"/>
      <c r="AC17" s="304"/>
    </row>
    <row r="18" spans="1:29" ht="15" thickBot="1" x14ac:dyDescent="0.4">
      <c r="A18" s="470" t="s">
        <v>39</v>
      </c>
      <c r="B18" s="471"/>
      <c r="C18" s="305" t="s">
        <v>35</v>
      </c>
      <c r="D18" s="306">
        <f>SUM(D9:D16)</f>
        <v>0</v>
      </c>
      <c r="E18" s="305" t="s">
        <v>35</v>
      </c>
      <c r="F18" s="306">
        <f>SUM(F9:F16)</f>
        <v>5652</v>
      </c>
      <c r="G18" s="305" t="s">
        <v>35</v>
      </c>
      <c r="H18" s="306">
        <f>SUM(H9:H16)</f>
        <v>12622.8</v>
      </c>
      <c r="I18" s="307" t="s">
        <v>35</v>
      </c>
      <c r="J18" s="306">
        <f>SUM(J9:J16)</f>
        <v>15009.2</v>
      </c>
      <c r="K18" s="308" t="s">
        <v>35</v>
      </c>
      <c r="L18" s="306">
        <f>SUM(L9:L16)</f>
        <v>12940.02</v>
      </c>
      <c r="M18" s="308" t="s">
        <v>35</v>
      </c>
      <c r="N18" s="306">
        <f>SUM(N9:N16)</f>
        <v>2315.61</v>
      </c>
      <c r="O18" s="309" t="s">
        <v>35</v>
      </c>
      <c r="P18" s="306">
        <f>SUM(P9:P16)</f>
        <v>11918.310000000001</v>
      </c>
      <c r="Q18" s="309" t="s">
        <v>35</v>
      </c>
      <c r="R18" s="306">
        <f>SUM(R9:R16)</f>
        <v>12630.6</v>
      </c>
      <c r="S18" s="309" t="s">
        <v>35</v>
      </c>
      <c r="T18" s="306">
        <f>SUM(T9:T16)</f>
        <v>11858.73</v>
      </c>
      <c r="U18" s="309" t="s">
        <v>35</v>
      </c>
      <c r="V18" s="306">
        <f>SUM(V9:V16)</f>
        <v>23666.61</v>
      </c>
      <c r="W18" s="309" t="s">
        <v>35</v>
      </c>
      <c r="X18" s="306">
        <f>SUM(X9:X16)</f>
        <v>4210.2</v>
      </c>
      <c r="Y18" s="309" t="s">
        <v>35</v>
      </c>
      <c r="Z18" s="306">
        <f>SUM(Z9:Z16)</f>
        <v>0</v>
      </c>
      <c r="AA18" s="306">
        <f>SUM(AA9:AA16)</f>
        <v>112824.07999999999</v>
      </c>
      <c r="AB18" s="310">
        <f>ROUND(SUM(AB9:AB16),0)</f>
        <v>118465</v>
      </c>
      <c r="AC18" s="311" t="s">
        <v>35</v>
      </c>
    </row>
    <row r="19" spans="1:29" ht="65.150000000000006" customHeight="1" x14ac:dyDescent="0.35">
      <c r="A19" s="469" t="s">
        <v>280</v>
      </c>
      <c r="B19" s="469"/>
      <c r="C19" s="469"/>
      <c r="D19" s="469"/>
      <c r="E19" s="469"/>
      <c r="F19" s="469"/>
      <c r="G19" s="469"/>
      <c r="H19" s="469"/>
      <c r="I19" s="469"/>
      <c r="J19" s="469"/>
      <c r="K19" s="469"/>
      <c r="L19" s="469"/>
      <c r="M19" s="469"/>
      <c r="N19" s="469"/>
      <c r="O19" s="469"/>
      <c r="P19" s="469"/>
      <c r="Q19" s="469"/>
      <c r="R19" s="469"/>
      <c r="S19" s="469"/>
      <c r="T19" s="469"/>
      <c r="U19" s="469"/>
      <c r="V19" s="469"/>
      <c r="W19" s="469"/>
      <c r="X19" s="469"/>
      <c r="Y19" s="469"/>
      <c r="Z19" s="469"/>
      <c r="AA19" s="469"/>
      <c r="AB19" s="469"/>
      <c r="AC19" s="469"/>
    </row>
  </sheetData>
  <mergeCells count="145">
    <mergeCell ref="AB13:AB14"/>
    <mergeCell ref="AB15:AB16"/>
    <mergeCell ref="A19:AC19"/>
    <mergeCell ref="AA15:AA16"/>
    <mergeCell ref="A18:B18"/>
    <mergeCell ref="A1:AC1"/>
    <mergeCell ref="A2:AC2"/>
    <mergeCell ref="A3:AC3"/>
    <mergeCell ref="AB9:AB10"/>
    <mergeCell ref="AB11:AB12"/>
    <mergeCell ref="U15:U16"/>
    <mergeCell ref="V15:V16"/>
    <mergeCell ref="W15:W16"/>
    <mergeCell ref="X15:X16"/>
    <mergeCell ref="Y15:Y16"/>
    <mergeCell ref="Z15:Z16"/>
    <mergeCell ref="O15:O16"/>
    <mergeCell ref="P15:P16"/>
    <mergeCell ref="Q15:Q16"/>
    <mergeCell ref="R15:R16"/>
    <mergeCell ref="S15:S16"/>
    <mergeCell ref="T15:T16"/>
    <mergeCell ref="I15:I16"/>
    <mergeCell ref="J15:J16"/>
    <mergeCell ref="K15:K16"/>
    <mergeCell ref="L15:L16"/>
    <mergeCell ref="M15:M16"/>
    <mergeCell ref="N15:N16"/>
    <mergeCell ref="Z13:Z14"/>
    <mergeCell ref="AA13:AA14"/>
    <mergeCell ref="A15:A16"/>
    <mergeCell ref="B15:B16"/>
    <mergeCell ref="C15:C16"/>
    <mergeCell ref="D15:D16"/>
    <mergeCell ref="E15:E16"/>
    <mergeCell ref="F15:F16"/>
    <mergeCell ref="G15:G16"/>
    <mergeCell ref="H15:H16"/>
    <mergeCell ref="T13:T14"/>
    <mergeCell ref="U13:U14"/>
    <mergeCell ref="V13:V14"/>
    <mergeCell ref="W13:W14"/>
    <mergeCell ref="X13:X14"/>
    <mergeCell ref="Y13:Y14"/>
    <mergeCell ref="N13:N14"/>
    <mergeCell ref="O13:O14"/>
    <mergeCell ref="P13:P14"/>
    <mergeCell ref="Q13:Q14"/>
    <mergeCell ref="R13:R14"/>
    <mergeCell ref="S13:S14"/>
    <mergeCell ref="H13:H14"/>
    <mergeCell ref="I13:I14"/>
    <mergeCell ref="J13:J14"/>
    <mergeCell ref="K13:K14"/>
    <mergeCell ref="L13:L14"/>
    <mergeCell ref="M13:M14"/>
    <mergeCell ref="Y11:Y12"/>
    <mergeCell ref="J11:J12"/>
    <mergeCell ref="K11:K12"/>
    <mergeCell ref="L11:L12"/>
    <mergeCell ref="Z11:Z12"/>
    <mergeCell ref="AA11:AA12"/>
    <mergeCell ref="A13:A14"/>
    <mergeCell ref="B13:B14"/>
    <mergeCell ref="C13:C14"/>
    <mergeCell ref="D13:D14"/>
    <mergeCell ref="E13:E14"/>
    <mergeCell ref="F13:F14"/>
    <mergeCell ref="G13:G14"/>
    <mergeCell ref="S11:S12"/>
    <mergeCell ref="T11:T12"/>
    <mergeCell ref="U11:U12"/>
    <mergeCell ref="V11:V12"/>
    <mergeCell ref="W11:W12"/>
    <mergeCell ref="X11:X12"/>
    <mergeCell ref="M11:M12"/>
    <mergeCell ref="N11:N12"/>
    <mergeCell ref="O11:O12"/>
    <mergeCell ref="P11:P12"/>
    <mergeCell ref="Q11:Q12"/>
    <mergeCell ref="R11:R12"/>
    <mergeCell ref="G11:G12"/>
    <mergeCell ref="H11:H12"/>
    <mergeCell ref="I11:I12"/>
    <mergeCell ref="X9:X10"/>
    <mergeCell ref="Y9:Y10"/>
    <mergeCell ref="Z9:Z10"/>
    <mergeCell ref="AA9:AA10"/>
    <mergeCell ref="A11:A12"/>
    <mergeCell ref="B11:B12"/>
    <mergeCell ref="C11:C12"/>
    <mergeCell ref="D11:D12"/>
    <mergeCell ref="E11:E12"/>
    <mergeCell ref="F11:F12"/>
    <mergeCell ref="R9:R10"/>
    <mergeCell ref="S9:S10"/>
    <mergeCell ref="T9:T10"/>
    <mergeCell ref="U9:U10"/>
    <mergeCell ref="V9:V10"/>
    <mergeCell ref="W9:W10"/>
    <mergeCell ref="L9:L10"/>
    <mergeCell ref="M9:M10"/>
    <mergeCell ref="N9:N10"/>
    <mergeCell ref="O9:O10"/>
    <mergeCell ref="P9:P10"/>
    <mergeCell ref="Q9:Q10"/>
    <mergeCell ref="F9:F10"/>
    <mergeCell ref="G9:G10"/>
    <mergeCell ref="G4:H4"/>
    <mergeCell ref="I4:J4"/>
    <mergeCell ref="K4:L4"/>
    <mergeCell ref="Q5:R5"/>
    <mergeCell ref="H9:H10"/>
    <mergeCell ref="I9:I10"/>
    <mergeCell ref="J9:J10"/>
    <mergeCell ref="K9:K10"/>
    <mergeCell ref="A9:A10"/>
    <mergeCell ref="B9:B10"/>
    <mergeCell ref="C9:C10"/>
    <mergeCell ref="D9:D10"/>
    <mergeCell ref="E9:E10"/>
    <mergeCell ref="S5:T5"/>
    <mergeCell ref="U5:V5"/>
    <mergeCell ref="W5:X5"/>
    <mergeCell ref="Y5:Z5"/>
    <mergeCell ref="A6:B6"/>
    <mergeCell ref="Y4:Z4"/>
    <mergeCell ref="AC4:AC7"/>
    <mergeCell ref="A5:B5"/>
    <mergeCell ref="C5:D5"/>
    <mergeCell ref="E5:F5"/>
    <mergeCell ref="G5:H5"/>
    <mergeCell ref="I5:J5"/>
    <mergeCell ref="K5:L5"/>
    <mergeCell ref="M5:N5"/>
    <mergeCell ref="O5:P5"/>
    <mergeCell ref="M4:N4"/>
    <mergeCell ref="O4:P4"/>
    <mergeCell ref="Q4:R4"/>
    <mergeCell ref="S4:T4"/>
    <mergeCell ref="U4:V4"/>
    <mergeCell ref="W4:X4"/>
    <mergeCell ref="A4:B4"/>
    <mergeCell ref="C4:D4"/>
    <mergeCell ref="E4:F4"/>
  </mergeCells>
  <pageMargins left="0.70866141732283472" right="0.70866141732283472" top="0.74803149606299213" bottom="0.74803149606299213" header="0.31496062992125984" footer="0.31496062992125984"/>
  <pageSetup paperSize="9" scale="45" orientation="landscape"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EE860E-C0FD-45F6-BEC9-FF6ACDAC00EB}">
  <dimension ref="A1:AB19"/>
  <sheetViews>
    <sheetView zoomScale="70" zoomScaleNormal="70" workbookViewId="0">
      <selection activeCell="L18" sqref="L18"/>
    </sheetView>
  </sheetViews>
  <sheetFormatPr defaultColWidth="8.90625" defaultRowHeight="14.5" x14ac:dyDescent="0.35"/>
  <cols>
    <col min="1" max="1" width="20.90625" style="1" customWidth="1"/>
    <col min="2" max="2" width="11" style="1" customWidth="1"/>
    <col min="3" max="26" width="8.90625" style="1"/>
    <col min="27" max="27" width="10.90625" style="1" customWidth="1"/>
    <col min="28" max="16384" width="8.90625" style="1"/>
  </cols>
  <sheetData>
    <row r="1" spans="1:28" s="145" customFormat="1" x14ac:dyDescent="0.35">
      <c r="A1" s="472" t="s">
        <v>156</v>
      </c>
      <c r="B1" s="472"/>
      <c r="C1" s="472"/>
      <c r="D1" s="472"/>
      <c r="E1" s="472"/>
      <c r="F1" s="472"/>
      <c r="G1" s="472"/>
      <c r="H1" s="472"/>
      <c r="I1" s="472"/>
      <c r="J1" s="472"/>
      <c r="K1" s="472"/>
      <c r="L1" s="472"/>
      <c r="M1" s="472"/>
      <c r="N1" s="472"/>
      <c r="O1" s="472"/>
      <c r="P1" s="472"/>
      <c r="Q1" s="472"/>
      <c r="R1" s="472"/>
      <c r="S1" s="472"/>
      <c r="T1" s="472"/>
      <c r="U1" s="472"/>
      <c r="V1" s="472"/>
      <c r="W1" s="472"/>
      <c r="X1" s="472"/>
      <c r="Y1" s="472"/>
      <c r="Z1" s="472"/>
      <c r="AA1" s="472"/>
    </row>
    <row r="2" spans="1:28" s="145" customFormat="1" x14ac:dyDescent="0.35">
      <c r="A2" s="472" t="s">
        <v>162</v>
      </c>
      <c r="B2" s="472"/>
      <c r="C2" s="472"/>
      <c r="D2" s="472"/>
      <c r="E2" s="472"/>
      <c r="F2" s="472"/>
      <c r="G2" s="472"/>
      <c r="H2" s="472"/>
      <c r="I2" s="472"/>
      <c r="J2" s="472"/>
      <c r="K2" s="472"/>
      <c r="L2" s="472"/>
      <c r="M2" s="472"/>
      <c r="N2" s="472"/>
      <c r="O2" s="472"/>
      <c r="P2" s="472"/>
      <c r="Q2" s="472"/>
      <c r="R2" s="472"/>
      <c r="S2" s="472"/>
      <c r="T2" s="472"/>
      <c r="U2" s="472"/>
      <c r="V2" s="472"/>
      <c r="W2" s="472"/>
      <c r="X2" s="472"/>
      <c r="Y2" s="472"/>
      <c r="Z2" s="472"/>
      <c r="AA2" s="472"/>
    </row>
    <row r="3" spans="1:28" s="145" customFormat="1" ht="25.5" customHeight="1" thickBot="1" x14ac:dyDescent="0.4">
      <c r="A3" s="481" t="str">
        <f>'Ietekme uz valsts budžetu 2024'!B52</f>
        <v>4.3. Valsts finansēto tehnisko palīglīdzekļu nodrošināšana</v>
      </c>
      <c r="B3" s="481"/>
      <c r="C3" s="481"/>
      <c r="D3" s="481"/>
      <c r="E3" s="481"/>
      <c r="F3" s="481"/>
      <c r="G3" s="481"/>
      <c r="H3" s="481"/>
      <c r="I3" s="481"/>
      <c r="J3" s="481"/>
      <c r="K3" s="481"/>
      <c r="L3" s="481"/>
      <c r="M3" s="481"/>
      <c r="N3" s="481"/>
      <c r="O3" s="481"/>
      <c r="P3" s="481"/>
      <c r="Q3" s="481"/>
      <c r="R3" s="481"/>
      <c r="S3" s="481"/>
      <c r="T3" s="481"/>
      <c r="U3" s="481"/>
      <c r="V3" s="481"/>
      <c r="W3" s="481"/>
      <c r="X3" s="481"/>
      <c r="Y3" s="481"/>
      <c r="Z3" s="481"/>
      <c r="AA3" s="481"/>
    </row>
    <row r="4" spans="1:28" ht="14.4" customHeight="1" x14ac:dyDescent="0.35">
      <c r="A4" s="444" t="s">
        <v>15</v>
      </c>
      <c r="B4" s="445"/>
      <c r="C4" s="437" t="s">
        <v>90</v>
      </c>
      <c r="D4" s="438"/>
      <c r="E4" s="437" t="s">
        <v>90</v>
      </c>
      <c r="F4" s="438"/>
      <c r="G4" s="482" t="s">
        <v>90</v>
      </c>
      <c r="H4" s="438"/>
      <c r="I4" s="437" t="s">
        <v>90</v>
      </c>
      <c r="J4" s="438"/>
      <c r="K4" s="437" t="s">
        <v>90</v>
      </c>
      <c r="L4" s="438"/>
      <c r="M4" s="437" t="s">
        <v>90</v>
      </c>
      <c r="N4" s="438"/>
      <c r="O4" s="437" t="s">
        <v>90</v>
      </c>
      <c r="P4" s="438"/>
      <c r="Q4" s="437" t="s">
        <v>90</v>
      </c>
      <c r="R4" s="438"/>
      <c r="S4" s="437" t="s">
        <v>90</v>
      </c>
      <c r="T4" s="438"/>
      <c r="U4" s="437" t="s">
        <v>90</v>
      </c>
      <c r="V4" s="438"/>
      <c r="W4" s="437" t="s">
        <v>90</v>
      </c>
      <c r="X4" s="438"/>
      <c r="Y4" s="437" t="s">
        <v>90</v>
      </c>
      <c r="Z4" s="438"/>
      <c r="AA4" s="312" t="s">
        <v>90</v>
      </c>
    </row>
    <row r="5" spans="1:28" x14ac:dyDescent="0.35">
      <c r="A5" s="442" t="s">
        <v>16</v>
      </c>
      <c r="B5" s="480"/>
      <c r="C5" s="431" t="s">
        <v>97</v>
      </c>
      <c r="D5" s="432"/>
      <c r="E5" s="431" t="s">
        <v>55</v>
      </c>
      <c r="F5" s="432"/>
      <c r="G5" s="433" t="s">
        <v>56</v>
      </c>
      <c r="H5" s="432"/>
      <c r="I5" s="433" t="s">
        <v>57</v>
      </c>
      <c r="J5" s="434"/>
      <c r="K5" s="431" t="s">
        <v>58</v>
      </c>
      <c r="L5" s="432"/>
      <c r="M5" s="431" t="s">
        <v>59</v>
      </c>
      <c r="N5" s="432"/>
      <c r="O5" s="433" t="s">
        <v>60</v>
      </c>
      <c r="P5" s="434"/>
      <c r="Q5" s="431" t="s">
        <v>89</v>
      </c>
      <c r="R5" s="432"/>
      <c r="S5" s="433" t="s">
        <v>98</v>
      </c>
      <c r="T5" s="434"/>
      <c r="U5" s="431" t="s">
        <v>99</v>
      </c>
      <c r="V5" s="432"/>
      <c r="W5" s="433" t="s">
        <v>100</v>
      </c>
      <c r="X5" s="434"/>
      <c r="Y5" s="431" t="s">
        <v>101</v>
      </c>
      <c r="Z5" s="432"/>
      <c r="AA5" s="313" t="s">
        <v>39</v>
      </c>
    </row>
    <row r="6" spans="1:28" ht="15" thickBot="1" x14ac:dyDescent="0.4">
      <c r="A6" s="478" t="s">
        <v>35</v>
      </c>
      <c r="B6" s="479"/>
      <c r="C6" s="27"/>
      <c r="D6" s="28" t="s">
        <v>27</v>
      </c>
      <c r="E6" s="27"/>
      <c r="F6" s="28" t="s">
        <v>27</v>
      </c>
      <c r="G6" s="314"/>
      <c r="H6" s="28" t="s">
        <v>27</v>
      </c>
      <c r="I6" s="66"/>
      <c r="J6" s="66" t="s">
        <v>27</v>
      </c>
      <c r="K6" s="27"/>
      <c r="L6" s="28" t="s">
        <v>27</v>
      </c>
      <c r="M6" s="27"/>
      <c r="N6" s="28" t="s">
        <v>27</v>
      </c>
      <c r="O6" s="66"/>
      <c r="P6" s="66" t="s">
        <v>27</v>
      </c>
      <c r="Q6" s="66"/>
      <c r="R6" s="66" t="s">
        <v>27</v>
      </c>
      <c r="S6" s="66"/>
      <c r="T6" s="66" t="s">
        <v>27</v>
      </c>
      <c r="U6" s="66"/>
      <c r="V6" s="66" t="s">
        <v>27</v>
      </c>
      <c r="W6" s="66"/>
      <c r="X6" s="66" t="s">
        <v>27</v>
      </c>
      <c r="Y6" s="66"/>
      <c r="Z6" s="66" t="s">
        <v>27</v>
      </c>
      <c r="AA6" s="315" t="s">
        <v>27</v>
      </c>
    </row>
    <row r="7" spans="1:28" ht="52" x14ac:dyDescent="0.35">
      <c r="A7" s="255" t="s">
        <v>28</v>
      </c>
      <c r="B7" s="256" t="s">
        <v>61</v>
      </c>
      <c r="C7" s="29" t="s">
        <v>62</v>
      </c>
      <c r="D7" s="30" t="s">
        <v>30</v>
      </c>
      <c r="E7" s="29" t="s">
        <v>62</v>
      </c>
      <c r="F7" s="30" t="s">
        <v>30</v>
      </c>
      <c r="G7" s="35" t="s">
        <v>62</v>
      </c>
      <c r="H7" s="30" t="s">
        <v>30</v>
      </c>
      <c r="I7" s="29" t="s">
        <v>62</v>
      </c>
      <c r="J7" s="30" t="s">
        <v>30</v>
      </c>
      <c r="K7" s="29" t="s">
        <v>62</v>
      </c>
      <c r="L7" s="30" t="s">
        <v>30</v>
      </c>
      <c r="M7" s="29" t="s">
        <v>62</v>
      </c>
      <c r="N7" s="30" t="s">
        <v>30</v>
      </c>
      <c r="O7" s="29" t="s">
        <v>62</v>
      </c>
      <c r="P7" s="30" t="s">
        <v>30</v>
      </c>
      <c r="Q7" s="29" t="s">
        <v>62</v>
      </c>
      <c r="R7" s="30" t="s">
        <v>30</v>
      </c>
      <c r="S7" s="29" t="s">
        <v>62</v>
      </c>
      <c r="T7" s="282" t="s">
        <v>31</v>
      </c>
      <c r="U7" s="29" t="s">
        <v>62</v>
      </c>
      <c r="V7" s="282" t="s">
        <v>31</v>
      </c>
      <c r="W7" s="29" t="s">
        <v>62</v>
      </c>
      <c r="X7" s="282" t="s">
        <v>31</v>
      </c>
      <c r="Y7" s="29" t="s">
        <v>62</v>
      </c>
      <c r="Z7" s="282" t="s">
        <v>31</v>
      </c>
      <c r="AA7" s="282" t="s">
        <v>31</v>
      </c>
    </row>
    <row r="8" spans="1:28" ht="15" thickBot="1" x14ac:dyDescent="0.4">
      <c r="A8" s="259" t="s">
        <v>32</v>
      </c>
      <c r="B8" s="260" t="s">
        <v>63</v>
      </c>
      <c r="C8" s="261">
        <v>1</v>
      </c>
      <c r="D8" s="262">
        <v>2</v>
      </c>
      <c r="E8" s="261">
        <v>1</v>
      </c>
      <c r="F8" s="262">
        <v>2</v>
      </c>
      <c r="G8" s="263">
        <v>3</v>
      </c>
      <c r="H8" s="262">
        <v>4</v>
      </c>
      <c r="I8" s="263">
        <v>5</v>
      </c>
      <c r="J8" s="264">
        <v>6</v>
      </c>
      <c r="K8" s="261">
        <v>7</v>
      </c>
      <c r="L8" s="262">
        <v>8</v>
      </c>
      <c r="M8" s="261">
        <v>9</v>
      </c>
      <c r="N8" s="262">
        <v>10</v>
      </c>
      <c r="O8" s="263">
        <v>11</v>
      </c>
      <c r="P8" s="264">
        <v>12</v>
      </c>
      <c r="Q8" s="261">
        <v>13</v>
      </c>
      <c r="R8" s="262">
        <v>14</v>
      </c>
      <c r="S8" s="261">
        <v>15</v>
      </c>
      <c r="T8" s="262">
        <v>16</v>
      </c>
      <c r="U8" s="263">
        <v>17</v>
      </c>
      <c r="V8" s="264">
        <v>18</v>
      </c>
      <c r="W8" s="261">
        <v>19</v>
      </c>
      <c r="X8" s="262">
        <v>20</v>
      </c>
      <c r="Y8" s="261">
        <v>21</v>
      </c>
      <c r="Z8" s="262">
        <v>22</v>
      </c>
      <c r="AA8" s="316">
        <v>23</v>
      </c>
    </row>
    <row r="9" spans="1:28" ht="52" x14ac:dyDescent="0.35">
      <c r="A9" s="317" t="s">
        <v>64</v>
      </c>
      <c r="B9" s="318" t="s">
        <v>65</v>
      </c>
      <c r="C9" s="319">
        <v>1</v>
      </c>
      <c r="D9" s="320">
        <v>1680</v>
      </c>
      <c r="E9" s="319">
        <v>1</v>
      </c>
      <c r="F9" s="320">
        <v>473.76</v>
      </c>
      <c r="G9" s="319"/>
      <c r="H9" s="320"/>
      <c r="I9" s="319"/>
      <c r="J9" s="320"/>
      <c r="K9" s="319"/>
      <c r="L9" s="320"/>
      <c r="M9" s="319"/>
      <c r="N9" s="320"/>
      <c r="O9" s="319">
        <v>3</v>
      </c>
      <c r="P9" s="320">
        <v>736.16</v>
      </c>
      <c r="Q9" s="319">
        <v>3</v>
      </c>
      <c r="R9" s="320">
        <v>576.26</v>
      </c>
      <c r="S9" s="319"/>
      <c r="T9" s="320"/>
      <c r="U9" s="319"/>
      <c r="V9" s="320"/>
      <c r="W9" s="319"/>
      <c r="X9" s="320"/>
      <c r="Y9" s="321"/>
      <c r="Z9" s="320"/>
      <c r="AA9" s="322">
        <f t="shared" ref="AA9:AA11" si="0">Z9+X9+V9+T9+R9+P9+N9+L9+J9+H9+F9+D9</f>
        <v>3466.1800000000003</v>
      </c>
      <c r="AB9" s="172"/>
    </row>
    <row r="10" spans="1:28" ht="65.150000000000006" customHeight="1" x14ac:dyDescent="0.35">
      <c r="A10" s="142" t="s">
        <v>68</v>
      </c>
      <c r="B10" s="271" t="s">
        <v>65</v>
      </c>
      <c r="C10" s="272">
        <v>6</v>
      </c>
      <c r="D10" s="273">
        <v>1408.84</v>
      </c>
      <c r="E10" s="272"/>
      <c r="F10" s="273"/>
      <c r="G10" s="272">
        <v>17</v>
      </c>
      <c r="H10" s="273">
        <v>4398.84</v>
      </c>
      <c r="I10" s="272">
        <v>19</v>
      </c>
      <c r="J10" s="273">
        <v>4534.41</v>
      </c>
      <c r="K10" s="272">
        <v>10</v>
      </c>
      <c r="L10" s="273">
        <v>3177.94</v>
      </c>
      <c r="M10" s="272">
        <v>25</v>
      </c>
      <c r="N10" s="273">
        <v>5673.14</v>
      </c>
      <c r="O10" s="272"/>
      <c r="P10" s="273"/>
      <c r="Q10" s="272"/>
      <c r="R10" s="273"/>
      <c r="S10" s="272"/>
      <c r="T10" s="273"/>
      <c r="U10" s="272"/>
      <c r="V10" s="273"/>
      <c r="W10" s="272"/>
      <c r="X10" s="273"/>
      <c r="Y10" s="323"/>
      <c r="Z10" s="273"/>
      <c r="AA10" s="324">
        <f t="shared" si="0"/>
        <v>19193.170000000002</v>
      </c>
    </row>
    <row r="11" spans="1:28" ht="65.150000000000006" customHeight="1" thickBot="1" x14ac:dyDescent="0.4">
      <c r="A11" s="143" t="s">
        <v>69</v>
      </c>
      <c r="B11" s="275" t="s">
        <v>65</v>
      </c>
      <c r="C11" s="276">
        <v>24</v>
      </c>
      <c r="D11" s="277">
        <v>15396.48</v>
      </c>
      <c r="E11" s="276">
        <v>23</v>
      </c>
      <c r="F11" s="277">
        <v>45679.28</v>
      </c>
      <c r="G11" s="276">
        <v>28</v>
      </c>
      <c r="H11" s="277">
        <v>58762.44</v>
      </c>
      <c r="I11" s="276">
        <v>9</v>
      </c>
      <c r="J11" s="277">
        <v>6780.5</v>
      </c>
      <c r="K11" s="276">
        <v>28</v>
      </c>
      <c r="L11" s="277">
        <v>21943.119999999999</v>
      </c>
      <c r="M11" s="276">
        <v>20</v>
      </c>
      <c r="N11" s="277">
        <v>31703.8</v>
      </c>
      <c r="O11" s="276">
        <v>29</v>
      </c>
      <c r="P11" s="277">
        <v>22829.01</v>
      </c>
      <c r="Q11" s="276">
        <v>9</v>
      </c>
      <c r="R11" s="277">
        <v>11095.2</v>
      </c>
      <c r="S11" s="276"/>
      <c r="T11" s="277"/>
      <c r="U11" s="276"/>
      <c r="V11" s="277"/>
      <c r="W11" s="276"/>
      <c r="X11" s="277"/>
      <c r="Y11" s="325"/>
      <c r="Z11" s="277"/>
      <c r="AA11" s="326">
        <f t="shared" si="0"/>
        <v>214189.83000000002</v>
      </c>
    </row>
    <row r="12" spans="1:28" s="145" customFormat="1" ht="18" customHeight="1" thickBot="1" x14ac:dyDescent="0.4">
      <c r="A12" s="474" t="s">
        <v>39</v>
      </c>
      <c r="B12" s="475"/>
      <c r="C12" s="327">
        <f>SUM(C9:C11)</f>
        <v>31</v>
      </c>
      <c r="D12" s="327">
        <f t="shared" ref="D12:AA12" si="1">SUM(D9:D11)</f>
        <v>18485.32</v>
      </c>
      <c r="E12" s="327">
        <f t="shared" si="1"/>
        <v>24</v>
      </c>
      <c r="F12" s="327">
        <f t="shared" si="1"/>
        <v>46153.04</v>
      </c>
      <c r="G12" s="327">
        <f t="shared" si="1"/>
        <v>45</v>
      </c>
      <c r="H12" s="327">
        <f t="shared" si="1"/>
        <v>63161.279999999999</v>
      </c>
      <c r="I12" s="327">
        <f t="shared" si="1"/>
        <v>28</v>
      </c>
      <c r="J12" s="327">
        <f t="shared" si="1"/>
        <v>11314.91</v>
      </c>
      <c r="K12" s="327">
        <f t="shared" si="1"/>
        <v>38</v>
      </c>
      <c r="L12" s="327">
        <f t="shared" si="1"/>
        <v>25121.059999999998</v>
      </c>
      <c r="M12" s="327">
        <f t="shared" si="1"/>
        <v>45</v>
      </c>
      <c r="N12" s="327">
        <f t="shared" si="1"/>
        <v>37376.94</v>
      </c>
      <c r="O12" s="327">
        <f t="shared" si="1"/>
        <v>32</v>
      </c>
      <c r="P12" s="327">
        <f t="shared" si="1"/>
        <v>23565.17</v>
      </c>
      <c r="Q12" s="327">
        <f t="shared" si="1"/>
        <v>12</v>
      </c>
      <c r="R12" s="327">
        <f t="shared" si="1"/>
        <v>11671.460000000001</v>
      </c>
      <c r="S12" s="327">
        <f t="shared" si="1"/>
        <v>0</v>
      </c>
      <c r="T12" s="327">
        <f t="shared" si="1"/>
        <v>0</v>
      </c>
      <c r="U12" s="327">
        <f t="shared" si="1"/>
        <v>0</v>
      </c>
      <c r="V12" s="327">
        <f t="shared" si="1"/>
        <v>0</v>
      </c>
      <c r="W12" s="327">
        <f t="shared" si="1"/>
        <v>0</v>
      </c>
      <c r="X12" s="327">
        <f t="shared" si="1"/>
        <v>0</v>
      </c>
      <c r="Y12" s="327">
        <f t="shared" si="1"/>
        <v>0</v>
      </c>
      <c r="Z12" s="327">
        <f t="shared" si="1"/>
        <v>0</v>
      </c>
      <c r="AA12" s="327">
        <f t="shared" si="1"/>
        <v>236849.18000000002</v>
      </c>
    </row>
    <row r="13" spans="1:28" x14ac:dyDescent="0.35">
      <c r="V13" s="472" t="s">
        <v>137</v>
      </c>
      <c r="W13" s="472"/>
      <c r="X13" s="472"/>
      <c r="Y13" s="472"/>
      <c r="Z13" s="472"/>
      <c r="AA13" s="328">
        <f>AA12/(S12+U12+W12+Y12+Q12+O12+M12+K12+I12+G12+E12+C12)</f>
        <v>928.82031372549034</v>
      </c>
    </row>
    <row r="14" spans="1:28" x14ac:dyDescent="0.35">
      <c r="V14" s="472" t="s">
        <v>183</v>
      </c>
      <c r="W14" s="472"/>
      <c r="X14" s="472"/>
      <c r="Y14" s="472"/>
      <c r="Z14" s="472"/>
      <c r="AA14" s="329">
        <f>ROUND(((C12+E12+G12+I12+K12+M12+O12+Q12)/8*12)*1.05,0)</f>
        <v>402</v>
      </c>
    </row>
    <row r="15" spans="1:28" x14ac:dyDescent="0.35">
      <c r="V15" s="477" t="s">
        <v>185</v>
      </c>
      <c r="W15" s="477"/>
      <c r="X15" s="477"/>
      <c r="Y15" s="477"/>
      <c r="Z15" s="477"/>
      <c r="AA15" s="330">
        <f>ROUND(AA13*AA14,0)</f>
        <v>373386</v>
      </c>
    </row>
    <row r="17" spans="12:27" ht="68.400000000000006" customHeight="1" x14ac:dyDescent="0.35">
      <c r="L17" s="172"/>
      <c r="U17" s="476" t="s">
        <v>184</v>
      </c>
      <c r="V17" s="476"/>
      <c r="W17" s="476"/>
      <c r="X17" s="476"/>
      <c r="Y17" s="476"/>
      <c r="Z17" s="476"/>
      <c r="AA17" s="476"/>
    </row>
    <row r="18" spans="12:27" ht="45.65" customHeight="1" x14ac:dyDescent="0.35">
      <c r="U18" s="476" t="s">
        <v>265</v>
      </c>
      <c r="V18" s="476"/>
      <c r="W18" s="476"/>
      <c r="X18" s="476"/>
      <c r="Y18" s="476"/>
      <c r="Z18" s="476"/>
      <c r="AA18" s="476"/>
    </row>
    <row r="19" spans="12:27" ht="68.400000000000006" customHeight="1" x14ac:dyDescent="0.35">
      <c r="U19" s="476" t="s">
        <v>266</v>
      </c>
      <c r="V19" s="476"/>
      <c r="W19" s="476"/>
      <c r="X19" s="476"/>
      <c r="Y19" s="476"/>
      <c r="Z19" s="476"/>
      <c r="AA19" s="476"/>
    </row>
  </sheetData>
  <mergeCells count="37">
    <mergeCell ref="A1:AA1"/>
    <mergeCell ref="A2:AA2"/>
    <mergeCell ref="A3:AA3"/>
    <mergeCell ref="Q5:R5"/>
    <mergeCell ref="S5:T5"/>
    <mergeCell ref="U5:V5"/>
    <mergeCell ref="W5:X5"/>
    <mergeCell ref="Y5:Z5"/>
    <mergeCell ref="U4:V4"/>
    <mergeCell ref="A4:B4"/>
    <mergeCell ref="C4:D4"/>
    <mergeCell ref="E4:F4"/>
    <mergeCell ref="G4:H4"/>
    <mergeCell ref="I4:J4"/>
    <mergeCell ref="A6:B6"/>
    <mergeCell ref="W4:X4"/>
    <mergeCell ref="Y4:Z4"/>
    <mergeCell ref="A5:B5"/>
    <mergeCell ref="C5:D5"/>
    <mergeCell ref="E5:F5"/>
    <mergeCell ref="G5:H5"/>
    <mergeCell ref="I5:J5"/>
    <mergeCell ref="K5:L5"/>
    <mergeCell ref="M5:N5"/>
    <mergeCell ref="O5:P5"/>
    <mergeCell ref="K4:L4"/>
    <mergeCell ref="M4:N4"/>
    <mergeCell ref="O4:P4"/>
    <mergeCell ref="Q4:R4"/>
    <mergeCell ref="S4:T4"/>
    <mergeCell ref="A12:B12"/>
    <mergeCell ref="U17:AA17"/>
    <mergeCell ref="U18:AA18"/>
    <mergeCell ref="U19:AA19"/>
    <mergeCell ref="V13:Z13"/>
    <mergeCell ref="V14:Z14"/>
    <mergeCell ref="V15:Z15"/>
  </mergeCells>
  <pageMargins left="0.70866141732283472" right="0.70866141732283472" top="0.74803149606299213" bottom="0.74803149606299213" header="0.31496062992125984" footer="0.31496062992125984"/>
  <pageSetup paperSize="9" scale="5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A6F455-DA62-4A84-9674-D5896AD74431}">
  <dimension ref="A1:AX62"/>
  <sheetViews>
    <sheetView topLeftCell="A34" zoomScale="70" zoomScaleNormal="70" workbookViewId="0">
      <selection activeCell="T21" sqref="T21"/>
    </sheetView>
  </sheetViews>
  <sheetFormatPr defaultColWidth="8.90625" defaultRowHeight="14.5" x14ac:dyDescent="0.35"/>
  <cols>
    <col min="1" max="1" width="45.08984375" style="1" customWidth="1"/>
    <col min="2" max="2" width="8.90625" style="1"/>
    <col min="3" max="15" width="9" style="1" bestFit="1" customWidth="1"/>
    <col min="16" max="16" width="9.54296875" style="1" bestFit="1" customWidth="1"/>
    <col min="17" max="17" width="9" style="1" bestFit="1" customWidth="1"/>
    <col min="18" max="18" width="9.54296875" style="1" bestFit="1" customWidth="1"/>
    <col min="19" max="21" width="11.453125" style="1" customWidth="1"/>
    <col min="22" max="22" width="9.453125" style="1" bestFit="1" customWidth="1"/>
    <col min="23" max="23" width="9" style="1" bestFit="1" customWidth="1"/>
    <col min="24" max="24" width="9.453125" style="1" bestFit="1" customWidth="1"/>
    <col min="25" max="25" width="9" style="1" bestFit="1" customWidth="1"/>
    <col min="26" max="26" width="9.453125" style="1" bestFit="1" customWidth="1"/>
    <col min="27" max="27" width="12" style="1" customWidth="1"/>
    <col min="28" max="28" width="8.90625" style="1"/>
    <col min="29" max="29" width="9.08984375" style="1" bestFit="1" customWidth="1"/>
    <col min="30" max="16384" width="8.90625" style="1"/>
  </cols>
  <sheetData>
    <row r="1" spans="1:31" s="145" customFormat="1" ht="18" x14ac:dyDescent="0.35">
      <c r="A1" s="503" t="s">
        <v>155</v>
      </c>
      <c r="B1" s="503"/>
      <c r="C1" s="503"/>
      <c r="D1" s="503"/>
      <c r="E1" s="503"/>
      <c r="F1" s="503"/>
      <c r="G1" s="503"/>
      <c r="H1" s="503"/>
      <c r="I1" s="503"/>
      <c r="J1" s="503"/>
      <c r="K1" s="503"/>
      <c r="L1" s="503"/>
      <c r="M1" s="503"/>
      <c r="N1" s="503"/>
      <c r="O1" s="503"/>
      <c r="P1" s="503"/>
      <c r="Q1" s="503"/>
      <c r="R1" s="503"/>
      <c r="S1" s="503"/>
      <c r="T1" s="503"/>
      <c r="U1" s="503"/>
      <c r="V1" s="503"/>
      <c r="W1" s="503"/>
      <c r="X1" s="503"/>
      <c r="Y1" s="503"/>
      <c r="Z1" s="503"/>
      <c r="AA1" s="503"/>
    </row>
    <row r="2" spans="1:31" s="145" customFormat="1" ht="18" x14ac:dyDescent="0.35">
      <c r="A2" s="503" t="s">
        <v>162</v>
      </c>
      <c r="B2" s="503"/>
      <c r="C2" s="503"/>
      <c r="D2" s="503"/>
      <c r="E2" s="503"/>
      <c r="F2" s="503"/>
      <c r="G2" s="503"/>
      <c r="H2" s="503"/>
      <c r="I2" s="503"/>
      <c r="J2" s="503"/>
      <c r="K2" s="503"/>
      <c r="L2" s="503"/>
      <c r="M2" s="503"/>
      <c r="N2" s="503"/>
      <c r="O2" s="503"/>
      <c r="P2" s="503"/>
      <c r="Q2" s="503"/>
      <c r="R2" s="503"/>
      <c r="S2" s="503"/>
      <c r="T2" s="503"/>
      <c r="U2" s="503"/>
      <c r="V2" s="503"/>
      <c r="W2" s="503"/>
      <c r="X2" s="503"/>
      <c r="Y2" s="503"/>
      <c r="Z2" s="503"/>
      <c r="AA2" s="503"/>
    </row>
    <row r="3" spans="1:31" s="145" customFormat="1" ht="32.4" customHeight="1" thickBot="1" x14ac:dyDescent="0.4">
      <c r="A3" s="504" t="str">
        <f>'Ietekme uz valsts budžetu 2024'!B64</f>
        <v>4.4. Atbalsta sniegšana Ukrainas civiliedzīvotājiem, kuriem Latvijā noteikta invaliditāte (pabalsti un pakalpojumi)</v>
      </c>
      <c r="B3" s="504"/>
      <c r="C3" s="504"/>
      <c r="D3" s="504"/>
      <c r="E3" s="504"/>
      <c r="F3" s="504"/>
      <c r="G3" s="504"/>
      <c r="H3" s="504"/>
      <c r="I3" s="504"/>
      <c r="J3" s="504"/>
      <c r="K3" s="504"/>
      <c r="L3" s="504"/>
      <c r="M3" s="504"/>
      <c r="N3" s="504"/>
      <c r="O3" s="504"/>
      <c r="P3" s="504"/>
      <c r="Q3" s="504"/>
      <c r="R3" s="504"/>
      <c r="S3" s="504"/>
      <c r="T3" s="504"/>
      <c r="U3" s="504"/>
      <c r="V3" s="504"/>
      <c r="W3" s="504"/>
      <c r="X3" s="504"/>
      <c r="Y3" s="504"/>
      <c r="Z3" s="504"/>
      <c r="AA3" s="504"/>
    </row>
    <row r="4" spans="1:31" ht="15.65" customHeight="1" thickBot="1" x14ac:dyDescent="0.4">
      <c r="A4" s="146" t="s">
        <v>201</v>
      </c>
      <c r="S4" s="380"/>
      <c r="T4" s="380"/>
      <c r="U4" s="380"/>
      <c r="V4" s="381"/>
      <c r="W4" s="505" t="s">
        <v>213</v>
      </c>
      <c r="X4" s="506"/>
      <c r="Y4" s="506"/>
      <c r="Z4" s="506"/>
      <c r="AA4" s="507"/>
    </row>
    <row r="5" spans="1:31" s="99" customFormat="1" ht="14" x14ac:dyDescent="0.3">
      <c r="A5" s="444" t="s">
        <v>15</v>
      </c>
      <c r="B5" s="445"/>
      <c r="C5" s="437" t="s">
        <v>90</v>
      </c>
      <c r="D5" s="438"/>
      <c r="E5" s="437" t="s">
        <v>90</v>
      </c>
      <c r="F5" s="438"/>
      <c r="G5" s="437" t="s">
        <v>90</v>
      </c>
      <c r="H5" s="438"/>
      <c r="I5" s="437" t="s">
        <v>90</v>
      </c>
      <c r="J5" s="438"/>
      <c r="K5" s="437" t="s">
        <v>90</v>
      </c>
      <c r="L5" s="438"/>
      <c r="M5" s="437" t="s">
        <v>90</v>
      </c>
      <c r="N5" s="438"/>
      <c r="O5" s="437" t="s">
        <v>90</v>
      </c>
      <c r="P5" s="438"/>
      <c r="Q5" s="437" t="s">
        <v>90</v>
      </c>
      <c r="R5" s="438"/>
      <c r="S5" s="494" t="s">
        <v>90</v>
      </c>
      <c r="T5" s="495"/>
      <c r="U5" s="494" t="s">
        <v>90</v>
      </c>
      <c r="V5" s="495"/>
      <c r="W5" s="494" t="s">
        <v>90</v>
      </c>
      <c r="X5" s="495"/>
      <c r="Y5" s="494" t="s">
        <v>90</v>
      </c>
      <c r="Z5" s="508"/>
      <c r="AA5" s="331" t="s">
        <v>90</v>
      </c>
    </row>
    <row r="6" spans="1:31" s="99" customFormat="1" ht="14.4" customHeight="1" x14ac:dyDescent="0.3">
      <c r="A6" s="442" t="s">
        <v>16</v>
      </c>
      <c r="B6" s="443"/>
      <c r="C6" s="431" t="s">
        <v>97</v>
      </c>
      <c r="D6" s="432"/>
      <c r="E6" s="431" t="s">
        <v>55</v>
      </c>
      <c r="F6" s="432"/>
      <c r="G6" s="431" t="s">
        <v>56</v>
      </c>
      <c r="H6" s="432"/>
      <c r="I6" s="433" t="s">
        <v>57</v>
      </c>
      <c r="J6" s="434"/>
      <c r="K6" s="431" t="s">
        <v>58</v>
      </c>
      <c r="L6" s="432"/>
      <c r="M6" s="431" t="s">
        <v>59</v>
      </c>
      <c r="N6" s="432"/>
      <c r="O6" s="431" t="s">
        <v>60</v>
      </c>
      <c r="P6" s="432"/>
      <c r="Q6" s="433" t="s">
        <v>89</v>
      </c>
      <c r="R6" s="433"/>
      <c r="S6" s="491" t="s">
        <v>98</v>
      </c>
      <c r="T6" s="492"/>
      <c r="U6" s="491" t="s">
        <v>99</v>
      </c>
      <c r="V6" s="492"/>
      <c r="W6" s="491" t="s">
        <v>100</v>
      </c>
      <c r="X6" s="492"/>
      <c r="Y6" s="491" t="s">
        <v>101</v>
      </c>
      <c r="Z6" s="493"/>
      <c r="AA6" s="332" t="s">
        <v>39</v>
      </c>
    </row>
    <row r="7" spans="1:31" s="99" customFormat="1" ht="14" x14ac:dyDescent="0.3">
      <c r="A7" s="435" t="s">
        <v>35</v>
      </c>
      <c r="B7" s="436"/>
      <c r="C7" s="27"/>
      <c r="D7" s="28" t="s">
        <v>27</v>
      </c>
      <c r="E7" s="27"/>
      <c r="F7" s="28" t="s">
        <v>27</v>
      </c>
      <c r="G7" s="27"/>
      <c r="H7" s="28" t="s">
        <v>27</v>
      </c>
      <c r="I7" s="66"/>
      <c r="J7" s="66" t="s">
        <v>27</v>
      </c>
      <c r="K7" s="27"/>
      <c r="L7" s="28" t="s">
        <v>27</v>
      </c>
      <c r="M7" s="27"/>
      <c r="N7" s="28" t="s">
        <v>27</v>
      </c>
      <c r="O7" s="34"/>
      <c r="P7" s="28" t="s">
        <v>27</v>
      </c>
      <c r="Q7" s="66"/>
      <c r="R7" s="66" t="s">
        <v>27</v>
      </c>
      <c r="S7" s="114"/>
      <c r="T7" s="115" t="s">
        <v>27</v>
      </c>
      <c r="U7" s="114"/>
      <c r="V7" s="115" t="s">
        <v>27</v>
      </c>
      <c r="W7" s="114"/>
      <c r="X7" s="115" t="s">
        <v>27</v>
      </c>
      <c r="Y7" s="114"/>
      <c r="Z7" s="333" t="s">
        <v>27</v>
      </c>
      <c r="AA7" s="334" t="s">
        <v>27</v>
      </c>
    </row>
    <row r="8" spans="1:31" s="99" customFormat="1" ht="65.150000000000006" customHeight="1" x14ac:dyDescent="0.3">
      <c r="A8" s="2" t="s">
        <v>28</v>
      </c>
      <c r="B8" s="2" t="s">
        <v>61</v>
      </c>
      <c r="C8" s="29" t="s">
        <v>62</v>
      </c>
      <c r="D8" s="30" t="s">
        <v>30</v>
      </c>
      <c r="E8" s="29" t="s">
        <v>62</v>
      </c>
      <c r="F8" s="30" t="s">
        <v>30</v>
      </c>
      <c r="G8" s="29" t="s">
        <v>62</v>
      </c>
      <c r="H8" s="30" t="s">
        <v>30</v>
      </c>
      <c r="I8" s="29" t="s">
        <v>62</v>
      </c>
      <c r="J8" s="30" t="s">
        <v>30</v>
      </c>
      <c r="K8" s="29" t="s">
        <v>62</v>
      </c>
      <c r="L8" s="30" t="s">
        <v>30</v>
      </c>
      <c r="M8" s="29" t="s">
        <v>62</v>
      </c>
      <c r="N8" s="30" t="s">
        <v>30</v>
      </c>
      <c r="O8" s="29" t="s">
        <v>62</v>
      </c>
      <c r="P8" s="30" t="s">
        <v>30</v>
      </c>
      <c r="Q8" s="35" t="s">
        <v>62</v>
      </c>
      <c r="R8" s="32" t="s">
        <v>30</v>
      </c>
      <c r="S8" s="116" t="s">
        <v>62</v>
      </c>
      <c r="T8" s="32" t="s">
        <v>30</v>
      </c>
      <c r="U8" s="116" t="s">
        <v>62</v>
      </c>
      <c r="V8" s="32" t="s">
        <v>30</v>
      </c>
      <c r="W8" s="116" t="s">
        <v>62</v>
      </c>
      <c r="X8" s="117" t="s">
        <v>31</v>
      </c>
      <c r="Y8" s="116" t="s">
        <v>62</v>
      </c>
      <c r="Z8" s="117" t="s">
        <v>31</v>
      </c>
      <c r="AA8" s="335" t="s">
        <v>31</v>
      </c>
    </row>
    <row r="9" spans="1:31" s="99" customFormat="1" ht="14" x14ac:dyDescent="0.3">
      <c r="A9" s="3" t="s">
        <v>32</v>
      </c>
      <c r="B9" s="3" t="s">
        <v>63</v>
      </c>
      <c r="C9" s="4">
        <v>1</v>
      </c>
      <c r="D9" s="5">
        <v>2</v>
      </c>
      <c r="E9" s="4">
        <v>3</v>
      </c>
      <c r="F9" s="5">
        <v>4</v>
      </c>
      <c r="G9" s="6">
        <v>5</v>
      </c>
      <c r="H9" s="7">
        <v>6</v>
      </c>
      <c r="I9" s="4">
        <v>7</v>
      </c>
      <c r="J9" s="5">
        <v>8</v>
      </c>
      <c r="K9" s="4">
        <v>9</v>
      </c>
      <c r="L9" s="5">
        <v>10</v>
      </c>
      <c r="M9" s="4">
        <v>11</v>
      </c>
      <c r="N9" s="5">
        <v>12</v>
      </c>
      <c r="O9" s="6">
        <v>13</v>
      </c>
      <c r="P9" s="33">
        <v>14</v>
      </c>
      <c r="Q9" s="4">
        <v>15</v>
      </c>
      <c r="R9" s="5">
        <v>16</v>
      </c>
      <c r="S9" s="69">
        <v>17</v>
      </c>
      <c r="T9" s="70">
        <v>18</v>
      </c>
      <c r="U9" s="69">
        <v>19</v>
      </c>
      <c r="V9" s="70">
        <v>20</v>
      </c>
      <c r="W9" s="69">
        <v>21</v>
      </c>
      <c r="X9" s="70">
        <v>22</v>
      </c>
      <c r="Y9" s="69">
        <v>23</v>
      </c>
      <c r="Z9" s="73">
        <v>24</v>
      </c>
      <c r="AA9" s="74">
        <v>25</v>
      </c>
    </row>
    <row r="10" spans="1:31" s="99" customFormat="1" ht="31.4" customHeight="1" x14ac:dyDescent="0.3">
      <c r="A10" s="59" t="s">
        <v>186</v>
      </c>
      <c r="B10" s="60" t="s">
        <v>77</v>
      </c>
      <c r="C10" s="61">
        <v>124</v>
      </c>
      <c r="D10" s="62">
        <v>23982.17</v>
      </c>
      <c r="E10" s="61">
        <v>137</v>
      </c>
      <c r="F10" s="62">
        <v>20912.86</v>
      </c>
      <c r="G10" s="61">
        <v>155</v>
      </c>
      <c r="H10" s="62">
        <v>24257.54</v>
      </c>
      <c r="I10" s="61">
        <v>177</v>
      </c>
      <c r="J10" s="62">
        <v>28705.090000000004</v>
      </c>
      <c r="K10" s="61">
        <v>185</v>
      </c>
      <c r="L10" s="62">
        <v>26953.659999999996</v>
      </c>
      <c r="M10" s="61">
        <v>198</v>
      </c>
      <c r="N10" s="62">
        <v>30843.3</v>
      </c>
      <c r="O10" s="61">
        <v>208</v>
      </c>
      <c r="P10" s="63">
        <v>28586.949999999997</v>
      </c>
      <c r="Q10" s="64">
        <v>233</v>
      </c>
      <c r="R10" s="65">
        <v>39405.35</v>
      </c>
      <c r="S10" s="118">
        <v>241</v>
      </c>
      <c r="T10" s="119">
        <v>36675.599999999999</v>
      </c>
      <c r="U10" s="118">
        <v>242</v>
      </c>
      <c r="V10" s="119">
        <v>35660.25</v>
      </c>
      <c r="W10" s="118">
        <v>253</v>
      </c>
      <c r="X10" s="119">
        <v>38549.61</v>
      </c>
      <c r="Y10" s="118">
        <v>264</v>
      </c>
      <c r="Z10" s="119">
        <v>40225.68</v>
      </c>
      <c r="AA10" s="336">
        <f>F10+H10+J10+L10+N10+P10+R10+T10+V10+X10+Z10+D10</f>
        <v>374758.05999999994</v>
      </c>
      <c r="AC10" s="131"/>
      <c r="AD10" s="131"/>
      <c r="AE10" s="192"/>
    </row>
    <row r="11" spans="1:31" s="99" customFormat="1" ht="34.4" customHeight="1" x14ac:dyDescent="0.3">
      <c r="A11" s="59" t="s">
        <v>306</v>
      </c>
      <c r="B11" s="60" t="s">
        <v>87</v>
      </c>
      <c r="C11" s="61">
        <v>84</v>
      </c>
      <c r="D11" s="62">
        <v>10665.23</v>
      </c>
      <c r="E11" s="61">
        <v>90</v>
      </c>
      <c r="F11" s="62">
        <v>10597.75</v>
      </c>
      <c r="G11" s="61">
        <v>99</v>
      </c>
      <c r="H11" s="62">
        <v>12654.91</v>
      </c>
      <c r="I11" s="61">
        <v>98</v>
      </c>
      <c r="J11" s="62">
        <v>12573.33</v>
      </c>
      <c r="K11" s="61">
        <v>97</v>
      </c>
      <c r="L11" s="62">
        <v>11090.509999999998</v>
      </c>
      <c r="M11" s="61">
        <v>109</v>
      </c>
      <c r="N11" s="62">
        <v>13121.84</v>
      </c>
      <c r="O11" s="61">
        <v>114</v>
      </c>
      <c r="P11" s="63">
        <v>12768.65</v>
      </c>
      <c r="Q11" s="64">
        <v>114</v>
      </c>
      <c r="R11" s="65">
        <v>12683.609999999999</v>
      </c>
      <c r="S11" s="118">
        <v>115</v>
      </c>
      <c r="T11" s="119">
        <v>12854.81</v>
      </c>
      <c r="U11" s="118">
        <v>116</v>
      </c>
      <c r="V11" s="119">
        <v>13365.23</v>
      </c>
      <c r="W11" s="118">
        <v>117</v>
      </c>
      <c r="X11" s="119">
        <v>12486.24</v>
      </c>
      <c r="Y11" s="118">
        <v>118</v>
      </c>
      <c r="Z11" s="337">
        <v>12592.96</v>
      </c>
      <c r="AA11" s="336">
        <f t="shared" ref="AA11:AA13" si="0">F11+H11+J11+L11+N11+P11+R11+T11+V11+X11+Z11+D11</f>
        <v>147455.07</v>
      </c>
      <c r="AC11" s="131"/>
      <c r="AD11" s="131"/>
      <c r="AE11" s="192"/>
    </row>
    <row r="12" spans="1:31" s="99" customFormat="1" ht="30" customHeight="1" x14ac:dyDescent="0.3">
      <c r="A12" s="59" t="s">
        <v>307</v>
      </c>
      <c r="B12" s="60" t="s">
        <v>87</v>
      </c>
      <c r="C12" s="61">
        <v>58</v>
      </c>
      <c r="D12" s="62">
        <v>23165.199999999997</v>
      </c>
      <c r="E12" s="61">
        <v>61</v>
      </c>
      <c r="F12" s="62">
        <v>20908.43</v>
      </c>
      <c r="G12" s="61">
        <v>67</v>
      </c>
      <c r="H12" s="62">
        <v>24614.52</v>
      </c>
      <c r="I12" s="61">
        <v>65</v>
      </c>
      <c r="J12" s="62">
        <v>19929.169999999998</v>
      </c>
      <c r="K12" s="61">
        <v>64</v>
      </c>
      <c r="L12" s="62">
        <v>21127.87</v>
      </c>
      <c r="M12" s="61">
        <v>69</v>
      </c>
      <c r="N12" s="62">
        <v>23577.699999999997</v>
      </c>
      <c r="O12" s="61">
        <v>68</v>
      </c>
      <c r="P12" s="63">
        <v>21126.2</v>
      </c>
      <c r="Q12" s="64">
        <v>70</v>
      </c>
      <c r="R12" s="65">
        <v>22358</v>
      </c>
      <c r="S12" s="118">
        <v>68</v>
      </c>
      <c r="T12" s="119">
        <v>21611.17</v>
      </c>
      <c r="U12" s="118">
        <v>68</v>
      </c>
      <c r="V12" s="119">
        <v>22597.29</v>
      </c>
      <c r="W12" s="118">
        <v>69</v>
      </c>
      <c r="X12" s="119">
        <v>21626.670000000002</v>
      </c>
      <c r="Y12" s="118">
        <v>69</v>
      </c>
      <c r="Z12" s="337">
        <v>21626.670000000002</v>
      </c>
      <c r="AA12" s="336">
        <f t="shared" si="0"/>
        <v>264268.89</v>
      </c>
      <c r="AC12" s="131"/>
      <c r="AD12" s="131"/>
      <c r="AE12" s="192"/>
    </row>
    <row r="13" spans="1:31" s="99" customFormat="1" ht="40.4" customHeight="1" x14ac:dyDescent="0.3">
      <c r="A13" s="59" t="s">
        <v>308</v>
      </c>
      <c r="B13" s="60" t="s">
        <v>77</v>
      </c>
      <c r="C13" s="61">
        <v>24</v>
      </c>
      <c r="D13" s="62">
        <v>8295.42</v>
      </c>
      <c r="E13" s="61">
        <v>26</v>
      </c>
      <c r="F13" s="62">
        <v>6599.89</v>
      </c>
      <c r="G13" s="61">
        <v>29</v>
      </c>
      <c r="H13" s="62">
        <v>11284.55</v>
      </c>
      <c r="I13" s="61">
        <v>24</v>
      </c>
      <c r="J13" s="62">
        <v>5034.76</v>
      </c>
      <c r="K13" s="61">
        <v>21</v>
      </c>
      <c r="L13" s="62">
        <v>5765.06</v>
      </c>
      <c r="M13" s="61">
        <v>26</v>
      </c>
      <c r="N13" s="62">
        <v>11107.150000000011</v>
      </c>
      <c r="O13" s="61">
        <v>26</v>
      </c>
      <c r="P13" s="63">
        <v>6620.42</v>
      </c>
      <c r="Q13" s="64">
        <v>28</v>
      </c>
      <c r="R13" s="65">
        <v>9165.18</v>
      </c>
      <c r="S13" s="118">
        <v>30</v>
      </c>
      <c r="T13" s="119">
        <v>13096.85</v>
      </c>
      <c r="U13" s="118">
        <v>30</v>
      </c>
      <c r="V13" s="119">
        <v>7915.99</v>
      </c>
      <c r="W13" s="118">
        <v>32</v>
      </c>
      <c r="X13" s="119">
        <v>10029.76</v>
      </c>
      <c r="Y13" s="118">
        <v>32</v>
      </c>
      <c r="Z13" s="337">
        <v>10029.76</v>
      </c>
      <c r="AA13" s="336">
        <f t="shared" si="0"/>
        <v>104944.79000000001</v>
      </c>
      <c r="AC13" s="131"/>
      <c r="AD13" s="131"/>
      <c r="AE13" s="192"/>
    </row>
    <row r="14" spans="1:31" s="99" customFormat="1" ht="32.5" customHeight="1" x14ac:dyDescent="0.3">
      <c r="A14" s="483" t="s">
        <v>320</v>
      </c>
      <c r="B14" s="483"/>
      <c r="C14" s="483"/>
      <c r="D14" s="483"/>
      <c r="E14" s="483"/>
      <c r="F14" s="483"/>
      <c r="G14" s="483"/>
      <c r="H14" s="483"/>
      <c r="I14" s="483"/>
      <c r="J14" s="483"/>
      <c r="K14" s="483"/>
      <c r="L14" s="483"/>
      <c r="M14" s="483"/>
      <c r="N14" s="483"/>
      <c r="O14" s="338"/>
      <c r="P14" s="338"/>
      <c r="Q14" s="338"/>
      <c r="R14" s="339"/>
      <c r="S14" s="340"/>
      <c r="T14" s="339"/>
      <c r="U14" s="341"/>
      <c r="V14" s="200"/>
      <c r="W14" s="341"/>
      <c r="X14" s="200"/>
      <c r="Y14" s="102">
        <f>SUM(Y10:Y13)</f>
        <v>483</v>
      </c>
      <c r="Z14" s="200"/>
      <c r="AA14" s="342">
        <f>SUM(AA10:AA13)</f>
        <v>891426.81</v>
      </c>
      <c r="AB14" s="342"/>
    </row>
    <row r="15" spans="1:31" s="99" customFormat="1" ht="14" x14ac:dyDescent="0.3">
      <c r="A15" s="134"/>
      <c r="C15" s="199"/>
      <c r="D15" s="200"/>
      <c r="E15" s="343"/>
      <c r="F15" s="200"/>
      <c r="G15" s="343"/>
      <c r="H15" s="200"/>
      <c r="I15" s="343"/>
      <c r="J15" s="200"/>
      <c r="K15" s="343"/>
      <c r="L15" s="200"/>
      <c r="M15" s="343"/>
      <c r="N15" s="200"/>
      <c r="O15" s="338"/>
      <c r="P15" s="338"/>
      <c r="Q15" s="338"/>
      <c r="R15" s="339"/>
      <c r="S15" s="340"/>
      <c r="T15" s="344"/>
      <c r="AB15" s="342"/>
    </row>
    <row r="16" spans="1:31" s="99" customFormat="1" ht="14" x14ac:dyDescent="0.3">
      <c r="A16" s="134"/>
      <c r="O16" s="345"/>
      <c r="P16" s="346"/>
      <c r="Q16" s="345"/>
      <c r="R16" s="346"/>
      <c r="S16" s="345"/>
      <c r="T16" s="346"/>
    </row>
    <row r="17" spans="1:50" s="99" customFormat="1" ht="14" x14ac:dyDescent="0.3">
      <c r="A17" s="134"/>
      <c r="F17" s="129"/>
      <c r="H17" s="129"/>
      <c r="J17" s="129"/>
      <c r="L17" s="129"/>
      <c r="N17" s="129"/>
      <c r="P17" s="129"/>
      <c r="Q17" s="129"/>
      <c r="R17" s="129"/>
      <c r="S17" s="129"/>
      <c r="T17" s="129"/>
      <c r="U17" s="129"/>
      <c r="V17" s="129"/>
      <c r="W17" s="129"/>
      <c r="X17" s="129"/>
      <c r="Y17" s="129"/>
      <c r="Z17" s="129"/>
      <c r="AA17" s="129"/>
      <c r="AB17" s="129"/>
      <c r="AC17" s="129"/>
      <c r="AD17" s="129"/>
      <c r="AE17" s="129"/>
      <c r="AF17" s="129"/>
    </row>
    <row r="19" spans="1:50" x14ac:dyDescent="0.35">
      <c r="A19" s="500" t="s">
        <v>199</v>
      </c>
      <c r="B19" s="500"/>
      <c r="C19" s="500"/>
      <c r="D19" s="500"/>
      <c r="E19" s="500"/>
      <c r="F19" s="500"/>
      <c r="G19" s="500"/>
      <c r="N19" s="172"/>
      <c r="O19" s="172"/>
      <c r="P19" s="172"/>
      <c r="Q19" s="172"/>
      <c r="R19" s="172"/>
      <c r="S19" s="347"/>
      <c r="T19" s="172"/>
      <c r="U19" s="172"/>
      <c r="V19" s="172"/>
      <c r="W19" s="172"/>
      <c r="X19" s="172"/>
      <c r="Y19" s="172"/>
      <c r="Z19" s="172"/>
      <c r="AA19" s="172"/>
      <c r="AB19" s="172"/>
      <c r="AC19" s="172"/>
      <c r="AD19" s="172"/>
      <c r="AE19" s="172"/>
      <c r="AF19" s="172"/>
      <c r="AG19" s="172"/>
      <c r="AH19" s="172"/>
      <c r="AI19" s="172"/>
      <c r="AJ19" s="172"/>
      <c r="AK19" s="172"/>
      <c r="AL19" s="172"/>
      <c r="AM19" s="172"/>
      <c r="AN19" s="172"/>
      <c r="AO19" s="172"/>
      <c r="AP19" s="172"/>
      <c r="AQ19" s="172"/>
      <c r="AR19" s="172"/>
      <c r="AS19" s="172"/>
      <c r="AT19" s="172"/>
      <c r="AU19" s="172"/>
      <c r="AV19" s="172"/>
      <c r="AW19" s="172"/>
      <c r="AX19" s="172"/>
    </row>
    <row r="20" spans="1:50" ht="43.5" x14ac:dyDescent="0.35">
      <c r="F20" s="348" t="s">
        <v>197</v>
      </c>
      <c r="G20" s="348" t="s">
        <v>198</v>
      </c>
      <c r="H20" s="349" t="s">
        <v>200</v>
      </c>
    </row>
    <row r="21" spans="1:50" x14ac:dyDescent="0.35">
      <c r="A21" s="499" t="s">
        <v>187</v>
      </c>
      <c r="B21" s="499"/>
      <c r="C21" s="499"/>
      <c r="D21" s="499"/>
      <c r="E21" s="499"/>
      <c r="F21" s="173">
        <v>175</v>
      </c>
      <c r="G21" s="173">
        <v>191.8</v>
      </c>
      <c r="H21" s="350">
        <f>G21*100/F21-100</f>
        <v>9.5999999999999943</v>
      </c>
    </row>
    <row r="22" spans="1:50" x14ac:dyDescent="0.35">
      <c r="A22" s="499" t="s">
        <v>188</v>
      </c>
      <c r="B22" s="499"/>
      <c r="C22" s="499"/>
      <c r="D22" s="499"/>
      <c r="E22" s="499"/>
      <c r="F22" s="173">
        <v>227.5</v>
      </c>
      <c r="G22" s="173">
        <v>249.34</v>
      </c>
      <c r="H22" s="350">
        <f t="shared" ref="H22:H31" si="1">G22*100/F22-100</f>
        <v>9.5999999999999943</v>
      </c>
    </row>
    <row r="23" spans="1:50" x14ac:dyDescent="0.35">
      <c r="A23" s="499" t="s">
        <v>189</v>
      </c>
      <c r="B23" s="499"/>
      <c r="C23" s="499"/>
      <c r="D23" s="499"/>
      <c r="E23" s="499"/>
      <c r="F23" s="173">
        <v>219.8</v>
      </c>
      <c r="G23" s="173">
        <v>239.4</v>
      </c>
      <c r="H23" s="350">
        <f t="shared" si="1"/>
        <v>8.9171974522292885</v>
      </c>
    </row>
    <row r="24" spans="1:50" x14ac:dyDescent="0.35">
      <c r="A24" s="499" t="s">
        <v>190</v>
      </c>
      <c r="B24" s="499"/>
      <c r="C24" s="499"/>
      <c r="D24" s="499"/>
      <c r="E24" s="499"/>
      <c r="F24" s="173">
        <v>285.74</v>
      </c>
      <c r="G24" s="173">
        <v>311.22000000000003</v>
      </c>
      <c r="H24" s="350">
        <f t="shared" si="1"/>
        <v>8.9171974522293027</v>
      </c>
    </row>
    <row r="25" spans="1:50" x14ac:dyDescent="0.35">
      <c r="A25" s="499" t="s">
        <v>191</v>
      </c>
      <c r="B25" s="499"/>
      <c r="C25" s="499"/>
      <c r="D25" s="499"/>
      <c r="E25" s="499"/>
      <c r="F25" s="173">
        <v>150</v>
      </c>
      <c r="G25" s="173">
        <v>164.4</v>
      </c>
      <c r="H25" s="350">
        <f t="shared" si="1"/>
        <v>9.5999999999999943</v>
      </c>
    </row>
    <row r="26" spans="1:50" x14ac:dyDescent="0.35">
      <c r="A26" s="499" t="s">
        <v>192</v>
      </c>
      <c r="B26" s="499"/>
      <c r="C26" s="499"/>
      <c r="D26" s="499"/>
      <c r="E26" s="499"/>
      <c r="F26" s="173">
        <v>180</v>
      </c>
      <c r="G26" s="173">
        <v>197.28</v>
      </c>
      <c r="H26" s="350">
        <f t="shared" si="1"/>
        <v>9.5999999999999943</v>
      </c>
    </row>
    <row r="27" spans="1:50" x14ac:dyDescent="0.35">
      <c r="A27" s="499" t="s">
        <v>193</v>
      </c>
      <c r="B27" s="499"/>
      <c r="C27" s="499"/>
      <c r="D27" s="499"/>
      <c r="E27" s="499"/>
      <c r="F27" s="173">
        <v>188.4</v>
      </c>
      <c r="G27" s="173">
        <v>205.2</v>
      </c>
      <c r="H27" s="350">
        <f t="shared" si="1"/>
        <v>8.9171974522293027</v>
      </c>
    </row>
    <row r="28" spans="1:50" x14ac:dyDescent="0.35">
      <c r="A28" s="499" t="s">
        <v>194</v>
      </c>
      <c r="B28" s="499"/>
      <c r="C28" s="499"/>
      <c r="D28" s="499"/>
      <c r="E28" s="499"/>
      <c r="F28" s="173">
        <v>226.08</v>
      </c>
      <c r="G28" s="173">
        <v>246.24</v>
      </c>
      <c r="H28" s="350">
        <f t="shared" si="1"/>
        <v>8.9171974522292885</v>
      </c>
    </row>
    <row r="29" spans="1:50" x14ac:dyDescent="0.35">
      <c r="A29" s="499" t="s">
        <v>195</v>
      </c>
      <c r="B29" s="499"/>
      <c r="C29" s="499"/>
      <c r="D29" s="499"/>
      <c r="E29" s="499"/>
      <c r="F29" s="173">
        <v>125</v>
      </c>
      <c r="G29" s="173">
        <v>137</v>
      </c>
      <c r="H29" s="350">
        <f t="shared" si="1"/>
        <v>9.5999999999999943</v>
      </c>
    </row>
    <row r="30" spans="1:50" x14ac:dyDescent="0.35">
      <c r="A30" s="499" t="s">
        <v>196</v>
      </c>
      <c r="B30" s="499"/>
      <c r="C30" s="499"/>
      <c r="D30" s="499"/>
      <c r="E30" s="499"/>
      <c r="F30" s="173">
        <v>157</v>
      </c>
      <c r="G30" s="173">
        <v>171</v>
      </c>
      <c r="H30" s="350">
        <f t="shared" si="1"/>
        <v>8.9171974522293027</v>
      </c>
    </row>
    <row r="31" spans="1:50" x14ac:dyDescent="0.35">
      <c r="F31" s="173">
        <f>AVERAGE(F21:F30)</f>
        <v>193.452</v>
      </c>
      <c r="G31" s="173">
        <f>AVERAGE(G21:G30)</f>
        <v>211.28800000000001</v>
      </c>
      <c r="H31" s="351">
        <f t="shared" si="1"/>
        <v>9.2198581560283799</v>
      </c>
    </row>
    <row r="33" spans="1:31" ht="15.65" customHeight="1" thickBot="1" x14ac:dyDescent="0.4">
      <c r="A33" s="146" t="s">
        <v>202</v>
      </c>
    </row>
    <row r="34" spans="1:31" s="99" customFormat="1" ht="14" x14ac:dyDescent="0.3">
      <c r="A34" s="501" t="s">
        <v>15</v>
      </c>
      <c r="B34" s="502"/>
      <c r="C34" s="494" t="s">
        <v>163</v>
      </c>
      <c r="D34" s="495"/>
      <c r="E34" s="494" t="s">
        <v>163</v>
      </c>
      <c r="F34" s="495"/>
      <c r="G34" s="494" t="s">
        <v>163</v>
      </c>
      <c r="H34" s="495"/>
      <c r="I34" s="494" t="s">
        <v>163</v>
      </c>
      <c r="J34" s="495"/>
      <c r="K34" s="494" t="s">
        <v>163</v>
      </c>
      <c r="L34" s="495"/>
      <c r="M34" s="494" t="s">
        <v>163</v>
      </c>
      <c r="N34" s="495"/>
      <c r="O34" s="494" t="s">
        <v>163</v>
      </c>
      <c r="P34" s="495"/>
      <c r="Q34" s="494" t="s">
        <v>163</v>
      </c>
      <c r="R34" s="495"/>
      <c r="S34" s="494" t="s">
        <v>163</v>
      </c>
      <c r="T34" s="495"/>
      <c r="U34" s="494" t="s">
        <v>163</v>
      </c>
      <c r="V34" s="495"/>
      <c r="W34" s="494" t="s">
        <v>163</v>
      </c>
      <c r="X34" s="495"/>
      <c r="Y34" s="494" t="s">
        <v>163</v>
      </c>
      <c r="Z34" s="495"/>
      <c r="AA34" s="331" t="s">
        <v>163</v>
      </c>
    </row>
    <row r="35" spans="1:31" s="99" customFormat="1" ht="14.4" customHeight="1" x14ac:dyDescent="0.3">
      <c r="A35" s="496" t="s">
        <v>16</v>
      </c>
      <c r="B35" s="497"/>
      <c r="C35" s="491" t="s">
        <v>97</v>
      </c>
      <c r="D35" s="492"/>
      <c r="E35" s="491" t="s">
        <v>55</v>
      </c>
      <c r="F35" s="492"/>
      <c r="G35" s="491" t="s">
        <v>56</v>
      </c>
      <c r="H35" s="492"/>
      <c r="I35" s="493" t="s">
        <v>57</v>
      </c>
      <c r="J35" s="498"/>
      <c r="K35" s="491" t="s">
        <v>58</v>
      </c>
      <c r="L35" s="492"/>
      <c r="M35" s="491" t="s">
        <v>59</v>
      </c>
      <c r="N35" s="492"/>
      <c r="O35" s="491" t="s">
        <v>60</v>
      </c>
      <c r="P35" s="492"/>
      <c r="Q35" s="493" t="s">
        <v>89</v>
      </c>
      <c r="R35" s="493"/>
      <c r="S35" s="491" t="s">
        <v>98</v>
      </c>
      <c r="T35" s="492"/>
      <c r="U35" s="491" t="s">
        <v>99</v>
      </c>
      <c r="V35" s="492"/>
      <c r="W35" s="491" t="s">
        <v>100</v>
      </c>
      <c r="X35" s="492"/>
      <c r="Y35" s="491" t="s">
        <v>101</v>
      </c>
      <c r="Z35" s="493"/>
      <c r="AA35" s="332" t="s">
        <v>39</v>
      </c>
    </row>
    <row r="36" spans="1:31" s="99" customFormat="1" ht="14" x14ac:dyDescent="0.3">
      <c r="A36" s="488" t="s">
        <v>35</v>
      </c>
      <c r="B36" s="489"/>
      <c r="C36" s="352"/>
      <c r="D36" s="115" t="s">
        <v>27</v>
      </c>
      <c r="E36" s="352"/>
      <c r="F36" s="115" t="s">
        <v>27</v>
      </c>
      <c r="G36" s="352"/>
      <c r="H36" s="115" t="s">
        <v>27</v>
      </c>
      <c r="I36" s="333"/>
      <c r="J36" s="333" t="s">
        <v>27</v>
      </c>
      <c r="K36" s="352"/>
      <c r="L36" s="115" t="s">
        <v>27</v>
      </c>
      <c r="M36" s="352"/>
      <c r="N36" s="115" t="s">
        <v>27</v>
      </c>
      <c r="O36" s="114"/>
      <c r="P36" s="115" t="s">
        <v>27</v>
      </c>
      <c r="Q36" s="333"/>
      <c r="R36" s="333" t="s">
        <v>27</v>
      </c>
      <c r="S36" s="114"/>
      <c r="T36" s="115" t="s">
        <v>27</v>
      </c>
      <c r="U36" s="114"/>
      <c r="V36" s="115" t="s">
        <v>27</v>
      </c>
      <c r="W36" s="114"/>
      <c r="X36" s="115" t="s">
        <v>27</v>
      </c>
      <c r="Y36" s="114"/>
      <c r="Z36" s="333" t="s">
        <v>27</v>
      </c>
      <c r="AA36" s="334" t="s">
        <v>27</v>
      </c>
    </row>
    <row r="37" spans="1:31" s="99" customFormat="1" ht="65.150000000000006" customHeight="1" x14ac:dyDescent="0.3">
      <c r="A37" s="353" t="s">
        <v>28</v>
      </c>
      <c r="B37" s="353" t="s">
        <v>61</v>
      </c>
      <c r="C37" s="116" t="s">
        <v>62</v>
      </c>
      <c r="D37" s="117" t="s">
        <v>31</v>
      </c>
      <c r="E37" s="116" t="s">
        <v>62</v>
      </c>
      <c r="F37" s="117" t="s">
        <v>31</v>
      </c>
      <c r="G37" s="116" t="s">
        <v>62</v>
      </c>
      <c r="H37" s="117" t="s">
        <v>31</v>
      </c>
      <c r="I37" s="116" t="s">
        <v>62</v>
      </c>
      <c r="J37" s="117" t="s">
        <v>31</v>
      </c>
      <c r="K37" s="116" t="s">
        <v>62</v>
      </c>
      <c r="L37" s="117" t="s">
        <v>31</v>
      </c>
      <c r="M37" s="116" t="s">
        <v>62</v>
      </c>
      <c r="N37" s="117" t="s">
        <v>31</v>
      </c>
      <c r="O37" s="116" t="s">
        <v>62</v>
      </c>
      <c r="P37" s="117" t="s">
        <v>31</v>
      </c>
      <c r="Q37" s="354" t="s">
        <v>62</v>
      </c>
      <c r="R37" s="117" t="s">
        <v>31</v>
      </c>
      <c r="S37" s="116" t="s">
        <v>62</v>
      </c>
      <c r="T37" s="117" t="s">
        <v>31</v>
      </c>
      <c r="U37" s="116" t="s">
        <v>62</v>
      </c>
      <c r="V37" s="117" t="s">
        <v>31</v>
      </c>
      <c r="W37" s="116" t="s">
        <v>62</v>
      </c>
      <c r="X37" s="117" t="s">
        <v>31</v>
      </c>
      <c r="Y37" s="116" t="s">
        <v>62</v>
      </c>
      <c r="Z37" s="117" t="s">
        <v>31</v>
      </c>
      <c r="AA37" s="117" t="s">
        <v>31</v>
      </c>
    </row>
    <row r="38" spans="1:31" s="99" customFormat="1" ht="14" x14ac:dyDescent="0.3">
      <c r="A38" s="355" t="s">
        <v>32</v>
      </c>
      <c r="B38" s="355" t="s">
        <v>63</v>
      </c>
      <c r="C38" s="69">
        <v>1</v>
      </c>
      <c r="D38" s="70">
        <v>2</v>
      </c>
      <c r="E38" s="69">
        <v>3</v>
      </c>
      <c r="F38" s="70">
        <v>4</v>
      </c>
      <c r="G38" s="71">
        <v>5</v>
      </c>
      <c r="H38" s="72">
        <v>6</v>
      </c>
      <c r="I38" s="69">
        <v>7</v>
      </c>
      <c r="J38" s="70">
        <v>8</v>
      </c>
      <c r="K38" s="69">
        <v>9</v>
      </c>
      <c r="L38" s="70">
        <v>10</v>
      </c>
      <c r="M38" s="69">
        <v>11</v>
      </c>
      <c r="N38" s="70">
        <v>12</v>
      </c>
      <c r="O38" s="71">
        <v>13</v>
      </c>
      <c r="P38" s="73">
        <v>14</v>
      </c>
      <c r="Q38" s="69">
        <v>15</v>
      </c>
      <c r="R38" s="70">
        <v>16</v>
      </c>
      <c r="S38" s="69">
        <v>17</v>
      </c>
      <c r="T38" s="70">
        <v>18</v>
      </c>
      <c r="U38" s="69">
        <v>19</v>
      </c>
      <c r="V38" s="70">
        <v>20</v>
      </c>
      <c r="W38" s="69">
        <v>21</v>
      </c>
      <c r="X38" s="70">
        <v>22</v>
      </c>
      <c r="Y38" s="69">
        <v>23</v>
      </c>
      <c r="Z38" s="73">
        <v>24</v>
      </c>
      <c r="AA38" s="74">
        <v>25</v>
      </c>
    </row>
    <row r="39" spans="1:31" s="99" customFormat="1" ht="31.4" customHeight="1" x14ac:dyDescent="0.3">
      <c r="A39" s="356" t="s">
        <v>186</v>
      </c>
      <c r="B39" s="357" t="s">
        <v>77</v>
      </c>
      <c r="C39" s="118">
        <f>Y10+15</f>
        <v>279</v>
      </c>
      <c r="D39" s="358">
        <f>C39*(152.91*1.0922)</f>
        <v>46595.316258000006</v>
      </c>
      <c r="E39" s="118">
        <f>C39+15</f>
        <v>294</v>
      </c>
      <c r="F39" s="358">
        <f>E39*(152.91*1.0922)</f>
        <v>49100.440788000007</v>
      </c>
      <c r="G39" s="118">
        <f>E39+15</f>
        <v>309</v>
      </c>
      <c r="H39" s="358">
        <f>G39*(152.91*1.0922)</f>
        <v>51605.565318000008</v>
      </c>
      <c r="I39" s="118">
        <f>G39+15</f>
        <v>324</v>
      </c>
      <c r="J39" s="358">
        <f>I39*(152.91*1.0922)</f>
        <v>54110.689848000002</v>
      </c>
      <c r="K39" s="118">
        <f>I39+15</f>
        <v>339</v>
      </c>
      <c r="L39" s="358">
        <f>K39*(152.91*1.0922)</f>
        <v>56615.814378000003</v>
      </c>
      <c r="M39" s="118">
        <f>K39+15</f>
        <v>354</v>
      </c>
      <c r="N39" s="358">
        <f>M39*(152.91*1.0922)</f>
        <v>59120.938908000004</v>
      </c>
      <c r="O39" s="118">
        <f>M39+15</f>
        <v>369</v>
      </c>
      <c r="P39" s="358">
        <f>O39*(152.91*1.0922)</f>
        <v>61626.063438000005</v>
      </c>
      <c r="Q39" s="118">
        <f>O39+15</f>
        <v>384</v>
      </c>
      <c r="R39" s="358">
        <f>Q39*(152.91*1.0922)</f>
        <v>64131.187968000006</v>
      </c>
      <c r="S39" s="118">
        <f>Q39+15</f>
        <v>399</v>
      </c>
      <c r="T39" s="358">
        <f>S39*(152.91*1.0922)</f>
        <v>66636.312497999999</v>
      </c>
      <c r="U39" s="118">
        <f>S39+15</f>
        <v>414</v>
      </c>
      <c r="V39" s="358">
        <f>U39*(152.91*1.0922)</f>
        <v>69141.437028</v>
      </c>
      <c r="W39" s="118">
        <f>U39+15</f>
        <v>429</v>
      </c>
      <c r="X39" s="358">
        <f>W39*(152.91*1.0922)</f>
        <v>71646.561558000001</v>
      </c>
      <c r="Y39" s="118">
        <f>W39+15</f>
        <v>444</v>
      </c>
      <c r="Z39" s="358">
        <f>Y39*(152.91*1.0922)</f>
        <v>74151.686088000002</v>
      </c>
      <c r="AA39" s="359">
        <f>F39+H39+J39+L39+N39+P39+R39+T39+V39+X39+Z39+D39</f>
        <v>724482.01407599996</v>
      </c>
      <c r="AC39" s="131"/>
      <c r="AD39" s="129"/>
      <c r="AE39" s="192"/>
    </row>
    <row r="40" spans="1:31" s="99" customFormat="1" ht="34.4" customHeight="1" x14ac:dyDescent="0.3">
      <c r="A40" s="356" t="s">
        <v>324</v>
      </c>
      <c r="B40" s="357" t="s">
        <v>87</v>
      </c>
      <c r="C40" s="118">
        <f>Y11+5</f>
        <v>123</v>
      </c>
      <c r="D40" s="358">
        <f>C40*160</f>
        <v>19680</v>
      </c>
      <c r="E40" s="118">
        <f>C40+5</f>
        <v>128</v>
      </c>
      <c r="F40" s="358">
        <f>E40*160</f>
        <v>20480</v>
      </c>
      <c r="G40" s="118">
        <f>E40+5</f>
        <v>133</v>
      </c>
      <c r="H40" s="358">
        <f>G40*160</f>
        <v>21280</v>
      </c>
      <c r="I40" s="118">
        <f>G40+5</f>
        <v>138</v>
      </c>
      <c r="J40" s="358">
        <f>I40*160</f>
        <v>22080</v>
      </c>
      <c r="K40" s="118">
        <f>I40+5</f>
        <v>143</v>
      </c>
      <c r="L40" s="358">
        <f>K40*160</f>
        <v>22880</v>
      </c>
      <c r="M40" s="118">
        <f>K40+5</f>
        <v>148</v>
      </c>
      <c r="N40" s="358">
        <f>M40*160</f>
        <v>23680</v>
      </c>
      <c r="O40" s="118">
        <f>M40+5</f>
        <v>153</v>
      </c>
      <c r="P40" s="358">
        <f>O40*160</f>
        <v>24480</v>
      </c>
      <c r="Q40" s="118">
        <f>O40+5</f>
        <v>158</v>
      </c>
      <c r="R40" s="358">
        <f>Q40*160</f>
        <v>25280</v>
      </c>
      <c r="S40" s="118">
        <f>Q40+5</f>
        <v>163</v>
      </c>
      <c r="T40" s="358">
        <f>S40*160</f>
        <v>26080</v>
      </c>
      <c r="U40" s="118">
        <f>S40+5</f>
        <v>168</v>
      </c>
      <c r="V40" s="358">
        <f>U40*160</f>
        <v>26880</v>
      </c>
      <c r="W40" s="118">
        <f>U40+5</f>
        <v>173</v>
      </c>
      <c r="X40" s="358">
        <f>W40*160</f>
        <v>27680</v>
      </c>
      <c r="Y40" s="118">
        <f>W40+5</f>
        <v>178</v>
      </c>
      <c r="Z40" s="358">
        <f>Y40*160</f>
        <v>28480</v>
      </c>
      <c r="AA40" s="359">
        <f t="shared" ref="AA40:AA42" si="2">F40+H40+J40+L40+N40+P40+R40+T40+V40+X40+Z40+D40</f>
        <v>288960</v>
      </c>
    </row>
    <row r="41" spans="1:31" s="99" customFormat="1" ht="30" customHeight="1" x14ac:dyDescent="0.3">
      <c r="A41" s="356" t="s">
        <v>325</v>
      </c>
      <c r="B41" s="357" t="s">
        <v>87</v>
      </c>
      <c r="C41" s="118">
        <f>Y12+5</f>
        <v>74</v>
      </c>
      <c r="D41" s="358">
        <f>C41*313.43</f>
        <v>23193.82</v>
      </c>
      <c r="E41" s="118">
        <f>C41+5</f>
        <v>79</v>
      </c>
      <c r="F41" s="358">
        <f>E41*313.43</f>
        <v>24760.97</v>
      </c>
      <c r="G41" s="118">
        <f>E41+5</f>
        <v>84</v>
      </c>
      <c r="H41" s="358">
        <f>G41*313.43</f>
        <v>26328.12</v>
      </c>
      <c r="I41" s="118">
        <f>G41+5</f>
        <v>89</v>
      </c>
      <c r="J41" s="358">
        <f>I41*313.43</f>
        <v>27895.27</v>
      </c>
      <c r="K41" s="118">
        <f>I41+5</f>
        <v>94</v>
      </c>
      <c r="L41" s="358">
        <f>K41*313.43</f>
        <v>29462.420000000002</v>
      </c>
      <c r="M41" s="118">
        <f>K41+5</f>
        <v>99</v>
      </c>
      <c r="N41" s="358">
        <f>M41*313.43</f>
        <v>31029.57</v>
      </c>
      <c r="O41" s="118">
        <f>M41+5</f>
        <v>104</v>
      </c>
      <c r="P41" s="358">
        <f>O41*313.43</f>
        <v>32596.720000000001</v>
      </c>
      <c r="Q41" s="118">
        <f>O41+5</f>
        <v>109</v>
      </c>
      <c r="R41" s="358">
        <f>Q41*313.43</f>
        <v>34163.870000000003</v>
      </c>
      <c r="S41" s="118">
        <f>Q41+5</f>
        <v>114</v>
      </c>
      <c r="T41" s="358">
        <f>S41*313.43</f>
        <v>35731.020000000004</v>
      </c>
      <c r="U41" s="118">
        <f>S41+5</f>
        <v>119</v>
      </c>
      <c r="V41" s="358">
        <f>U41*313.43</f>
        <v>37298.17</v>
      </c>
      <c r="W41" s="118">
        <f>U41+5</f>
        <v>124</v>
      </c>
      <c r="X41" s="358">
        <f>W41*313.43</f>
        <v>38865.32</v>
      </c>
      <c r="Y41" s="118">
        <f>W41+5</f>
        <v>129</v>
      </c>
      <c r="Z41" s="358">
        <f>Y41*313.43</f>
        <v>40432.47</v>
      </c>
      <c r="AA41" s="359">
        <f t="shared" si="2"/>
        <v>381757.74000000005</v>
      </c>
    </row>
    <row r="42" spans="1:31" s="99" customFormat="1" ht="40.4" customHeight="1" x14ac:dyDescent="0.3">
      <c r="A42" s="356" t="s">
        <v>326</v>
      </c>
      <c r="B42" s="357" t="s">
        <v>77</v>
      </c>
      <c r="C42" s="118">
        <f>Y13+1</f>
        <v>33</v>
      </c>
      <c r="D42" s="358">
        <f>C42*313.43</f>
        <v>10343.19</v>
      </c>
      <c r="E42" s="118">
        <f>C42+1</f>
        <v>34</v>
      </c>
      <c r="F42" s="358">
        <f>E42*313.43</f>
        <v>10656.62</v>
      </c>
      <c r="G42" s="118">
        <f>E42+1</f>
        <v>35</v>
      </c>
      <c r="H42" s="358">
        <f>G42*313.43</f>
        <v>10970.050000000001</v>
      </c>
      <c r="I42" s="118">
        <f>G42+1</f>
        <v>36</v>
      </c>
      <c r="J42" s="358">
        <f>I42*313.43</f>
        <v>11283.48</v>
      </c>
      <c r="K42" s="118">
        <f>I42+1</f>
        <v>37</v>
      </c>
      <c r="L42" s="358">
        <f>K42*313.43</f>
        <v>11596.91</v>
      </c>
      <c r="M42" s="118">
        <f>K42+1</f>
        <v>38</v>
      </c>
      <c r="N42" s="358">
        <f>M42*313.43</f>
        <v>11910.34</v>
      </c>
      <c r="O42" s="118">
        <f>M42+1</f>
        <v>39</v>
      </c>
      <c r="P42" s="358">
        <f>O42*313.43</f>
        <v>12223.77</v>
      </c>
      <c r="Q42" s="118">
        <f>O42+1</f>
        <v>40</v>
      </c>
      <c r="R42" s="358">
        <f>Q42*313.43</f>
        <v>12537.2</v>
      </c>
      <c r="S42" s="118">
        <f>Q42+1</f>
        <v>41</v>
      </c>
      <c r="T42" s="358">
        <f>S42*313.43</f>
        <v>12850.630000000001</v>
      </c>
      <c r="U42" s="118">
        <f>S42+1</f>
        <v>42</v>
      </c>
      <c r="V42" s="358">
        <f>U42*313.43</f>
        <v>13164.06</v>
      </c>
      <c r="W42" s="118">
        <f>U42+1</f>
        <v>43</v>
      </c>
      <c r="X42" s="358">
        <f>W42*313.43</f>
        <v>13477.49</v>
      </c>
      <c r="Y42" s="118">
        <f>W42+1</f>
        <v>44</v>
      </c>
      <c r="Z42" s="358">
        <f>Y42*313.43</f>
        <v>13790.92</v>
      </c>
      <c r="AA42" s="359">
        <f t="shared" si="2"/>
        <v>144804.66</v>
      </c>
    </row>
    <row r="43" spans="1:31" ht="29.25" customHeight="1" x14ac:dyDescent="0.35">
      <c r="A43" s="490" t="s">
        <v>260</v>
      </c>
      <c r="B43" s="490"/>
      <c r="C43" s="490"/>
      <c r="D43" s="490"/>
      <c r="E43" s="490"/>
      <c r="F43" s="490"/>
      <c r="G43" s="490"/>
      <c r="H43" s="490"/>
      <c r="I43" s="490"/>
      <c r="J43" s="490"/>
      <c r="K43" s="490"/>
      <c r="L43" s="490"/>
      <c r="M43" s="490"/>
      <c r="N43" s="490"/>
      <c r="O43" s="490"/>
      <c r="P43" s="490"/>
      <c r="Q43" s="490"/>
      <c r="R43" s="490"/>
      <c r="S43" s="490"/>
      <c r="T43" s="490"/>
      <c r="U43" s="490"/>
      <c r="V43" s="490"/>
      <c r="W43" s="490"/>
      <c r="X43" s="490"/>
      <c r="Y43" s="102">
        <f>SUM(Y39:Y42)</f>
        <v>795</v>
      </c>
      <c r="AA43" s="103">
        <f>ROUND(SUM(AA39:AA42),0)</f>
        <v>1540004</v>
      </c>
    </row>
    <row r="44" spans="1:31" ht="18" customHeight="1" x14ac:dyDescent="0.35">
      <c r="A44" s="490" t="s">
        <v>297</v>
      </c>
      <c r="B44" s="490"/>
      <c r="C44" s="490"/>
      <c r="D44" s="490"/>
      <c r="E44" s="490"/>
      <c r="F44" s="490"/>
      <c r="G44" s="490"/>
      <c r="H44" s="490"/>
      <c r="I44" s="490"/>
      <c r="J44" s="490"/>
      <c r="K44" s="490"/>
      <c r="L44" s="490"/>
      <c r="M44" s="490"/>
      <c r="N44" s="490"/>
      <c r="O44" s="490"/>
      <c r="P44" s="490"/>
      <c r="Q44" s="490"/>
      <c r="R44" s="490"/>
      <c r="S44" s="490"/>
      <c r="T44" s="490"/>
      <c r="U44" s="490"/>
      <c r="V44" s="490"/>
      <c r="W44" s="490"/>
      <c r="X44" s="490"/>
    </row>
    <row r="45" spans="1:31" ht="18" customHeight="1" x14ac:dyDescent="0.35">
      <c r="A45" s="490" t="s">
        <v>216</v>
      </c>
      <c r="B45" s="490"/>
      <c r="C45" s="490"/>
      <c r="D45" s="490"/>
      <c r="E45" s="490"/>
      <c r="F45" s="490"/>
      <c r="G45" s="490"/>
      <c r="H45" s="490"/>
      <c r="I45" s="490"/>
      <c r="J45" s="490"/>
      <c r="K45" s="490"/>
      <c r="L45" s="490"/>
      <c r="M45" s="490"/>
      <c r="N45" s="490"/>
      <c r="O45" s="490"/>
      <c r="P45" s="490"/>
      <c r="Q45" s="490"/>
      <c r="R45" s="490"/>
      <c r="S45" s="490"/>
      <c r="T45" s="490"/>
      <c r="U45" s="490"/>
      <c r="V45" s="490"/>
      <c r="W45" s="490"/>
      <c r="X45" s="490"/>
    </row>
    <row r="46" spans="1:31" ht="18" customHeight="1" x14ac:dyDescent="0.35">
      <c r="A46" s="490" t="s">
        <v>259</v>
      </c>
      <c r="B46" s="490"/>
      <c r="C46" s="490"/>
      <c r="D46" s="490"/>
      <c r="E46" s="490"/>
      <c r="F46" s="490"/>
      <c r="G46" s="490"/>
      <c r="H46" s="490"/>
      <c r="I46" s="490"/>
      <c r="J46" s="490"/>
      <c r="K46" s="490"/>
      <c r="L46" s="490"/>
      <c r="M46" s="490"/>
      <c r="N46" s="490"/>
      <c r="O46" s="490"/>
      <c r="P46" s="490"/>
      <c r="Q46" s="490"/>
      <c r="R46" s="490"/>
      <c r="S46" s="490"/>
      <c r="T46" s="490"/>
      <c r="U46" s="490"/>
      <c r="V46" s="490"/>
      <c r="W46" s="490"/>
      <c r="X46" s="490"/>
    </row>
    <row r="47" spans="1:31" ht="30.65" customHeight="1" x14ac:dyDescent="0.35"/>
    <row r="48" spans="1:31" ht="30.65" customHeight="1" thickBot="1" x14ac:dyDescent="0.4">
      <c r="A48" s="360" t="s">
        <v>208</v>
      </c>
      <c r="V48" s="361"/>
      <c r="W48" s="361"/>
      <c r="X48" s="361"/>
      <c r="Y48" s="361"/>
      <c r="Z48" s="361"/>
    </row>
    <row r="49" spans="1:27" ht="14.4" customHeight="1" x14ac:dyDescent="0.35">
      <c r="A49" s="444" t="s">
        <v>15</v>
      </c>
      <c r="B49" s="445"/>
      <c r="C49" s="437" t="s">
        <v>90</v>
      </c>
      <c r="D49" s="438"/>
      <c r="E49" s="437" t="s">
        <v>90</v>
      </c>
      <c r="F49" s="438"/>
      <c r="G49" s="482" t="s">
        <v>90</v>
      </c>
      <c r="H49" s="438"/>
      <c r="I49" s="437" t="s">
        <v>90</v>
      </c>
      <c r="J49" s="438"/>
      <c r="K49" s="437" t="s">
        <v>90</v>
      </c>
      <c r="L49" s="438"/>
      <c r="M49" s="437" t="s">
        <v>90</v>
      </c>
      <c r="N49" s="438"/>
      <c r="O49" s="437" t="s">
        <v>90</v>
      </c>
      <c r="P49" s="438"/>
      <c r="Q49" s="437" t="s">
        <v>90</v>
      </c>
      <c r="R49" s="438"/>
      <c r="S49" s="312" t="s">
        <v>90</v>
      </c>
      <c r="T49" s="362" t="s">
        <v>90</v>
      </c>
      <c r="U49" s="250" t="s">
        <v>163</v>
      </c>
      <c r="V49" s="361"/>
      <c r="W49" s="361"/>
      <c r="X49" s="361"/>
      <c r="Y49" s="361"/>
      <c r="Z49" s="361"/>
    </row>
    <row r="50" spans="1:27" ht="40.4" customHeight="1" x14ac:dyDescent="0.35">
      <c r="A50" s="442" t="s">
        <v>16</v>
      </c>
      <c r="B50" s="480"/>
      <c r="C50" s="431" t="s">
        <v>97</v>
      </c>
      <c r="D50" s="432"/>
      <c r="E50" s="431" t="s">
        <v>55</v>
      </c>
      <c r="F50" s="432"/>
      <c r="G50" s="433" t="s">
        <v>56</v>
      </c>
      <c r="H50" s="432"/>
      <c r="I50" s="433" t="s">
        <v>57</v>
      </c>
      <c r="J50" s="434"/>
      <c r="K50" s="431" t="s">
        <v>58</v>
      </c>
      <c r="L50" s="432"/>
      <c r="M50" s="431" t="s">
        <v>59</v>
      </c>
      <c r="N50" s="432"/>
      <c r="O50" s="433" t="s">
        <v>60</v>
      </c>
      <c r="P50" s="434"/>
      <c r="Q50" s="431" t="s">
        <v>89</v>
      </c>
      <c r="R50" s="432"/>
      <c r="S50" s="313" t="s">
        <v>209</v>
      </c>
      <c r="T50" s="363" t="s">
        <v>210</v>
      </c>
      <c r="U50" s="251" t="s">
        <v>210</v>
      </c>
      <c r="V50" s="361"/>
      <c r="W50" s="361"/>
      <c r="X50" s="361"/>
      <c r="Y50" s="361"/>
      <c r="Z50" s="361"/>
    </row>
    <row r="51" spans="1:27" ht="15" thickBot="1" x14ac:dyDescent="0.4">
      <c r="A51" s="478" t="s">
        <v>35</v>
      </c>
      <c r="B51" s="479"/>
      <c r="C51" s="27"/>
      <c r="D51" s="28" t="s">
        <v>27</v>
      </c>
      <c r="E51" s="27"/>
      <c r="F51" s="28" t="s">
        <v>27</v>
      </c>
      <c r="G51" s="252"/>
      <c r="H51" s="28" t="s">
        <v>27</v>
      </c>
      <c r="I51" s="253"/>
      <c r="J51" s="253" t="s">
        <v>27</v>
      </c>
      <c r="K51" s="27"/>
      <c r="L51" s="28" t="s">
        <v>27</v>
      </c>
      <c r="M51" s="27"/>
      <c r="N51" s="28" t="s">
        <v>27</v>
      </c>
      <c r="O51" s="253"/>
      <c r="P51" s="253" t="s">
        <v>27</v>
      </c>
      <c r="Q51" s="253"/>
      <c r="R51" s="253" t="s">
        <v>27</v>
      </c>
      <c r="S51" s="364" t="s">
        <v>27</v>
      </c>
      <c r="T51" s="364" t="s">
        <v>27</v>
      </c>
      <c r="U51" s="254" t="s">
        <v>27</v>
      </c>
      <c r="V51" s="365"/>
      <c r="W51" s="365"/>
      <c r="X51" s="365"/>
      <c r="Y51" s="365"/>
      <c r="Z51" s="365"/>
    </row>
    <row r="52" spans="1:27" ht="52" x14ac:dyDescent="0.35">
      <c r="A52" s="255" t="s">
        <v>28</v>
      </c>
      <c r="B52" s="256" t="s">
        <v>61</v>
      </c>
      <c r="C52" s="29" t="s">
        <v>62</v>
      </c>
      <c r="D52" s="30" t="s">
        <v>30</v>
      </c>
      <c r="E52" s="29" t="s">
        <v>62</v>
      </c>
      <c r="F52" s="30" t="s">
        <v>30</v>
      </c>
      <c r="G52" s="35" t="s">
        <v>62</v>
      </c>
      <c r="H52" s="30" t="s">
        <v>30</v>
      </c>
      <c r="I52" s="29" t="s">
        <v>62</v>
      </c>
      <c r="J52" s="30" t="s">
        <v>30</v>
      </c>
      <c r="K52" s="29" t="s">
        <v>62</v>
      </c>
      <c r="L52" s="30" t="s">
        <v>30</v>
      </c>
      <c r="M52" s="29" t="s">
        <v>62</v>
      </c>
      <c r="N52" s="30" t="s">
        <v>30</v>
      </c>
      <c r="O52" s="29" t="s">
        <v>62</v>
      </c>
      <c r="P52" s="30" t="s">
        <v>30</v>
      </c>
      <c r="Q52" s="29" t="s">
        <v>62</v>
      </c>
      <c r="R52" s="30" t="s">
        <v>30</v>
      </c>
      <c r="S52" s="30" t="s">
        <v>30</v>
      </c>
      <c r="T52" s="366" t="s">
        <v>31</v>
      </c>
      <c r="U52" s="367" t="s">
        <v>31</v>
      </c>
      <c r="V52" s="365"/>
      <c r="W52" s="365"/>
      <c r="X52" s="365"/>
      <c r="Y52" s="365"/>
      <c r="Z52" s="365"/>
    </row>
    <row r="53" spans="1:27" ht="15" thickBot="1" x14ac:dyDescent="0.4">
      <c r="A53" s="259" t="s">
        <v>32</v>
      </c>
      <c r="B53" s="260" t="s">
        <v>63</v>
      </c>
      <c r="C53" s="69">
        <v>1</v>
      </c>
      <c r="D53" s="70">
        <v>2</v>
      </c>
      <c r="E53" s="69">
        <v>3</v>
      </c>
      <c r="F53" s="70">
        <v>4</v>
      </c>
      <c r="G53" s="71">
        <v>5</v>
      </c>
      <c r="H53" s="72">
        <v>6</v>
      </c>
      <c r="I53" s="69">
        <v>7</v>
      </c>
      <c r="J53" s="70">
        <v>8</v>
      </c>
      <c r="K53" s="69">
        <v>9</v>
      </c>
      <c r="L53" s="70">
        <v>10</v>
      </c>
      <c r="M53" s="69">
        <v>11</v>
      </c>
      <c r="N53" s="70">
        <v>12</v>
      </c>
      <c r="O53" s="71">
        <v>13</v>
      </c>
      <c r="P53" s="73">
        <v>14</v>
      </c>
      <c r="Q53" s="69">
        <v>15</v>
      </c>
      <c r="R53" s="70">
        <v>16</v>
      </c>
      <c r="S53" s="74">
        <v>17</v>
      </c>
      <c r="T53" s="355">
        <v>18</v>
      </c>
      <c r="U53" s="74">
        <v>19</v>
      </c>
      <c r="V53" s="365"/>
      <c r="W53" s="365"/>
      <c r="X53" s="365"/>
      <c r="Y53" s="365"/>
      <c r="Z53" s="365"/>
    </row>
    <row r="54" spans="1:27" ht="18" customHeight="1" x14ac:dyDescent="0.35">
      <c r="A54" s="485" t="s">
        <v>91</v>
      </c>
      <c r="B54" s="318" t="s">
        <v>70</v>
      </c>
      <c r="C54" s="368">
        <v>94.5</v>
      </c>
      <c r="D54" s="320">
        <v>1432.62</v>
      </c>
      <c r="E54" s="368">
        <v>35.92</v>
      </c>
      <c r="F54" s="320">
        <v>544.54999999999995</v>
      </c>
      <c r="G54" s="368">
        <v>62.67</v>
      </c>
      <c r="H54" s="320">
        <v>950.08</v>
      </c>
      <c r="I54" s="368">
        <v>57.67</v>
      </c>
      <c r="J54" s="320">
        <v>874.28</v>
      </c>
      <c r="K54" s="368">
        <v>31.25</v>
      </c>
      <c r="L54" s="320">
        <v>473.75</v>
      </c>
      <c r="M54" s="368">
        <v>27.5</v>
      </c>
      <c r="N54" s="320">
        <v>416.9</v>
      </c>
      <c r="O54" s="368">
        <v>33.25</v>
      </c>
      <c r="P54" s="320">
        <v>504.07</v>
      </c>
      <c r="Q54" s="368">
        <v>32.08</v>
      </c>
      <c r="R54" s="320">
        <v>486.33</v>
      </c>
      <c r="S54" s="320">
        <f>D54+F54+H54+J54+L54+N54+P54+R54</f>
        <v>5682.579999999999</v>
      </c>
      <c r="T54" s="369">
        <f>S54/8*12</f>
        <v>8523.869999999999</v>
      </c>
      <c r="U54" s="320">
        <f>ROUND(T54*1.05,0)</f>
        <v>8950</v>
      </c>
      <c r="V54" s="347" t="s">
        <v>88</v>
      </c>
      <c r="W54" s="365"/>
      <c r="X54" s="365"/>
      <c r="Y54" s="365"/>
      <c r="Z54" s="365"/>
    </row>
    <row r="55" spans="1:27" ht="27" customHeight="1" x14ac:dyDescent="0.35">
      <c r="A55" s="486"/>
      <c r="B55" s="271" t="s">
        <v>203</v>
      </c>
      <c r="C55" s="370"/>
      <c r="D55" s="273">
        <v>0.82</v>
      </c>
      <c r="E55" s="272"/>
      <c r="F55" s="273"/>
      <c r="G55" s="272"/>
      <c r="H55" s="273"/>
      <c r="I55" s="272"/>
      <c r="J55" s="273">
        <v>2.54</v>
      </c>
      <c r="K55" s="272"/>
      <c r="L55" s="273"/>
      <c r="M55" s="272"/>
      <c r="N55" s="273"/>
      <c r="O55" s="272"/>
      <c r="P55" s="273"/>
      <c r="Q55" s="272"/>
      <c r="R55" s="273"/>
      <c r="S55" s="273">
        <f t="shared" ref="S55:S60" si="3">D55+F55+H55+J55+L55+N55+P55+R55</f>
        <v>3.36</v>
      </c>
      <c r="T55" s="371">
        <f t="shared" ref="T55:T60" si="4">S55/8*12</f>
        <v>5.04</v>
      </c>
      <c r="U55" s="273">
        <f t="shared" ref="U55:U57" si="5">ROUND(T55*1.05,0)</f>
        <v>5</v>
      </c>
      <c r="V55" s="347" t="s">
        <v>88</v>
      </c>
      <c r="W55" s="365"/>
      <c r="X55" s="365"/>
      <c r="Y55" s="365"/>
      <c r="Z55" s="365"/>
    </row>
    <row r="56" spans="1:27" ht="43.5" customHeight="1" x14ac:dyDescent="0.35">
      <c r="A56" s="142" t="s">
        <v>204</v>
      </c>
      <c r="B56" s="271" t="s">
        <v>70</v>
      </c>
      <c r="C56" s="272">
        <v>19</v>
      </c>
      <c r="D56" s="273">
        <v>348.84</v>
      </c>
      <c r="E56" s="272"/>
      <c r="F56" s="273"/>
      <c r="G56" s="272"/>
      <c r="H56" s="273"/>
      <c r="I56" s="272"/>
      <c r="J56" s="273"/>
      <c r="K56" s="272"/>
      <c r="L56" s="273"/>
      <c r="M56" s="272"/>
      <c r="N56" s="273"/>
      <c r="O56" s="272">
        <v>2</v>
      </c>
      <c r="P56" s="273">
        <v>36.72</v>
      </c>
      <c r="Q56" s="272"/>
      <c r="R56" s="273"/>
      <c r="S56" s="273">
        <f t="shared" si="3"/>
        <v>385.55999999999995</v>
      </c>
      <c r="T56" s="371">
        <f t="shared" si="4"/>
        <v>578.33999999999992</v>
      </c>
      <c r="U56" s="273">
        <f t="shared" si="5"/>
        <v>607</v>
      </c>
      <c r="V56" s="347" t="s">
        <v>88</v>
      </c>
      <c r="W56" s="365"/>
      <c r="X56" s="365"/>
      <c r="Y56" s="365"/>
      <c r="Z56" s="365"/>
    </row>
    <row r="57" spans="1:27" ht="43.5" customHeight="1" x14ac:dyDescent="0.35">
      <c r="A57" s="142" t="s">
        <v>205</v>
      </c>
      <c r="B57" s="271" t="s">
        <v>70</v>
      </c>
      <c r="C57" s="272"/>
      <c r="D57" s="273"/>
      <c r="E57" s="272">
        <v>1</v>
      </c>
      <c r="F57" s="273">
        <v>23.65</v>
      </c>
      <c r="G57" s="272"/>
      <c r="H57" s="273"/>
      <c r="I57" s="272">
        <v>1</v>
      </c>
      <c r="J57" s="273">
        <v>23.65</v>
      </c>
      <c r="K57" s="272">
        <v>1</v>
      </c>
      <c r="L57" s="273">
        <v>23.65</v>
      </c>
      <c r="M57" s="272">
        <v>1</v>
      </c>
      <c r="N57" s="273">
        <v>23.65</v>
      </c>
      <c r="O57" s="272"/>
      <c r="P57" s="273"/>
      <c r="Q57" s="272"/>
      <c r="R57" s="273"/>
      <c r="S57" s="273">
        <f t="shared" si="3"/>
        <v>94.6</v>
      </c>
      <c r="T57" s="371">
        <f t="shared" si="4"/>
        <v>141.89999999999998</v>
      </c>
      <c r="U57" s="273">
        <f t="shared" si="5"/>
        <v>149</v>
      </c>
      <c r="V57" s="347" t="s">
        <v>88</v>
      </c>
      <c r="W57" s="365"/>
      <c r="X57" s="365"/>
      <c r="Y57" s="365"/>
      <c r="Z57" s="365"/>
    </row>
    <row r="58" spans="1:27" ht="28.5" customHeight="1" x14ac:dyDescent="0.35">
      <c r="A58" s="486" t="s">
        <v>206</v>
      </c>
      <c r="B58" s="271" t="s">
        <v>86</v>
      </c>
      <c r="C58" s="272"/>
      <c r="D58" s="273"/>
      <c r="E58" s="272"/>
      <c r="F58" s="273"/>
      <c r="G58" s="272"/>
      <c r="H58" s="273"/>
      <c r="I58" s="272"/>
      <c r="J58" s="273"/>
      <c r="K58" s="272"/>
      <c r="L58" s="273"/>
      <c r="M58" s="272">
        <v>12</v>
      </c>
      <c r="N58" s="273">
        <v>542.04</v>
      </c>
      <c r="O58" s="272"/>
      <c r="P58" s="273"/>
      <c r="Q58" s="272"/>
      <c r="R58" s="273"/>
      <c r="S58" s="273">
        <f t="shared" si="3"/>
        <v>542.04</v>
      </c>
      <c r="T58" s="371">
        <f t="shared" si="4"/>
        <v>813.06</v>
      </c>
      <c r="U58" s="273">
        <f>ROUND(T58*1.05,0)</f>
        <v>854</v>
      </c>
      <c r="V58" s="347" t="s">
        <v>88</v>
      </c>
      <c r="W58" s="365"/>
      <c r="X58" s="365"/>
      <c r="Y58" s="365"/>
      <c r="Z58" s="365"/>
    </row>
    <row r="59" spans="1:27" ht="42" customHeight="1" thickBot="1" x14ac:dyDescent="0.4">
      <c r="A59" s="487"/>
      <c r="B59" s="275" t="s">
        <v>207</v>
      </c>
      <c r="C59" s="276"/>
      <c r="D59" s="277"/>
      <c r="E59" s="276"/>
      <c r="F59" s="277"/>
      <c r="G59" s="276"/>
      <c r="H59" s="277"/>
      <c r="I59" s="276"/>
      <c r="J59" s="277"/>
      <c r="K59" s="276"/>
      <c r="L59" s="277"/>
      <c r="M59" s="276">
        <v>2</v>
      </c>
      <c r="N59" s="277">
        <v>56.64</v>
      </c>
      <c r="O59" s="276"/>
      <c r="P59" s="277"/>
      <c r="Q59" s="276"/>
      <c r="R59" s="277"/>
      <c r="S59" s="277">
        <f t="shared" si="3"/>
        <v>56.64</v>
      </c>
      <c r="T59" s="372">
        <f t="shared" si="4"/>
        <v>84.960000000000008</v>
      </c>
      <c r="U59" s="277">
        <f>ROUND(T59*1.05,0)</f>
        <v>89</v>
      </c>
      <c r="V59" s="347" t="s">
        <v>88</v>
      </c>
      <c r="W59" s="365"/>
      <c r="X59" s="365"/>
      <c r="Y59" s="365"/>
      <c r="Z59" s="365"/>
      <c r="AA59" s="365"/>
    </row>
    <row r="60" spans="1:27" ht="15" thickBot="1" x14ac:dyDescent="0.4">
      <c r="A60" s="373" t="s">
        <v>263</v>
      </c>
      <c r="B60" s="374" t="s">
        <v>77</v>
      </c>
      <c r="C60" s="375">
        <v>34</v>
      </c>
      <c r="D60" s="376">
        <v>11261.01</v>
      </c>
      <c r="E60" s="375">
        <v>37</v>
      </c>
      <c r="F60" s="376">
        <v>13378.26</v>
      </c>
      <c r="G60" s="375">
        <v>38</v>
      </c>
      <c r="H60" s="376">
        <v>15099.72</v>
      </c>
      <c r="I60" s="375">
        <v>42</v>
      </c>
      <c r="J60" s="376">
        <v>15533.51</v>
      </c>
      <c r="K60" s="375">
        <v>46</v>
      </c>
      <c r="L60" s="376">
        <v>16643.38</v>
      </c>
      <c r="M60" s="375">
        <v>45</v>
      </c>
      <c r="N60" s="376">
        <v>16726.36</v>
      </c>
      <c r="O60" s="375">
        <v>49</v>
      </c>
      <c r="P60" s="376">
        <v>18829.169999999998</v>
      </c>
      <c r="Q60" s="375">
        <v>49</v>
      </c>
      <c r="R60" s="376">
        <v>19695.759999999998</v>
      </c>
      <c r="S60" s="277">
        <f t="shared" si="3"/>
        <v>127167.17</v>
      </c>
      <c r="T60" s="377">
        <f t="shared" si="4"/>
        <v>190750.755</v>
      </c>
      <c r="U60" s="140">
        <f>ROUND(T60*1.05,0)</f>
        <v>200288</v>
      </c>
      <c r="V60" s="347" t="s">
        <v>159</v>
      </c>
      <c r="W60" s="365"/>
      <c r="X60" s="365"/>
      <c r="Y60" s="365"/>
      <c r="Z60" s="365"/>
      <c r="AA60" s="365"/>
    </row>
    <row r="61" spans="1:27" s="145" customFormat="1" ht="57.65" customHeight="1" x14ac:dyDescent="0.35">
      <c r="A61" s="484" t="s">
        <v>211</v>
      </c>
      <c r="B61" s="484"/>
      <c r="C61" s="484"/>
      <c r="D61" s="484"/>
      <c r="E61" s="484"/>
      <c r="F61" s="484"/>
      <c r="G61" s="484"/>
      <c r="H61" s="484"/>
      <c r="I61" s="484"/>
      <c r="J61" s="484"/>
      <c r="K61" s="484"/>
      <c r="L61" s="484"/>
      <c r="M61" s="484"/>
      <c r="N61" s="484"/>
      <c r="O61" s="484"/>
      <c r="P61" s="484"/>
      <c r="Q61" s="484"/>
      <c r="R61" s="484"/>
      <c r="S61" s="484"/>
      <c r="T61" s="484"/>
      <c r="U61" s="484"/>
      <c r="V61" s="378"/>
      <c r="W61" s="365"/>
      <c r="X61" s="365"/>
      <c r="Y61" s="365"/>
      <c r="Z61" s="365"/>
      <c r="AA61" s="365"/>
    </row>
    <row r="62" spans="1:27" x14ac:dyDescent="0.35">
      <c r="W62" s="365"/>
      <c r="X62" s="365"/>
      <c r="Y62" s="365"/>
      <c r="Z62" s="365"/>
      <c r="AA62" s="365"/>
    </row>
  </sheetData>
  <mergeCells count="96">
    <mergeCell ref="A7:B7"/>
    <mergeCell ref="W5:X5"/>
    <mergeCell ref="Y5:Z5"/>
    <mergeCell ref="A6:B6"/>
    <mergeCell ref="C6:D6"/>
    <mergeCell ref="E6:F6"/>
    <mergeCell ref="G6:H6"/>
    <mergeCell ref="I6:J6"/>
    <mergeCell ref="K6:L6"/>
    <mergeCell ref="M6:N6"/>
    <mergeCell ref="O6:P6"/>
    <mergeCell ref="K5:L5"/>
    <mergeCell ref="M5:N5"/>
    <mergeCell ref="O5:P5"/>
    <mergeCell ref="Q5:R5"/>
    <mergeCell ref="S5:T5"/>
    <mergeCell ref="A1:AA1"/>
    <mergeCell ref="A2:AA2"/>
    <mergeCell ref="A3:AA3"/>
    <mergeCell ref="Q6:R6"/>
    <mergeCell ref="S6:T6"/>
    <mergeCell ref="U6:V6"/>
    <mergeCell ref="W6:X6"/>
    <mergeCell ref="Y6:Z6"/>
    <mergeCell ref="U5:V5"/>
    <mergeCell ref="A5:B5"/>
    <mergeCell ref="C5:D5"/>
    <mergeCell ref="E5:F5"/>
    <mergeCell ref="G5:H5"/>
    <mergeCell ref="I5:J5"/>
    <mergeCell ref="W4:AA4"/>
    <mergeCell ref="A19:G19"/>
    <mergeCell ref="A34:B34"/>
    <mergeCell ref="C34:D34"/>
    <mergeCell ref="E34:F34"/>
    <mergeCell ref="G34:H34"/>
    <mergeCell ref="A21:E21"/>
    <mergeCell ref="A22:E22"/>
    <mergeCell ref="A23:E23"/>
    <mergeCell ref="A24:E24"/>
    <mergeCell ref="A25:E25"/>
    <mergeCell ref="A26:E26"/>
    <mergeCell ref="S34:T34"/>
    <mergeCell ref="A27:E27"/>
    <mergeCell ref="A28:E28"/>
    <mergeCell ref="A29:E29"/>
    <mergeCell ref="A30:E30"/>
    <mergeCell ref="Y35:Z35"/>
    <mergeCell ref="U34:V34"/>
    <mergeCell ref="W34:X34"/>
    <mergeCell ref="Y34:Z34"/>
    <mergeCell ref="A35:B35"/>
    <mergeCell ref="C35:D35"/>
    <mergeCell ref="E35:F35"/>
    <mergeCell ref="G35:H35"/>
    <mergeCell ref="I35:J35"/>
    <mergeCell ref="K35:L35"/>
    <mergeCell ref="M35:N35"/>
    <mergeCell ref="I34:J34"/>
    <mergeCell ref="K34:L34"/>
    <mergeCell ref="M34:N34"/>
    <mergeCell ref="O34:P34"/>
    <mergeCell ref="Q34:R34"/>
    <mergeCell ref="O35:P35"/>
    <mergeCell ref="Q35:R35"/>
    <mergeCell ref="S35:T35"/>
    <mergeCell ref="U35:V35"/>
    <mergeCell ref="W35:X35"/>
    <mergeCell ref="A49:B49"/>
    <mergeCell ref="C49:D49"/>
    <mergeCell ref="A36:B36"/>
    <mergeCell ref="A43:X43"/>
    <mergeCell ref="A44:X44"/>
    <mergeCell ref="A45:X45"/>
    <mergeCell ref="A46:X46"/>
    <mergeCell ref="G49:H49"/>
    <mergeCell ref="I49:J49"/>
    <mergeCell ref="K49:L49"/>
    <mergeCell ref="M49:N49"/>
    <mergeCell ref="O49:P49"/>
    <mergeCell ref="A14:N14"/>
    <mergeCell ref="A51:B51"/>
    <mergeCell ref="A61:U61"/>
    <mergeCell ref="K50:L50"/>
    <mergeCell ref="M50:N50"/>
    <mergeCell ref="O50:P50"/>
    <mergeCell ref="Q50:R50"/>
    <mergeCell ref="A54:A55"/>
    <mergeCell ref="A58:A59"/>
    <mergeCell ref="Q49:R49"/>
    <mergeCell ref="A50:B50"/>
    <mergeCell ref="C50:D50"/>
    <mergeCell ref="E50:F50"/>
    <mergeCell ref="G50:H50"/>
    <mergeCell ref="I50:J50"/>
    <mergeCell ref="E49:F49"/>
  </mergeCells>
  <pageMargins left="0.70866141732283472" right="0.70866141732283472" top="0.74803149606299213" bottom="0.74803149606299213" header="0.31496062992125984" footer="0.31496062992125984"/>
  <pageSetup paperSize="9" scale="45" orientation="landscape"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49446A-653B-4BC7-9E99-636B1435131C}">
  <dimension ref="A1:AM47"/>
  <sheetViews>
    <sheetView topLeftCell="P18" zoomScale="80" zoomScaleNormal="80" workbookViewId="0">
      <selection activeCell="V37" sqref="V37"/>
    </sheetView>
  </sheetViews>
  <sheetFormatPr defaultColWidth="8.90625" defaultRowHeight="14" x14ac:dyDescent="0.3"/>
  <cols>
    <col min="1" max="1" width="15.453125" style="100" customWidth="1"/>
    <col min="2" max="2" width="43.90625" style="99" customWidth="1"/>
    <col min="3" max="3" width="11.90625" style="99" customWidth="1"/>
    <col min="4" max="4" width="8.453125" style="99" customWidth="1"/>
    <col min="5" max="5" width="11.90625" style="99" customWidth="1"/>
    <col min="6" max="6" width="8.453125" style="99" customWidth="1"/>
    <col min="7" max="7" width="11.90625" style="99" customWidth="1"/>
    <col min="8" max="8" width="8.453125" style="99" customWidth="1"/>
    <col min="9" max="9" width="11.90625" style="99" customWidth="1"/>
    <col min="10" max="10" width="8.453125" style="99" customWidth="1"/>
    <col min="11" max="11" width="11.90625" style="99" customWidth="1"/>
    <col min="12" max="12" width="8.453125" style="99" customWidth="1"/>
    <col min="13" max="13" width="11.90625" style="99" customWidth="1"/>
    <col min="14" max="14" width="8.453125" style="99" customWidth="1"/>
    <col min="15" max="15" width="11.90625" style="99" customWidth="1"/>
    <col min="16" max="16" width="8.453125" style="99" customWidth="1"/>
    <col min="17" max="17" width="11.90625" style="99" customWidth="1"/>
    <col min="18" max="18" width="12.54296875" style="99" customWidth="1"/>
    <col min="19" max="19" width="11.90625" style="99" customWidth="1"/>
    <col min="20" max="20" width="8.453125" style="99" customWidth="1"/>
    <col min="21" max="21" width="11.90625" style="99" customWidth="1"/>
    <col min="22" max="22" width="8.453125" style="99" customWidth="1"/>
    <col min="23" max="23" width="13" style="99" customWidth="1"/>
    <col min="24" max="24" width="8.453125" style="99" customWidth="1"/>
    <col min="25" max="25" width="11.90625" style="99" customWidth="1"/>
    <col min="26" max="26" width="8.453125" style="99" customWidth="1"/>
    <col min="27" max="28" width="11.90625" style="99" customWidth="1"/>
    <col min="29" max="30" width="8.90625" style="99" hidden="1" customWidth="1"/>
    <col min="31" max="31" width="14.453125" style="99" customWidth="1"/>
    <col min="32" max="32" width="16.81640625" style="99" customWidth="1"/>
    <col min="33" max="16384" width="8.90625" style="99"/>
  </cols>
  <sheetData>
    <row r="1" spans="1:39" ht="18" x14ac:dyDescent="0.3">
      <c r="A1" s="503" t="s">
        <v>154</v>
      </c>
      <c r="B1" s="503"/>
      <c r="C1" s="503"/>
      <c r="D1" s="503"/>
      <c r="E1" s="503"/>
      <c r="F1" s="503"/>
      <c r="G1" s="503"/>
      <c r="H1" s="503"/>
      <c r="I1" s="503"/>
      <c r="J1" s="503"/>
      <c r="K1" s="503"/>
      <c r="L1" s="503"/>
      <c r="M1" s="503"/>
      <c r="N1" s="503"/>
      <c r="O1" s="503"/>
      <c r="P1" s="503"/>
      <c r="Q1" s="503"/>
      <c r="R1" s="503"/>
      <c r="S1" s="503"/>
      <c r="T1" s="503"/>
      <c r="U1" s="503"/>
      <c r="V1" s="503"/>
      <c r="W1" s="503"/>
      <c r="X1" s="503"/>
      <c r="Y1" s="503"/>
      <c r="Z1" s="503"/>
      <c r="AA1" s="503"/>
      <c r="AB1" s="503"/>
    </row>
    <row r="2" spans="1:39" ht="18" x14ac:dyDescent="0.3">
      <c r="A2" s="503" t="s">
        <v>162</v>
      </c>
      <c r="B2" s="503"/>
      <c r="C2" s="503"/>
      <c r="D2" s="503"/>
      <c r="E2" s="503"/>
      <c r="F2" s="503"/>
      <c r="G2" s="503"/>
      <c r="H2" s="503"/>
      <c r="I2" s="503"/>
      <c r="J2" s="503"/>
      <c r="K2" s="503"/>
      <c r="L2" s="503"/>
      <c r="M2" s="503"/>
      <c r="N2" s="503"/>
      <c r="O2" s="503"/>
      <c r="P2" s="503"/>
      <c r="Q2" s="503"/>
      <c r="R2" s="503"/>
      <c r="S2" s="503"/>
      <c r="T2" s="503"/>
      <c r="U2" s="503"/>
      <c r="V2" s="503"/>
      <c r="W2" s="503"/>
      <c r="X2" s="503"/>
      <c r="Y2" s="503"/>
      <c r="Z2" s="503"/>
      <c r="AA2" s="503"/>
      <c r="AB2" s="503"/>
    </row>
    <row r="3" spans="1:39" ht="44.4" customHeight="1" x14ac:dyDescent="0.3">
      <c r="A3" s="544" t="s">
        <v>303</v>
      </c>
      <c r="B3" s="544"/>
      <c r="C3" s="544"/>
      <c r="D3" s="544"/>
      <c r="E3" s="544"/>
      <c r="F3" s="544"/>
      <c r="G3" s="544"/>
      <c r="H3" s="544"/>
      <c r="I3" s="544"/>
      <c r="J3" s="544"/>
      <c r="K3" s="544"/>
      <c r="L3" s="544"/>
      <c r="M3" s="544"/>
      <c r="N3" s="544"/>
      <c r="O3" s="544"/>
      <c r="P3" s="544"/>
      <c r="Q3" s="544"/>
      <c r="R3" s="544"/>
      <c r="S3" s="544"/>
      <c r="T3" s="544"/>
      <c r="U3" s="544"/>
      <c r="V3" s="544"/>
      <c r="W3" s="544"/>
      <c r="X3" s="544"/>
      <c r="Y3" s="544"/>
      <c r="Z3" s="544"/>
      <c r="AA3" s="544"/>
      <c r="AB3" s="544"/>
    </row>
    <row r="4" spans="1:39" ht="35.15" customHeight="1" thickBot="1" x14ac:dyDescent="0.35">
      <c r="A4" s="87" t="s">
        <v>103</v>
      </c>
      <c r="B4" s="543" t="s">
        <v>245</v>
      </c>
      <c r="C4" s="543"/>
      <c r="D4" s="543"/>
      <c r="E4" s="543"/>
      <c r="F4" s="543"/>
      <c r="G4" s="543"/>
      <c r="H4" s="543"/>
      <c r="I4" s="543"/>
      <c r="J4" s="543"/>
      <c r="K4" s="543"/>
      <c r="L4" s="543"/>
      <c r="M4" s="543"/>
      <c r="N4" s="543"/>
      <c r="O4" s="543"/>
      <c r="P4" s="543"/>
      <c r="Q4" s="543"/>
      <c r="R4" s="543"/>
      <c r="S4" s="543"/>
      <c r="T4" s="543"/>
      <c r="U4" s="543"/>
      <c r="V4" s="543"/>
      <c r="W4" s="543"/>
      <c r="X4" s="543"/>
      <c r="Y4" s="543"/>
      <c r="Z4" s="543"/>
      <c r="AA4" s="543"/>
      <c r="AB4" s="543"/>
    </row>
    <row r="5" spans="1:39" x14ac:dyDescent="0.3">
      <c r="A5" s="110"/>
      <c r="B5" s="510" t="s">
        <v>41</v>
      </c>
      <c r="C5" s="511"/>
      <c r="D5" s="545" t="s">
        <v>90</v>
      </c>
      <c r="E5" s="545"/>
      <c r="F5" s="545" t="s">
        <v>90</v>
      </c>
      <c r="G5" s="545"/>
      <c r="H5" s="545" t="s">
        <v>90</v>
      </c>
      <c r="I5" s="545"/>
      <c r="J5" s="545" t="s">
        <v>90</v>
      </c>
      <c r="K5" s="545"/>
      <c r="L5" s="545" t="s">
        <v>90</v>
      </c>
      <c r="M5" s="545"/>
      <c r="N5" s="545" t="s">
        <v>90</v>
      </c>
      <c r="O5" s="545"/>
      <c r="P5" s="545" t="s">
        <v>90</v>
      </c>
      <c r="Q5" s="545"/>
      <c r="R5" s="545" t="s">
        <v>90</v>
      </c>
      <c r="S5" s="545"/>
      <c r="T5" s="530" t="s">
        <v>90</v>
      </c>
      <c r="U5" s="530"/>
      <c r="V5" s="530" t="s">
        <v>90</v>
      </c>
      <c r="W5" s="530"/>
      <c r="X5" s="530" t="s">
        <v>90</v>
      </c>
      <c r="Y5" s="530"/>
      <c r="Z5" s="530" t="s">
        <v>90</v>
      </c>
      <c r="AA5" s="530"/>
      <c r="AB5" s="212" t="s">
        <v>90</v>
      </c>
    </row>
    <row r="6" spans="1:39" x14ac:dyDescent="0.3">
      <c r="A6" s="110"/>
      <c r="B6" s="512"/>
      <c r="C6" s="513"/>
      <c r="D6" s="421" t="s">
        <v>95</v>
      </c>
      <c r="E6" s="421"/>
      <c r="F6" s="421" t="s">
        <v>96</v>
      </c>
      <c r="G6" s="421"/>
      <c r="H6" s="421" t="s">
        <v>17</v>
      </c>
      <c r="I6" s="421"/>
      <c r="J6" s="421" t="s">
        <v>18</v>
      </c>
      <c r="K6" s="421"/>
      <c r="L6" s="422" t="s">
        <v>19</v>
      </c>
      <c r="M6" s="423"/>
      <c r="N6" s="421" t="s">
        <v>20</v>
      </c>
      <c r="O6" s="421"/>
      <c r="P6" s="422" t="s">
        <v>21</v>
      </c>
      <c r="Q6" s="423"/>
      <c r="R6" s="421" t="s">
        <v>22</v>
      </c>
      <c r="S6" s="421"/>
      <c r="T6" s="538" t="s">
        <v>23</v>
      </c>
      <c r="U6" s="537"/>
      <c r="V6" s="537" t="s">
        <v>24</v>
      </c>
      <c r="W6" s="537"/>
      <c r="X6" s="537" t="s">
        <v>25</v>
      </c>
      <c r="Y6" s="537"/>
      <c r="Z6" s="537" t="s">
        <v>26</v>
      </c>
      <c r="AA6" s="537"/>
      <c r="AB6" s="213" t="s">
        <v>39</v>
      </c>
    </row>
    <row r="7" spans="1:39" x14ac:dyDescent="0.3">
      <c r="A7" s="110"/>
      <c r="B7" s="512"/>
      <c r="C7" s="513"/>
      <c r="D7" s="12"/>
      <c r="E7" s="10" t="s">
        <v>27</v>
      </c>
      <c r="F7" s="15"/>
      <c r="G7" s="18" t="s">
        <v>27</v>
      </c>
      <c r="H7" s="12"/>
      <c r="I7" s="10" t="s">
        <v>27</v>
      </c>
      <c r="J7" s="15"/>
      <c r="K7" s="18" t="s">
        <v>27</v>
      </c>
      <c r="L7" s="12"/>
      <c r="M7" s="18" t="s">
        <v>27</v>
      </c>
      <c r="N7" s="12"/>
      <c r="O7" s="18" t="s">
        <v>27</v>
      </c>
      <c r="P7" s="12"/>
      <c r="Q7" s="18" t="s">
        <v>27</v>
      </c>
      <c r="R7" s="12"/>
      <c r="S7" s="18" t="s">
        <v>27</v>
      </c>
      <c r="T7" s="214"/>
      <c r="U7" s="215" t="s">
        <v>27</v>
      </c>
      <c r="V7" s="216"/>
      <c r="W7" s="215" t="s">
        <v>27</v>
      </c>
      <c r="X7" s="216"/>
      <c r="Y7" s="215" t="s">
        <v>27</v>
      </c>
      <c r="Z7" s="216"/>
      <c r="AA7" s="215" t="s">
        <v>27</v>
      </c>
      <c r="AB7" s="217" t="s">
        <v>27</v>
      </c>
    </row>
    <row r="8" spans="1:39" ht="59.4" customHeight="1" x14ac:dyDescent="0.3">
      <c r="A8" s="110"/>
      <c r="B8" s="514"/>
      <c r="C8" s="515"/>
      <c r="D8" s="13" t="s">
        <v>29</v>
      </c>
      <c r="E8" s="141" t="s">
        <v>30</v>
      </c>
      <c r="F8" s="16" t="s">
        <v>29</v>
      </c>
      <c r="G8" s="19" t="s">
        <v>30</v>
      </c>
      <c r="H8" s="13" t="s">
        <v>29</v>
      </c>
      <c r="I8" s="141" t="s">
        <v>30</v>
      </c>
      <c r="J8" s="16" t="s">
        <v>29</v>
      </c>
      <c r="K8" s="19" t="s">
        <v>30</v>
      </c>
      <c r="L8" s="13" t="s">
        <v>29</v>
      </c>
      <c r="M8" s="19" t="s">
        <v>30</v>
      </c>
      <c r="N8" s="13" t="s">
        <v>29</v>
      </c>
      <c r="O8" s="19" t="s">
        <v>30</v>
      </c>
      <c r="P8" s="13" t="s">
        <v>29</v>
      </c>
      <c r="Q8" s="19" t="s">
        <v>30</v>
      </c>
      <c r="R8" s="13" t="s">
        <v>29</v>
      </c>
      <c r="S8" s="19" t="s">
        <v>30</v>
      </c>
      <c r="T8" s="218" t="s">
        <v>29</v>
      </c>
      <c r="U8" s="19" t="s">
        <v>30</v>
      </c>
      <c r="V8" s="219" t="s">
        <v>29</v>
      </c>
      <c r="W8" s="19" t="s">
        <v>30</v>
      </c>
      <c r="X8" s="219" t="s">
        <v>29</v>
      </c>
      <c r="Y8" s="219" t="s">
        <v>31</v>
      </c>
      <c r="Z8" s="219" t="s">
        <v>29</v>
      </c>
      <c r="AA8" s="219" t="s">
        <v>31</v>
      </c>
      <c r="AB8" s="213" t="s">
        <v>106</v>
      </c>
    </row>
    <row r="9" spans="1:39" x14ac:dyDescent="0.3">
      <c r="A9" s="110"/>
      <c r="B9" s="516" t="s">
        <v>42</v>
      </c>
      <c r="C9" s="517"/>
      <c r="D9" s="14">
        <v>1</v>
      </c>
      <c r="E9" s="11">
        <v>2</v>
      </c>
      <c r="F9" s="17">
        <v>3</v>
      </c>
      <c r="G9" s="20">
        <v>4</v>
      </c>
      <c r="H9" s="14">
        <v>5</v>
      </c>
      <c r="I9" s="11">
        <v>6</v>
      </c>
      <c r="J9" s="17">
        <v>7</v>
      </c>
      <c r="K9" s="20">
        <v>8</v>
      </c>
      <c r="L9" s="14">
        <v>9</v>
      </c>
      <c r="M9" s="20">
        <v>10</v>
      </c>
      <c r="N9" s="14">
        <v>11</v>
      </c>
      <c r="O9" s="20">
        <v>12</v>
      </c>
      <c r="P9" s="14">
        <v>13</v>
      </c>
      <c r="Q9" s="20">
        <v>14</v>
      </c>
      <c r="R9" s="14">
        <v>15</v>
      </c>
      <c r="S9" s="20">
        <v>16</v>
      </c>
      <c r="T9" s="220">
        <v>17</v>
      </c>
      <c r="U9" s="221">
        <v>18</v>
      </c>
      <c r="V9" s="221">
        <v>19</v>
      </c>
      <c r="W9" s="221">
        <v>20</v>
      </c>
      <c r="X9" s="221">
        <v>21</v>
      </c>
      <c r="Y9" s="221">
        <v>22</v>
      </c>
      <c r="Z9" s="221">
        <v>23</v>
      </c>
      <c r="AA9" s="221">
        <v>24</v>
      </c>
      <c r="AB9" s="222">
        <v>25</v>
      </c>
    </row>
    <row r="10" spans="1:39" ht="93.65" customHeight="1" x14ac:dyDescent="0.3">
      <c r="A10" s="111" t="s">
        <v>299</v>
      </c>
      <c r="B10" s="518" t="s">
        <v>243</v>
      </c>
      <c r="C10" s="519"/>
      <c r="D10" s="83">
        <v>6671</v>
      </c>
      <c r="E10" s="84">
        <v>567520.88</v>
      </c>
      <c r="F10" s="83">
        <v>6308</v>
      </c>
      <c r="G10" s="84">
        <v>545157.77</v>
      </c>
      <c r="H10" s="83">
        <v>6119</v>
      </c>
      <c r="I10" s="84">
        <v>527272.93999999994</v>
      </c>
      <c r="J10" s="83">
        <v>5471</v>
      </c>
      <c r="K10" s="84">
        <v>440922.64</v>
      </c>
      <c r="L10" s="85">
        <v>4898</v>
      </c>
      <c r="M10" s="86">
        <v>404017.96</v>
      </c>
      <c r="N10" s="83">
        <v>4416</v>
      </c>
      <c r="O10" s="84">
        <v>361883.32</v>
      </c>
      <c r="P10" s="85">
        <v>4231</v>
      </c>
      <c r="Q10" s="86">
        <v>396198.81</v>
      </c>
      <c r="R10" s="83">
        <v>4183</v>
      </c>
      <c r="S10" s="84">
        <v>399625.98</v>
      </c>
      <c r="T10" s="223">
        <v>3792</v>
      </c>
      <c r="U10" s="84">
        <v>353240.4599999999</v>
      </c>
      <c r="V10" s="223">
        <v>3582</v>
      </c>
      <c r="W10" s="84">
        <v>338438.36000000004</v>
      </c>
      <c r="X10" s="223">
        <f>V10</f>
        <v>3582</v>
      </c>
      <c r="Y10" s="224">
        <f>W10</f>
        <v>338438.36000000004</v>
      </c>
      <c r="Z10" s="223">
        <f>X10</f>
        <v>3582</v>
      </c>
      <c r="AA10" s="224">
        <f>Y10</f>
        <v>338438.36000000004</v>
      </c>
      <c r="AB10" s="225">
        <f t="shared" ref="AB10:AB12" si="0">I10+K10+M10+O10+Q10+S10+U10+W10+Y10+AA10+G10+E10</f>
        <v>5011155.8399999989</v>
      </c>
      <c r="AC10" s="226">
        <f>ROUND((U10+W10)/(T10+V10),2)</f>
        <v>93.8</v>
      </c>
      <c r="AD10" s="227"/>
      <c r="AE10" s="227"/>
      <c r="AF10" s="227"/>
      <c r="AG10" s="227"/>
      <c r="AH10" s="227"/>
      <c r="AI10" s="227"/>
      <c r="AJ10" s="227"/>
      <c r="AK10" s="227"/>
      <c r="AL10" s="227"/>
      <c r="AM10" s="227"/>
    </row>
    <row r="11" spans="1:39" ht="62.4" customHeight="1" x14ac:dyDescent="0.3">
      <c r="A11" s="111" t="s">
        <v>300</v>
      </c>
      <c r="B11" s="518" t="s">
        <v>244</v>
      </c>
      <c r="C11" s="519"/>
      <c r="D11" s="83">
        <v>816</v>
      </c>
      <c r="E11" s="84">
        <v>202370</v>
      </c>
      <c r="F11" s="83">
        <v>628</v>
      </c>
      <c r="G11" s="84">
        <v>156356</v>
      </c>
      <c r="H11" s="83">
        <v>605</v>
      </c>
      <c r="I11" s="84">
        <v>152674</v>
      </c>
      <c r="J11" s="83">
        <v>423</v>
      </c>
      <c r="K11" s="84">
        <v>104716</v>
      </c>
      <c r="L11" s="85">
        <v>363</v>
      </c>
      <c r="M11" s="86">
        <v>90150</v>
      </c>
      <c r="N11" s="83">
        <v>446</v>
      </c>
      <c r="O11" s="84">
        <v>113948</v>
      </c>
      <c r="P11" s="85">
        <v>505</v>
      </c>
      <c r="Q11" s="86">
        <v>124441</v>
      </c>
      <c r="R11" s="83">
        <v>526</v>
      </c>
      <c r="S11" s="84">
        <v>131383</v>
      </c>
      <c r="T11" s="223">
        <v>423</v>
      </c>
      <c r="U11" s="84">
        <v>105168.25</v>
      </c>
      <c r="V11" s="223">
        <v>414</v>
      </c>
      <c r="W11" s="84">
        <v>105800.5</v>
      </c>
      <c r="X11" s="223">
        <f t="shared" ref="X11:Z11" si="1">V11</f>
        <v>414</v>
      </c>
      <c r="Y11" s="224">
        <f>X11*$AC$11</f>
        <v>104348.70000000001</v>
      </c>
      <c r="Z11" s="223">
        <f t="shared" si="1"/>
        <v>414</v>
      </c>
      <c r="AA11" s="224">
        <f>Z11*$AC$11</f>
        <v>104348.70000000001</v>
      </c>
      <c r="AB11" s="225">
        <f t="shared" si="0"/>
        <v>1495704.15</v>
      </c>
      <c r="AC11" s="226">
        <f>ROUND((U11+W11)/(T11+V11),2)</f>
        <v>252.05</v>
      </c>
    </row>
    <row r="12" spans="1:39" ht="48.65" customHeight="1" thickBot="1" x14ac:dyDescent="0.35">
      <c r="A12" s="111" t="s">
        <v>301</v>
      </c>
      <c r="B12" s="520" t="s">
        <v>9</v>
      </c>
      <c r="C12" s="521"/>
      <c r="D12" s="88">
        <v>5156</v>
      </c>
      <c r="E12" s="89">
        <v>716601.25</v>
      </c>
      <c r="F12" s="88">
        <v>5655</v>
      </c>
      <c r="G12" s="89">
        <v>888002.39</v>
      </c>
      <c r="H12" s="88">
        <v>6018</v>
      </c>
      <c r="I12" s="89">
        <v>976591.67</v>
      </c>
      <c r="J12" s="88">
        <v>5911</v>
      </c>
      <c r="K12" s="89">
        <v>893401.79</v>
      </c>
      <c r="L12" s="90">
        <v>5694</v>
      </c>
      <c r="M12" s="91">
        <v>718064.93</v>
      </c>
      <c r="N12" s="88">
        <v>4437</v>
      </c>
      <c r="O12" s="89">
        <v>473345.1</v>
      </c>
      <c r="P12" s="90">
        <v>4012</v>
      </c>
      <c r="Q12" s="91">
        <v>472655.89</v>
      </c>
      <c r="R12" s="88">
        <v>3796</v>
      </c>
      <c r="S12" s="89">
        <v>468093.02</v>
      </c>
      <c r="T12" s="228">
        <v>3248</v>
      </c>
      <c r="U12" s="89">
        <v>378700.56</v>
      </c>
      <c r="V12" s="228">
        <v>3129</v>
      </c>
      <c r="W12" s="89">
        <v>378850.76</v>
      </c>
      <c r="X12" s="223">
        <f>V12</f>
        <v>3129</v>
      </c>
      <c r="Y12" s="224">
        <f>W12</f>
        <v>378850.76</v>
      </c>
      <c r="Z12" s="223">
        <f>X12</f>
        <v>3129</v>
      </c>
      <c r="AA12" s="224">
        <f>Y12</f>
        <v>378850.76</v>
      </c>
      <c r="AB12" s="230">
        <f t="shared" si="0"/>
        <v>7122008.879999999</v>
      </c>
      <c r="AC12" s="226"/>
      <c r="AD12" s="231">
        <f>AB12/(D12+F12+H12+J12+L12+N12+P12+R12+T12+V12+X12+Z12)</f>
        <v>133.58609145815356</v>
      </c>
      <c r="AE12" s="232"/>
      <c r="AF12" s="227"/>
      <c r="AG12" s="227"/>
      <c r="AH12" s="227"/>
      <c r="AI12" s="227"/>
    </row>
    <row r="13" spans="1:39" ht="11.4" customHeight="1" x14ac:dyDescent="0.3">
      <c r="B13" s="546"/>
      <c r="C13" s="546"/>
      <c r="D13" s="546"/>
      <c r="E13" s="546"/>
      <c r="F13" s="546"/>
      <c r="G13" s="546"/>
      <c r="H13" s="546"/>
      <c r="I13" s="546"/>
      <c r="J13" s="546"/>
      <c r="K13" s="546"/>
      <c r="L13" s="546"/>
      <c r="M13" s="546"/>
      <c r="N13" s="546"/>
      <c r="O13" s="546"/>
      <c r="P13" s="546"/>
      <c r="Q13" s="546"/>
      <c r="R13" s="546"/>
      <c r="S13" s="546"/>
      <c r="T13" s="546"/>
      <c r="U13" s="546"/>
      <c r="V13" s="546"/>
      <c r="W13" s="546"/>
      <c r="X13" s="546"/>
      <c r="Y13" s="546"/>
      <c r="Z13" s="546"/>
      <c r="AA13" s="546"/>
      <c r="AB13" s="546"/>
    </row>
    <row r="15" spans="1:39" ht="17.399999999999999" customHeight="1" x14ac:dyDescent="0.3">
      <c r="B15" s="233"/>
      <c r="C15" s="522" t="s">
        <v>247</v>
      </c>
      <c r="D15" s="522"/>
      <c r="E15" s="522"/>
      <c r="F15" s="522"/>
      <c r="G15" s="233"/>
      <c r="H15" s="522" t="s">
        <v>251</v>
      </c>
      <c r="I15" s="522"/>
      <c r="J15" s="522"/>
      <c r="K15" s="522"/>
      <c r="L15" s="233"/>
      <c r="M15" s="522" t="s">
        <v>252</v>
      </c>
      <c r="N15" s="522"/>
      <c r="O15" s="522"/>
      <c r="P15" s="522"/>
      <c r="Q15" s="522"/>
      <c r="W15" s="129"/>
    </row>
    <row r="16" spans="1:39" ht="53.15" customHeight="1" x14ac:dyDescent="0.35">
      <c r="B16" s="234"/>
      <c r="C16" s="522" t="s">
        <v>248</v>
      </c>
      <c r="D16" s="522"/>
      <c r="E16" s="522" t="s">
        <v>249</v>
      </c>
      <c r="F16" s="522"/>
      <c r="G16" s="233"/>
      <c r="H16" s="522" t="s">
        <v>248</v>
      </c>
      <c r="I16" s="522"/>
      <c r="J16" s="522" t="s">
        <v>249</v>
      </c>
      <c r="K16" s="522"/>
      <c r="L16" s="233"/>
      <c r="M16" s="522" t="s">
        <v>248</v>
      </c>
      <c r="N16" s="522"/>
      <c r="O16" s="522" t="s">
        <v>249</v>
      </c>
      <c r="P16" s="522"/>
      <c r="Q16" s="235" t="s">
        <v>253</v>
      </c>
    </row>
    <row r="17" spans="1:39" ht="14.5" x14ac:dyDescent="0.35">
      <c r="B17" s="234" t="s">
        <v>246</v>
      </c>
      <c r="C17" s="523">
        <v>125</v>
      </c>
      <c r="D17" s="523"/>
      <c r="E17" s="523">
        <v>87.5</v>
      </c>
      <c r="F17" s="523"/>
      <c r="G17" s="233"/>
      <c r="H17" s="523">
        <v>137</v>
      </c>
      <c r="I17" s="523"/>
      <c r="J17" s="523">
        <v>96</v>
      </c>
      <c r="K17" s="523"/>
      <c r="L17" s="233"/>
      <c r="M17" s="523">
        <f>H17*100/C17-100</f>
        <v>9.5999999999999943</v>
      </c>
      <c r="N17" s="523"/>
      <c r="O17" s="523">
        <f>J17*100/E17-100</f>
        <v>9.7142857142857082</v>
      </c>
      <c r="P17" s="523"/>
      <c r="Q17" s="236">
        <f>(M17+O17)/2</f>
        <v>9.6571428571428513</v>
      </c>
    </row>
    <row r="18" spans="1:39" x14ac:dyDescent="0.3">
      <c r="B18" s="233" t="s">
        <v>250</v>
      </c>
      <c r="C18" s="523">
        <v>313</v>
      </c>
      <c r="D18" s="523"/>
      <c r="E18" s="523">
        <v>219</v>
      </c>
      <c r="F18" s="523"/>
      <c r="G18" s="233"/>
      <c r="H18" s="523">
        <v>343</v>
      </c>
      <c r="I18" s="523"/>
      <c r="J18" s="523">
        <v>240</v>
      </c>
      <c r="K18" s="523"/>
      <c r="L18" s="233"/>
      <c r="M18" s="523">
        <f>H18*100/C18-100</f>
        <v>9.5846645367412151</v>
      </c>
      <c r="N18" s="523"/>
      <c r="O18" s="523">
        <f>J18*100/E18-100</f>
        <v>9.5890410958904084</v>
      </c>
      <c r="P18" s="523"/>
      <c r="Q18" s="236">
        <f>(M18+O18)/2</f>
        <v>9.5868528163158118</v>
      </c>
    </row>
    <row r="19" spans="1:39" x14ac:dyDescent="0.3">
      <c r="Q19" s="237"/>
    </row>
    <row r="20" spans="1:39" ht="14.5" thickBot="1" x14ac:dyDescent="0.35"/>
    <row r="21" spans="1:39" x14ac:dyDescent="0.3">
      <c r="A21" s="110"/>
      <c r="B21" s="524" t="s">
        <v>41</v>
      </c>
      <c r="C21" s="525"/>
      <c r="D21" s="530" t="s">
        <v>163</v>
      </c>
      <c r="E21" s="530"/>
      <c r="F21" s="530" t="s">
        <v>163</v>
      </c>
      <c r="G21" s="530"/>
      <c r="H21" s="530" t="s">
        <v>163</v>
      </c>
      <c r="I21" s="530"/>
      <c r="J21" s="530" t="s">
        <v>163</v>
      </c>
      <c r="K21" s="530"/>
      <c r="L21" s="530" t="s">
        <v>163</v>
      </c>
      <c r="M21" s="530"/>
      <c r="N21" s="530" t="s">
        <v>163</v>
      </c>
      <c r="O21" s="530"/>
      <c r="P21" s="530" t="s">
        <v>163</v>
      </c>
      <c r="Q21" s="530"/>
      <c r="R21" s="530" t="s">
        <v>163</v>
      </c>
      <c r="S21" s="530"/>
      <c r="T21" s="530" t="s">
        <v>163</v>
      </c>
      <c r="U21" s="530"/>
      <c r="V21" s="530" t="s">
        <v>163</v>
      </c>
      <c r="W21" s="530"/>
      <c r="X21" s="530" t="s">
        <v>163</v>
      </c>
      <c r="Y21" s="530"/>
      <c r="Z21" s="530" t="s">
        <v>163</v>
      </c>
      <c r="AA21" s="530"/>
      <c r="AB21" s="212" t="s">
        <v>163</v>
      </c>
    </row>
    <row r="22" spans="1:39" x14ac:dyDescent="0.3">
      <c r="A22" s="110"/>
      <c r="B22" s="526"/>
      <c r="C22" s="527"/>
      <c r="D22" s="537" t="s">
        <v>95</v>
      </c>
      <c r="E22" s="537"/>
      <c r="F22" s="537" t="s">
        <v>96</v>
      </c>
      <c r="G22" s="537"/>
      <c r="H22" s="537" t="s">
        <v>17</v>
      </c>
      <c r="I22" s="537"/>
      <c r="J22" s="537" t="s">
        <v>18</v>
      </c>
      <c r="K22" s="537"/>
      <c r="L22" s="538" t="s">
        <v>19</v>
      </c>
      <c r="M22" s="539"/>
      <c r="N22" s="537" t="s">
        <v>20</v>
      </c>
      <c r="O22" s="537"/>
      <c r="P22" s="538" t="s">
        <v>21</v>
      </c>
      <c r="Q22" s="539"/>
      <c r="R22" s="537" t="s">
        <v>22</v>
      </c>
      <c r="S22" s="537"/>
      <c r="T22" s="538" t="s">
        <v>23</v>
      </c>
      <c r="U22" s="537"/>
      <c r="V22" s="537" t="s">
        <v>24</v>
      </c>
      <c r="W22" s="537"/>
      <c r="X22" s="537" t="s">
        <v>25</v>
      </c>
      <c r="Y22" s="537"/>
      <c r="Z22" s="537" t="s">
        <v>26</v>
      </c>
      <c r="AA22" s="537"/>
      <c r="AB22" s="213" t="s">
        <v>39</v>
      </c>
    </row>
    <row r="23" spans="1:39" x14ac:dyDescent="0.3">
      <c r="A23" s="110"/>
      <c r="B23" s="526"/>
      <c r="C23" s="527"/>
      <c r="D23" s="238"/>
      <c r="E23" s="239" t="s">
        <v>27</v>
      </c>
      <c r="F23" s="240"/>
      <c r="G23" s="241" t="s">
        <v>27</v>
      </c>
      <c r="H23" s="238"/>
      <c r="I23" s="239" t="s">
        <v>27</v>
      </c>
      <c r="J23" s="240"/>
      <c r="K23" s="241" t="s">
        <v>27</v>
      </c>
      <c r="L23" s="238"/>
      <c r="M23" s="241" t="s">
        <v>27</v>
      </c>
      <c r="N23" s="238"/>
      <c r="O23" s="241" t="s">
        <v>27</v>
      </c>
      <c r="P23" s="238"/>
      <c r="Q23" s="241" t="s">
        <v>27</v>
      </c>
      <c r="R23" s="238"/>
      <c r="S23" s="241" t="s">
        <v>27</v>
      </c>
      <c r="T23" s="214"/>
      <c r="U23" s="215" t="s">
        <v>27</v>
      </c>
      <c r="V23" s="216"/>
      <c r="W23" s="215" t="s">
        <v>27</v>
      </c>
      <c r="X23" s="216"/>
      <c r="Y23" s="215" t="s">
        <v>27</v>
      </c>
      <c r="Z23" s="216"/>
      <c r="AA23" s="215" t="s">
        <v>27</v>
      </c>
      <c r="AB23" s="217" t="s">
        <v>27</v>
      </c>
    </row>
    <row r="24" spans="1:39" ht="59.4" customHeight="1" x14ac:dyDescent="0.3">
      <c r="A24" s="110"/>
      <c r="B24" s="528"/>
      <c r="C24" s="529"/>
      <c r="D24" s="242" t="s">
        <v>29</v>
      </c>
      <c r="E24" s="219" t="s">
        <v>31</v>
      </c>
      <c r="F24" s="243" t="s">
        <v>29</v>
      </c>
      <c r="G24" s="219" t="s">
        <v>31</v>
      </c>
      <c r="H24" s="242" t="s">
        <v>29</v>
      </c>
      <c r="I24" s="219" t="s">
        <v>31</v>
      </c>
      <c r="J24" s="243" t="s">
        <v>29</v>
      </c>
      <c r="K24" s="219" t="s">
        <v>31</v>
      </c>
      <c r="L24" s="242" t="s">
        <v>29</v>
      </c>
      <c r="M24" s="219" t="s">
        <v>31</v>
      </c>
      <c r="N24" s="242" t="s">
        <v>29</v>
      </c>
      <c r="O24" s="219" t="s">
        <v>31</v>
      </c>
      <c r="P24" s="242" t="s">
        <v>29</v>
      </c>
      <c r="Q24" s="219" t="s">
        <v>31</v>
      </c>
      <c r="R24" s="242" t="s">
        <v>29</v>
      </c>
      <c r="S24" s="219" t="s">
        <v>31</v>
      </c>
      <c r="T24" s="218" t="s">
        <v>29</v>
      </c>
      <c r="U24" s="219" t="s">
        <v>31</v>
      </c>
      <c r="V24" s="219" t="s">
        <v>29</v>
      </c>
      <c r="W24" s="219" t="s">
        <v>31</v>
      </c>
      <c r="X24" s="219" t="s">
        <v>29</v>
      </c>
      <c r="Y24" s="219" t="s">
        <v>31</v>
      </c>
      <c r="Z24" s="219" t="s">
        <v>29</v>
      </c>
      <c r="AA24" s="219" t="s">
        <v>31</v>
      </c>
      <c r="AB24" s="213" t="s">
        <v>106</v>
      </c>
    </row>
    <row r="25" spans="1:39" x14ac:dyDescent="0.3">
      <c r="A25" s="110"/>
      <c r="B25" s="531" t="s">
        <v>42</v>
      </c>
      <c r="C25" s="532"/>
      <c r="D25" s="244">
        <v>1</v>
      </c>
      <c r="E25" s="220">
        <v>2</v>
      </c>
      <c r="F25" s="245">
        <v>3</v>
      </c>
      <c r="G25" s="246">
        <v>4</v>
      </c>
      <c r="H25" s="244">
        <v>5</v>
      </c>
      <c r="I25" s="220">
        <v>6</v>
      </c>
      <c r="J25" s="245">
        <v>7</v>
      </c>
      <c r="K25" s="246">
        <v>8</v>
      </c>
      <c r="L25" s="244">
        <v>9</v>
      </c>
      <c r="M25" s="246">
        <v>10</v>
      </c>
      <c r="N25" s="244">
        <v>11</v>
      </c>
      <c r="O25" s="246">
        <v>12</v>
      </c>
      <c r="P25" s="244">
        <v>13</v>
      </c>
      <c r="Q25" s="246">
        <v>14</v>
      </c>
      <c r="R25" s="244">
        <v>15</v>
      </c>
      <c r="S25" s="246">
        <v>16</v>
      </c>
      <c r="T25" s="220">
        <v>17</v>
      </c>
      <c r="U25" s="221">
        <v>18</v>
      </c>
      <c r="V25" s="221">
        <v>19</v>
      </c>
      <c r="W25" s="221">
        <v>20</v>
      </c>
      <c r="X25" s="221">
        <v>21</v>
      </c>
      <c r="Y25" s="221">
        <v>22</v>
      </c>
      <c r="Z25" s="221">
        <v>23</v>
      </c>
      <c r="AA25" s="221">
        <v>24</v>
      </c>
      <c r="AB25" s="222">
        <v>25</v>
      </c>
    </row>
    <row r="26" spans="1:39" ht="58.4" customHeight="1" x14ac:dyDescent="0.3">
      <c r="A26" s="111" t="s">
        <v>299</v>
      </c>
      <c r="B26" s="518" t="s">
        <v>254</v>
      </c>
      <c r="C26" s="519"/>
      <c r="D26" s="83">
        <f>Z10*1.05</f>
        <v>3761.1000000000004</v>
      </c>
      <c r="E26" s="224">
        <f>$AC$10*(100+$Q$17)/100*D26</f>
        <v>386860.72823999997</v>
      </c>
      <c r="F26" s="223">
        <f>D26</f>
        <v>3761.1000000000004</v>
      </c>
      <c r="G26" s="224">
        <f>$AC$10*(100+$Q$17)/100*F26</f>
        <v>386860.72823999997</v>
      </c>
      <c r="H26" s="223">
        <f>F26</f>
        <v>3761.1000000000004</v>
      </c>
      <c r="I26" s="224">
        <f>$AC$10*(100+$Q$17)/100*H26</f>
        <v>386860.72823999997</v>
      </c>
      <c r="J26" s="223">
        <f>H26</f>
        <v>3761.1000000000004</v>
      </c>
      <c r="K26" s="224">
        <f>$AC$10*(100+$Q$17)/100*J26</f>
        <v>386860.72823999997</v>
      </c>
      <c r="L26" s="247">
        <f>J26</f>
        <v>3761.1000000000004</v>
      </c>
      <c r="M26" s="224">
        <f>$AC$10*(100+$Q$17)/100*L26</f>
        <v>386860.72823999997</v>
      </c>
      <c r="N26" s="223">
        <f>L26</f>
        <v>3761.1000000000004</v>
      </c>
      <c r="O26" s="224">
        <f>$AC$10*(100+$Q$17)/100*N26</f>
        <v>386860.72823999997</v>
      </c>
      <c r="P26" s="247">
        <f>N26</f>
        <v>3761.1000000000004</v>
      </c>
      <c r="Q26" s="224">
        <f>$AC$10*(100+$Q$17)/100*P26</f>
        <v>386860.72823999997</v>
      </c>
      <c r="R26" s="223">
        <f>P26</f>
        <v>3761.1000000000004</v>
      </c>
      <c r="S26" s="224">
        <f>$AC$10*(100+$Q$17)/100*R26</f>
        <v>386860.72823999997</v>
      </c>
      <c r="T26" s="223">
        <f>R26</f>
        <v>3761.1000000000004</v>
      </c>
      <c r="U26" s="224">
        <f>$AC$10*(100+$Q$17)/100*T26</f>
        <v>386860.72823999997</v>
      </c>
      <c r="V26" s="223">
        <f>T26</f>
        <v>3761.1000000000004</v>
      </c>
      <c r="W26" s="224">
        <f>$AC$10*(100+$Q$17)/100*V26</f>
        <v>386860.72823999997</v>
      </c>
      <c r="X26" s="223">
        <f>V26</f>
        <v>3761.1000000000004</v>
      </c>
      <c r="Y26" s="224">
        <f>$AC$10*(100+$Q$17)/100*X26</f>
        <v>386860.72823999997</v>
      </c>
      <c r="Z26" s="223">
        <f>X26</f>
        <v>3761.1000000000004</v>
      </c>
      <c r="AA26" s="224">
        <f>$AC$10*(100+$Q$17)/100*Z26</f>
        <v>386860.72823999997</v>
      </c>
      <c r="AB26" s="225">
        <f>ROUND(I26+K26+M26+O26+Q26+S26+U26+W26+Y26+AA26+G26+E26,0)</f>
        <v>4642329</v>
      </c>
      <c r="AC26" s="226"/>
      <c r="AD26" s="227"/>
      <c r="AE26" s="227"/>
      <c r="AF26" s="227"/>
      <c r="AG26" s="227"/>
      <c r="AH26" s="227"/>
      <c r="AI26" s="227"/>
      <c r="AJ26" s="227"/>
      <c r="AK26" s="227"/>
      <c r="AL26" s="227"/>
      <c r="AM26" s="227"/>
    </row>
    <row r="27" spans="1:39" ht="38.15" customHeight="1" x14ac:dyDescent="0.3">
      <c r="A27" s="111" t="s">
        <v>300</v>
      </c>
      <c r="B27" s="533" t="s">
        <v>255</v>
      </c>
      <c r="C27" s="534"/>
      <c r="D27" s="83">
        <f>Z11*1.05</f>
        <v>434.70000000000005</v>
      </c>
      <c r="E27" s="224">
        <f>$AC$11*(100+$Q$18)/100*D27</f>
        <v>120070.07909897591</v>
      </c>
      <c r="F27" s="223">
        <f>D27</f>
        <v>434.70000000000005</v>
      </c>
      <c r="G27" s="224">
        <f>E27</f>
        <v>120070.07909897591</v>
      </c>
      <c r="H27" s="223">
        <f>F27</f>
        <v>434.70000000000005</v>
      </c>
      <c r="I27" s="224">
        <f>G27</f>
        <v>120070.07909897591</v>
      </c>
      <c r="J27" s="223">
        <f>H27</f>
        <v>434.70000000000005</v>
      </c>
      <c r="K27" s="224">
        <f>I27</f>
        <v>120070.07909897591</v>
      </c>
      <c r="L27" s="223">
        <f>J27</f>
        <v>434.70000000000005</v>
      </c>
      <c r="M27" s="224">
        <f>K27</f>
        <v>120070.07909897591</v>
      </c>
      <c r="N27" s="223">
        <f>L27</f>
        <v>434.70000000000005</v>
      </c>
      <c r="O27" s="224">
        <f>M27</f>
        <v>120070.07909897591</v>
      </c>
      <c r="P27" s="223">
        <f>N27</f>
        <v>434.70000000000005</v>
      </c>
      <c r="Q27" s="224">
        <f>O27</f>
        <v>120070.07909897591</v>
      </c>
      <c r="R27" s="223">
        <f>P27</f>
        <v>434.70000000000005</v>
      </c>
      <c r="S27" s="224">
        <f>Q27</f>
        <v>120070.07909897591</v>
      </c>
      <c r="T27" s="223">
        <f>R27</f>
        <v>434.70000000000005</v>
      </c>
      <c r="U27" s="224">
        <f>S27</f>
        <v>120070.07909897591</v>
      </c>
      <c r="V27" s="223">
        <f>T27</f>
        <v>434.70000000000005</v>
      </c>
      <c r="W27" s="224">
        <f>U27</f>
        <v>120070.07909897591</v>
      </c>
      <c r="X27" s="223">
        <f>V27</f>
        <v>434.70000000000005</v>
      </c>
      <c r="Y27" s="224">
        <f>W27</f>
        <v>120070.07909897591</v>
      </c>
      <c r="Z27" s="223">
        <f>X27</f>
        <v>434.70000000000005</v>
      </c>
      <c r="AA27" s="224">
        <f>Y27</f>
        <v>120070.07909897591</v>
      </c>
      <c r="AB27" s="225">
        <f>ROUND(I27+K27+M27+O27+Q27+S27+U27+W27+Y27+AA27+G27+E27,0)</f>
        <v>1440841</v>
      </c>
      <c r="AC27" s="226"/>
      <c r="AE27" s="129"/>
      <c r="AF27" s="129"/>
    </row>
    <row r="28" spans="1:39" ht="51.65" customHeight="1" thickBot="1" x14ac:dyDescent="0.35">
      <c r="A28" s="111" t="s">
        <v>301</v>
      </c>
      <c r="B28" s="535" t="s">
        <v>327</v>
      </c>
      <c r="C28" s="536"/>
      <c r="D28" s="88">
        <f>Z12*1.05</f>
        <v>3285.4500000000003</v>
      </c>
      <c r="E28" s="229">
        <f>$AD$12*1*D28</f>
        <v>438890.42418119067</v>
      </c>
      <c r="F28" s="228">
        <f>D28</f>
        <v>3285.4500000000003</v>
      </c>
      <c r="G28" s="229">
        <f>E28</f>
        <v>438890.42418119067</v>
      </c>
      <c r="H28" s="228">
        <f>F28</f>
        <v>3285.4500000000003</v>
      </c>
      <c r="I28" s="229">
        <f>G28</f>
        <v>438890.42418119067</v>
      </c>
      <c r="J28" s="228">
        <f>H28</f>
        <v>3285.4500000000003</v>
      </c>
      <c r="K28" s="229">
        <f>I28</f>
        <v>438890.42418119067</v>
      </c>
      <c r="L28" s="228">
        <f>J28</f>
        <v>3285.4500000000003</v>
      </c>
      <c r="M28" s="229">
        <f>K28</f>
        <v>438890.42418119067</v>
      </c>
      <c r="N28" s="228">
        <f>L28</f>
        <v>3285.4500000000003</v>
      </c>
      <c r="O28" s="229">
        <f>M28</f>
        <v>438890.42418119067</v>
      </c>
      <c r="P28" s="228">
        <f>N28</f>
        <v>3285.4500000000003</v>
      </c>
      <c r="Q28" s="229">
        <f>O28</f>
        <v>438890.42418119067</v>
      </c>
      <c r="R28" s="228">
        <f>P28</f>
        <v>3285.4500000000003</v>
      </c>
      <c r="S28" s="229">
        <f>Q28</f>
        <v>438890.42418119067</v>
      </c>
      <c r="T28" s="228">
        <f>R28</f>
        <v>3285.4500000000003</v>
      </c>
      <c r="U28" s="229">
        <f>S28</f>
        <v>438890.42418119067</v>
      </c>
      <c r="V28" s="228">
        <f>T28</f>
        <v>3285.4500000000003</v>
      </c>
      <c r="W28" s="229">
        <f>U28</f>
        <v>438890.42418119067</v>
      </c>
      <c r="X28" s="228">
        <f>V28</f>
        <v>3285.4500000000003</v>
      </c>
      <c r="Y28" s="229">
        <f>W28</f>
        <v>438890.42418119067</v>
      </c>
      <c r="Z28" s="228">
        <f>X28</f>
        <v>3285.4500000000003</v>
      </c>
      <c r="AA28" s="229">
        <f>Y28</f>
        <v>438890.42418119067</v>
      </c>
      <c r="AB28" s="230">
        <f>ROUND(I28+K28+M28+O28+Q28+S28+U28+W28+Y28+AA28+G28+E28,0)</f>
        <v>5266685</v>
      </c>
      <c r="AC28" s="226"/>
      <c r="AD28" s="227"/>
      <c r="AE28" s="227"/>
      <c r="AF28" s="227"/>
      <c r="AG28" s="227"/>
      <c r="AH28" s="227"/>
      <c r="AI28" s="227"/>
    </row>
    <row r="29" spans="1:39" ht="23.15" customHeight="1" x14ac:dyDescent="0.3">
      <c r="AB29" s="248"/>
    </row>
    <row r="30" spans="1:39" ht="59.15" customHeight="1" x14ac:dyDescent="0.3">
      <c r="B30" s="509" t="s">
        <v>329</v>
      </c>
      <c r="C30" s="509"/>
      <c r="D30" s="509"/>
      <c r="E30" s="509"/>
      <c r="F30" s="509"/>
      <c r="G30" s="509"/>
      <c r="H30" s="509"/>
      <c r="I30" s="509"/>
      <c r="J30" s="509"/>
      <c r="K30" s="509"/>
      <c r="L30" s="509"/>
      <c r="M30" s="509"/>
      <c r="N30" s="509"/>
      <c r="O30" s="509"/>
      <c r="P30" s="509"/>
      <c r="Q30" s="509"/>
      <c r="R30" s="509"/>
      <c r="S30" s="509"/>
      <c r="T30" s="509"/>
      <c r="U30" s="509"/>
      <c r="V30" s="509"/>
      <c r="W30" s="509"/>
      <c r="X30" s="509"/>
      <c r="Y30" s="509"/>
      <c r="Z30" s="509"/>
      <c r="AA30" s="509"/>
      <c r="AB30" s="509"/>
    </row>
    <row r="31" spans="1:39" ht="23.4" customHeight="1" x14ac:dyDescent="0.3">
      <c r="B31" s="509" t="s">
        <v>330</v>
      </c>
      <c r="C31" s="509"/>
      <c r="D31" s="509"/>
      <c r="E31" s="509"/>
      <c r="F31" s="509"/>
      <c r="G31" s="509"/>
      <c r="H31" s="509"/>
      <c r="I31" s="509"/>
      <c r="J31" s="509"/>
      <c r="K31" s="509"/>
      <c r="L31" s="509"/>
      <c r="M31" s="509"/>
      <c r="N31" s="509"/>
      <c r="O31" s="509"/>
      <c r="P31" s="509"/>
      <c r="Q31" s="509"/>
      <c r="R31" s="509"/>
      <c r="S31" s="509"/>
      <c r="T31" s="509"/>
      <c r="U31" s="509"/>
      <c r="V31" s="509"/>
      <c r="W31" s="509"/>
      <c r="X31" s="509"/>
      <c r="Y31" s="509"/>
      <c r="Z31" s="509"/>
      <c r="AA31" s="509"/>
      <c r="AB31" s="509"/>
    </row>
    <row r="32" spans="1:39" ht="23.4" customHeight="1" x14ac:dyDescent="0.3">
      <c r="B32" s="509" t="s">
        <v>331</v>
      </c>
      <c r="C32" s="509"/>
      <c r="D32" s="509"/>
      <c r="E32" s="509"/>
      <c r="F32" s="509"/>
      <c r="G32" s="509"/>
      <c r="H32" s="509"/>
      <c r="I32" s="509"/>
      <c r="J32" s="509"/>
      <c r="K32" s="509"/>
      <c r="L32" s="509"/>
      <c r="M32" s="509"/>
      <c r="N32" s="509"/>
      <c r="O32" s="509"/>
      <c r="P32" s="509"/>
      <c r="Q32" s="509"/>
      <c r="R32" s="509"/>
      <c r="S32" s="509"/>
      <c r="T32" s="509"/>
      <c r="U32" s="509"/>
      <c r="V32" s="509"/>
      <c r="W32" s="509"/>
      <c r="X32" s="509"/>
      <c r="Y32" s="509"/>
      <c r="Z32" s="509"/>
      <c r="AA32" s="509"/>
      <c r="AB32" s="509"/>
    </row>
    <row r="33" spans="1:28" ht="23.4" customHeight="1" x14ac:dyDescent="0.3">
      <c r="B33" s="509" t="s">
        <v>332</v>
      </c>
      <c r="C33" s="509"/>
      <c r="D33" s="509"/>
      <c r="E33" s="509"/>
      <c r="F33" s="509"/>
      <c r="G33" s="509"/>
      <c r="H33" s="509"/>
      <c r="I33" s="509"/>
      <c r="J33" s="509"/>
      <c r="K33" s="509"/>
      <c r="L33" s="509"/>
      <c r="M33" s="509"/>
      <c r="N33" s="509"/>
      <c r="O33" s="509"/>
      <c r="P33" s="509"/>
      <c r="Q33" s="509"/>
      <c r="R33" s="509"/>
      <c r="S33" s="509"/>
      <c r="T33" s="509"/>
      <c r="U33" s="509"/>
      <c r="V33" s="509"/>
      <c r="W33" s="509"/>
      <c r="X33" s="509"/>
      <c r="Y33" s="509"/>
      <c r="Z33" s="509"/>
      <c r="AA33" s="509"/>
      <c r="AB33" s="509"/>
    </row>
    <row r="34" spans="1:28" ht="23.4" customHeight="1" x14ac:dyDescent="0.3">
      <c r="B34" s="509" t="s">
        <v>328</v>
      </c>
      <c r="C34" s="509"/>
      <c r="D34" s="509"/>
      <c r="E34" s="509"/>
      <c r="F34" s="509"/>
      <c r="G34" s="509"/>
      <c r="H34" s="509"/>
      <c r="I34" s="509"/>
      <c r="J34" s="509"/>
      <c r="K34" s="509"/>
      <c r="L34" s="509"/>
      <c r="M34" s="509"/>
      <c r="N34" s="509"/>
      <c r="O34" s="509"/>
      <c r="P34" s="509"/>
      <c r="Q34" s="509"/>
      <c r="R34" s="509"/>
      <c r="S34" s="509"/>
      <c r="T34" s="509"/>
      <c r="U34" s="509"/>
      <c r="V34" s="509"/>
      <c r="W34" s="509"/>
      <c r="X34" s="509"/>
      <c r="Y34" s="509"/>
      <c r="Z34" s="509"/>
      <c r="AA34" s="509"/>
      <c r="AB34" s="509"/>
    </row>
    <row r="36" spans="1:28" ht="15" customHeight="1" thickBot="1" x14ac:dyDescent="0.35">
      <c r="V36" s="249"/>
      <c r="W36" s="249"/>
      <c r="X36" s="249"/>
      <c r="Y36" s="249"/>
      <c r="Z36" s="249"/>
      <c r="AA36" s="249"/>
      <c r="AB36" s="249"/>
    </row>
    <row r="37" spans="1:28" ht="14.4" customHeight="1" x14ac:dyDescent="0.3">
      <c r="A37" s="112"/>
      <c r="B37" s="444" t="s">
        <v>15</v>
      </c>
      <c r="C37" s="445"/>
      <c r="D37" s="437" t="s">
        <v>90</v>
      </c>
      <c r="E37" s="438"/>
      <c r="F37" s="437" t="s">
        <v>90</v>
      </c>
      <c r="G37" s="438"/>
      <c r="H37" s="482" t="s">
        <v>90</v>
      </c>
      <c r="I37" s="438"/>
      <c r="J37" s="437" t="s">
        <v>90</v>
      </c>
      <c r="K37" s="438"/>
      <c r="L37" s="437" t="s">
        <v>90</v>
      </c>
      <c r="M37" s="438"/>
      <c r="N37" s="437" t="s">
        <v>90</v>
      </c>
      <c r="O37" s="438"/>
      <c r="P37" s="437" t="s">
        <v>90</v>
      </c>
      <c r="Q37" s="482"/>
      <c r="R37" s="250" t="s">
        <v>90</v>
      </c>
      <c r="S37" s="250" t="s">
        <v>163</v>
      </c>
      <c r="V37" s="249"/>
      <c r="W37" s="249"/>
      <c r="X37" s="249"/>
      <c r="Y37" s="249"/>
      <c r="Z37" s="249"/>
      <c r="AA37" s="249"/>
      <c r="AB37" s="249"/>
    </row>
    <row r="38" spans="1:28" ht="56.4" customHeight="1" x14ac:dyDescent="0.3">
      <c r="A38" s="113"/>
      <c r="B38" s="442" t="s">
        <v>16</v>
      </c>
      <c r="C38" s="480"/>
      <c r="D38" s="431" t="s">
        <v>97</v>
      </c>
      <c r="E38" s="432"/>
      <c r="F38" s="431" t="s">
        <v>55</v>
      </c>
      <c r="G38" s="432"/>
      <c r="H38" s="433" t="s">
        <v>56</v>
      </c>
      <c r="I38" s="432"/>
      <c r="J38" s="433" t="s">
        <v>57</v>
      </c>
      <c r="K38" s="434"/>
      <c r="L38" s="431" t="s">
        <v>58</v>
      </c>
      <c r="M38" s="432"/>
      <c r="N38" s="431" t="s">
        <v>59</v>
      </c>
      <c r="O38" s="432"/>
      <c r="P38" s="433" t="s">
        <v>60</v>
      </c>
      <c r="Q38" s="433"/>
      <c r="R38" s="251" t="s">
        <v>256</v>
      </c>
      <c r="S38" s="251" t="s">
        <v>210</v>
      </c>
      <c r="V38" s="249"/>
      <c r="W38" s="249"/>
      <c r="X38" s="249"/>
      <c r="Y38" s="249"/>
      <c r="Z38" s="249"/>
      <c r="AA38" s="249"/>
      <c r="AB38" s="249"/>
    </row>
    <row r="39" spans="1:28" ht="15" customHeight="1" thickBot="1" x14ac:dyDescent="0.35">
      <c r="A39" s="113"/>
      <c r="B39" s="478" t="s">
        <v>35</v>
      </c>
      <c r="C39" s="479"/>
      <c r="D39" s="27"/>
      <c r="E39" s="28" t="s">
        <v>27</v>
      </c>
      <c r="F39" s="27"/>
      <c r="G39" s="28" t="s">
        <v>27</v>
      </c>
      <c r="H39" s="252"/>
      <c r="I39" s="28" t="s">
        <v>27</v>
      </c>
      <c r="J39" s="253"/>
      <c r="K39" s="253" t="s">
        <v>27</v>
      </c>
      <c r="L39" s="27"/>
      <c r="M39" s="28" t="s">
        <v>27</v>
      </c>
      <c r="N39" s="27"/>
      <c r="O39" s="28" t="s">
        <v>27</v>
      </c>
      <c r="P39" s="253"/>
      <c r="Q39" s="253" t="s">
        <v>27</v>
      </c>
      <c r="R39" s="254" t="s">
        <v>27</v>
      </c>
      <c r="S39" s="254" t="s">
        <v>27</v>
      </c>
      <c r="V39" s="249"/>
      <c r="W39" s="249"/>
      <c r="X39" s="249"/>
      <c r="Y39" s="249"/>
      <c r="Z39" s="249"/>
      <c r="AA39" s="249"/>
      <c r="AB39" s="249"/>
    </row>
    <row r="40" spans="1:28" ht="65.400000000000006" customHeight="1" x14ac:dyDescent="0.3">
      <c r="A40" s="113"/>
      <c r="B40" s="255" t="s">
        <v>28</v>
      </c>
      <c r="C40" s="256" t="s">
        <v>61</v>
      </c>
      <c r="D40" s="29" t="s">
        <v>62</v>
      </c>
      <c r="E40" s="30" t="s">
        <v>30</v>
      </c>
      <c r="F40" s="29" t="s">
        <v>62</v>
      </c>
      <c r="G40" s="30" t="s">
        <v>30</v>
      </c>
      <c r="H40" s="35" t="s">
        <v>62</v>
      </c>
      <c r="I40" s="30" t="s">
        <v>30</v>
      </c>
      <c r="J40" s="29" t="s">
        <v>62</v>
      </c>
      <c r="K40" s="30" t="s">
        <v>30</v>
      </c>
      <c r="L40" s="29" t="s">
        <v>62</v>
      </c>
      <c r="M40" s="30" t="s">
        <v>30</v>
      </c>
      <c r="N40" s="29" t="s">
        <v>62</v>
      </c>
      <c r="O40" s="30" t="s">
        <v>30</v>
      </c>
      <c r="P40" s="29" t="s">
        <v>62</v>
      </c>
      <c r="Q40" s="32" t="s">
        <v>30</v>
      </c>
      <c r="R40" s="257" t="s">
        <v>30</v>
      </c>
      <c r="S40" s="258" t="s">
        <v>31</v>
      </c>
      <c r="V40" s="249"/>
      <c r="W40" s="249"/>
      <c r="X40" s="249"/>
      <c r="Y40" s="249"/>
      <c r="Z40" s="249"/>
      <c r="AA40" s="249"/>
      <c r="AB40" s="249"/>
    </row>
    <row r="41" spans="1:28" ht="14.4" customHeight="1" x14ac:dyDescent="0.3">
      <c r="A41" s="113"/>
      <c r="B41" s="259" t="s">
        <v>32</v>
      </c>
      <c r="C41" s="260" t="s">
        <v>63</v>
      </c>
      <c r="D41" s="261">
        <v>1</v>
      </c>
      <c r="E41" s="262">
        <v>2</v>
      </c>
      <c r="F41" s="261">
        <v>3</v>
      </c>
      <c r="G41" s="262">
        <v>4</v>
      </c>
      <c r="H41" s="263">
        <v>5</v>
      </c>
      <c r="I41" s="262">
        <v>6</v>
      </c>
      <c r="J41" s="263">
        <v>7</v>
      </c>
      <c r="K41" s="264">
        <v>8</v>
      </c>
      <c r="L41" s="261">
        <v>9</v>
      </c>
      <c r="M41" s="262">
        <v>10</v>
      </c>
      <c r="N41" s="261">
        <v>11</v>
      </c>
      <c r="O41" s="262">
        <v>12</v>
      </c>
      <c r="P41" s="263">
        <v>13</v>
      </c>
      <c r="Q41" s="265">
        <v>14</v>
      </c>
      <c r="R41" s="259">
        <v>15</v>
      </c>
      <c r="S41" s="259">
        <v>16</v>
      </c>
      <c r="V41" s="249"/>
      <c r="W41" s="249"/>
      <c r="X41" s="249"/>
      <c r="Y41" s="249"/>
      <c r="Z41" s="249"/>
      <c r="AA41" s="249"/>
      <c r="AB41" s="249"/>
    </row>
    <row r="42" spans="1:28" ht="30.65" customHeight="1" x14ac:dyDescent="0.3">
      <c r="A42" s="540" t="s">
        <v>302</v>
      </c>
      <c r="B42" s="542" t="s">
        <v>72</v>
      </c>
      <c r="C42" s="266" t="s">
        <v>73</v>
      </c>
      <c r="D42" s="267"/>
      <c r="E42" s="268"/>
      <c r="F42" s="267">
        <v>56</v>
      </c>
      <c r="G42" s="268">
        <v>3773.28</v>
      </c>
      <c r="H42" s="267">
        <v>49</v>
      </c>
      <c r="I42" s="268">
        <v>3301.62</v>
      </c>
      <c r="J42" s="267">
        <v>30</v>
      </c>
      <c r="K42" s="268">
        <v>2021.4</v>
      </c>
      <c r="L42" s="267"/>
      <c r="M42" s="268"/>
      <c r="N42" s="267">
        <v>44</v>
      </c>
      <c r="O42" s="268">
        <v>2964.72</v>
      </c>
      <c r="P42" s="267">
        <v>60</v>
      </c>
      <c r="Q42" s="269">
        <v>4883.3999999999996</v>
      </c>
      <c r="R42" s="270">
        <f>E42+G42+I42+K42+M42+O42+Q42</f>
        <v>16944.419999999998</v>
      </c>
      <c r="S42" s="270">
        <f>R42/7*12</f>
        <v>29047.577142857139</v>
      </c>
      <c r="V42" s="249"/>
      <c r="W42" s="249"/>
      <c r="X42" s="249"/>
      <c r="Y42" s="249"/>
      <c r="Z42" s="249"/>
      <c r="AA42" s="249"/>
      <c r="AB42" s="249"/>
    </row>
    <row r="43" spans="1:28" ht="30.65" customHeight="1" x14ac:dyDescent="0.3">
      <c r="A43" s="540"/>
      <c r="B43" s="486"/>
      <c r="C43" s="271" t="s">
        <v>74</v>
      </c>
      <c r="D43" s="272"/>
      <c r="E43" s="273"/>
      <c r="F43" s="272"/>
      <c r="G43" s="273"/>
      <c r="H43" s="272">
        <v>19</v>
      </c>
      <c r="I43" s="273">
        <v>583.49</v>
      </c>
      <c r="J43" s="272"/>
      <c r="K43" s="273"/>
      <c r="L43" s="272"/>
      <c r="M43" s="273"/>
      <c r="N43" s="272"/>
      <c r="O43" s="273"/>
      <c r="P43" s="272"/>
      <c r="Q43" s="274"/>
      <c r="R43" s="270">
        <f t="shared" ref="R43:R44" si="2">E43+G43+I43+K43+M43+O43+Q43</f>
        <v>583.49</v>
      </c>
      <c r="S43" s="270">
        <f t="shared" ref="S43:S44" si="3">R43/7*12</f>
        <v>1000.2685714285715</v>
      </c>
      <c r="V43" s="249"/>
      <c r="W43" s="249"/>
      <c r="X43" s="249"/>
      <c r="Y43" s="249"/>
      <c r="Z43" s="249"/>
      <c r="AA43" s="249"/>
      <c r="AB43" s="249"/>
    </row>
    <row r="44" spans="1:28" ht="58.4" customHeight="1" thickBot="1" x14ac:dyDescent="0.35">
      <c r="A44" s="541"/>
      <c r="B44" s="143" t="s">
        <v>75</v>
      </c>
      <c r="C44" s="275" t="s">
        <v>76</v>
      </c>
      <c r="D44" s="276"/>
      <c r="E44" s="277"/>
      <c r="F44" s="276"/>
      <c r="G44" s="277"/>
      <c r="H44" s="276">
        <v>37</v>
      </c>
      <c r="I44" s="277">
        <v>1379.73</v>
      </c>
      <c r="J44" s="276"/>
      <c r="K44" s="277"/>
      <c r="L44" s="276">
        <v>3</v>
      </c>
      <c r="M44" s="277">
        <v>111.87</v>
      </c>
      <c r="N44" s="276">
        <v>13</v>
      </c>
      <c r="O44" s="277">
        <v>484.77</v>
      </c>
      <c r="P44" s="276">
        <v>7</v>
      </c>
      <c r="Q44" s="278">
        <v>261.02999999999997</v>
      </c>
      <c r="R44" s="279">
        <f t="shared" si="2"/>
        <v>2237.3999999999996</v>
      </c>
      <c r="S44" s="279">
        <f t="shared" si="3"/>
        <v>3835.5428571428565</v>
      </c>
      <c r="V44" s="249"/>
      <c r="W44" s="249"/>
      <c r="X44" s="249"/>
      <c r="Y44" s="249"/>
      <c r="Z44" s="249"/>
      <c r="AA44" s="249"/>
      <c r="AB44" s="249"/>
    </row>
    <row r="45" spans="1:28" ht="14.4" customHeight="1" x14ac:dyDescent="0.3">
      <c r="R45" s="280">
        <f>SUM(R42:R44)</f>
        <v>19765.309999999998</v>
      </c>
      <c r="S45" s="130">
        <f>ROUND(SUM(S42:S44),0)</f>
        <v>33883</v>
      </c>
      <c r="V45" s="249"/>
      <c r="W45" s="249"/>
      <c r="X45" s="249"/>
      <c r="Y45" s="249"/>
      <c r="Z45" s="249"/>
      <c r="AA45" s="249"/>
      <c r="AB45" s="249"/>
    </row>
    <row r="46" spans="1:28" ht="14.4" customHeight="1" x14ac:dyDescent="0.3">
      <c r="S46" s="100"/>
      <c r="V46" s="249"/>
      <c r="W46" s="249"/>
      <c r="X46" s="249"/>
      <c r="Y46" s="249"/>
      <c r="Z46" s="249"/>
      <c r="AA46" s="249"/>
      <c r="AB46" s="249"/>
    </row>
    <row r="47" spans="1:28" ht="14.4" customHeight="1" x14ac:dyDescent="0.3">
      <c r="S47" s="100"/>
      <c r="V47" s="249"/>
      <c r="W47" s="249"/>
      <c r="X47" s="249"/>
      <c r="Y47" s="249"/>
      <c r="Z47" s="249"/>
      <c r="AA47" s="249"/>
      <c r="AB47" s="249"/>
    </row>
  </sheetData>
  <mergeCells count="108">
    <mergeCell ref="P22:Q22"/>
    <mergeCell ref="R22:S22"/>
    <mergeCell ref="T22:U22"/>
    <mergeCell ref="V22:W22"/>
    <mergeCell ref="X22:Y22"/>
    <mergeCell ref="V21:W21"/>
    <mergeCell ref="X21:Y21"/>
    <mergeCell ref="H18:I18"/>
    <mergeCell ref="J18:K18"/>
    <mergeCell ref="L6:M6"/>
    <mergeCell ref="M16:N16"/>
    <mergeCell ref="O16:P16"/>
    <mergeCell ref="M17:N17"/>
    <mergeCell ref="O17:P17"/>
    <mergeCell ref="M18:N18"/>
    <mergeCell ref="O18:P18"/>
    <mergeCell ref="M15:Q15"/>
    <mergeCell ref="H15:K15"/>
    <mergeCell ref="H16:I16"/>
    <mergeCell ref="J16:K16"/>
    <mergeCell ref="H17:I17"/>
    <mergeCell ref="J17:K17"/>
    <mergeCell ref="B13:AB13"/>
    <mergeCell ref="Z6:AA6"/>
    <mergeCell ref="B4:AB4"/>
    <mergeCell ref="A1:AB1"/>
    <mergeCell ref="A2:AB2"/>
    <mergeCell ref="A3:AB3"/>
    <mergeCell ref="N6:O6"/>
    <mergeCell ref="P6:Q6"/>
    <mergeCell ref="R6:S6"/>
    <mergeCell ref="T6:U6"/>
    <mergeCell ref="V6:W6"/>
    <mergeCell ref="X6:Y6"/>
    <mergeCell ref="R5:S5"/>
    <mergeCell ref="T5:U5"/>
    <mergeCell ref="V5:W5"/>
    <mergeCell ref="X5:Y5"/>
    <mergeCell ref="Z5:AA5"/>
    <mergeCell ref="D6:E6"/>
    <mergeCell ref="D5:E5"/>
    <mergeCell ref="F5:G5"/>
    <mergeCell ref="H5:I5"/>
    <mergeCell ref="J5:K5"/>
    <mergeCell ref="L5:M5"/>
    <mergeCell ref="N5:O5"/>
    <mergeCell ref="P5:Q5"/>
    <mergeCell ref="J6:K6"/>
    <mergeCell ref="A42:A44"/>
    <mergeCell ref="B42:B43"/>
    <mergeCell ref="B37:C37"/>
    <mergeCell ref="D37:E37"/>
    <mergeCell ref="B38:C38"/>
    <mergeCell ref="D38:E38"/>
    <mergeCell ref="F38:G38"/>
    <mergeCell ref="H38:I38"/>
    <mergeCell ref="J38:K38"/>
    <mergeCell ref="F37:G37"/>
    <mergeCell ref="H37:I37"/>
    <mergeCell ref="J37:K37"/>
    <mergeCell ref="B31:AB31"/>
    <mergeCell ref="B32:AB32"/>
    <mergeCell ref="B33:AB33"/>
    <mergeCell ref="B25:C25"/>
    <mergeCell ref="B26:C26"/>
    <mergeCell ref="B27:C27"/>
    <mergeCell ref="B28:C28"/>
    <mergeCell ref="B30:AB30"/>
    <mergeCell ref="Z21:AA21"/>
    <mergeCell ref="D22:E22"/>
    <mergeCell ref="F22:G22"/>
    <mergeCell ref="F21:G21"/>
    <mergeCell ref="H21:I21"/>
    <mergeCell ref="J21:K21"/>
    <mergeCell ref="L21:M21"/>
    <mergeCell ref="N21:O21"/>
    <mergeCell ref="Z22:AA22"/>
    <mergeCell ref="P21:Q21"/>
    <mergeCell ref="R21:S21"/>
    <mergeCell ref="T21:U21"/>
    <mergeCell ref="H22:I22"/>
    <mergeCell ref="J22:K22"/>
    <mergeCell ref="L22:M22"/>
    <mergeCell ref="N22:O22"/>
    <mergeCell ref="B34:AB34"/>
    <mergeCell ref="L37:M37"/>
    <mergeCell ref="N37:O37"/>
    <mergeCell ref="P37:Q37"/>
    <mergeCell ref="L38:M38"/>
    <mergeCell ref="N38:O38"/>
    <mergeCell ref="P38:Q38"/>
    <mergeCell ref="B39:C39"/>
    <mergeCell ref="B5:C8"/>
    <mergeCell ref="B9:C9"/>
    <mergeCell ref="B10:C10"/>
    <mergeCell ref="B11:C11"/>
    <mergeCell ref="B12:C12"/>
    <mergeCell ref="C15:F15"/>
    <mergeCell ref="C16:D16"/>
    <mergeCell ref="E16:F16"/>
    <mergeCell ref="C17:D17"/>
    <mergeCell ref="E17:F17"/>
    <mergeCell ref="C18:D18"/>
    <mergeCell ref="E18:F18"/>
    <mergeCell ref="B21:C24"/>
    <mergeCell ref="D21:E21"/>
    <mergeCell ref="F6:G6"/>
    <mergeCell ref="H6:I6"/>
  </mergeCells>
  <pageMargins left="0.31496062992125984" right="0.31496062992125984" top="0.74803149606299213" bottom="0.74803149606299213" header="0.31496062992125984" footer="0.31496062992125984"/>
  <pageSetup paperSize="9" scale="42" orientation="landscape"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10AE61-AA98-4C43-A1A2-4404A6F20353}">
  <dimension ref="A1:AC41"/>
  <sheetViews>
    <sheetView zoomScale="70" zoomScaleNormal="70" workbookViewId="0">
      <selection activeCell="J42" sqref="J42"/>
    </sheetView>
  </sheetViews>
  <sheetFormatPr defaultColWidth="8.54296875" defaultRowHeight="14" x14ac:dyDescent="0.3"/>
  <cols>
    <col min="1" max="1" width="39.08984375" style="99" customWidth="1"/>
    <col min="2" max="2" width="11.453125" style="99" customWidth="1"/>
    <col min="3" max="3" width="7.08984375" style="99" customWidth="1"/>
    <col min="4" max="4" width="12" style="99" customWidth="1"/>
    <col min="5" max="5" width="7.08984375" style="99" customWidth="1"/>
    <col min="6" max="6" width="12" style="99" customWidth="1"/>
    <col min="7" max="7" width="7.08984375" style="99" customWidth="1"/>
    <col min="8" max="8" width="12" style="99" customWidth="1"/>
    <col min="9" max="9" width="7.08984375" style="99" customWidth="1"/>
    <col min="10" max="10" width="12" style="99" customWidth="1"/>
    <col min="11" max="11" width="7.08984375" style="99" customWidth="1"/>
    <col min="12" max="12" width="12" style="99" customWidth="1"/>
    <col min="13" max="13" width="7.08984375" style="99" customWidth="1"/>
    <col min="14" max="14" width="12" style="99" customWidth="1"/>
    <col min="15" max="15" width="7.08984375" style="99" customWidth="1"/>
    <col min="16" max="16" width="12" style="99" customWidth="1"/>
    <col min="17" max="17" width="7.08984375" style="99" customWidth="1"/>
    <col min="18" max="18" width="12" style="99" customWidth="1"/>
    <col min="19" max="19" width="7.08984375" style="99" customWidth="1"/>
    <col min="20" max="20" width="12" style="99" customWidth="1"/>
    <col min="21" max="21" width="7.08984375" style="99" customWidth="1"/>
    <col min="22" max="22" width="12" style="99" customWidth="1"/>
    <col min="23" max="23" width="7.08984375" style="99" customWidth="1"/>
    <col min="24" max="24" width="12" style="99" customWidth="1"/>
    <col min="25" max="25" width="7.08984375" style="100" customWidth="1"/>
    <col min="26" max="27" width="12" style="99" customWidth="1"/>
    <col min="28" max="16384" width="8.54296875" style="99"/>
  </cols>
  <sheetData>
    <row r="1" spans="1:29" s="145" customFormat="1" ht="18" x14ac:dyDescent="0.35">
      <c r="A1" s="503" t="s">
        <v>153</v>
      </c>
      <c r="B1" s="503"/>
      <c r="C1" s="503"/>
      <c r="D1" s="503"/>
      <c r="E1" s="503"/>
      <c r="F1" s="503"/>
      <c r="G1" s="503"/>
      <c r="H1" s="503"/>
      <c r="I1" s="503"/>
      <c r="J1" s="503"/>
      <c r="K1" s="503"/>
      <c r="L1" s="503"/>
      <c r="M1" s="503"/>
      <c r="N1" s="503"/>
      <c r="O1" s="503"/>
      <c r="P1" s="503"/>
      <c r="Q1" s="503"/>
      <c r="R1" s="503"/>
      <c r="S1" s="503"/>
      <c r="T1" s="503"/>
      <c r="U1" s="503"/>
      <c r="V1" s="503"/>
      <c r="W1" s="503"/>
      <c r="X1" s="503"/>
      <c r="Y1" s="503"/>
      <c r="Z1" s="503"/>
      <c r="AA1" s="503"/>
    </row>
    <row r="2" spans="1:29" s="145" customFormat="1" ht="18" x14ac:dyDescent="0.35">
      <c r="A2" s="503" t="s">
        <v>162</v>
      </c>
      <c r="B2" s="503"/>
      <c r="C2" s="503"/>
      <c r="D2" s="503"/>
      <c r="E2" s="503"/>
      <c r="F2" s="503"/>
      <c r="G2" s="503"/>
      <c r="H2" s="503"/>
      <c r="I2" s="503"/>
      <c r="J2" s="503"/>
      <c r="K2" s="503"/>
      <c r="L2" s="503"/>
      <c r="M2" s="503"/>
      <c r="N2" s="503"/>
      <c r="O2" s="503"/>
      <c r="P2" s="503"/>
      <c r="Q2" s="503"/>
      <c r="R2" s="503"/>
      <c r="S2" s="503"/>
      <c r="T2" s="503"/>
      <c r="U2" s="503"/>
      <c r="V2" s="503"/>
      <c r="W2" s="503"/>
      <c r="X2" s="503"/>
      <c r="Y2" s="503"/>
      <c r="Z2" s="503"/>
      <c r="AA2" s="503"/>
    </row>
    <row r="3" spans="1:29" s="145" customFormat="1" ht="32.4" customHeight="1" thickBot="1" x14ac:dyDescent="0.4">
      <c r="A3" s="504" t="str">
        <f>'Ietekme uz valsts budžetu 2024'!B155</f>
        <v>4.8. Ar ģimeni un bērna aprūpi saistīto valsts sociālo pabalstu nodrošināšana</v>
      </c>
      <c r="B3" s="504"/>
      <c r="C3" s="504"/>
      <c r="D3" s="504"/>
      <c r="E3" s="504"/>
      <c r="F3" s="504"/>
      <c r="G3" s="504"/>
      <c r="H3" s="504"/>
      <c r="I3" s="504"/>
      <c r="J3" s="504"/>
      <c r="K3" s="504"/>
      <c r="L3" s="504"/>
      <c r="M3" s="504"/>
      <c r="N3" s="504"/>
      <c r="O3" s="504"/>
      <c r="P3" s="504"/>
      <c r="Q3" s="504"/>
      <c r="R3" s="504"/>
      <c r="S3" s="504"/>
      <c r="T3" s="504"/>
      <c r="U3" s="504"/>
      <c r="V3" s="504"/>
      <c r="W3" s="504"/>
      <c r="X3" s="504"/>
      <c r="Y3" s="504"/>
      <c r="Z3" s="504"/>
      <c r="AA3" s="504"/>
    </row>
    <row r="4" spans="1:29" ht="17" thickBot="1" x14ac:dyDescent="0.35">
      <c r="A4" s="146" t="s">
        <v>214</v>
      </c>
      <c r="B4" s="147"/>
      <c r="C4" s="147"/>
      <c r="D4" s="147"/>
      <c r="E4" s="147"/>
      <c r="F4" s="147"/>
      <c r="G4" s="147"/>
      <c r="H4" s="147"/>
      <c r="I4" s="147"/>
      <c r="J4" s="147"/>
      <c r="K4" s="147"/>
      <c r="L4" s="147"/>
      <c r="M4" s="147"/>
      <c r="N4" s="147"/>
      <c r="O4" s="147"/>
      <c r="P4" s="147"/>
      <c r="Q4" s="382"/>
      <c r="R4" s="382"/>
      <c r="S4" s="382"/>
      <c r="T4" s="382"/>
      <c r="U4" s="382"/>
      <c r="V4" s="383"/>
      <c r="W4" s="547" t="s">
        <v>213</v>
      </c>
      <c r="X4" s="548"/>
      <c r="Y4" s="548"/>
      <c r="Z4" s="548"/>
      <c r="AA4" s="549"/>
    </row>
    <row r="5" spans="1:29" x14ac:dyDescent="0.3">
      <c r="A5" s="444" t="s">
        <v>15</v>
      </c>
      <c r="B5" s="445"/>
      <c r="C5" s="437" t="s">
        <v>90</v>
      </c>
      <c r="D5" s="438"/>
      <c r="E5" s="437" t="s">
        <v>90</v>
      </c>
      <c r="F5" s="438"/>
      <c r="G5" s="437" t="s">
        <v>90</v>
      </c>
      <c r="H5" s="438"/>
      <c r="I5" s="437" t="s">
        <v>90</v>
      </c>
      <c r="J5" s="438"/>
      <c r="K5" s="437" t="s">
        <v>90</v>
      </c>
      <c r="L5" s="438"/>
      <c r="M5" s="437" t="s">
        <v>90</v>
      </c>
      <c r="N5" s="438"/>
      <c r="O5" s="437" t="s">
        <v>90</v>
      </c>
      <c r="P5" s="438"/>
      <c r="Q5" s="437" t="s">
        <v>90</v>
      </c>
      <c r="R5" s="438"/>
      <c r="S5" s="553" t="s">
        <v>90</v>
      </c>
      <c r="T5" s="554"/>
      <c r="U5" s="553" t="s">
        <v>90</v>
      </c>
      <c r="V5" s="554"/>
      <c r="W5" s="553" t="s">
        <v>90</v>
      </c>
      <c r="X5" s="554"/>
      <c r="Y5" s="553" t="s">
        <v>90</v>
      </c>
      <c r="Z5" s="556"/>
      <c r="AA5" s="148" t="s">
        <v>90</v>
      </c>
    </row>
    <row r="6" spans="1:29" x14ac:dyDescent="0.3">
      <c r="A6" s="442" t="s">
        <v>16</v>
      </c>
      <c r="B6" s="443"/>
      <c r="C6" s="431" t="s">
        <v>97</v>
      </c>
      <c r="D6" s="432"/>
      <c r="E6" s="431" t="s">
        <v>55</v>
      </c>
      <c r="F6" s="432"/>
      <c r="G6" s="431" t="s">
        <v>56</v>
      </c>
      <c r="H6" s="432"/>
      <c r="I6" s="433" t="s">
        <v>57</v>
      </c>
      <c r="J6" s="434"/>
      <c r="K6" s="431" t="s">
        <v>58</v>
      </c>
      <c r="L6" s="432"/>
      <c r="M6" s="431" t="s">
        <v>59</v>
      </c>
      <c r="N6" s="432"/>
      <c r="O6" s="431" t="s">
        <v>60</v>
      </c>
      <c r="P6" s="432"/>
      <c r="Q6" s="433" t="s">
        <v>89</v>
      </c>
      <c r="R6" s="433"/>
      <c r="S6" s="550" t="s">
        <v>98</v>
      </c>
      <c r="T6" s="551"/>
      <c r="U6" s="550" t="s">
        <v>99</v>
      </c>
      <c r="V6" s="551"/>
      <c r="W6" s="550" t="s">
        <v>100</v>
      </c>
      <c r="X6" s="551"/>
      <c r="Y6" s="550" t="s">
        <v>101</v>
      </c>
      <c r="Z6" s="552"/>
      <c r="AA6" s="149" t="s">
        <v>39</v>
      </c>
    </row>
    <row r="7" spans="1:29" x14ac:dyDescent="0.3">
      <c r="A7" s="435" t="s">
        <v>35</v>
      </c>
      <c r="B7" s="436"/>
      <c r="C7" s="27"/>
      <c r="D7" s="28" t="s">
        <v>27</v>
      </c>
      <c r="E7" s="27"/>
      <c r="F7" s="28" t="s">
        <v>27</v>
      </c>
      <c r="G7" s="27"/>
      <c r="H7" s="28" t="s">
        <v>27</v>
      </c>
      <c r="I7" s="66"/>
      <c r="J7" s="66" t="s">
        <v>27</v>
      </c>
      <c r="K7" s="27"/>
      <c r="L7" s="28" t="s">
        <v>27</v>
      </c>
      <c r="M7" s="27"/>
      <c r="N7" s="28" t="s">
        <v>27</v>
      </c>
      <c r="O7" s="34"/>
      <c r="P7" s="28" t="s">
        <v>27</v>
      </c>
      <c r="Q7" s="66"/>
      <c r="R7" s="66" t="s">
        <v>27</v>
      </c>
      <c r="S7" s="120"/>
      <c r="T7" s="121" t="s">
        <v>27</v>
      </c>
      <c r="U7" s="120"/>
      <c r="V7" s="121" t="s">
        <v>27</v>
      </c>
      <c r="W7" s="120"/>
      <c r="X7" s="121" t="s">
        <v>27</v>
      </c>
      <c r="Y7" s="120"/>
      <c r="Z7" s="150" t="s">
        <v>27</v>
      </c>
      <c r="AA7" s="151" t="s">
        <v>27</v>
      </c>
    </row>
    <row r="8" spans="1:29" ht="52" x14ac:dyDescent="0.3">
      <c r="A8" s="2" t="s">
        <v>28</v>
      </c>
      <c r="B8" s="2" t="s">
        <v>61</v>
      </c>
      <c r="C8" s="29" t="s">
        <v>62</v>
      </c>
      <c r="D8" s="30" t="s">
        <v>30</v>
      </c>
      <c r="E8" s="29" t="s">
        <v>62</v>
      </c>
      <c r="F8" s="30" t="s">
        <v>30</v>
      </c>
      <c r="G8" s="29" t="s">
        <v>62</v>
      </c>
      <c r="H8" s="30" t="s">
        <v>30</v>
      </c>
      <c r="I8" s="29" t="s">
        <v>62</v>
      </c>
      <c r="J8" s="30" t="s">
        <v>30</v>
      </c>
      <c r="K8" s="29" t="s">
        <v>62</v>
      </c>
      <c r="L8" s="30" t="s">
        <v>30</v>
      </c>
      <c r="M8" s="29" t="s">
        <v>62</v>
      </c>
      <c r="N8" s="30" t="s">
        <v>30</v>
      </c>
      <c r="O8" s="29" t="s">
        <v>62</v>
      </c>
      <c r="P8" s="30" t="s">
        <v>30</v>
      </c>
      <c r="Q8" s="35" t="s">
        <v>62</v>
      </c>
      <c r="R8" s="32" t="s">
        <v>30</v>
      </c>
      <c r="S8" s="122" t="s">
        <v>62</v>
      </c>
      <c r="T8" s="32" t="s">
        <v>30</v>
      </c>
      <c r="U8" s="122" t="s">
        <v>62</v>
      </c>
      <c r="V8" s="32" t="s">
        <v>30</v>
      </c>
      <c r="W8" s="122" t="s">
        <v>62</v>
      </c>
      <c r="X8" s="123" t="s">
        <v>31</v>
      </c>
      <c r="Y8" s="122" t="s">
        <v>62</v>
      </c>
      <c r="Z8" s="123" t="s">
        <v>31</v>
      </c>
      <c r="AA8" s="152" t="s">
        <v>31</v>
      </c>
    </row>
    <row r="9" spans="1:29" s="187" customFormat="1" ht="10.5" x14ac:dyDescent="0.25">
      <c r="A9" s="92" t="s">
        <v>32</v>
      </c>
      <c r="B9" s="92" t="s">
        <v>63</v>
      </c>
      <c r="C9" s="93">
        <v>1</v>
      </c>
      <c r="D9" s="94">
        <v>2</v>
      </c>
      <c r="E9" s="93">
        <v>3</v>
      </c>
      <c r="F9" s="94">
        <v>4</v>
      </c>
      <c r="G9" s="95">
        <v>5</v>
      </c>
      <c r="H9" s="96">
        <v>6</v>
      </c>
      <c r="I9" s="93">
        <v>7</v>
      </c>
      <c r="J9" s="94">
        <v>8</v>
      </c>
      <c r="K9" s="93">
        <v>9</v>
      </c>
      <c r="L9" s="94">
        <v>10</v>
      </c>
      <c r="M9" s="93">
        <v>11</v>
      </c>
      <c r="N9" s="94">
        <v>12</v>
      </c>
      <c r="O9" s="95">
        <v>13</v>
      </c>
      <c r="P9" s="97">
        <v>14</v>
      </c>
      <c r="Q9" s="93">
        <v>15</v>
      </c>
      <c r="R9" s="94">
        <v>16</v>
      </c>
      <c r="S9" s="124">
        <v>17</v>
      </c>
      <c r="T9" s="125">
        <v>18</v>
      </c>
      <c r="U9" s="124">
        <v>19</v>
      </c>
      <c r="V9" s="125">
        <v>20</v>
      </c>
      <c r="W9" s="124">
        <v>21</v>
      </c>
      <c r="X9" s="125">
        <v>22</v>
      </c>
      <c r="Y9" s="124">
        <v>23</v>
      </c>
      <c r="Z9" s="185">
        <v>24</v>
      </c>
      <c r="AA9" s="186">
        <v>25</v>
      </c>
    </row>
    <row r="10" spans="1:29" ht="15.5" x14ac:dyDescent="0.3">
      <c r="A10" s="188" t="s">
        <v>316</v>
      </c>
      <c r="B10" s="101" t="s">
        <v>87</v>
      </c>
      <c r="C10" s="189">
        <v>16</v>
      </c>
      <c r="D10" s="62">
        <v>6738.72</v>
      </c>
      <c r="E10" s="189">
        <v>14</v>
      </c>
      <c r="F10" s="62">
        <v>5896.38</v>
      </c>
      <c r="G10" s="189">
        <v>9</v>
      </c>
      <c r="H10" s="62">
        <v>3790.53</v>
      </c>
      <c r="I10" s="189">
        <v>11</v>
      </c>
      <c r="J10" s="62">
        <v>4632.87</v>
      </c>
      <c r="K10" s="189">
        <v>13</v>
      </c>
      <c r="L10" s="62">
        <v>5475.21</v>
      </c>
      <c r="M10" s="189">
        <v>15</v>
      </c>
      <c r="N10" s="62">
        <v>6317.55</v>
      </c>
      <c r="O10" s="189">
        <v>14</v>
      </c>
      <c r="P10" s="62">
        <v>5896.38</v>
      </c>
      <c r="Q10" s="189">
        <v>13</v>
      </c>
      <c r="R10" s="62">
        <v>5475.21</v>
      </c>
      <c r="S10" s="126">
        <v>10</v>
      </c>
      <c r="T10" s="127">
        <v>4211.7</v>
      </c>
      <c r="U10" s="126">
        <v>20</v>
      </c>
      <c r="V10" s="127">
        <v>8423.4</v>
      </c>
      <c r="W10" s="126">
        <v>15</v>
      </c>
      <c r="X10" s="127">
        <v>6317.55</v>
      </c>
      <c r="Y10" s="126">
        <v>15</v>
      </c>
      <c r="Z10" s="128">
        <v>6317.55</v>
      </c>
      <c r="AA10" s="190">
        <f t="shared" ref="AA10:AA13" si="0">F10+H10+J10+L10+N10+P10+R10+T10+V10+X10+Z10+D10</f>
        <v>69493.05</v>
      </c>
    </row>
    <row r="11" spans="1:29" ht="15.5" x14ac:dyDescent="0.3">
      <c r="A11" s="188" t="s">
        <v>317</v>
      </c>
      <c r="B11" s="101" t="s">
        <v>87</v>
      </c>
      <c r="C11" s="189">
        <v>440</v>
      </c>
      <c r="D11" s="62">
        <v>58977.1700000001</v>
      </c>
      <c r="E11" s="189">
        <v>442</v>
      </c>
      <c r="F11" s="62">
        <v>60366.160000000105</v>
      </c>
      <c r="G11" s="189">
        <v>442</v>
      </c>
      <c r="H11" s="62">
        <v>62276.840000000098</v>
      </c>
      <c r="I11" s="189">
        <v>422</v>
      </c>
      <c r="J11" s="62">
        <v>52967.69</v>
      </c>
      <c r="K11" s="189">
        <v>354</v>
      </c>
      <c r="L11" s="62">
        <v>44654.41</v>
      </c>
      <c r="M11" s="189">
        <v>340</v>
      </c>
      <c r="N11" s="191">
        <v>46192.42</v>
      </c>
      <c r="O11" s="189">
        <v>345</v>
      </c>
      <c r="P11" s="65">
        <v>45946.31</v>
      </c>
      <c r="Q11" s="189">
        <v>349</v>
      </c>
      <c r="R11" s="63">
        <v>44223.710000000006</v>
      </c>
      <c r="S11" s="126">
        <v>345</v>
      </c>
      <c r="T11" s="127">
        <v>44695.71</v>
      </c>
      <c r="U11" s="126">
        <v>330</v>
      </c>
      <c r="V11" s="127">
        <v>41941.58</v>
      </c>
      <c r="W11" s="126">
        <v>342</v>
      </c>
      <c r="X11" s="127">
        <v>44624.159999999996</v>
      </c>
      <c r="Y11" s="126">
        <v>342</v>
      </c>
      <c r="Z11" s="128">
        <v>44624.159999999996</v>
      </c>
      <c r="AA11" s="190">
        <f>F11+H11+J11+L11+N11+P11+R11+T11+V11+X11+Z11+D11</f>
        <v>591490.3200000003</v>
      </c>
      <c r="AB11" s="129"/>
      <c r="AC11" s="192"/>
    </row>
    <row r="12" spans="1:29" ht="15.5" x14ac:dyDescent="0.3">
      <c r="A12" s="188" t="s">
        <v>318</v>
      </c>
      <c r="B12" s="101" t="s">
        <v>87</v>
      </c>
      <c r="C12" s="189">
        <v>6266</v>
      </c>
      <c r="D12" s="62">
        <v>287442.84999999998</v>
      </c>
      <c r="E12" s="189">
        <v>6310</v>
      </c>
      <c r="F12" s="62">
        <v>302751.96999999997</v>
      </c>
      <c r="G12" s="189">
        <v>6285</v>
      </c>
      <c r="H12" s="62">
        <v>294062.08999999997</v>
      </c>
      <c r="I12" s="189">
        <v>5963</v>
      </c>
      <c r="J12" s="62">
        <v>277930.94</v>
      </c>
      <c r="K12" s="193">
        <v>5760</v>
      </c>
      <c r="L12" s="194">
        <v>265533.27</v>
      </c>
      <c r="M12" s="195">
        <v>5636</v>
      </c>
      <c r="N12" s="196">
        <v>257469.34</v>
      </c>
      <c r="O12" s="195">
        <v>5530</v>
      </c>
      <c r="P12" s="65">
        <v>256508.02</v>
      </c>
      <c r="Q12" s="197">
        <v>5504</v>
      </c>
      <c r="R12" s="63">
        <v>257059.06</v>
      </c>
      <c r="S12" s="126">
        <v>5502</v>
      </c>
      <c r="T12" s="127">
        <v>251141.28</v>
      </c>
      <c r="U12" s="126">
        <v>5319</v>
      </c>
      <c r="V12" s="127">
        <v>240407.27999999997</v>
      </c>
      <c r="W12" s="126">
        <v>5265.81</v>
      </c>
      <c r="X12" s="127">
        <v>241805.99520000003</v>
      </c>
      <c r="Y12" s="126">
        <v>5213.1519000000008</v>
      </c>
      <c r="Z12" s="127">
        <v>239387.93524800005</v>
      </c>
      <c r="AA12" s="190">
        <f t="shared" si="0"/>
        <v>3171500.0304480004</v>
      </c>
      <c r="AB12" s="129"/>
      <c r="AC12" s="192"/>
    </row>
    <row r="13" spans="1:29" ht="15.5" x14ac:dyDescent="0.3">
      <c r="A13" s="59" t="s">
        <v>319</v>
      </c>
      <c r="B13" s="60" t="s">
        <v>87</v>
      </c>
      <c r="C13" s="61">
        <v>2</v>
      </c>
      <c r="D13" s="62">
        <v>213.44</v>
      </c>
      <c r="E13" s="61">
        <v>2</v>
      </c>
      <c r="F13" s="62">
        <v>213.44</v>
      </c>
      <c r="G13" s="61">
        <v>2</v>
      </c>
      <c r="H13" s="62">
        <v>213.44</v>
      </c>
      <c r="I13" s="61">
        <v>2</v>
      </c>
      <c r="J13" s="62">
        <v>213.44</v>
      </c>
      <c r="K13" s="61">
        <v>2</v>
      </c>
      <c r="L13" s="62">
        <v>213.44</v>
      </c>
      <c r="M13" s="61">
        <v>2</v>
      </c>
      <c r="N13" s="62">
        <v>213.44</v>
      </c>
      <c r="O13" s="61">
        <v>2</v>
      </c>
      <c r="P13" s="65">
        <v>213.44</v>
      </c>
      <c r="Q13" s="61">
        <v>2</v>
      </c>
      <c r="R13" s="65">
        <v>213.44</v>
      </c>
      <c r="S13" s="126">
        <v>2</v>
      </c>
      <c r="T13" s="128">
        <v>213.44</v>
      </c>
      <c r="U13" s="126">
        <v>2</v>
      </c>
      <c r="V13" s="128">
        <v>213.44</v>
      </c>
      <c r="W13" s="126">
        <v>2</v>
      </c>
      <c r="X13" s="128">
        <v>213.44</v>
      </c>
      <c r="Y13" s="126">
        <v>2</v>
      </c>
      <c r="Z13" s="128">
        <v>213.44</v>
      </c>
      <c r="AA13" s="190">
        <f t="shared" si="0"/>
        <v>2561.2800000000002</v>
      </c>
    </row>
    <row r="14" spans="1:29" x14ac:dyDescent="0.3">
      <c r="A14" s="198" t="s">
        <v>39</v>
      </c>
      <c r="B14" s="199"/>
      <c r="C14" s="200"/>
      <c r="D14" s="201">
        <f>SUM(D10:D13)</f>
        <v>353372.18000000011</v>
      </c>
      <c r="E14" s="200"/>
      <c r="F14" s="201">
        <f>SUM(F10:F13)</f>
        <v>369227.95000000007</v>
      </c>
      <c r="G14" s="200"/>
      <c r="H14" s="201">
        <f>SUM(H10:H13)</f>
        <v>360342.90000000008</v>
      </c>
      <c r="I14" s="200"/>
      <c r="J14" s="201">
        <f>SUM(J10:J13)</f>
        <v>335744.94</v>
      </c>
      <c r="K14" s="200"/>
      <c r="L14" s="201">
        <f>SUM(L10:L13)</f>
        <v>315876.33</v>
      </c>
      <c r="M14" s="200"/>
      <c r="N14" s="201">
        <f>SUM(N10:N13)</f>
        <v>310192.75</v>
      </c>
      <c r="O14" s="200"/>
      <c r="P14" s="201">
        <f>SUM(P10:P13)</f>
        <v>308564.14999999997</v>
      </c>
      <c r="Q14" s="200"/>
      <c r="R14" s="201">
        <f>SUM(R10:R13)</f>
        <v>306971.42</v>
      </c>
      <c r="S14" s="202"/>
      <c r="T14" s="203">
        <f>SUM(T10:T13)</f>
        <v>300262.13</v>
      </c>
      <c r="U14" s="202"/>
      <c r="V14" s="203">
        <f>SUM(V10:V13)</f>
        <v>290985.69999999995</v>
      </c>
      <c r="W14" s="202"/>
      <c r="X14" s="203">
        <f>SUM(X10:X13)</f>
        <v>292961.14520000003</v>
      </c>
      <c r="Y14" s="202"/>
      <c r="Z14" s="203">
        <f>SUM(Z10:Z13)</f>
        <v>290543.08524800005</v>
      </c>
      <c r="AA14" s="204">
        <f>ROUND(SUM(AA10:AA13),0)</f>
        <v>3835045</v>
      </c>
    </row>
    <row r="15" spans="1:29" ht="35.4" customHeight="1" x14ac:dyDescent="0.3">
      <c r="A15" s="483" t="s">
        <v>320</v>
      </c>
      <c r="B15" s="483"/>
      <c r="C15" s="483"/>
      <c r="D15" s="483"/>
      <c r="E15" s="483"/>
      <c r="F15" s="483"/>
      <c r="G15" s="483"/>
      <c r="H15" s="483"/>
      <c r="I15" s="483"/>
      <c r="J15" s="483"/>
      <c r="K15" s="483"/>
      <c r="L15" s="483"/>
      <c r="M15" s="483"/>
      <c r="N15" s="483"/>
      <c r="Q15" s="129"/>
      <c r="R15" s="131"/>
    </row>
    <row r="16" spans="1:29" x14ac:dyDescent="0.3">
      <c r="A16" s="98"/>
      <c r="X16" s="129"/>
      <c r="Y16" s="205"/>
      <c r="Z16" s="129"/>
    </row>
    <row r="17" spans="1:27" x14ac:dyDescent="0.3">
      <c r="A17" s="98"/>
      <c r="Q17" s="129"/>
      <c r="R17" s="129"/>
      <c r="S17" s="129"/>
      <c r="T17" s="129"/>
      <c r="U17" s="129"/>
      <c r="V17" s="129"/>
      <c r="W17" s="131"/>
      <c r="X17" s="129"/>
      <c r="Y17" s="130"/>
      <c r="Z17" s="131"/>
    </row>
    <row r="18" spans="1:27" x14ac:dyDescent="0.3">
      <c r="A18" s="98"/>
      <c r="T18" s="131"/>
      <c r="U18" s="131"/>
    </row>
    <row r="20" spans="1:27" x14ac:dyDescent="0.3">
      <c r="E20" s="136"/>
      <c r="G20" s="136"/>
      <c r="I20" s="136"/>
      <c r="K20" s="136"/>
      <c r="M20" s="136"/>
      <c r="O20" s="136"/>
      <c r="S20" s="136"/>
    </row>
    <row r="22" spans="1:27" ht="14.5" thickBot="1" x14ac:dyDescent="0.35"/>
    <row r="23" spans="1:27" ht="17" thickBot="1" x14ac:dyDescent="0.35">
      <c r="A23" s="146" t="s">
        <v>215</v>
      </c>
      <c r="B23" s="147"/>
      <c r="C23" s="547" t="s">
        <v>213</v>
      </c>
      <c r="D23" s="548"/>
      <c r="E23" s="548"/>
      <c r="F23" s="548"/>
      <c r="G23" s="548"/>
      <c r="H23" s="548"/>
      <c r="I23" s="548"/>
      <c r="J23" s="548"/>
      <c r="K23" s="548"/>
      <c r="L23" s="548"/>
      <c r="M23" s="548"/>
      <c r="N23" s="548"/>
      <c r="O23" s="548"/>
      <c r="P23" s="548"/>
      <c r="Q23" s="548"/>
      <c r="R23" s="548"/>
      <c r="S23" s="548"/>
      <c r="T23" s="548"/>
      <c r="U23" s="548"/>
      <c r="V23" s="548"/>
      <c r="W23" s="548"/>
      <c r="X23" s="548"/>
      <c r="Y23" s="548"/>
      <c r="Z23" s="548"/>
      <c r="AA23" s="549"/>
    </row>
    <row r="24" spans="1:27" x14ac:dyDescent="0.3">
      <c r="A24" s="444" t="s">
        <v>15</v>
      </c>
      <c r="B24" s="445"/>
      <c r="C24" s="553" t="s">
        <v>163</v>
      </c>
      <c r="D24" s="554"/>
      <c r="E24" s="553" t="s">
        <v>163</v>
      </c>
      <c r="F24" s="554"/>
      <c r="G24" s="553" t="s">
        <v>163</v>
      </c>
      <c r="H24" s="554"/>
      <c r="I24" s="553" t="s">
        <v>163</v>
      </c>
      <c r="J24" s="554"/>
      <c r="K24" s="553" t="s">
        <v>163</v>
      </c>
      <c r="L24" s="554"/>
      <c r="M24" s="553" t="s">
        <v>163</v>
      </c>
      <c r="N24" s="554"/>
      <c r="O24" s="553" t="s">
        <v>163</v>
      </c>
      <c r="P24" s="554"/>
      <c r="Q24" s="553" t="s">
        <v>163</v>
      </c>
      <c r="R24" s="554"/>
      <c r="S24" s="553" t="s">
        <v>163</v>
      </c>
      <c r="T24" s="554"/>
      <c r="U24" s="553" t="s">
        <v>163</v>
      </c>
      <c r="V24" s="554"/>
      <c r="W24" s="553" t="s">
        <v>163</v>
      </c>
      <c r="X24" s="554"/>
      <c r="Y24" s="553" t="s">
        <v>163</v>
      </c>
      <c r="Z24" s="554"/>
      <c r="AA24" s="148" t="s">
        <v>163</v>
      </c>
    </row>
    <row r="25" spans="1:27" x14ac:dyDescent="0.3">
      <c r="A25" s="442" t="s">
        <v>16</v>
      </c>
      <c r="B25" s="443"/>
      <c r="C25" s="550" t="s">
        <v>97</v>
      </c>
      <c r="D25" s="551"/>
      <c r="E25" s="550" t="s">
        <v>55</v>
      </c>
      <c r="F25" s="551"/>
      <c r="G25" s="550" t="s">
        <v>56</v>
      </c>
      <c r="H25" s="551"/>
      <c r="I25" s="552" t="s">
        <v>57</v>
      </c>
      <c r="J25" s="555"/>
      <c r="K25" s="550" t="s">
        <v>58</v>
      </c>
      <c r="L25" s="551"/>
      <c r="M25" s="550" t="s">
        <v>59</v>
      </c>
      <c r="N25" s="551"/>
      <c r="O25" s="550" t="s">
        <v>60</v>
      </c>
      <c r="P25" s="551"/>
      <c r="Q25" s="552" t="s">
        <v>89</v>
      </c>
      <c r="R25" s="552"/>
      <c r="S25" s="550" t="s">
        <v>98</v>
      </c>
      <c r="T25" s="551"/>
      <c r="U25" s="550" t="s">
        <v>99</v>
      </c>
      <c r="V25" s="551"/>
      <c r="W25" s="550" t="s">
        <v>100</v>
      </c>
      <c r="X25" s="551"/>
      <c r="Y25" s="550" t="s">
        <v>101</v>
      </c>
      <c r="Z25" s="552"/>
      <c r="AA25" s="149" t="s">
        <v>39</v>
      </c>
    </row>
    <row r="26" spans="1:27" x14ac:dyDescent="0.3">
      <c r="A26" s="435" t="s">
        <v>35</v>
      </c>
      <c r="B26" s="436"/>
      <c r="C26" s="206"/>
      <c r="D26" s="121" t="s">
        <v>27</v>
      </c>
      <c r="E26" s="206"/>
      <c r="F26" s="121" t="s">
        <v>27</v>
      </c>
      <c r="G26" s="206"/>
      <c r="H26" s="121" t="s">
        <v>27</v>
      </c>
      <c r="I26" s="150"/>
      <c r="J26" s="150" t="s">
        <v>27</v>
      </c>
      <c r="K26" s="206"/>
      <c r="L26" s="121" t="s">
        <v>27</v>
      </c>
      <c r="M26" s="206"/>
      <c r="N26" s="121" t="s">
        <v>27</v>
      </c>
      <c r="O26" s="120"/>
      <c r="P26" s="121" t="s">
        <v>27</v>
      </c>
      <c r="Q26" s="150"/>
      <c r="R26" s="150" t="s">
        <v>27</v>
      </c>
      <c r="S26" s="120"/>
      <c r="T26" s="121" t="s">
        <v>27</v>
      </c>
      <c r="U26" s="120"/>
      <c r="V26" s="121" t="s">
        <v>27</v>
      </c>
      <c r="W26" s="120"/>
      <c r="X26" s="121" t="s">
        <v>27</v>
      </c>
      <c r="Y26" s="120"/>
      <c r="Z26" s="150" t="s">
        <v>27</v>
      </c>
      <c r="AA26" s="151" t="s">
        <v>27</v>
      </c>
    </row>
    <row r="27" spans="1:27" ht="52" x14ac:dyDescent="0.3">
      <c r="A27" s="2" t="s">
        <v>28</v>
      </c>
      <c r="B27" s="2" t="s">
        <v>61</v>
      </c>
      <c r="C27" s="122" t="s">
        <v>62</v>
      </c>
      <c r="D27" s="123" t="s">
        <v>31</v>
      </c>
      <c r="E27" s="122" t="s">
        <v>62</v>
      </c>
      <c r="F27" s="123" t="s">
        <v>31</v>
      </c>
      <c r="G27" s="122" t="s">
        <v>62</v>
      </c>
      <c r="H27" s="123" t="s">
        <v>31</v>
      </c>
      <c r="I27" s="122" t="s">
        <v>62</v>
      </c>
      <c r="J27" s="123" t="s">
        <v>31</v>
      </c>
      <c r="K27" s="122" t="s">
        <v>62</v>
      </c>
      <c r="L27" s="123" t="s">
        <v>31</v>
      </c>
      <c r="M27" s="122" t="s">
        <v>62</v>
      </c>
      <c r="N27" s="123" t="s">
        <v>31</v>
      </c>
      <c r="O27" s="122" t="s">
        <v>62</v>
      </c>
      <c r="P27" s="123" t="s">
        <v>31</v>
      </c>
      <c r="Q27" s="207" t="s">
        <v>62</v>
      </c>
      <c r="R27" s="123" t="s">
        <v>31</v>
      </c>
      <c r="S27" s="122" t="s">
        <v>62</v>
      </c>
      <c r="T27" s="123" t="s">
        <v>31</v>
      </c>
      <c r="U27" s="122" t="s">
        <v>62</v>
      </c>
      <c r="V27" s="123" t="s">
        <v>31</v>
      </c>
      <c r="W27" s="122" t="s">
        <v>62</v>
      </c>
      <c r="X27" s="123" t="s">
        <v>31</v>
      </c>
      <c r="Y27" s="122" t="s">
        <v>62</v>
      </c>
      <c r="Z27" s="123" t="s">
        <v>31</v>
      </c>
      <c r="AA27" s="152" t="s">
        <v>31</v>
      </c>
    </row>
    <row r="28" spans="1:27" s="187" customFormat="1" ht="10.5" x14ac:dyDescent="0.25">
      <c r="A28" s="92" t="s">
        <v>32</v>
      </c>
      <c r="B28" s="92" t="s">
        <v>63</v>
      </c>
      <c r="C28" s="124">
        <v>1</v>
      </c>
      <c r="D28" s="125">
        <v>2</v>
      </c>
      <c r="E28" s="124">
        <v>3</v>
      </c>
      <c r="F28" s="125">
        <v>4</v>
      </c>
      <c r="G28" s="208">
        <v>5</v>
      </c>
      <c r="H28" s="209">
        <v>6</v>
      </c>
      <c r="I28" s="124">
        <v>7</v>
      </c>
      <c r="J28" s="125">
        <v>8</v>
      </c>
      <c r="K28" s="124">
        <v>9</v>
      </c>
      <c r="L28" s="125">
        <v>10</v>
      </c>
      <c r="M28" s="124">
        <v>11</v>
      </c>
      <c r="N28" s="125">
        <v>12</v>
      </c>
      <c r="O28" s="208">
        <v>13</v>
      </c>
      <c r="P28" s="185">
        <v>14</v>
      </c>
      <c r="Q28" s="124">
        <v>15</v>
      </c>
      <c r="R28" s="125">
        <v>16</v>
      </c>
      <c r="S28" s="124">
        <v>17</v>
      </c>
      <c r="T28" s="125">
        <v>18</v>
      </c>
      <c r="U28" s="124">
        <v>19</v>
      </c>
      <c r="V28" s="125">
        <v>20</v>
      </c>
      <c r="W28" s="124">
        <v>21</v>
      </c>
      <c r="X28" s="125">
        <v>22</v>
      </c>
      <c r="Y28" s="124">
        <v>23</v>
      </c>
      <c r="Z28" s="185">
        <v>24</v>
      </c>
      <c r="AA28" s="186">
        <v>25</v>
      </c>
    </row>
    <row r="29" spans="1:27" ht="15.5" x14ac:dyDescent="0.3">
      <c r="A29" s="188" t="s">
        <v>316</v>
      </c>
      <c r="B29" s="101" t="s">
        <v>87</v>
      </c>
      <c r="C29" s="210">
        <f>ROUNDUP(AVERAGE(C10,E10,G10,I10,K10,M10,O10,Q10,S10,U10,W10,Y10),0)</f>
        <v>14</v>
      </c>
      <c r="D29" s="211">
        <f>C29*421.17</f>
        <v>5896.38</v>
      </c>
      <c r="E29" s="210">
        <f>C29</f>
        <v>14</v>
      </c>
      <c r="F29" s="211">
        <f>E29*421.17</f>
        <v>5896.38</v>
      </c>
      <c r="G29" s="210">
        <f>E29</f>
        <v>14</v>
      </c>
      <c r="H29" s="211">
        <f>G29*421.17</f>
        <v>5896.38</v>
      </c>
      <c r="I29" s="210">
        <f>G29</f>
        <v>14</v>
      </c>
      <c r="J29" s="211">
        <f>I29*421.17</f>
        <v>5896.38</v>
      </c>
      <c r="K29" s="210">
        <f>I29</f>
        <v>14</v>
      </c>
      <c r="L29" s="211">
        <f>K29*421.17</f>
        <v>5896.38</v>
      </c>
      <c r="M29" s="210">
        <f>K29</f>
        <v>14</v>
      </c>
      <c r="N29" s="211">
        <f>M29*421.17</f>
        <v>5896.38</v>
      </c>
      <c r="O29" s="210">
        <f>M29</f>
        <v>14</v>
      </c>
      <c r="P29" s="211">
        <f>O29*421.17</f>
        <v>5896.38</v>
      </c>
      <c r="Q29" s="210">
        <f>O29</f>
        <v>14</v>
      </c>
      <c r="R29" s="211">
        <f>Q29*421.17</f>
        <v>5896.38</v>
      </c>
      <c r="S29" s="210">
        <f>Q29</f>
        <v>14</v>
      </c>
      <c r="T29" s="211">
        <f>S29*421.17</f>
        <v>5896.38</v>
      </c>
      <c r="U29" s="210">
        <f>S29</f>
        <v>14</v>
      </c>
      <c r="V29" s="211">
        <f>U29*421.17</f>
        <v>5896.38</v>
      </c>
      <c r="W29" s="210">
        <f>U29</f>
        <v>14</v>
      </c>
      <c r="X29" s="211">
        <f>W29*421.17</f>
        <v>5896.38</v>
      </c>
      <c r="Y29" s="210">
        <f>W29</f>
        <v>14</v>
      </c>
      <c r="Z29" s="211">
        <f>Y29*421.17</f>
        <v>5896.38</v>
      </c>
      <c r="AA29" s="190">
        <f>F29+H29+J29+L29+N29+P29+R29+T29+V29+X29+Z29+D29</f>
        <v>70756.559999999983</v>
      </c>
    </row>
    <row r="30" spans="1:27" ht="15.5" x14ac:dyDescent="0.3">
      <c r="A30" s="188" t="s">
        <v>321</v>
      </c>
      <c r="B30" s="101" t="s">
        <v>87</v>
      </c>
      <c r="C30" s="210">
        <f>ROUND(Y11*1.01,0)</f>
        <v>345</v>
      </c>
      <c r="D30" s="211">
        <f>C30*131.38</f>
        <v>45326.1</v>
      </c>
      <c r="E30" s="210">
        <f>ROUND(C30*1.01,0)</f>
        <v>348</v>
      </c>
      <c r="F30" s="211">
        <f>E30*131.38</f>
        <v>45720.24</v>
      </c>
      <c r="G30" s="210">
        <f>ROUND(E30*1.01,0)</f>
        <v>351</v>
      </c>
      <c r="H30" s="211">
        <f>G30*131.38</f>
        <v>46114.38</v>
      </c>
      <c r="I30" s="210">
        <f>ROUND(G30*1.01,0)</f>
        <v>355</v>
      </c>
      <c r="J30" s="211">
        <f>I30*131.38</f>
        <v>46639.9</v>
      </c>
      <c r="K30" s="210">
        <f>ROUND(I30*1.01,0)</f>
        <v>359</v>
      </c>
      <c r="L30" s="211">
        <f>K30*131.38</f>
        <v>47165.42</v>
      </c>
      <c r="M30" s="210">
        <f>ROUND(K30*1.01,0)</f>
        <v>363</v>
      </c>
      <c r="N30" s="211">
        <f>M30*131.38</f>
        <v>47690.939999999995</v>
      </c>
      <c r="O30" s="210">
        <f>ROUND(M30*1.01,0)</f>
        <v>367</v>
      </c>
      <c r="P30" s="211">
        <f>O30*131.38</f>
        <v>48216.46</v>
      </c>
      <c r="Q30" s="210">
        <f>ROUND(O30*1.01,0)</f>
        <v>371</v>
      </c>
      <c r="R30" s="211">
        <f>Q30*131.38</f>
        <v>48741.979999999996</v>
      </c>
      <c r="S30" s="210">
        <f>ROUND(Q30*1.01,0)</f>
        <v>375</v>
      </c>
      <c r="T30" s="211">
        <f>S30*131.38</f>
        <v>49267.5</v>
      </c>
      <c r="U30" s="210">
        <f>ROUND(S30*1.01,0)</f>
        <v>379</v>
      </c>
      <c r="V30" s="211">
        <f>U30*131.38</f>
        <v>49793.02</v>
      </c>
      <c r="W30" s="210">
        <f>ROUND(U30*1.01,0)</f>
        <v>383</v>
      </c>
      <c r="X30" s="211">
        <f>W30*131.38</f>
        <v>50318.54</v>
      </c>
      <c r="Y30" s="210">
        <f>ROUND(W30*1.01,0)</f>
        <v>387</v>
      </c>
      <c r="Z30" s="211">
        <f>Y30*131.38</f>
        <v>50844.06</v>
      </c>
      <c r="AA30" s="190">
        <f t="shared" ref="AA30:AA31" si="1">F30+H30+J30+L30+N30+P30+R30+T30+V30+X30+Z30+D30</f>
        <v>575838.53999999992</v>
      </c>
    </row>
    <row r="31" spans="1:27" ht="15.5" x14ac:dyDescent="0.3">
      <c r="A31" s="188" t="s">
        <v>322</v>
      </c>
      <c r="B31" s="101" t="s">
        <v>87</v>
      </c>
      <c r="C31" s="210">
        <f>ROUND(Y12*1.001,0)</f>
        <v>5218</v>
      </c>
      <c r="D31" s="211">
        <f>C31*46.23</f>
        <v>241228.13999999998</v>
      </c>
      <c r="E31" s="210">
        <f>ROUND(C31*1.001,0)</f>
        <v>5223</v>
      </c>
      <c r="F31" s="211">
        <f>E31*46.23</f>
        <v>241459.28999999998</v>
      </c>
      <c r="G31" s="210">
        <f>ROUND(E31*1.001,0)</f>
        <v>5228</v>
      </c>
      <c r="H31" s="211">
        <f>G31*46.23</f>
        <v>241690.43999999997</v>
      </c>
      <c r="I31" s="210">
        <f>ROUND(G31*1.001,0)</f>
        <v>5233</v>
      </c>
      <c r="J31" s="211">
        <f>I31*46.23</f>
        <v>241921.59</v>
      </c>
      <c r="K31" s="210">
        <f>ROUND(I31*1.001,0)</f>
        <v>5238</v>
      </c>
      <c r="L31" s="211">
        <f>K31*46.23</f>
        <v>242152.74</v>
      </c>
      <c r="M31" s="210">
        <f>ROUND(K31*1.001,0)</f>
        <v>5243</v>
      </c>
      <c r="N31" s="211">
        <f>M31*46.23</f>
        <v>242383.88999999998</v>
      </c>
      <c r="O31" s="210">
        <f>ROUND(M31*1.001,0)</f>
        <v>5248</v>
      </c>
      <c r="P31" s="211">
        <f>O31*46.23</f>
        <v>242615.03999999998</v>
      </c>
      <c r="Q31" s="210">
        <f>ROUND(O31*1.001,0)</f>
        <v>5253</v>
      </c>
      <c r="R31" s="211">
        <f>Q31*46.23</f>
        <v>242846.18999999997</v>
      </c>
      <c r="S31" s="210">
        <f>ROUND(Q31*1.001,0)</f>
        <v>5258</v>
      </c>
      <c r="T31" s="211">
        <f>S31*46.23</f>
        <v>243077.34</v>
      </c>
      <c r="U31" s="210">
        <f>ROUND(S31*1.001,0)</f>
        <v>5263</v>
      </c>
      <c r="V31" s="211">
        <f>U31*46.23</f>
        <v>243308.49</v>
      </c>
      <c r="W31" s="210">
        <f>ROUND(U31*1.001,0)</f>
        <v>5268</v>
      </c>
      <c r="X31" s="211">
        <f>W31*46.23</f>
        <v>243539.63999999998</v>
      </c>
      <c r="Y31" s="210">
        <f>ROUND(W31*1.001,0)</f>
        <v>5273</v>
      </c>
      <c r="Z31" s="211">
        <f>Y31*46.23</f>
        <v>243770.78999999998</v>
      </c>
      <c r="AA31" s="190">
        <f t="shared" si="1"/>
        <v>2909993.58</v>
      </c>
    </row>
    <row r="32" spans="1:27" ht="15.5" x14ac:dyDescent="0.3">
      <c r="A32" s="59" t="s">
        <v>323</v>
      </c>
      <c r="B32" s="60" t="s">
        <v>87</v>
      </c>
      <c r="C32" s="210">
        <v>2</v>
      </c>
      <c r="D32" s="211">
        <f>C32*160</f>
        <v>320</v>
      </c>
      <c r="E32" s="126">
        <f>C32</f>
        <v>2</v>
      </c>
      <c r="F32" s="211">
        <f>E32*160</f>
        <v>320</v>
      </c>
      <c r="G32" s="126">
        <f>E32</f>
        <v>2</v>
      </c>
      <c r="H32" s="211">
        <f>G32*160</f>
        <v>320</v>
      </c>
      <c r="I32" s="126">
        <f>G32</f>
        <v>2</v>
      </c>
      <c r="J32" s="211">
        <f>I32*160</f>
        <v>320</v>
      </c>
      <c r="K32" s="126">
        <f>I32</f>
        <v>2</v>
      </c>
      <c r="L32" s="211">
        <f>K32*160</f>
        <v>320</v>
      </c>
      <c r="M32" s="126">
        <f>K32</f>
        <v>2</v>
      </c>
      <c r="N32" s="211">
        <f>M32*160</f>
        <v>320</v>
      </c>
      <c r="O32" s="126">
        <v>2</v>
      </c>
      <c r="P32" s="211">
        <f>O32*160</f>
        <v>320</v>
      </c>
      <c r="Q32" s="126">
        <v>2</v>
      </c>
      <c r="R32" s="211">
        <f>Q32*160</f>
        <v>320</v>
      </c>
      <c r="S32" s="126">
        <f>Q32</f>
        <v>2</v>
      </c>
      <c r="T32" s="211">
        <f>S32*160</f>
        <v>320</v>
      </c>
      <c r="U32" s="126">
        <f>S32</f>
        <v>2</v>
      </c>
      <c r="V32" s="211">
        <f>U32*160</f>
        <v>320</v>
      </c>
      <c r="W32" s="126">
        <f>U32</f>
        <v>2</v>
      </c>
      <c r="X32" s="211">
        <f>W32*160</f>
        <v>320</v>
      </c>
      <c r="Y32" s="126">
        <f>W32</f>
        <v>2</v>
      </c>
      <c r="Z32" s="211">
        <f>Y32*160</f>
        <v>320</v>
      </c>
      <c r="AA32" s="190">
        <f>F32+H32+J32+L32+N32+P32+R32+T32+V32+X32+Z32+D32</f>
        <v>3840</v>
      </c>
    </row>
    <row r="33" spans="1:27" x14ac:dyDescent="0.3">
      <c r="A33" s="198" t="s">
        <v>39</v>
      </c>
      <c r="B33" s="199"/>
      <c r="C33" s="202"/>
      <c r="D33" s="203">
        <f>SUM(D29:D32)</f>
        <v>292770.62</v>
      </c>
      <c r="E33" s="202"/>
      <c r="F33" s="203">
        <f>SUM(F29:F32)</f>
        <v>293395.90999999997</v>
      </c>
      <c r="G33" s="202"/>
      <c r="H33" s="203">
        <f>SUM(H29:H32)</f>
        <v>294021.19999999995</v>
      </c>
      <c r="I33" s="202"/>
      <c r="J33" s="203">
        <f>SUM(J29:J32)</f>
        <v>294777.87</v>
      </c>
      <c r="K33" s="202"/>
      <c r="L33" s="203">
        <f>SUM(L29:L32)</f>
        <v>295534.53999999998</v>
      </c>
      <c r="M33" s="202"/>
      <c r="N33" s="203">
        <f>SUM(N29:N32)</f>
        <v>296291.20999999996</v>
      </c>
      <c r="O33" s="202"/>
      <c r="P33" s="203">
        <f>SUM(P29:P32)</f>
        <v>297047.88</v>
      </c>
      <c r="Q33" s="202"/>
      <c r="R33" s="203">
        <f>SUM(R29:R32)</f>
        <v>297804.55</v>
      </c>
      <c r="S33" s="202"/>
      <c r="T33" s="203">
        <f>SUM(T29:T32)</f>
        <v>298561.21999999997</v>
      </c>
      <c r="U33" s="202"/>
      <c r="V33" s="203">
        <f>SUM(V29:V32)</f>
        <v>299317.89</v>
      </c>
      <c r="W33" s="202"/>
      <c r="X33" s="203">
        <f>SUM(X29:X32)</f>
        <v>300074.56</v>
      </c>
      <c r="Y33" s="202"/>
      <c r="Z33" s="203">
        <f>SUM(Z29:Z32)</f>
        <v>300831.23</v>
      </c>
      <c r="AA33" s="204">
        <f>ROUND(SUM(AA29:AA32),0)</f>
        <v>3560429</v>
      </c>
    </row>
    <row r="34" spans="1:27" ht="15.5" x14ac:dyDescent="0.3">
      <c r="A34" s="98" t="s">
        <v>261</v>
      </c>
      <c r="Q34" s="129"/>
      <c r="R34" s="131"/>
    </row>
    <row r="35" spans="1:27" ht="15.5" x14ac:dyDescent="0.3">
      <c r="A35" s="98" t="s">
        <v>336</v>
      </c>
    </row>
    <row r="36" spans="1:27" ht="15.5" x14ac:dyDescent="0.3">
      <c r="A36" s="98" t="s">
        <v>337</v>
      </c>
    </row>
    <row r="37" spans="1:27" ht="15.5" x14ac:dyDescent="0.3">
      <c r="A37" s="98" t="s">
        <v>335</v>
      </c>
    </row>
    <row r="39" spans="1:27" x14ac:dyDescent="0.3">
      <c r="D39" s="129"/>
      <c r="E39" s="129"/>
      <c r="F39" s="129"/>
      <c r="G39" s="129"/>
      <c r="H39" s="129"/>
      <c r="I39" s="129"/>
      <c r="J39" s="129"/>
      <c r="K39" s="129"/>
      <c r="L39" s="129"/>
      <c r="M39" s="129"/>
      <c r="N39" s="129"/>
      <c r="O39" s="129"/>
      <c r="P39" s="129"/>
      <c r="Q39" s="129"/>
      <c r="R39" s="129"/>
      <c r="S39" s="129"/>
      <c r="T39" s="129"/>
      <c r="U39" s="129"/>
      <c r="V39" s="129"/>
      <c r="W39" s="129"/>
      <c r="X39" s="129"/>
      <c r="Y39" s="129"/>
      <c r="Z39" s="129"/>
      <c r="AA39" s="129"/>
    </row>
    <row r="40" spans="1:27" x14ac:dyDescent="0.3">
      <c r="AA40" s="129"/>
    </row>
    <row r="41" spans="1:27" x14ac:dyDescent="0.3">
      <c r="AA41" s="129"/>
    </row>
  </sheetData>
  <mergeCells count="60">
    <mergeCell ref="A1:AA1"/>
    <mergeCell ref="A2:AA2"/>
    <mergeCell ref="Y6:Z6"/>
    <mergeCell ref="U6:V6"/>
    <mergeCell ref="W6:X6"/>
    <mergeCell ref="S5:T5"/>
    <mergeCell ref="U5:V5"/>
    <mergeCell ref="W5:X5"/>
    <mergeCell ref="Y5:Z5"/>
    <mergeCell ref="A3:AA3"/>
    <mergeCell ref="A5:B5"/>
    <mergeCell ref="C5:D5"/>
    <mergeCell ref="E5:F5"/>
    <mergeCell ref="G5:H5"/>
    <mergeCell ref="K6:L6"/>
    <mergeCell ref="Q6:R6"/>
    <mergeCell ref="S6:T6"/>
    <mergeCell ref="A6:B6"/>
    <mergeCell ref="C6:D6"/>
    <mergeCell ref="Q5:R5"/>
    <mergeCell ref="K5:L5"/>
    <mergeCell ref="I5:J5"/>
    <mergeCell ref="M5:N5"/>
    <mergeCell ref="O5:P5"/>
    <mergeCell ref="K24:L24"/>
    <mergeCell ref="M24:N24"/>
    <mergeCell ref="O24:P24"/>
    <mergeCell ref="E6:F6"/>
    <mergeCell ref="G6:H6"/>
    <mergeCell ref="I6:J6"/>
    <mergeCell ref="A15:N15"/>
    <mergeCell ref="A24:B24"/>
    <mergeCell ref="C24:D24"/>
    <mergeCell ref="E24:F24"/>
    <mergeCell ref="G24:H24"/>
    <mergeCell ref="I24:J24"/>
    <mergeCell ref="A7:B7"/>
    <mergeCell ref="M6:N6"/>
    <mergeCell ref="O6:P6"/>
    <mergeCell ref="A25:B25"/>
    <mergeCell ref="C25:D25"/>
    <mergeCell ref="E25:F25"/>
    <mergeCell ref="G25:H25"/>
    <mergeCell ref="I25:J25"/>
    <mergeCell ref="W4:AA4"/>
    <mergeCell ref="W25:X25"/>
    <mergeCell ref="Y25:Z25"/>
    <mergeCell ref="A26:B26"/>
    <mergeCell ref="C23:AA23"/>
    <mergeCell ref="K25:L25"/>
    <mergeCell ref="M25:N25"/>
    <mergeCell ref="O25:P25"/>
    <mergeCell ref="Q25:R25"/>
    <mergeCell ref="S25:T25"/>
    <mergeCell ref="U25:V25"/>
    <mergeCell ref="Q24:R24"/>
    <mergeCell ref="S24:T24"/>
    <mergeCell ref="U24:V24"/>
    <mergeCell ref="W24:X24"/>
    <mergeCell ref="Y24:Z24"/>
  </mergeCells>
  <pageMargins left="0.31496062992125984" right="0.31496062992125984" top="0.74803149606299213" bottom="0.74803149606299213" header="0.31496062992125984" footer="0.31496062992125984"/>
  <pageSetup paperSize="9" scale="48"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B434D8-5FE4-4697-B367-2EBF0D62A455}">
  <dimension ref="A1:AF44"/>
  <sheetViews>
    <sheetView zoomScale="70" zoomScaleNormal="70" workbookViewId="0">
      <selection activeCell="AE18" sqref="AE18"/>
    </sheetView>
  </sheetViews>
  <sheetFormatPr defaultColWidth="8.90625" defaultRowHeight="14.5" x14ac:dyDescent="0.35"/>
  <cols>
    <col min="1" max="1" width="45.08984375" style="1" customWidth="1"/>
    <col min="2" max="25" width="8.90625" style="1"/>
    <col min="26" max="26" width="12.54296875" style="1" customWidth="1"/>
    <col min="27" max="28" width="8.90625" style="1" hidden="1" customWidth="1"/>
    <col min="29" max="29" width="11.54296875" style="1" hidden="1" customWidth="1"/>
    <col min="30" max="16384" width="8.90625" style="1"/>
  </cols>
  <sheetData>
    <row r="1" spans="1:32" ht="18" x14ac:dyDescent="0.35">
      <c r="A1" s="503" t="s">
        <v>152</v>
      </c>
      <c r="B1" s="503"/>
      <c r="C1" s="503"/>
      <c r="D1" s="503"/>
      <c r="E1" s="503"/>
      <c r="F1" s="503"/>
      <c r="G1" s="503"/>
      <c r="H1" s="503"/>
      <c r="I1" s="503"/>
      <c r="J1" s="503"/>
      <c r="K1" s="503"/>
      <c r="L1" s="503"/>
      <c r="M1" s="503"/>
      <c r="N1" s="503"/>
      <c r="O1" s="503"/>
      <c r="P1" s="503"/>
      <c r="Q1" s="503"/>
      <c r="R1" s="503"/>
      <c r="S1" s="503"/>
      <c r="T1" s="503"/>
      <c r="U1" s="503"/>
      <c r="V1" s="503"/>
      <c r="W1" s="503"/>
      <c r="X1" s="503"/>
      <c r="Y1" s="503"/>
      <c r="Z1" s="503"/>
    </row>
    <row r="2" spans="1:32" ht="18" x14ac:dyDescent="0.35">
      <c r="A2" s="503" t="s">
        <v>162</v>
      </c>
      <c r="B2" s="503"/>
      <c r="C2" s="503"/>
      <c r="D2" s="503"/>
      <c r="E2" s="503"/>
      <c r="F2" s="503"/>
      <c r="G2" s="503"/>
      <c r="H2" s="503"/>
      <c r="I2" s="503"/>
      <c r="J2" s="503"/>
      <c r="K2" s="503"/>
      <c r="L2" s="503"/>
      <c r="M2" s="503"/>
      <c r="N2" s="503"/>
      <c r="O2" s="503"/>
      <c r="P2" s="503"/>
      <c r="Q2" s="503"/>
      <c r="R2" s="503"/>
      <c r="S2" s="503"/>
      <c r="T2" s="503"/>
      <c r="U2" s="503"/>
      <c r="V2" s="503"/>
      <c r="W2" s="503"/>
      <c r="X2" s="503"/>
      <c r="Y2" s="503"/>
      <c r="Z2" s="503"/>
    </row>
    <row r="3" spans="1:32" ht="52.65" customHeight="1" x14ac:dyDescent="0.35">
      <c r="A3" s="560" t="s">
        <v>304</v>
      </c>
      <c r="B3" s="560"/>
      <c r="C3" s="560"/>
      <c r="D3" s="560"/>
      <c r="E3" s="560"/>
      <c r="F3" s="560"/>
      <c r="G3" s="560"/>
      <c r="H3" s="560"/>
      <c r="I3" s="560"/>
      <c r="J3" s="560"/>
      <c r="K3" s="560"/>
      <c r="L3" s="560"/>
      <c r="M3" s="560"/>
      <c r="N3" s="560"/>
      <c r="O3" s="560"/>
      <c r="P3" s="560"/>
      <c r="Q3" s="560"/>
      <c r="R3" s="560"/>
      <c r="S3" s="560"/>
      <c r="T3" s="560"/>
      <c r="U3" s="560"/>
      <c r="V3" s="560"/>
      <c r="W3" s="560"/>
      <c r="X3" s="560"/>
      <c r="Y3" s="560"/>
      <c r="Z3" s="560"/>
    </row>
    <row r="4" spans="1:32" s="181" customFormat="1" ht="40.4" customHeight="1" x14ac:dyDescent="0.4">
      <c r="A4" s="490" t="s">
        <v>239</v>
      </c>
      <c r="B4" s="490"/>
      <c r="C4" s="490"/>
      <c r="D4" s="490"/>
      <c r="E4" s="490"/>
      <c r="F4" s="490"/>
      <c r="G4" s="490"/>
      <c r="H4" s="490"/>
      <c r="I4" s="490"/>
      <c r="J4" s="490"/>
      <c r="K4" s="490"/>
      <c r="L4" s="490"/>
      <c r="M4" s="490"/>
      <c r="N4" s="490"/>
      <c r="O4" s="490"/>
      <c r="P4" s="490"/>
      <c r="Q4" s="490"/>
      <c r="R4" s="490"/>
      <c r="S4" s="490"/>
      <c r="T4" s="490"/>
      <c r="U4" s="490"/>
      <c r="V4" s="490"/>
      <c r="W4" s="490"/>
      <c r="X4" s="490"/>
      <c r="Y4" s="490"/>
      <c r="Z4" s="490"/>
    </row>
    <row r="5" spans="1:32" x14ac:dyDescent="0.35">
      <c r="A5" s="182" t="s">
        <v>305</v>
      </c>
    </row>
    <row r="6" spans="1:32" x14ac:dyDescent="0.35">
      <c r="A6" s="559" t="s">
        <v>41</v>
      </c>
      <c r="B6" s="426" t="s">
        <v>90</v>
      </c>
      <c r="C6" s="426"/>
      <c r="D6" s="426" t="s">
        <v>90</v>
      </c>
      <c r="E6" s="426"/>
      <c r="F6" s="426" t="s">
        <v>90</v>
      </c>
      <c r="G6" s="426"/>
      <c r="H6" s="426" t="s">
        <v>90</v>
      </c>
      <c r="I6" s="426"/>
      <c r="J6" s="426" t="s">
        <v>90</v>
      </c>
      <c r="K6" s="426"/>
      <c r="L6" s="426" t="s">
        <v>90</v>
      </c>
      <c r="M6" s="426"/>
      <c r="N6" s="426" t="s">
        <v>90</v>
      </c>
      <c r="O6" s="426"/>
      <c r="P6" s="426" t="s">
        <v>90</v>
      </c>
      <c r="Q6" s="426"/>
      <c r="R6" s="558" t="s">
        <v>90</v>
      </c>
      <c r="S6" s="558"/>
      <c r="T6" s="558" t="s">
        <v>90</v>
      </c>
      <c r="U6" s="558"/>
      <c r="V6" s="558" t="s">
        <v>90</v>
      </c>
      <c r="W6" s="558"/>
      <c r="X6" s="558" t="s">
        <v>90</v>
      </c>
      <c r="Y6" s="558"/>
      <c r="Z6" s="158" t="s">
        <v>90</v>
      </c>
    </row>
    <row r="7" spans="1:32" x14ac:dyDescent="0.35">
      <c r="A7" s="559"/>
      <c r="B7" s="421" t="s">
        <v>95</v>
      </c>
      <c r="C7" s="421"/>
      <c r="D7" s="421" t="s">
        <v>96</v>
      </c>
      <c r="E7" s="421"/>
      <c r="F7" s="421" t="s">
        <v>17</v>
      </c>
      <c r="G7" s="421"/>
      <c r="H7" s="421" t="s">
        <v>18</v>
      </c>
      <c r="I7" s="421"/>
      <c r="J7" s="422" t="s">
        <v>19</v>
      </c>
      <c r="K7" s="423"/>
      <c r="L7" s="421" t="s">
        <v>20</v>
      </c>
      <c r="M7" s="421"/>
      <c r="N7" s="422" t="s">
        <v>21</v>
      </c>
      <c r="O7" s="423"/>
      <c r="P7" s="421" t="s">
        <v>22</v>
      </c>
      <c r="Q7" s="421"/>
      <c r="R7" s="557" t="s">
        <v>227</v>
      </c>
      <c r="S7" s="558"/>
      <c r="T7" s="558" t="s">
        <v>228</v>
      </c>
      <c r="U7" s="558"/>
      <c r="V7" s="558" t="s">
        <v>229</v>
      </c>
      <c r="W7" s="558"/>
      <c r="X7" s="558" t="s">
        <v>230</v>
      </c>
      <c r="Y7" s="558"/>
      <c r="Z7" s="159" t="s">
        <v>39</v>
      </c>
    </row>
    <row r="8" spans="1:32" x14ac:dyDescent="0.35">
      <c r="A8" s="559"/>
      <c r="B8" s="12"/>
      <c r="C8" s="10" t="s">
        <v>27</v>
      </c>
      <c r="D8" s="15"/>
      <c r="E8" s="18" t="s">
        <v>27</v>
      </c>
      <c r="F8" s="12"/>
      <c r="G8" s="10" t="s">
        <v>27</v>
      </c>
      <c r="H8" s="15"/>
      <c r="I8" s="18" t="s">
        <v>27</v>
      </c>
      <c r="J8" s="12"/>
      <c r="K8" s="18" t="s">
        <v>27</v>
      </c>
      <c r="L8" s="12"/>
      <c r="M8" s="18" t="s">
        <v>27</v>
      </c>
      <c r="N8" s="12"/>
      <c r="O8" s="18" t="s">
        <v>27</v>
      </c>
      <c r="P8" s="12"/>
      <c r="Q8" s="18" t="s">
        <v>27</v>
      </c>
      <c r="R8" s="160"/>
      <c r="S8" s="161" t="s">
        <v>27</v>
      </c>
      <c r="T8" s="162"/>
      <c r="U8" s="161" t="s">
        <v>27</v>
      </c>
      <c r="V8" s="162"/>
      <c r="W8" s="161" t="s">
        <v>27</v>
      </c>
      <c r="X8" s="162"/>
      <c r="Y8" s="161" t="s">
        <v>27</v>
      </c>
      <c r="Z8" s="163" t="s">
        <v>27</v>
      </c>
    </row>
    <row r="9" spans="1:32" ht="60.65" customHeight="1" x14ac:dyDescent="0.35">
      <c r="A9" s="559"/>
      <c r="B9" s="13" t="s">
        <v>29</v>
      </c>
      <c r="C9" s="104" t="s">
        <v>30</v>
      </c>
      <c r="D9" s="16" t="s">
        <v>29</v>
      </c>
      <c r="E9" s="105" t="s">
        <v>30</v>
      </c>
      <c r="F9" s="13" t="s">
        <v>29</v>
      </c>
      <c r="G9" s="104" t="s">
        <v>30</v>
      </c>
      <c r="H9" s="16" t="s">
        <v>29</v>
      </c>
      <c r="I9" s="105" t="s">
        <v>30</v>
      </c>
      <c r="J9" s="13" t="s">
        <v>29</v>
      </c>
      <c r="K9" s="105" t="s">
        <v>30</v>
      </c>
      <c r="L9" s="13" t="s">
        <v>29</v>
      </c>
      <c r="M9" s="105" t="s">
        <v>30</v>
      </c>
      <c r="N9" s="13" t="s">
        <v>29</v>
      </c>
      <c r="O9" s="105" t="s">
        <v>30</v>
      </c>
      <c r="P9" s="13" t="s">
        <v>29</v>
      </c>
      <c r="Q9" s="105" t="s">
        <v>30</v>
      </c>
      <c r="R9" s="164" t="s">
        <v>29</v>
      </c>
      <c r="S9" s="165" t="s">
        <v>31</v>
      </c>
      <c r="T9" s="165" t="s">
        <v>29</v>
      </c>
      <c r="U9" s="165" t="s">
        <v>31</v>
      </c>
      <c r="V9" s="165" t="s">
        <v>29</v>
      </c>
      <c r="W9" s="165" t="s">
        <v>31</v>
      </c>
      <c r="X9" s="165" t="s">
        <v>29</v>
      </c>
      <c r="Y9" s="165" t="s">
        <v>31</v>
      </c>
      <c r="Z9" s="159" t="s">
        <v>106</v>
      </c>
    </row>
    <row r="10" spans="1:32" x14ac:dyDescent="0.35">
      <c r="A10" s="166" t="s">
        <v>42</v>
      </c>
      <c r="B10" s="107">
        <v>1</v>
      </c>
      <c r="C10" s="9">
        <v>2</v>
      </c>
      <c r="D10" s="108">
        <v>3</v>
      </c>
      <c r="E10" s="109">
        <v>4</v>
      </c>
      <c r="F10" s="107">
        <v>5</v>
      </c>
      <c r="G10" s="9">
        <v>6</v>
      </c>
      <c r="H10" s="108">
        <v>7</v>
      </c>
      <c r="I10" s="109">
        <v>8</v>
      </c>
      <c r="J10" s="107">
        <v>9</v>
      </c>
      <c r="K10" s="109">
        <v>10</v>
      </c>
      <c r="L10" s="107">
        <v>11</v>
      </c>
      <c r="M10" s="109">
        <v>12</v>
      </c>
      <c r="N10" s="107">
        <v>13</v>
      </c>
      <c r="O10" s="109">
        <v>14</v>
      </c>
      <c r="P10" s="107">
        <v>15</v>
      </c>
      <c r="Q10" s="109">
        <v>16</v>
      </c>
      <c r="R10" s="9">
        <v>17</v>
      </c>
      <c r="S10" s="167">
        <v>18</v>
      </c>
      <c r="T10" s="167">
        <v>19</v>
      </c>
      <c r="U10" s="167">
        <v>20</v>
      </c>
      <c r="V10" s="167">
        <v>21</v>
      </c>
      <c r="W10" s="167">
        <v>22</v>
      </c>
      <c r="X10" s="167">
        <v>23</v>
      </c>
      <c r="Y10" s="167">
        <v>24</v>
      </c>
      <c r="Z10" s="168">
        <v>25</v>
      </c>
    </row>
    <row r="11" spans="1:32" ht="52.4" customHeight="1" x14ac:dyDescent="0.35">
      <c r="A11" s="8" t="s">
        <v>43</v>
      </c>
      <c r="B11" s="24">
        <v>475</v>
      </c>
      <c r="C11" s="26">
        <v>23301.58</v>
      </c>
      <c r="D11" s="24">
        <v>576</v>
      </c>
      <c r="E11" s="26">
        <v>32886.17</v>
      </c>
      <c r="F11" s="24">
        <v>568</v>
      </c>
      <c r="G11" s="26">
        <v>46806.5</v>
      </c>
      <c r="H11" s="24">
        <v>535</v>
      </c>
      <c r="I11" s="26">
        <v>35004.78</v>
      </c>
      <c r="J11" s="25">
        <v>443</v>
      </c>
      <c r="K11" s="31">
        <v>23774.53</v>
      </c>
      <c r="L11" s="24">
        <v>399</v>
      </c>
      <c r="M11" s="26">
        <v>32107.87</v>
      </c>
      <c r="N11" s="25">
        <v>335</v>
      </c>
      <c r="O11" s="31">
        <v>30638.65</v>
      </c>
      <c r="P11" s="24">
        <v>681</v>
      </c>
      <c r="Q11" s="31">
        <v>39246.949999999997</v>
      </c>
      <c r="R11" s="169">
        <f>ROUND((N11+P11)/2,0)</f>
        <v>508</v>
      </c>
      <c r="S11" s="170">
        <f>(O11+Q11)/2</f>
        <v>34942.800000000003</v>
      </c>
      <c r="T11" s="169">
        <f t="shared" ref="T11:Y18" si="0">R11</f>
        <v>508</v>
      </c>
      <c r="U11" s="170">
        <f t="shared" si="0"/>
        <v>34942.800000000003</v>
      </c>
      <c r="V11" s="169">
        <f t="shared" si="0"/>
        <v>508</v>
      </c>
      <c r="W11" s="170">
        <f t="shared" si="0"/>
        <v>34942.800000000003</v>
      </c>
      <c r="X11" s="169">
        <f t="shared" si="0"/>
        <v>508</v>
      </c>
      <c r="Y11" s="170">
        <f t="shared" si="0"/>
        <v>34942.800000000003</v>
      </c>
      <c r="Z11" s="171">
        <f t="shared" ref="Z11:Z18" si="1">G11+I11+K11+M11+O11+Q11+S11+U11+W11+Y11+E11+C11</f>
        <v>403538.22999999992</v>
      </c>
      <c r="AA11" s="172">
        <f>B11+D11+F11+H11+J11+L11+N11+P11+R11+T11+V11+X11</f>
        <v>6044</v>
      </c>
      <c r="AB11" s="173">
        <f>ROUND(Z11/AA11,2)</f>
        <v>66.77</v>
      </c>
      <c r="AE11" s="172"/>
      <c r="AF11" s="172"/>
    </row>
    <row r="12" spans="1:32" ht="52.4" customHeight="1" x14ac:dyDescent="0.35">
      <c r="A12" s="8" t="s">
        <v>44</v>
      </c>
      <c r="B12" s="24">
        <v>54</v>
      </c>
      <c r="C12" s="26">
        <v>3426.57</v>
      </c>
      <c r="D12" s="24">
        <v>43</v>
      </c>
      <c r="E12" s="26">
        <v>2324.9</v>
      </c>
      <c r="F12" s="24">
        <v>87</v>
      </c>
      <c r="G12" s="26">
        <v>5606.07</v>
      </c>
      <c r="H12" s="24">
        <v>91</v>
      </c>
      <c r="I12" s="26">
        <v>5612.95</v>
      </c>
      <c r="J12" s="25">
        <v>19</v>
      </c>
      <c r="K12" s="31">
        <v>1935.05</v>
      </c>
      <c r="L12" s="24">
        <v>76</v>
      </c>
      <c r="M12" s="26">
        <v>6228.85</v>
      </c>
      <c r="N12" s="25">
        <v>99</v>
      </c>
      <c r="O12" s="31">
        <v>6159.67</v>
      </c>
      <c r="P12" s="24">
        <v>105</v>
      </c>
      <c r="Q12" s="26">
        <v>6697.47</v>
      </c>
      <c r="R12" s="169">
        <f t="shared" ref="R12:R17" si="2">ROUND((N12+P12)/2,0)</f>
        <v>102</v>
      </c>
      <c r="S12" s="170">
        <f t="shared" ref="S12:S18" si="3">(O12+Q12)/2</f>
        <v>6428.57</v>
      </c>
      <c r="T12" s="169">
        <f t="shared" si="0"/>
        <v>102</v>
      </c>
      <c r="U12" s="170">
        <f t="shared" si="0"/>
        <v>6428.57</v>
      </c>
      <c r="V12" s="169">
        <f t="shared" si="0"/>
        <v>102</v>
      </c>
      <c r="W12" s="170">
        <f t="shared" si="0"/>
        <v>6428.57</v>
      </c>
      <c r="X12" s="169">
        <f t="shared" si="0"/>
        <v>102</v>
      </c>
      <c r="Y12" s="170">
        <f t="shared" si="0"/>
        <v>6428.57</v>
      </c>
      <c r="Z12" s="171">
        <f t="shared" si="1"/>
        <v>63705.81</v>
      </c>
      <c r="AA12" s="172">
        <f t="shared" ref="AA12:AA17" si="4">B12+D12+F12+H12+J12+L12+N12+P12+R12+T12+V12+X12</f>
        <v>982</v>
      </c>
      <c r="AB12" s="173">
        <f t="shared" ref="AB12:AB17" si="5">ROUND(Z12/AA12,2)</f>
        <v>64.87</v>
      </c>
    </row>
    <row r="13" spans="1:32" ht="52.4" customHeight="1" x14ac:dyDescent="0.35">
      <c r="A13" s="8" t="s">
        <v>33</v>
      </c>
      <c r="B13" s="24"/>
      <c r="C13" s="26"/>
      <c r="D13" s="24"/>
      <c r="E13" s="26"/>
      <c r="F13" s="24"/>
      <c r="G13" s="26"/>
      <c r="H13" s="24"/>
      <c r="I13" s="26"/>
      <c r="J13" s="25"/>
      <c r="K13" s="31"/>
      <c r="L13" s="24"/>
      <c r="M13" s="26"/>
      <c r="N13" s="25">
        <v>1</v>
      </c>
      <c r="O13" s="31">
        <v>125</v>
      </c>
      <c r="P13" s="24"/>
      <c r="Q13" s="31"/>
      <c r="R13" s="169">
        <f t="shared" si="2"/>
        <v>1</v>
      </c>
      <c r="S13" s="170">
        <f t="shared" si="3"/>
        <v>62.5</v>
      </c>
      <c r="T13" s="169">
        <f t="shared" si="0"/>
        <v>1</v>
      </c>
      <c r="U13" s="170">
        <f t="shared" si="0"/>
        <v>62.5</v>
      </c>
      <c r="V13" s="169">
        <f t="shared" si="0"/>
        <v>1</v>
      </c>
      <c r="W13" s="170">
        <f t="shared" si="0"/>
        <v>62.5</v>
      </c>
      <c r="X13" s="169">
        <f t="shared" si="0"/>
        <v>1</v>
      </c>
      <c r="Y13" s="170">
        <f t="shared" si="0"/>
        <v>62.5</v>
      </c>
      <c r="Z13" s="171">
        <f t="shared" si="1"/>
        <v>375</v>
      </c>
      <c r="AA13" s="172">
        <f>B13+D13+F13+H13+J13+L13+N13+P13+R13+T13+V13+X13</f>
        <v>5</v>
      </c>
      <c r="AB13" s="173">
        <f t="shared" si="5"/>
        <v>75</v>
      </c>
    </row>
    <row r="14" spans="1:32" ht="52.4" customHeight="1" x14ac:dyDescent="0.35">
      <c r="A14" s="8" t="s">
        <v>34</v>
      </c>
      <c r="B14" s="24"/>
      <c r="C14" s="26"/>
      <c r="D14" s="24">
        <v>6</v>
      </c>
      <c r="E14" s="26">
        <v>1657.28</v>
      </c>
      <c r="F14" s="24">
        <v>4</v>
      </c>
      <c r="G14" s="26">
        <v>242</v>
      </c>
      <c r="H14" s="24">
        <v>4</v>
      </c>
      <c r="I14" s="26">
        <v>864.38</v>
      </c>
      <c r="J14" s="25">
        <v>2</v>
      </c>
      <c r="K14" s="31">
        <v>1083.2</v>
      </c>
      <c r="L14" s="24">
        <v>2</v>
      </c>
      <c r="M14" s="26">
        <v>4205.6000000000004</v>
      </c>
      <c r="N14" s="25">
        <v>2</v>
      </c>
      <c r="O14" s="31">
        <v>270</v>
      </c>
      <c r="P14" s="24">
        <v>1</v>
      </c>
      <c r="Q14" s="31">
        <v>162</v>
      </c>
      <c r="R14" s="169">
        <f t="shared" si="2"/>
        <v>2</v>
      </c>
      <c r="S14" s="170">
        <f t="shared" si="3"/>
        <v>216</v>
      </c>
      <c r="T14" s="169">
        <f t="shared" si="0"/>
        <v>2</v>
      </c>
      <c r="U14" s="170">
        <f t="shared" si="0"/>
        <v>216</v>
      </c>
      <c r="V14" s="169">
        <f t="shared" si="0"/>
        <v>2</v>
      </c>
      <c r="W14" s="170">
        <f t="shared" si="0"/>
        <v>216</v>
      </c>
      <c r="X14" s="169">
        <f t="shared" si="0"/>
        <v>2</v>
      </c>
      <c r="Y14" s="170">
        <f t="shared" si="0"/>
        <v>216</v>
      </c>
      <c r="Z14" s="171">
        <f t="shared" si="1"/>
        <v>9348.4600000000009</v>
      </c>
      <c r="AA14" s="172">
        <f t="shared" si="4"/>
        <v>29</v>
      </c>
      <c r="AB14" s="173">
        <f t="shared" si="5"/>
        <v>322.36</v>
      </c>
    </row>
    <row r="15" spans="1:32" ht="52.4" customHeight="1" x14ac:dyDescent="0.35">
      <c r="A15" s="8" t="s">
        <v>45</v>
      </c>
      <c r="B15" s="24">
        <v>1</v>
      </c>
      <c r="C15" s="26">
        <v>713</v>
      </c>
      <c r="D15" s="24">
        <v>1</v>
      </c>
      <c r="E15" s="26">
        <v>902.1</v>
      </c>
      <c r="F15" s="24">
        <v>1</v>
      </c>
      <c r="G15" s="26">
        <v>814.8</v>
      </c>
      <c r="H15" s="24">
        <v>1</v>
      </c>
      <c r="I15" s="26">
        <v>902.1</v>
      </c>
      <c r="J15" s="25"/>
      <c r="K15" s="31"/>
      <c r="L15" s="24">
        <v>1</v>
      </c>
      <c r="M15" s="26">
        <v>420</v>
      </c>
      <c r="N15" s="25"/>
      <c r="O15" s="31"/>
      <c r="P15" s="24"/>
      <c r="Q15" s="31"/>
      <c r="R15" s="169">
        <f t="shared" si="2"/>
        <v>0</v>
      </c>
      <c r="S15" s="170">
        <f t="shared" si="3"/>
        <v>0</v>
      </c>
      <c r="T15" s="169">
        <f t="shared" si="0"/>
        <v>0</v>
      </c>
      <c r="U15" s="170">
        <f t="shared" si="0"/>
        <v>0</v>
      </c>
      <c r="V15" s="169">
        <f t="shared" si="0"/>
        <v>0</v>
      </c>
      <c r="W15" s="170">
        <f t="shared" si="0"/>
        <v>0</v>
      </c>
      <c r="X15" s="169">
        <f t="shared" si="0"/>
        <v>0</v>
      </c>
      <c r="Y15" s="170">
        <f t="shared" si="0"/>
        <v>0</v>
      </c>
      <c r="Z15" s="171">
        <f t="shared" si="1"/>
        <v>3752</v>
      </c>
      <c r="AA15" s="172">
        <f>B15+D15+F15+H15+J15+L15+N15+P15+R15+T15+V15+X15</f>
        <v>5</v>
      </c>
      <c r="AB15" s="173">
        <f t="shared" si="5"/>
        <v>750.4</v>
      </c>
    </row>
    <row r="16" spans="1:32" ht="52.4" customHeight="1" x14ac:dyDescent="0.35">
      <c r="A16" s="8" t="s">
        <v>46</v>
      </c>
      <c r="B16" s="24">
        <v>8</v>
      </c>
      <c r="C16" s="26">
        <v>9667.9</v>
      </c>
      <c r="D16" s="24">
        <v>11</v>
      </c>
      <c r="E16" s="26">
        <v>11290.47</v>
      </c>
      <c r="F16" s="24">
        <v>13</v>
      </c>
      <c r="G16" s="26">
        <v>13814.07</v>
      </c>
      <c r="H16" s="24">
        <v>13</v>
      </c>
      <c r="I16" s="26">
        <v>16908.62</v>
      </c>
      <c r="J16" s="25">
        <v>15</v>
      </c>
      <c r="K16" s="31">
        <v>17091.38</v>
      </c>
      <c r="L16" s="24">
        <v>19</v>
      </c>
      <c r="M16" s="26">
        <v>26343.07</v>
      </c>
      <c r="N16" s="25">
        <v>20</v>
      </c>
      <c r="O16" s="31">
        <v>24703.35</v>
      </c>
      <c r="P16" s="24">
        <v>19</v>
      </c>
      <c r="Q16" s="31">
        <v>23612.55</v>
      </c>
      <c r="R16" s="169">
        <f t="shared" si="2"/>
        <v>20</v>
      </c>
      <c r="S16" s="170">
        <f t="shared" si="3"/>
        <v>24157.949999999997</v>
      </c>
      <c r="T16" s="169">
        <f t="shared" si="0"/>
        <v>20</v>
      </c>
      <c r="U16" s="170">
        <f t="shared" si="0"/>
        <v>24157.949999999997</v>
      </c>
      <c r="V16" s="169">
        <f t="shared" si="0"/>
        <v>20</v>
      </c>
      <c r="W16" s="170">
        <f t="shared" si="0"/>
        <v>24157.949999999997</v>
      </c>
      <c r="X16" s="169">
        <f t="shared" si="0"/>
        <v>20</v>
      </c>
      <c r="Y16" s="170">
        <f t="shared" si="0"/>
        <v>24157.949999999997</v>
      </c>
      <c r="Z16" s="171">
        <f t="shared" si="1"/>
        <v>240063.21000000002</v>
      </c>
      <c r="AA16" s="172">
        <f t="shared" si="4"/>
        <v>198</v>
      </c>
      <c r="AB16" s="173">
        <f t="shared" si="5"/>
        <v>1212.44</v>
      </c>
    </row>
    <row r="17" spans="1:29" ht="68.150000000000006" customHeight="1" x14ac:dyDescent="0.35">
      <c r="A17" s="8" t="s">
        <v>111</v>
      </c>
      <c r="B17" s="24">
        <v>49</v>
      </c>
      <c r="C17" s="26">
        <v>16849.63</v>
      </c>
      <c r="D17" s="24">
        <v>48</v>
      </c>
      <c r="E17" s="26">
        <v>17424.53</v>
      </c>
      <c r="F17" s="24">
        <v>48</v>
      </c>
      <c r="G17" s="26">
        <v>21407.9</v>
      </c>
      <c r="H17" s="24">
        <v>59</v>
      </c>
      <c r="I17" s="26">
        <v>26803.26</v>
      </c>
      <c r="J17" s="25">
        <v>59</v>
      </c>
      <c r="K17" s="31">
        <v>24275.439999999999</v>
      </c>
      <c r="L17" s="24">
        <v>65</v>
      </c>
      <c r="M17" s="26">
        <v>30326.5</v>
      </c>
      <c r="N17" s="25">
        <v>65</v>
      </c>
      <c r="O17" s="31">
        <v>28285.02</v>
      </c>
      <c r="P17" s="24">
        <v>77</v>
      </c>
      <c r="Q17" s="31">
        <v>36027.46</v>
      </c>
      <c r="R17" s="169">
        <f t="shared" si="2"/>
        <v>71</v>
      </c>
      <c r="S17" s="170">
        <f t="shared" si="3"/>
        <v>32156.239999999998</v>
      </c>
      <c r="T17" s="169">
        <f t="shared" si="0"/>
        <v>71</v>
      </c>
      <c r="U17" s="170">
        <f t="shared" si="0"/>
        <v>32156.239999999998</v>
      </c>
      <c r="V17" s="169">
        <f t="shared" si="0"/>
        <v>71</v>
      </c>
      <c r="W17" s="170">
        <f t="shared" si="0"/>
        <v>32156.239999999998</v>
      </c>
      <c r="X17" s="169">
        <f t="shared" si="0"/>
        <v>71</v>
      </c>
      <c r="Y17" s="170">
        <f t="shared" si="0"/>
        <v>32156.239999999998</v>
      </c>
      <c r="Z17" s="171">
        <f t="shared" si="1"/>
        <v>330024.69999999995</v>
      </c>
      <c r="AA17" s="172">
        <f t="shared" si="4"/>
        <v>754</v>
      </c>
      <c r="AB17" s="173">
        <f t="shared" si="5"/>
        <v>437.7</v>
      </c>
    </row>
    <row r="18" spans="1:29" ht="52.4" customHeight="1" x14ac:dyDescent="0.35">
      <c r="A18" s="8" t="s">
        <v>49</v>
      </c>
      <c r="B18" s="24" t="s">
        <v>35</v>
      </c>
      <c r="C18" s="26">
        <v>88998.24</v>
      </c>
      <c r="D18" s="24" t="s">
        <v>35</v>
      </c>
      <c r="E18" s="26">
        <v>90732.160000000003</v>
      </c>
      <c r="F18" s="24" t="s">
        <v>35</v>
      </c>
      <c r="G18" s="26">
        <v>91319.07</v>
      </c>
      <c r="H18" s="24" t="s">
        <v>35</v>
      </c>
      <c r="I18" s="26">
        <v>111780.08</v>
      </c>
      <c r="J18" s="25" t="s">
        <v>35</v>
      </c>
      <c r="K18" s="31">
        <v>91369.66</v>
      </c>
      <c r="L18" s="24" t="s">
        <v>35</v>
      </c>
      <c r="M18" s="26">
        <v>125408.25</v>
      </c>
      <c r="N18" s="25" t="s">
        <v>35</v>
      </c>
      <c r="O18" s="31">
        <v>128517.01</v>
      </c>
      <c r="P18" s="24" t="s">
        <v>35</v>
      </c>
      <c r="Q18" s="31">
        <v>92538.54</v>
      </c>
      <c r="R18" s="169" t="s">
        <v>35</v>
      </c>
      <c r="S18" s="170">
        <f t="shared" si="3"/>
        <v>110527.77499999999</v>
      </c>
      <c r="T18" s="169" t="str">
        <f t="shared" si="0"/>
        <v>x</v>
      </c>
      <c r="U18" s="170">
        <f t="shared" si="0"/>
        <v>110527.77499999999</v>
      </c>
      <c r="V18" s="169" t="str">
        <f t="shared" si="0"/>
        <v>x</v>
      </c>
      <c r="W18" s="170">
        <f t="shared" si="0"/>
        <v>110527.77499999999</v>
      </c>
      <c r="X18" s="169" t="str">
        <f t="shared" si="0"/>
        <v>x</v>
      </c>
      <c r="Y18" s="170">
        <f t="shared" si="0"/>
        <v>110527.77499999999</v>
      </c>
      <c r="Z18" s="171">
        <f t="shared" si="1"/>
        <v>1262774.1100000001</v>
      </c>
      <c r="AA18" s="172"/>
      <c r="AB18" s="173"/>
      <c r="AC18" s="183">
        <f>Z18/12</f>
        <v>105231.17583333334</v>
      </c>
    </row>
    <row r="19" spans="1:29" x14ac:dyDescent="0.35">
      <c r="A19" s="564" t="s">
        <v>226</v>
      </c>
      <c r="B19" s="564"/>
      <c r="C19" s="564"/>
      <c r="D19" s="564"/>
      <c r="E19" s="564"/>
      <c r="F19" s="564"/>
      <c r="G19" s="564"/>
      <c r="H19" s="564"/>
      <c r="I19" s="564"/>
      <c r="J19" s="564"/>
      <c r="K19" s="564"/>
      <c r="L19" s="564"/>
      <c r="M19" s="564"/>
      <c r="N19" s="564"/>
      <c r="O19" s="564"/>
      <c r="Z19" s="184">
        <f>SUM(Z11:Z18)</f>
        <v>2313581.52</v>
      </c>
    </row>
    <row r="20" spans="1:29" x14ac:dyDescent="0.35">
      <c r="A20" s="565" t="s">
        <v>231</v>
      </c>
      <c r="B20" s="565"/>
      <c r="C20" s="565"/>
      <c r="D20" s="565"/>
      <c r="E20" s="565"/>
      <c r="F20" s="565"/>
      <c r="G20" s="565"/>
      <c r="H20" s="565"/>
      <c r="I20" s="565"/>
      <c r="J20" s="565"/>
      <c r="K20" s="565"/>
      <c r="L20" s="565"/>
      <c r="M20" s="565"/>
      <c r="N20" s="565"/>
      <c r="O20" s="565"/>
    </row>
    <row r="22" spans="1:29" x14ac:dyDescent="0.35">
      <c r="A22" s="559" t="s">
        <v>41</v>
      </c>
      <c r="B22" s="558" t="s">
        <v>163</v>
      </c>
      <c r="C22" s="558"/>
      <c r="D22" s="558" t="s">
        <v>163</v>
      </c>
      <c r="E22" s="558"/>
      <c r="F22" s="558" t="s">
        <v>163</v>
      </c>
      <c r="G22" s="558"/>
      <c r="H22" s="558" t="s">
        <v>163</v>
      </c>
      <c r="I22" s="558"/>
      <c r="J22" s="558" t="s">
        <v>163</v>
      </c>
      <c r="K22" s="558"/>
      <c r="L22" s="558" t="s">
        <v>163</v>
      </c>
      <c r="M22" s="558"/>
      <c r="N22" s="558" t="s">
        <v>163</v>
      </c>
      <c r="O22" s="558"/>
      <c r="P22" s="558" t="s">
        <v>163</v>
      </c>
      <c r="Q22" s="558"/>
      <c r="R22" s="558" t="s">
        <v>163</v>
      </c>
      <c r="S22" s="558"/>
      <c r="T22" s="558" t="s">
        <v>163</v>
      </c>
      <c r="U22" s="558"/>
      <c r="V22" s="558" t="s">
        <v>163</v>
      </c>
      <c r="W22" s="558"/>
      <c r="X22" s="558" t="s">
        <v>163</v>
      </c>
      <c r="Y22" s="558"/>
      <c r="Z22" s="158" t="s">
        <v>163</v>
      </c>
    </row>
    <row r="23" spans="1:29" ht="14.4" customHeight="1" x14ac:dyDescent="0.35">
      <c r="A23" s="559"/>
      <c r="B23" s="558" t="s">
        <v>95</v>
      </c>
      <c r="C23" s="558"/>
      <c r="D23" s="558" t="s">
        <v>96</v>
      </c>
      <c r="E23" s="558"/>
      <c r="F23" s="558" t="s">
        <v>17</v>
      </c>
      <c r="G23" s="558"/>
      <c r="H23" s="558" t="s">
        <v>18</v>
      </c>
      <c r="I23" s="558"/>
      <c r="J23" s="557" t="s">
        <v>19</v>
      </c>
      <c r="K23" s="563"/>
      <c r="L23" s="558" t="s">
        <v>20</v>
      </c>
      <c r="M23" s="558"/>
      <c r="N23" s="557" t="s">
        <v>21</v>
      </c>
      <c r="O23" s="563"/>
      <c r="P23" s="558" t="s">
        <v>22</v>
      </c>
      <c r="Q23" s="558"/>
      <c r="R23" s="557" t="s">
        <v>23</v>
      </c>
      <c r="S23" s="558"/>
      <c r="T23" s="558" t="s">
        <v>24</v>
      </c>
      <c r="U23" s="558"/>
      <c r="V23" s="558" t="s">
        <v>25</v>
      </c>
      <c r="W23" s="558"/>
      <c r="X23" s="558" t="s">
        <v>26</v>
      </c>
      <c r="Y23" s="558"/>
      <c r="Z23" s="159" t="s">
        <v>39</v>
      </c>
    </row>
    <row r="24" spans="1:29" x14ac:dyDescent="0.35">
      <c r="A24" s="559"/>
      <c r="B24" s="175"/>
      <c r="C24" s="176" t="s">
        <v>27</v>
      </c>
      <c r="D24" s="177"/>
      <c r="E24" s="178" t="s">
        <v>27</v>
      </c>
      <c r="F24" s="175"/>
      <c r="G24" s="176" t="s">
        <v>27</v>
      </c>
      <c r="H24" s="177"/>
      <c r="I24" s="178" t="s">
        <v>27</v>
      </c>
      <c r="J24" s="175"/>
      <c r="K24" s="178" t="s">
        <v>27</v>
      </c>
      <c r="L24" s="175"/>
      <c r="M24" s="178" t="s">
        <v>27</v>
      </c>
      <c r="N24" s="175"/>
      <c r="O24" s="178" t="s">
        <v>27</v>
      </c>
      <c r="P24" s="175"/>
      <c r="Q24" s="178" t="s">
        <v>27</v>
      </c>
      <c r="R24" s="160"/>
      <c r="S24" s="161" t="s">
        <v>27</v>
      </c>
      <c r="T24" s="162"/>
      <c r="U24" s="161" t="s">
        <v>27</v>
      </c>
      <c r="V24" s="162"/>
      <c r="W24" s="161" t="s">
        <v>27</v>
      </c>
      <c r="X24" s="162"/>
      <c r="Y24" s="161" t="s">
        <v>27</v>
      </c>
      <c r="Z24" s="163" t="s">
        <v>27</v>
      </c>
    </row>
    <row r="25" spans="1:29" ht="60.65" customHeight="1" x14ac:dyDescent="0.35">
      <c r="A25" s="559"/>
      <c r="B25" s="179" t="s">
        <v>29</v>
      </c>
      <c r="C25" s="165" t="s">
        <v>31</v>
      </c>
      <c r="D25" s="180" t="s">
        <v>29</v>
      </c>
      <c r="E25" s="165" t="s">
        <v>31</v>
      </c>
      <c r="F25" s="179" t="s">
        <v>29</v>
      </c>
      <c r="G25" s="165" t="s">
        <v>31</v>
      </c>
      <c r="H25" s="180" t="s">
        <v>29</v>
      </c>
      <c r="I25" s="165" t="s">
        <v>31</v>
      </c>
      <c r="J25" s="179" t="s">
        <v>29</v>
      </c>
      <c r="K25" s="165" t="s">
        <v>31</v>
      </c>
      <c r="L25" s="179" t="s">
        <v>29</v>
      </c>
      <c r="M25" s="165" t="s">
        <v>31</v>
      </c>
      <c r="N25" s="179" t="s">
        <v>29</v>
      </c>
      <c r="O25" s="165" t="s">
        <v>31</v>
      </c>
      <c r="P25" s="179" t="s">
        <v>29</v>
      </c>
      <c r="Q25" s="165" t="s">
        <v>31</v>
      </c>
      <c r="R25" s="164" t="s">
        <v>29</v>
      </c>
      <c r="S25" s="165" t="s">
        <v>31</v>
      </c>
      <c r="T25" s="165" t="s">
        <v>29</v>
      </c>
      <c r="U25" s="165" t="s">
        <v>31</v>
      </c>
      <c r="V25" s="165" t="s">
        <v>29</v>
      </c>
      <c r="W25" s="165" t="s">
        <v>31</v>
      </c>
      <c r="X25" s="165" t="s">
        <v>29</v>
      </c>
      <c r="Y25" s="165" t="s">
        <v>31</v>
      </c>
      <c r="Z25" s="159" t="s">
        <v>106</v>
      </c>
    </row>
    <row r="26" spans="1:29" x14ac:dyDescent="0.35">
      <c r="A26" s="166" t="s">
        <v>42</v>
      </c>
      <c r="B26" s="107">
        <v>1</v>
      </c>
      <c r="C26" s="9">
        <v>2</v>
      </c>
      <c r="D26" s="108">
        <v>3</v>
      </c>
      <c r="E26" s="109">
        <v>4</v>
      </c>
      <c r="F26" s="107">
        <v>5</v>
      </c>
      <c r="G26" s="9">
        <v>6</v>
      </c>
      <c r="H26" s="108">
        <v>7</v>
      </c>
      <c r="I26" s="109">
        <v>8</v>
      </c>
      <c r="J26" s="107">
        <v>9</v>
      </c>
      <c r="K26" s="109">
        <v>10</v>
      </c>
      <c r="L26" s="107">
        <v>11</v>
      </c>
      <c r="M26" s="109">
        <v>12</v>
      </c>
      <c r="N26" s="107">
        <v>13</v>
      </c>
      <c r="O26" s="109">
        <v>14</v>
      </c>
      <c r="P26" s="107">
        <v>15</v>
      </c>
      <c r="Q26" s="109">
        <v>16</v>
      </c>
      <c r="R26" s="9">
        <v>17</v>
      </c>
      <c r="S26" s="167">
        <v>18</v>
      </c>
      <c r="T26" s="167">
        <v>19</v>
      </c>
      <c r="U26" s="167">
        <v>20</v>
      </c>
      <c r="V26" s="167">
        <v>21</v>
      </c>
      <c r="W26" s="167">
        <v>22</v>
      </c>
      <c r="X26" s="167">
        <v>23</v>
      </c>
      <c r="Y26" s="167">
        <v>24</v>
      </c>
      <c r="Z26" s="168">
        <v>25</v>
      </c>
    </row>
    <row r="27" spans="1:29" ht="58.4" customHeight="1" x14ac:dyDescent="0.35">
      <c r="A27" s="8" t="s">
        <v>232</v>
      </c>
      <c r="B27" s="169">
        <f t="shared" ref="B27:B33" si="6">ROUNDUP(AVERAGE(B11,D11,F11,H11,J11,L11,N11,P11,R11,T11,V11,X11)*1.05,0)</f>
        <v>529</v>
      </c>
      <c r="C27" s="26">
        <f>B27*AB11</f>
        <v>35321.329999999994</v>
      </c>
      <c r="D27" s="24">
        <f t="shared" ref="D27:Y27" si="7">B27</f>
        <v>529</v>
      </c>
      <c r="E27" s="26">
        <f t="shared" si="7"/>
        <v>35321.329999999994</v>
      </c>
      <c r="F27" s="24">
        <f t="shared" si="7"/>
        <v>529</v>
      </c>
      <c r="G27" s="26">
        <f t="shared" si="7"/>
        <v>35321.329999999994</v>
      </c>
      <c r="H27" s="24">
        <f t="shared" si="7"/>
        <v>529</v>
      </c>
      <c r="I27" s="26">
        <f t="shared" si="7"/>
        <v>35321.329999999994</v>
      </c>
      <c r="J27" s="24">
        <f t="shared" si="7"/>
        <v>529</v>
      </c>
      <c r="K27" s="26">
        <f t="shared" si="7"/>
        <v>35321.329999999994</v>
      </c>
      <c r="L27" s="24">
        <f t="shared" si="7"/>
        <v>529</v>
      </c>
      <c r="M27" s="26">
        <f t="shared" si="7"/>
        <v>35321.329999999994</v>
      </c>
      <c r="N27" s="24">
        <f t="shared" si="7"/>
        <v>529</v>
      </c>
      <c r="O27" s="26">
        <f t="shared" si="7"/>
        <v>35321.329999999994</v>
      </c>
      <c r="P27" s="24">
        <f t="shared" si="7"/>
        <v>529</v>
      </c>
      <c r="Q27" s="26">
        <f t="shared" si="7"/>
        <v>35321.329999999994</v>
      </c>
      <c r="R27" s="24">
        <f t="shared" si="7"/>
        <v>529</v>
      </c>
      <c r="S27" s="26">
        <f t="shared" si="7"/>
        <v>35321.329999999994</v>
      </c>
      <c r="T27" s="24">
        <f t="shared" si="7"/>
        <v>529</v>
      </c>
      <c r="U27" s="26">
        <f t="shared" si="7"/>
        <v>35321.329999999994</v>
      </c>
      <c r="V27" s="24">
        <f t="shared" si="7"/>
        <v>529</v>
      </c>
      <c r="W27" s="26">
        <f t="shared" si="7"/>
        <v>35321.329999999994</v>
      </c>
      <c r="X27" s="24">
        <f t="shared" si="7"/>
        <v>529</v>
      </c>
      <c r="Y27" s="26">
        <f t="shared" si="7"/>
        <v>35321.329999999994</v>
      </c>
      <c r="Z27" s="171">
        <f t="shared" ref="Z27:Z34" si="8">G27+I27+K27+M27+O27+Q27+S27+U27+W27+Y27+E27+C27</f>
        <v>423855.96</v>
      </c>
    </row>
    <row r="28" spans="1:29" ht="58.4" customHeight="1" x14ac:dyDescent="0.35">
      <c r="A28" s="8" t="s">
        <v>233</v>
      </c>
      <c r="B28" s="169">
        <f t="shared" si="6"/>
        <v>86</v>
      </c>
      <c r="C28" s="26">
        <f t="shared" ref="C28:C33" si="9">B28*AB12</f>
        <v>5578.8200000000006</v>
      </c>
      <c r="D28" s="24">
        <f t="shared" ref="D28:D33" si="10">B28</f>
        <v>86</v>
      </c>
      <c r="E28" s="26">
        <f t="shared" ref="E28:E33" si="11">C28</f>
        <v>5578.8200000000006</v>
      </c>
      <c r="F28" s="24">
        <f t="shared" ref="F28:F33" si="12">D28</f>
        <v>86</v>
      </c>
      <c r="G28" s="26">
        <f t="shared" ref="G28:G33" si="13">E28</f>
        <v>5578.8200000000006</v>
      </c>
      <c r="H28" s="24">
        <f t="shared" ref="H28:H33" si="14">F28</f>
        <v>86</v>
      </c>
      <c r="I28" s="26">
        <f t="shared" ref="I28:I33" si="15">G28</f>
        <v>5578.8200000000006</v>
      </c>
      <c r="J28" s="24">
        <f t="shared" ref="J28:J33" si="16">H28</f>
        <v>86</v>
      </c>
      <c r="K28" s="26">
        <f t="shared" ref="K28:K33" si="17">I28</f>
        <v>5578.8200000000006</v>
      </c>
      <c r="L28" s="24">
        <f t="shared" ref="L28:L33" si="18">J28</f>
        <v>86</v>
      </c>
      <c r="M28" s="26">
        <f t="shared" ref="M28:M33" si="19">K28</f>
        <v>5578.8200000000006</v>
      </c>
      <c r="N28" s="24">
        <f t="shared" ref="N28:N33" si="20">L28</f>
        <v>86</v>
      </c>
      <c r="O28" s="26">
        <f t="shared" ref="O28:O33" si="21">M28</f>
        <v>5578.8200000000006</v>
      </c>
      <c r="P28" s="24">
        <f t="shared" ref="P28:P33" si="22">N28</f>
        <v>86</v>
      </c>
      <c r="Q28" s="26">
        <f t="shared" ref="Q28:Q33" si="23">O28</f>
        <v>5578.8200000000006</v>
      </c>
      <c r="R28" s="24">
        <f t="shared" ref="R28:R33" si="24">P28</f>
        <v>86</v>
      </c>
      <c r="S28" s="26">
        <f t="shared" ref="S28:S33" si="25">Q28</f>
        <v>5578.8200000000006</v>
      </c>
      <c r="T28" s="24">
        <f t="shared" ref="T28:T33" si="26">R28</f>
        <v>86</v>
      </c>
      <c r="U28" s="26">
        <f t="shared" ref="U28:U33" si="27">S28</f>
        <v>5578.8200000000006</v>
      </c>
      <c r="V28" s="24">
        <f t="shared" ref="V28:V33" si="28">T28</f>
        <v>86</v>
      </c>
      <c r="W28" s="26">
        <f t="shared" ref="W28:W33" si="29">U28</f>
        <v>5578.8200000000006</v>
      </c>
      <c r="X28" s="24">
        <f t="shared" ref="X28:X33" si="30">V28</f>
        <v>86</v>
      </c>
      <c r="Y28" s="26">
        <f t="shared" ref="Y28:Y33" si="31">W28</f>
        <v>5578.8200000000006</v>
      </c>
      <c r="Z28" s="171">
        <f t="shared" si="8"/>
        <v>66945.840000000011</v>
      </c>
    </row>
    <row r="29" spans="1:29" ht="58.4" customHeight="1" x14ac:dyDescent="0.35">
      <c r="A29" s="8" t="s">
        <v>234</v>
      </c>
      <c r="B29" s="169">
        <f t="shared" si="6"/>
        <v>2</v>
      </c>
      <c r="C29" s="26">
        <f t="shared" si="9"/>
        <v>150</v>
      </c>
      <c r="D29" s="24">
        <f t="shared" si="10"/>
        <v>2</v>
      </c>
      <c r="E29" s="26">
        <f t="shared" si="11"/>
        <v>150</v>
      </c>
      <c r="F29" s="24">
        <f t="shared" si="12"/>
        <v>2</v>
      </c>
      <c r="G29" s="26">
        <f t="shared" si="13"/>
        <v>150</v>
      </c>
      <c r="H29" s="24">
        <f t="shared" si="14"/>
        <v>2</v>
      </c>
      <c r="I29" s="26">
        <f t="shared" si="15"/>
        <v>150</v>
      </c>
      <c r="J29" s="24">
        <f t="shared" si="16"/>
        <v>2</v>
      </c>
      <c r="K29" s="26">
        <f t="shared" si="17"/>
        <v>150</v>
      </c>
      <c r="L29" s="24">
        <f t="shared" si="18"/>
        <v>2</v>
      </c>
      <c r="M29" s="26">
        <f t="shared" si="19"/>
        <v>150</v>
      </c>
      <c r="N29" s="24">
        <f t="shared" si="20"/>
        <v>2</v>
      </c>
      <c r="O29" s="26">
        <f t="shared" si="21"/>
        <v>150</v>
      </c>
      <c r="P29" s="24">
        <f t="shared" si="22"/>
        <v>2</v>
      </c>
      <c r="Q29" s="26">
        <f t="shared" si="23"/>
        <v>150</v>
      </c>
      <c r="R29" s="24">
        <f t="shared" si="24"/>
        <v>2</v>
      </c>
      <c r="S29" s="26">
        <f t="shared" si="25"/>
        <v>150</v>
      </c>
      <c r="T29" s="24">
        <f t="shared" si="26"/>
        <v>2</v>
      </c>
      <c r="U29" s="26">
        <f t="shared" si="27"/>
        <v>150</v>
      </c>
      <c r="V29" s="24">
        <f t="shared" si="28"/>
        <v>2</v>
      </c>
      <c r="W29" s="26">
        <f t="shared" si="29"/>
        <v>150</v>
      </c>
      <c r="X29" s="24">
        <f t="shared" si="30"/>
        <v>2</v>
      </c>
      <c r="Y29" s="26">
        <f t="shared" si="31"/>
        <v>150</v>
      </c>
      <c r="Z29" s="171">
        <f t="shared" si="8"/>
        <v>1800</v>
      </c>
    </row>
    <row r="30" spans="1:29" ht="58.4" customHeight="1" x14ac:dyDescent="0.35">
      <c r="A30" s="8" t="s">
        <v>235</v>
      </c>
      <c r="B30" s="169">
        <f t="shared" si="6"/>
        <v>3</v>
      </c>
      <c r="C30" s="26">
        <f t="shared" si="9"/>
        <v>967.08</v>
      </c>
      <c r="D30" s="24">
        <f t="shared" si="10"/>
        <v>3</v>
      </c>
      <c r="E30" s="26">
        <f t="shared" si="11"/>
        <v>967.08</v>
      </c>
      <c r="F30" s="24">
        <f t="shared" si="12"/>
        <v>3</v>
      </c>
      <c r="G30" s="26">
        <f t="shared" si="13"/>
        <v>967.08</v>
      </c>
      <c r="H30" s="24">
        <f t="shared" si="14"/>
        <v>3</v>
      </c>
      <c r="I30" s="26">
        <f t="shared" si="15"/>
        <v>967.08</v>
      </c>
      <c r="J30" s="24">
        <f t="shared" si="16"/>
        <v>3</v>
      </c>
      <c r="K30" s="26">
        <f t="shared" si="17"/>
        <v>967.08</v>
      </c>
      <c r="L30" s="24">
        <f t="shared" si="18"/>
        <v>3</v>
      </c>
      <c r="M30" s="26">
        <f t="shared" si="19"/>
        <v>967.08</v>
      </c>
      <c r="N30" s="24">
        <f t="shared" si="20"/>
        <v>3</v>
      </c>
      <c r="O30" s="26">
        <f t="shared" si="21"/>
        <v>967.08</v>
      </c>
      <c r="P30" s="24">
        <f t="shared" si="22"/>
        <v>3</v>
      </c>
      <c r="Q30" s="26">
        <f t="shared" si="23"/>
        <v>967.08</v>
      </c>
      <c r="R30" s="24">
        <f t="shared" si="24"/>
        <v>3</v>
      </c>
      <c r="S30" s="26">
        <f t="shared" si="25"/>
        <v>967.08</v>
      </c>
      <c r="T30" s="24">
        <f t="shared" si="26"/>
        <v>3</v>
      </c>
      <c r="U30" s="26">
        <f t="shared" si="27"/>
        <v>967.08</v>
      </c>
      <c r="V30" s="24">
        <f t="shared" si="28"/>
        <v>3</v>
      </c>
      <c r="W30" s="26">
        <f t="shared" si="29"/>
        <v>967.08</v>
      </c>
      <c r="X30" s="24">
        <f t="shared" si="30"/>
        <v>3</v>
      </c>
      <c r="Y30" s="26">
        <f t="shared" si="31"/>
        <v>967.08</v>
      </c>
      <c r="Z30" s="171">
        <f t="shared" si="8"/>
        <v>11604.960000000001</v>
      </c>
    </row>
    <row r="31" spans="1:29" ht="58.4" customHeight="1" x14ac:dyDescent="0.35">
      <c r="A31" s="8" t="s">
        <v>236</v>
      </c>
      <c r="B31" s="169">
        <f t="shared" si="6"/>
        <v>1</v>
      </c>
      <c r="C31" s="26">
        <f t="shared" si="9"/>
        <v>750.4</v>
      </c>
      <c r="D31" s="24">
        <f t="shared" si="10"/>
        <v>1</v>
      </c>
      <c r="E31" s="26">
        <f t="shared" si="11"/>
        <v>750.4</v>
      </c>
      <c r="F31" s="24">
        <f t="shared" si="12"/>
        <v>1</v>
      </c>
      <c r="G31" s="26">
        <f t="shared" si="13"/>
        <v>750.4</v>
      </c>
      <c r="H31" s="24">
        <f t="shared" si="14"/>
        <v>1</v>
      </c>
      <c r="I31" s="26">
        <f t="shared" si="15"/>
        <v>750.4</v>
      </c>
      <c r="J31" s="24">
        <f t="shared" si="16"/>
        <v>1</v>
      </c>
      <c r="K31" s="26">
        <f t="shared" si="17"/>
        <v>750.4</v>
      </c>
      <c r="L31" s="24">
        <f t="shared" si="18"/>
        <v>1</v>
      </c>
      <c r="M31" s="26">
        <f t="shared" si="19"/>
        <v>750.4</v>
      </c>
      <c r="N31" s="24">
        <f t="shared" si="20"/>
        <v>1</v>
      </c>
      <c r="O31" s="26">
        <f t="shared" si="21"/>
        <v>750.4</v>
      </c>
      <c r="P31" s="24">
        <f t="shared" si="22"/>
        <v>1</v>
      </c>
      <c r="Q31" s="26">
        <f t="shared" si="23"/>
        <v>750.4</v>
      </c>
      <c r="R31" s="24">
        <f t="shared" si="24"/>
        <v>1</v>
      </c>
      <c r="S31" s="26">
        <f t="shared" si="25"/>
        <v>750.4</v>
      </c>
      <c r="T31" s="24">
        <f t="shared" si="26"/>
        <v>1</v>
      </c>
      <c r="U31" s="26">
        <f t="shared" si="27"/>
        <v>750.4</v>
      </c>
      <c r="V31" s="24">
        <f t="shared" si="28"/>
        <v>1</v>
      </c>
      <c r="W31" s="26">
        <f t="shared" si="29"/>
        <v>750.4</v>
      </c>
      <c r="X31" s="24">
        <f t="shared" si="30"/>
        <v>1</v>
      </c>
      <c r="Y31" s="26">
        <f t="shared" si="31"/>
        <v>750.4</v>
      </c>
      <c r="Z31" s="171">
        <f t="shared" si="8"/>
        <v>9004.7999999999975</v>
      </c>
    </row>
    <row r="32" spans="1:29" ht="58.4" customHeight="1" x14ac:dyDescent="0.35">
      <c r="A32" s="8" t="s">
        <v>237</v>
      </c>
      <c r="B32" s="169">
        <f t="shared" si="6"/>
        <v>18</v>
      </c>
      <c r="C32" s="26">
        <f t="shared" si="9"/>
        <v>21823.920000000002</v>
      </c>
      <c r="D32" s="24">
        <f t="shared" si="10"/>
        <v>18</v>
      </c>
      <c r="E32" s="26">
        <f t="shared" si="11"/>
        <v>21823.920000000002</v>
      </c>
      <c r="F32" s="24">
        <f t="shared" si="12"/>
        <v>18</v>
      </c>
      <c r="G32" s="26">
        <f t="shared" si="13"/>
        <v>21823.920000000002</v>
      </c>
      <c r="H32" s="24">
        <f t="shared" si="14"/>
        <v>18</v>
      </c>
      <c r="I32" s="26">
        <f t="shared" si="15"/>
        <v>21823.920000000002</v>
      </c>
      <c r="J32" s="24">
        <f t="shared" si="16"/>
        <v>18</v>
      </c>
      <c r="K32" s="26">
        <f t="shared" si="17"/>
        <v>21823.920000000002</v>
      </c>
      <c r="L32" s="24">
        <f t="shared" si="18"/>
        <v>18</v>
      </c>
      <c r="M32" s="26">
        <f t="shared" si="19"/>
        <v>21823.920000000002</v>
      </c>
      <c r="N32" s="24">
        <f t="shared" si="20"/>
        <v>18</v>
      </c>
      <c r="O32" s="26">
        <f t="shared" si="21"/>
        <v>21823.920000000002</v>
      </c>
      <c r="P32" s="24">
        <f t="shared" si="22"/>
        <v>18</v>
      </c>
      <c r="Q32" s="26">
        <f t="shared" si="23"/>
        <v>21823.920000000002</v>
      </c>
      <c r="R32" s="24">
        <f t="shared" si="24"/>
        <v>18</v>
      </c>
      <c r="S32" s="26">
        <f t="shared" si="25"/>
        <v>21823.920000000002</v>
      </c>
      <c r="T32" s="24">
        <f t="shared" si="26"/>
        <v>18</v>
      </c>
      <c r="U32" s="26">
        <f t="shared" si="27"/>
        <v>21823.920000000002</v>
      </c>
      <c r="V32" s="24">
        <f t="shared" si="28"/>
        <v>18</v>
      </c>
      <c r="W32" s="26">
        <f t="shared" si="29"/>
        <v>21823.920000000002</v>
      </c>
      <c r="X32" s="24">
        <f t="shared" si="30"/>
        <v>18</v>
      </c>
      <c r="Y32" s="26">
        <f t="shared" si="31"/>
        <v>21823.920000000002</v>
      </c>
      <c r="Z32" s="171">
        <f t="shared" si="8"/>
        <v>261887.04000000007</v>
      </c>
    </row>
    <row r="33" spans="1:26" ht="78.650000000000006" customHeight="1" x14ac:dyDescent="0.35">
      <c r="A33" s="8" t="s">
        <v>238</v>
      </c>
      <c r="B33" s="169">
        <f t="shared" si="6"/>
        <v>66</v>
      </c>
      <c r="C33" s="26">
        <f t="shared" si="9"/>
        <v>28888.2</v>
      </c>
      <c r="D33" s="24">
        <f t="shared" si="10"/>
        <v>66</v>
      </c>
      <c r="E33" s="26">
        <f t="shared" si="11"/>
        <v>28888.2</v>
      </c>
      <c r="F33" s="24">
        <f t="shared" si="12"/>
        <v>66</v>
      </c>
      <c r="G33" s="26">
        <f t="shared" si="13"/>
        <v>28888.2</v>
      </c>
      <c r="H33" s="24">
        <f t="shared" si="14"/>
        <v>66</v>
      </c>
      <c r="I33" s="26">
        <f t="shared" si="15"/>
        <v>28888.2</v>
      </c>
      <c r="J33" s="24">
        <f t="shared" si="16"/>
        <v>66</v>
      </c>
      <c r="K33" s="26">
        <f t="shared" si="17"/>
        <v>28888.2</v>
      </c>
      <c r="L33" s="24">
        <f t="shared" si="18"/>
        <v>66</v>
      </c>
      <c r="M33" s="26">
        <f t="shared" si="19"/>
        <v>28888.2</v>
      </c>
      <c r="N33" s="24">
        <f t="shared" si="20"/>
        <v>66</v>
      </c>
      <c r="O33" s="26">
        <f t="shared" si="21"/>
        <v>28888.2</v>
      </c>
      <c r="P33" s="24">
        <f t="shared" si="22"/>
        <v>66</v>
      </c>
      <c r="Q33" s="26">
        <f t="shared" si="23"/>
        <v>28888.2</v>
      </c>
      <c r="R33" s="24">
        <f t="shared" si="24"/>
        <v>66</v>
      </c>
      <c r="S33" s="26">
        <f t="shared" si="25"/>
        <v>28888.2</v>
      </c>
      <c r="T33" s="24">
        <f t="shared" si="26"/>
        <v>66</v>
      </c>
      <c r="U33" s="26">
        <f t="shared" si="27"/>
        <v>28888.2</v>
      </c>
      <c r="V33" s="24">
        <f t="shared" si="28"/>
        <v>66</v>
      </c>
      <c r="W33" s="26">
        <f t="shared" si="29"/>
        <v>28888.2</v>
      </c>
      <c r="X33" s="24">
        <f t="shared" si="30"/>
        <v>66</v>
      </c>
      <c r="Y33" s="26">
        <f t="shared" si="31"/>
        <v>28888.2</v>
      </c>
      <c r="Z33" s="171">
        <f t="shared" si="8"/>
        <v>346658.40000000008</v>
      </c>
    </row>
    <row r="34" spans="1:26" ht="58.4" customHeight="1" x14ac:dyDescent="0.35">
      <c r="A34" s="8" t="s">
        <v>267</v>
      </c>
      <c r="B34" s="24" t="s">
        <v>35</v>
      </c>
      <c r="C34" s="26">
        <f>ROUND(AVERAGE(C18,E18,G18,I18,K18,M18,O18,Q18,S18,U18,W18,Y18)*1.05,0)</f>
        <v>110493</v>
      </c>
      <c r="D34" s="24" t="s">
        <v>35</v>
      </c>
      <c r="E34" s="26">
        <f>C34*1.05</f>
        <v>116017.65000000001</v>
      </c>
      <c r="F34" s="24" t="s">
        <v>35</v>
      </c>
      <c r="G34" s="26">
        <f>E34*1.05</f>
        <v>121818.53250000002</v>
      </c>
      <c r="H34" s="24" t="s">
        <v>35</v>
      </c>
      <c r="I34" s="26">
        <f>G34*1.05</f>
        <v>127909.45912500002</v>
      </c>
      <c r="J34" s="24" t="s">
        <v>35</v>
      </c>
      <c r="K34" s="26">
        <f>I34*1.05</f>
        <v>134304.93208125004</v>
      </c>
      <c r="L34" s="24" t="s">
        <v>35</v>
      </c>
      <c r="M34" s="26">
        <f>K34*1.05</f>
        <v>141020.17868531254</v>
      </c>
      <c r="N34" s="24" t="s">
        <v>35</v>
      </c>
      <c r="O34" s="26">
        <f>M34*1.05</f>
        <v>148071.18761957818</v>
      </c>
      <c r="P34" s="24" t="s">
        <v>35</v>
      </c>
      <c r="Q34" s="26">
        <f>O34*1.05</f>
        <v>155474.74700055711</v>
      </c>
      <c r="R34" s="24" t="s">
        <v>35</v>
      </c>
      <c r="S34" s="26">
        <f>Q34*1.05</f>
        <v>163248.48435058497</v>
      </c>
      <c r="T34" s="24" t="s">
        <v>35</v>
      </c>
      <c r="U34" s="26">
        <f>S34*1.05</f>
        <v>171410.90856811422</v>
      </c>
      <c r="V34" s="24" t="s">
        <v>35</v>
      </c>
      <c r="W34" s="26">
        <f>U34*1.05</f>
        <v>179981.45399651994</v>
      </c>
      <c r="X34" s="24" t="s">
        <v>35</v>
      </c>
      <c r="Y34" s="26">
        <f>W34*1.05</f>
        <v>188980.52669634594</v>
      </c>
      <c r="Z34" s="171">
        <f t="shared" si="8"/>
        <v>1758731.060623263</v>
      </c>
    </row>
    <row r="35" spans="1:26" x14ac:dyDescent="0.35">
      <c r="A35" s="106"/>
      <c r="Z35" s="184">
        <f>ROUND(SUM(Z27:Z34),0)</f>
        <v>2880488</v>
      </c>
    </row>
    <row r="36" spans="1:26" ht="46.4" customHeight="1" x14ac:dyDescent="0.35">
      <c r="A36" s="561" t="s">
        <v>290</v>
      </c>
      <c r="B36" s="562"/>
      <c r="C36" s="562"/>
      <c r="D36" s="562"/>
      <c r="E36" s="562"/>
      <c r="F36" s="562"/>
      <c r="G36" s="562"/>
      <c r="H36" s="562"/>
      <c r="I36" s="562"/>
      <c r="J36" s="562"/>
      <c r="K36" s="562"/>
      <c r="L36" s="562"/>
      <c r="M36" s="562"/>
      <c r="N36" s="562"/>
      <c r="O36" s="562"/>
      <c r="P36" s="562"/>
      <c r="Q36" s="562"/>
      <c r="R36" s="562"/>
      <c r="S36" s="562"/>
      <c r="T36" s="562"/>
      <c r="U36" s="562"/>
      <c r="V36" s="562"/>
      <c r="W36" s="562"/>
      <c r="X36" s="562"/>
      <c r="Y36" s="562"/>
      <c r="Z36" s="562"/>
    </row>
    <row r="37" spans="1:26" ht="18.649999999999999" customHeight="1" x14ac:dyDescent="0.35">
      <c r="A37" s="561" t="s">
        <v>240</v>
      </c>
      <c r="B37" s="562"/>
      <c r="C37" s="562"/>
      <c r="D37" s="562"/>
      <c r="E37" s="562"/>
      <c r="F37" s="562"/>
      <c r="G37" s="562"/>
      <c r="H37" s="562"/>
      <c r="I37" s="562"/>
      <c r="J37" s="562"/>
      <c r="K37" s="562"/>
      <c r="L37" s="562"/>
      <c r="M37" s="562"/>
      <c r="N37" s="562"/>
      <c r="O37" s="562"/>
      <c r="P37" s="562"/>
      <c r="Q37" s="562"/>
      <c r="R37" s="562"/>
      <c r="S37" s="562"/>
      <c r="T37" s="562"/>
      <c r="U37" s="562"/>
      <c r="V37" s="562"/>
      <c r="W37" s="562"/>
      <c r="X37" s="562"/>
      <c r="Y37" s="562"/>
      <c r="Z37" s="562"/>
    </row>
    <row r="38" spans="1:26" ht="18.649999999999999" customHeight="1" x14ac:dyDescent="0.35">
      <c r="A38" s="561" t="s">
        <v>241</v>
      </c>
      <c r="B38" s="562"/>
      <c r="C38" s="562"/>
      <c r="D38" s="562"/>
      <c r="E38" s="562"/>
      <c r="F38" s="562"/>
      <c r="G38" s="562"/>
      <c r="H38" s="562"/>
      <c r="I38" s="562"/>
      <c r="J38" s="562"/>
      <c r="K38" s="562"/>
      <c r="L38" s="562"/>
      <c r="M38" s="562"/>
      <c r="N38" s="562"/>
      <c r="O38" s="562"/>
      <c r="P38" s="562"/>
      <c r="Q38" s="562"/>
      <c r="R38" s="562"/>
      <c r="S38" s="562"/>
      <c r="T38" s="562"/>
      <c r="U38" s="562"/>
      <c r="V38" s="562"/>
      <c r="W38" s="562"/>
      <c r="X38" s="562"/>
      <c r="Y38" s="562"/>
      <c r="Z38" s="562"/>
    </row>
    <row r="39" spans="1:26" ht="18.649999999999999" customHeight="1" x14ac:dyDescent="0.35">
      <c r="A39" s="561" t="s">
        <v>242</v>
      </c>
      <c r="B39" s="562"/>
      <c r="C39" s="562"/>
      <c r="D39" s="562"/>
      <c r="E39" s="562"/>
      <c r="F39" s="562"/>
      <c r="G39" s="562"/>
      <c r="H39" s="562"/>
      <c r="I39" s="562"/>
      <c r="J39" s="562"/>
      <c r="K39" s="562"/>
      <c r="L39" s="562"/>
      <c r="M39" s="562"/>
      <c r="N39" s="562"/>
      <c r="O39" s="562"/>
      <c r="P39" s="562"/>
      <c r="Q39" s="562"/>
      <c r="R39" s="562"/>
      <c r="S39" s="562"/>
      <c r="T39" s="562"/>
      <c r="U39" s="562"/>
      <c r="V39" s="562"/>
      <c r="W39" s="562"/>
      <c r="X39" s="562"/>
      <c r="Y39" s="562"/>
      <c r="Z39" s="562"/>
    </row>
    <row r="40" spans="1:26" ht="18.649999999999999" customHeight="1" x14ac:dyDescent="0.35">
      <c r="A40" s="561" t="s">
        <v>311</v>
      </c>
      <c r="B40" s="562"/>
      <c r="C40" s="562"/>
      <c r="D40" s="562"/>
      <c r="E40" s="562"/>
      <c r="F40" s="562"/>
      <c r="G40" s="562"/>
      <c r="H40" s="562"/>
      <c r="I40" s="562"/>
      <c r="J40" s="562"/>
      <c r="K40" s="562"/>
      <c r="L40" s="562"/>
      <c r="M40" s="562"/>
      <c r="N40" s="562"/>
      <c r="O40" s="562"/>
      <c r="P40" s="562"/>
      <c r="Q40" s="562"/>
      <c r="R40" s="562"/>
      <c r="S40" s="562"/>
      <c r="T40" s="562"/>
      <c r="U40" s="562"/>
      <c r="V40" s="562"/>
      <c r="W40" s="562"/>
      <c r="X40" s="562"/>
      <c r="Y40" s="562"/>
      <c r="Z40" s="562"/>
    </row>
    <row r="41" spans="1:26" ht="18.649999999999999" customHeight="1" x14ac:dyDescent="0.35">
      <c r="A41" s="561" t="s">
        <v>312</v>
      </c>
      <c r="B41" s="562"/>
      <c r="C41" s="562"/>
      <c r="D41" s="562"/>
      <c r="E41" s="562"/>
      <c r="F41" s="562"/>
      <c r="G41" s="562"/>
      <c r="H41" s="562"/>
      <c r="I41" s="562"/>
      <c r="J41" s="562"/>
      <c r="K41" s="562"/>
      <c r="L41" s="562"/>
      <c r="M41" s="562"/>
      <c r="N41" s="562"/>
      <c r="O41" s="562"/>
      <c r="P41" s="562"/>
      <c r="Q41" s="562"/>
      <c r="R41" s="562"/>
      <c r="S41" s="562"/>
      <c r="T41" s="562"/>
      <c r="U41" s="562"/>
      <c r="V41" s="562"/>
      <c r="W41" s="562"/>
      <c r="X41" s="562"/>
      <c r="Y41" s="562"/>
      <c r="Z41" s="562"/>
    </row>
    <row r="42" spans="1:26" ht="18.649999999999999" customHeight="1" x14ac:dyDescent="0.35">
      <c r="A42" s="561" t="s">
        <v>313</v>
      </c>
      <c r="B42" s="562"/>
      <c r="C42" s="562"/>
      <c r="D42" s="562"/>
      <c r="E42" s="562"/>
      <c r="F42" s="562"/>
      <c r="G42" s="562"/>
      <c r="H42" s="562"/>
      <c r="I42" s="562"/>
      <c r="J42" s="562"/>
      <c r="K42" s="562"/>
      <c r="L42" s="562"/>
      <c r="M42" s="562"/>
      <c r="N42" s="562"/>
      <c r="O42" s="562"/>
      <c r="P42" s="562"/>
      <c r="Q42" s="562"/>
      <c r="R42" s="562"/>
      <c r="S42" s="562"/>
      <c r="T42" s="562"/>
      <c r="U42" s="562"/>
      <c r="V42" s="562"/>
      <c r="W42" s="562"/>
      <c r="X42" s="562"/>
      <c r="Y42" s="562"/>
      <c r="Z42" s="562"/>
    </row>
    <row r="43" spans="1:26" ht="18.649999999999999" customHeight="1" x14ac:dyDescent="0.35">
      <c r="A43" s="561" t="s">
        <v>314</v>
      </c>
      <c r="B43" s="562"/>
      <c r="C43" s="562"/>
      <c r="D43" s="562"/>
      <c r="E43" s="562"/>
      <c r="F43" s="562"/>
      <c r="G43" s="562"/>
      <c r="H43" s="562"/>
      <c r="I43" s="562"/>
      <c r="J43" s="562"/>
      <c r="K43" s="562"/>
      <c r="L43" s="562"/>
      <c r="M43" s="562"/>
      <c r="N43" s="562"/>
      <c r="O43" s="562"/>
      <c r="P43" s="562"/>
      <c r="Q43" s="562"/>
      <c r="R43" s="562"/>
      <c r="S43" s="562"/>
      <c r="T43" s="562"/>
      <c r="U43" s="562"/>
      <c r="V43" s="562"/>
      <c r="W43" s="562"/>
      <c r="X43" s="562"/>
      <c r="Y43" s="562"/>
      <c r="Z43" s="562"/>
    </row>
    <row r="44" spans="1:26" ht="25.4" customHeight="1" x14ac:dyDescent="0.35">
      <c r="A44" s="561" t="s">
        <v>315</v>
      </c>
      <c r="B44" s="562"/>
      <c r="C44" s="562"/>
      <c r="D44" s="562"/>
      <c r="E44" s="562"/>
      <c r="F44" s="562"/>
      <c r="G44" s="562"/>
      <c r="H44" s="562"/>
      <c r="I44" s="562"/>
      <c r="J44" s="562"/>
      <c r="K44" s="562"/>
      <c r="L44" s="562"/>
      <c r="M44" s="562"/>
      <c r="N44" s="562"/>
      <c r="O44" s="562"/>
      <c r="P44" s="562"/>
      <c r="Q44" s="562"/>
      <c r="R44" s="562"/>
      <c r="S44" s="562"/>
      <c r="T44" s="562"/>
      <c r="U44" s="562"/>
      <c r="V44" s="562"/>
      <c r="W44" s="562"/>
      <c r="X44" s="562"/>
      <c r="Y44" s="562"/>
      <c r="Z44" s="562"/>
    </row>
  </sheetData>
  <mergeCells count="65">
    <mergeCell ref="A19:O19"/>
    <mergeCell ref="A20:O20"/>
    <mergeCell ref="A41:Z41"/>
    <mergeCell ref="A42:Z42"/>
    <mergeCell ref="A43:Z43"/>
    <mergeCell ref="X22:Y22"/>
    <mergeCell ref="B23:C23"/>
    <mergeCell ref="D23:E23"/>
    <mergeCell ref="F23:G23"/>
    <mergeCell ref="H23:I23"/>
    <mergeCell ref="J23:K23"/>
    <mergeCell ref="L23:M23"/>
    <mergeCell ref="J22:K22"/>
    <mergeCell ref="L22:M22"/>
    <mergeCell ref="N22:O22"/>
    <mergeCell ref="P22:Q22"/>
    <mergeCell ref="A44:Z44"/>
    <mergeCell ref="A4:Z4"/>
    <mergeCell ref="A36:Z36"/>
    <mergeCell ref="A37:Z37"/>
    <mergeCell ref="A38:Z38"/>
    <mergeCell ref="A39:Z39"/>
    <mergeCell ref="A40:Z40"/>
    <mergeCell ref="N23:O23"/>
    <mergeCell ref="P23:Q23"/>
    <mergeCell ref="R23:S23"/>
    <mergeCell ref="T23:U23"/>
    <mergeCell ref="V23:W23"/>
    <mergeCell ref="X23:Y23"/>
    <mergeCell ref="R22:S22"/>
    <mergeCell ref="T22:U22"/>
    <mergeCell ref="V22:W22"/>
    <mergeCell ref="A22:A25"/>
    <mergeCell ref="B22:C22"/>
    <mergeCell ref="D22:E22"/>
    <mergeCell ref="F22:G22"/>
    <mergeCell ref="H22:I22"/>
    <mergeCell ref="V7:W7"/>
    <mergeCell ref="X7:Y7"/>
    <mergeCell ref="A1:Z1"/>
    <mergeCell ref="A2:Z2"/>
    <mergeCell ref="A3:Z3"/>
    <mergeCell ref="V6:W6"/>
    <mergeCell ref="X6:Y6"/>
    <mergeCell ref="B7:C7"/>
    <mergeCell ref="D7:E7"/>
    <mergeCell ref="F7:G7"/>
    <mergeCell ref="H7:I7"/>
    <mergeCell ref="J7:K7"/>
    <mergeCell ref="L7:M7"/>
    <mergeCell ref="N7:O7"/>
    <mergeCell ref="R6:S6"/>
    <mergeCell ref="T6:U6"/>
    <mergeCell ref="A6:A9"/>
    <mergeCell ref="B6:C6"/>
    <mergeCell ref="D6:E6"/>
    <mergeCell ref="F6:G6"/>
    <mergeCell ref="H6:I6"/>
    <mergeCell ref="R7:S7"/>
    <mergeCell ref="T7:U7"/>
    <mergeCell ref="P7:Q7"/>
    <mergeCell ref="J6:K6"/>
    <mergeCell ref="L6:M6"/>
    <mergeCell ref="N6:O6"/>
    <mergeCell ref="P6:Q6"/>
  </mergeCells>
  <pageMargins left="0.70866141732283472" right="0.70866141732283472" top="0.74803149606299213" bottom="0.74803149606299213" header="0.31496062992125984" footer="0.31496062992125984"/>
  <pageSetup paperSize="9" scale="4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A9930B-83B9-4E79-A4F3-FD37FF4077AF}">
  <dimension ref="A1:AB27"/>
  <sheetViews>
    <sheetView zoomScale="70" zoomScaleNormal="70" workbookViewId="0">
      <selection activeCell="I11" sqref="I11"/>
    </sheetView>
  </sheetViews>
  <sheetFormatPr defaultColWidth="8.90625" defaultRowHeight="14.5" x14ac:dyDescent="0.35"/>
  <cols>
    <col min="1" max="1" width="43.54296875" style="1" customWidth="1"/>
    <col min="2" max="25" width="8.90625" style="1"/>
    <col min="26" max="26" width="12.08984375" style="1" customWidth="1"/>
    <col min="27" max="28" width="8.90625" style="1" hidden="1" customWidth="1"/>
    <col min="29" max="16384" width="8.90625" style="1"/>
  </cols>
  <sheetData>
    <row r="1" spans="1:28" ht="18" x14ac:dyDescent="0.35">
      <c r="A1" s="503" t="s">
        <v>151</v>
      </c>
      <c r="B1" s="503"/>
      <c r="C1" s="503"/>
      <c r="D1" s="503"/>
      <c r="E1" s="503"/>
      <c r="F1" s="503"/>
      <c r="G1" s="503"/>
      <c r="H1" s="503"/>
      <c r="I1" s="503"/>
      <c r="J1" s="503"/>
      <c r="K1" s="503"/>
      <c r="L1" s="503"/>
      <c r="M1" s="503"/>
      <c r="N1" s="503"/>
      <c r="O1" s="503"/>
      <c r="P1" s="503"/>
      <c r="Q1" s="503"/>
      <c r="R1" s="503"/>
      <c r="S1" s="503"/>
      <c r="T1" s="503"/>
      <c r="U1" s="503"/>
      <c r="V1" s="503"/>
      <c r="W1" s="503"/>
      <c r="X1" s="503"/>
      <c r="Y1" s="503"/>
      <c r="Z1" s="503"/>
    </row>
    <row r="2" spans="1:28" ht="18" x14ac:dyDescent="0.35">
      <c r="A2" s="503" t="s">
        <v>162</v>
      </c>
      <c r="B2" s="503"/>
      <c r="C2" s="503"/>
      <c r="D2" s="503"/>
      <c r="E2" s="503"/>
      <c r="F2" s="503"/>
      <c r="G2" s="503"/>
      <c r="H2" s="503"/>
      <c r="I2" s="503"/>
      <c r="J2" s="503"/>
      <c r="K2" s="503"/>
      <c r="L2" s="503"/>
      <c r="M2" s="503"/>
      <c r="N2" s="503"/>
      <c r="O2" s="503"/>
      <c r="P2" s="503"/>
      <c r="Q2" s="503"/>
      <c r="R2" s="503"/>
      <c r="S2" s="503"/>
      <c r="T2" s="503"/>
      <c r="U2" s="503"/>
      <c r="V2" s="503"/>
      <c r="W2" s="503"/>
      <c r="X2" s="503"/>
      <c r="Y2" s="503"/>
      <c r="Z2" s="503"/>
    </row>
    <row r="3" spans="1:28" ht="26.4" customHeight="1" x14ac:dyDescent="0.35">
      <c r="A3" s="566" t="str">
        <f>'Ietekme uz valsts budžetu 2024'!B190</f>
        <v>4.11.Atbalsta sniegšana ārkārtas aizbildņiem (atlīdzība par ārkārtas aizbildņa pienākumu pildīšanu, pabalsts nepavadīta bērna uzturam un pabalsts apģērba un mīkstā inventāra iegādei)</v>
      </c>
      <c r="B3" s="566"/>
      <c r="C3" s="566"/>
      <c r="D3" s="566"/>
      <c r="E3" s="566"/>
      <c r="F3" s="566"/>
      <c r="G3" s="566"/>
      <c r="H3" s="566"/>
      <c r="I3" s="566"/>
      <c r="J3" s="566"/>
      <c r="K3" s="566"/>
      <c r="L3" s="566"/>
      <c r="M3" s="566"/>
      <c r="N3" s="566"/>
      <c r="O3" s="566"/>
      <c r="P3" s="566"/>
      <c r="Q3" s="566"/>
      <c r="R3" s="566"/>
      <c r="S3" s="566"/>
      <c r="T3" s="566"/>
      <c r="U3" s="566"/>
      <c r="V3" s="566"/>
      <c r="W3" s="566"/>
      <c r="X3" s="566"/>
      <c r="Y3" s="566"/>
      <c r="Z3" s="566"/>
    </row>
    <row r="4" spans="1:28" x14ac:dyDescent="0.35">
      <c r="A4" s="559" t="s">
        <v>41</v>
      </c>
      <c r="B4" s="426" t="s">
        <v>90</v>
      </c>
      <c r="C4" s="426"/>
      <c r="D4" s="426" t="s">
        <v>90</v>
      </c>
      <c r="E4" s="426"/>
      <c r="F4" s="426" t="s">
        <v>90</v>
      </c>
      <c r="G4" s="426"/>
      <c r="H4" s="426" t="s">
        <v>90</v>
      </c>
      <c r="I4" s="426"/>
      <c r="J4" s="426" t="s">
        <v>90</v>
      </c>
      <c r="K4" s="426"/>
      <c r="L4" s="426" t="s">
        <v>90</v>
      </c>
      <c r="M4" s="426"/>
      <c r="N4" s="426" t="s">
        <v>90</v>
      </c>
      <c r="O4" s="426"/>
      <c r="P4" s="426" t="s">
        <v>90</v>
      </c>
      <c r="Q4" s="426"/>
      <c r="R4" s="558" t="s">
        <v>90</v>
      </c>
      <c r="S4" s="558"/>
      <c r="T4" s="558" t="s">
        <v>90</v>
      </c>
      <c r="U4" s="558"/>
      <c r="V4" s="558" t="s">
        <v>90</v>
      </c>
      <c r="W4" s="558"/>
      <c r="X4" s="558" t="s">
        <v>90</v>
      </c>
      <c r="Y4" s="558"/>
      <c r="Z4" s="158" t="s">
        <v>90</v>
      </c>
    </row>
    <row r="5" spans="1:28" x14ac:dyDescent="0.35">
      <c r="A5" s="559"/>
      <c r="B5" s="421" t="s">
        <v>95</v>
      </c>
      <c r="C5" s="421"/>
      <c r="D5" s="421" t="s">
        <v>96</v>
      </c>
      <c r="E5" s="421"/>
      <c r="F5" s="421" t="s">
        <v>17</v>
      </c>
      <c r="G5" s="421"/>
      <c r="H5" s="421" t="s">
        <v>18</v>
      </c>
      <c r="I5" s="421"/>
      <c r="J5" s="422" t="s">
        <v>19</v>
      </c>
      <c r="K5" s="423"/>
      <c r="L5" s="421" t="s">
        <v>20</v>
      </c>
      <c r="M5" s="421"/>
      <c r="N5" s="422" t="s">
        <v>21</v>
      </c>
      <c r="O5" s="423"/>
      <c r="P5" s="421" t="s">
        <v>22</v>
      </c>
      <c r="Q5" s="421"/>
      <c r="R5" s="557" t="s">
        <v>23</v>
      </c>
      <c r="S5" s="558"/>
      <c r="T5" s="558" t="s">
        <v>24</v>
      </c>
      <c r="U5" s="558"/>
      <c r="V5" s="558" t="s">
        <v>25</v>
      </c>
      <c r="W5" s="558"/>
      <c r="X5" s="558" t="s">
        <v>26</v>
      </c>
      <c r="Y5" s="558"/>
      <c r="Z5" s="159" t="s">
        <v>39</v>
      </c>
    </row>
    <row r="6" spans="1:28" x14ac:dyDescent="0.35">
      <c r="A6" s="559"/>
      <c r="B6" s="12"/>
      <c r="C6" s="10" t="s">
        <v>27</v>
      </c>
      <c r="D6" s="15"/>
      <c r="E6" s="18" t="s">
        <v>27</v>
      </c>
      <c r="F6" s="12"/>
      <c r="G6" s="10" t="s">
        <v>27</v>
      </c>
      <c r="H6" s="15"/>
      <c r="I6" s="18" t="s">
        <v>27</v>
      </c>
      <c r="J6" s="12"/>
      <c r="K6" s="18" t="s">
        <v>27</v>
      </c>
      <c r="L6" s="12"/>
      <c r="M6" s="18" t="s">
        <v>27</v>
      </c>
      <c r="N6" s="12"/>
      <c r="O6" s="18" t="s">
        <v>27</v>
      </c>
      <c r="P6" s="12"/>
      <c r="Q6" s="18" t="s">
        <v>27</v>
      </c>
      <c r="R6" s="160"/>
      <c r="S6" s="161" t="s">
        <v>27</v>
      </c>
      <c r="T6" s="162"/>
      <c r="U6" s="161" t="s">
        <v>27</v>
      </c>
      <c r="V6" s="162"/>
      <c r="W6" s="161" t="s">
        <v>27</v>
      </c>
      <c r="X6" s="162"/>
      <c r="Y6" s="161" t="s">
        <v>27</v>
      </c>
      <c r="Z6" s="163" t="s">
        <v>27</v>
      </c>
    </row>
    <row r="7" spans="1:28" ht="60.65" customHeight="1" x14ac:dyDescent="0.35">
      <c r="A7" s="559"/>
      <c r="B7" s="13" t="s">
        <v>29</v>
      </c>
      <c r="C7" s="104" t="s">
        <v>30</v>
      </c>
      <c r="D7" s="16" t="s">
        <v>29</v>
      </c>
      <c r="E7" s="105" t="s">
        <v>30</v>
      </c>
      <c r="F7" s="13" t="s">
        <v>29</v>
      </c>
      <c r="G7" s="104" t="s">
        <v>30</v>
      </c>
      <c r="H7" s="16" t="s">
        <v>29</v>
      </c>
      <c r="I7" s="105" t="s">
        <v>30</v>
      </c>
      <c r="J7" s="13" t="s">
        <v>29</v>
      </c>
      <c r="K7" s="105" t="s">
        <v>30</v>
      </c>
      <c r="L7" s="13" t="s">
        <v>29</v>
      </c>
      <c r="M7" s="105" t="s">
        <v>30</v>
      </c>
      <c r="N7" s="13" t="s">
        <v>29</v>
      </c>
      <c r="O7" s="105" t="s">
        <v>30</v>
      </c>
      <c r="P7" s="13" t="s">
        <v>29</v>
      </c>
      <c r="Q7" s="105" t="s">
        <v>30</v>
      </c>
      <c r="R7" s="164" t="s">
        <v>29</v>
      </c>
      <c r="S7" s="165" t="s">
        <v>31</v>
      </c>
      <c r="T7" s="165" t="s">
        <v>29</v>
      </c>
      <c r="U7" s="165" t="s">
        <v>31</v>
      </c>
      <c r="V7" s="165" t="s">
        <v>29</v>
      </c>
      <c r="W7" s="165" t="s">
        <v>31</v>
      </c>
      <c r="X7" s="165" t="s">
        <v>29</v>
      </c>
      <c r="Y7" s="165" t="s">
        <v>31</v>
      </c>
      <c r="Z7" s="159" t="s">
        <v>106</v>
      </c>
    </row>
    <row r="8" spans="1:28" x14ac:dyDescent="0.35">
      <c r="A8" s="166" t="s">
        <v>42</v>
      </c>
      <c r="B8" s="14">
        <v>1</v>
      </c>
      <c r="C8" s="11">
        <v>2</v>
      </c>
      <c r="D8" s="17">
        <v>3</v>
      </c>
      <c r="E8" s="20">
        <v>4</v>
      </c>
      <c r="F8" s="14">
        <v>5</v>
      </c>
      <c r="G8" s="11">
        <v>6</v>
      </c>
      <c r="H8" s="17">
        <v>7</v>
      </c>
      <c r="I8" s="20">
        <v>8</v>
      </c>
      <c r="J8" s="14">
        <v>9</v>
      </c>
      <c r="K8" s="20">
        <v>10</v>
      </c>
      <c r="L8" s="14">
        <v>11</v>
      </c>
      <c r="M8" s="20">
        <v>12</v>
      </c>
      <c r="N8" s="14">
        <v>13</v>
      </c>
      <c r="O8" s="20">
        <v>14</v>
      </c>
      <c r="P8" s="14">
        <v>15</v>
      </c>
      <c r="Q8" s="20">
        <v>16</v>
      </c>
      <c r="R8" s="9">
        <v>17</v>
      </c>
      <c r="S8" s="167">
        <v>18</v>
      </c>
      <c r="T8" s="167">
        <v>19</v>
      </c>
      <c r="U8" s="167">
        <v>20</v>
      </c>
      <c r="V8" s="167">
        <v>21</v>
      </c>
      <c r="W8" s="167">
        <v>22</v>
      </c>
      <c r="X8" s="167">
        <v>23</v>
      </c>
      <c r="Y8" s="167">
        <v>24</v>
      </c>
      <c r="Z8" s="168">
        <v>25</v>
      </c>
    </row>
    <row r="9" spans="1:28" ht="49.4" customHeight="1" x14ac:dyDescent="0.35">
      <c r="A9" s="8" t="s">
        <v>36</v>
      </c>
      <c r="B9" s="24">
        <v>341</v>
      </c>
      <c r="C9" s="26">
        <v>47471.81</v>
      </c>
      <c r="D9" s="24">
        <v>321</v>
      </c>
      <c r="E9" s="26">
        <v>44611.71</v>
      </c>
      <c r="F9" s="24">
        <v>316</v>
      </c>
      <c r="G9" s="26">
        <v>48262.38</v>
      </c>
      <c r="H9" s="24">
        <v>292</v>
      </c>
      <c r="I9" s="26">
        <v>43583.21</v>
      </c>
      <c r="J9" s="25">
        <v>310</v>
      </c>
      <c r="K9" s="31">
        <v>44229.87</v>
      </c>
      <c r="L9" s="24">
        <v>290</v>
      </c>
      <c r="M9" s="26">
        <v>41556.879999999997</v>
      </c>
      <c r="N9" s="25">
        <v>330</v>
      </c>
      <c r="O9" s="31">
        <v>41335.589999999997</v>
      </c>
      <c r="P9" s="24">
        <v>286</v>
      </c>
      <c r="Q9" s="26">
        <v>41895.21</v>
      </c>
      <c r="R9" s="169">
        <f t="shared" ref="R9:S11" si="0">(N9+P9)/2</f>
        <v>308</v>
      </c>
      <c r="S9" s="170">
        <f>(O9+Q9)/2</f>
        <v>41615.399999999994</v>
      </c>
      <c r="T9" s="169">
        <f t="shared" ref="T9:Y11" si="1">R9</f>
        <v>308</v>
      </c>
      <c r="U9" s="170">
        <f t="shared" si="1"/>
        <v>41615.399999999994</v>
      </c>
      <c r="V9" s="169">
        <f t="shared" si="1"/>
        <v>308</v>
      </c>
      <c r="W9" s="170">
        <f t="shared" si="1"/>
        <v>41615.399999999994</v>
      </c>
      <c r="X9" s="169">
        <f t="shared" si="1"/>
        <v>308</v>
      </c>
      <c r="Y9" s="170">
        <f t="shared" si="1"/>
        <v>41615.399999999994</v>
      </c>
      <c r="Z9" s="171">
        <f t="shared" ref="Z9:Z11" si="2">G9+I9+K9+M9+O9+Q9+S9+U9+W9+Y9+E9+C9</f>
        <v>519408.26</v>
      </c>
      <c r="AA9" s="172">
        <f>B9+D9+F9+H9+J9+L9+N9+P9+R9+T9+V9+X9</f>
        <v>3718</v>
      </c>
      <c r="AB9" s="173">
        <f>ROUND(Z9/AA9,2)</f>
        <v>139.69999999999999</v>
      </c>
    </row>
    <row r="10" spans="1:28" ht="49.4" customHeight="1" x14ac:dyDescent="0.35">
      <c r="A10" s="8" t="s">
        <v>37</v>
      </c>
      <c r="B10" s="24">
        <v>473</v>
      </c>
      <c r="C10" s="26">
        <v>121443.11</v>
      </c>
      <c r="D10" s="24">
        <v>453</v>
      </c>
      <c r="E10" s="26">
        <v>117342.04</v>
      </c>
      <c r="F10" s="24">
        <v>432</v>
      </c>
      <c r="G10" s="26">
        <v>110019.74</v>
      </c>
      <c r="H10" s="24">
        <v>447</v>
      </c>
      <c r="I10" s="26">
        <v>121240.99</v>
      </c>
      <c r="J10" s="25">
        <v>429</v>
      </c>
      <c r="K10" s="31">
        <v>110632.48</v>
      </c>
      <c r="L10" s="24">
        <v>410</v>
      </c>
      <c r="M10" s="26">
        <v>104573.21</v>
      </c>
      <c r="N10" s="25">
        <v>447</v>
      </c>
      <c r="O10" s="31">
        <v>107975.57</v>
      </c>
      <c r="P10" s="24">
        <v>403</v>
      </c>
      <c r="Q10" s="26">
        <v>104421.98</v>
      </c>
      <c r="R10" s="169">
        <f t="shared" si="0"/>
        <v>425</v>
      </c>
      <c r="S10" s="170">
        <f t="shared" si="0"/>
        <v>106198.77499999999</v>
      </c>
      <c r="T10" s="169">
        <f t="shared" si="1"/>
        <v>425</v>
      </c>
      <c r="U10" s="170">
        <f t="shared" si="1"/>
        <v>106198.77499999999</v>
      </c>
      <c r="V10" s="169">
        <f t="shared" si="1"/>
        <v>425</v>
      </c>
      <c r="W10" s="170">
        <f t="shared" si="1"/>
        <v>106198.77499999999</v>
      </c>
      <c r="X10" s="169">
        <f t="shared" si="1"/>
        <v>425</v>
      </c>
      <c r="Y10" s="170">
        <f t="shared" si="1"/>
        <v>106198.77499999999</v>
      </c>
      <c r="Z10" s="171">
        <f t="shared" si="2"/>
        <v>1322444.2200000002</v>
      </c>
      <c r="AA10" s="172">
        <f t="shared" ref="AA10:AA11" si="3">B10+D10+F10+H10+J10+L10+N10+P10+R10+T10+V10+X10</f>
        <v>5194</v>
      </c>
      <c r="AB10" s="173">
        <f t="shared" ref="AB10:AB11" si="4">ROUND(Z10/AA10,2)</f>
        <v>254.61</v>
      </c>
    </row>
    <row r="11" spans="1:28" ht="49.4" customHeight="1" x14ac:dyDescent="0.35">
      <c r="A11" s="8" t="s">
        <v>38</v>
      </c>
      <c r="B11" s="24">
        <v>140</v>
      </c>
      <c r="C11" s="26">
        <v>14032.12</v>
      </c>
      <c r="D11" s="24">
        <v>104</v>
      </c>
      <c r="E11" s="26">
        <v>10261.61</v>
      </c>
      <c r="F11" s="24">
        <v>83</v>
      </c>
      <c r="G11" s="26">
        <v>7838.05</v>
      </c>
      <c r="H11" s="24">
        <v>99</v>
      </c>
      <c r="I11" s="26">
        <v>11645.8</v>
      </c>
      <c r="J11" s="25">
        <v>89</v>
      </c>
      <c r="K11" s="31">
        <v>7083.16</v>
      </c>
      <c r="L11" s="24">
        <v>78</v>
      </c>
      <c r="M11" s="26">
        <v>7225.36</v>
      </c>
      <c r="N11" s="25">
        <v>115</v>
      </c>
      <c r="O11" s="31">
        <v>9749.6299999999992</v>
      </c>
      <c r="P11" s="24">
        <v>75</v>
      </c>
      <c r="Q11" s="26">
        <v>7163.61</v>
      </c>
      <c r="R11" s="169">
        <f t="shared" si="0"/>
        <v>95</v>
      </c>
      <c r="S11" s="170">
        <f t="shared" si="0"/>
        <v>8456.619999999999</v>
      </c>
      <c r="T11" s="169">
        <f t="shared" si="1"/>
        <v>95</v>
      </c>
      <c r="U11" s="170">
        <f t="shared" si="1"/>
        <v>8456.619999999999</v>
      </c>
      <c r="V11" s="169">
        <f t="shared" si="1"/>
        <v>95</v>
      </c>
      <c r="W11" s="170">
        <f t="shared" si="1"/>
        <v>8456.619999999999</v>
      </c>
      <c r="X11" s="169">
        <f t="shared" si="1"/>
        <v>95</v>
      </c>
      <c r="Y11" s="170">
        <f t="shared" si="1"/>
        <v>8456.619999999999</v>
      </c>
      <c r="Z11" s="171">
        <f t="shared" si="2"/>
        <v>108825.81999999998</v>
      </c>
      <c r="AA11" s="172">
        <f t="shared" si="3"/>
        <v>1163</v>
      </c>
      <c r="AB11" s="173">
        <f t="shared" si="4"/>
        <v>93.57</v>
      </c>
    </row>
    <row r="12" spans="1:28" x14ac:dyDescent="0.35">
      <c r="Z12" s="174">
        <f>SUM(Z9:Z11)</f>
        <v>1950678.3000000003</v>
      </c>
    </row>
    <row r="15" spans="1:28" x14ac:dyDescent="0.35">
      <c r="A15" s="559" t="s">
        <v>41</v>
      </c>
      <c r="B15" s="558" t="s">
        <v>163</v>
      </c>
      <c r="C15" s="558"/>
      <c r="D15" s="558" t="s">
        <v>163</v>
      </c>
      <c r="E15" s="558"/>
      <c r="F15" s="558" t="s">
        <v>163</v>
      </c>
      <c r="G15" s="558"/>
      <c r="H15" s="558" t="s">
        <v>163</v>
      </c>
      <c r="I15" s="558"/>
      <c r="J15" s="558" t="s">
        <v>163</v>
      </c>
      <c r="K15" s="558"/>
      <c r="L15" s="558" t="s">
        <v>163</v>
      </c>
      <c r="M15" s="558"/>
      <c r="N15" s="558" t="s">
        <v>163</v>
      </c>
      <c r="O15" s="558"/>
      <c r="P15" s="558" t="s">
        <v>163</v>
      </c>
      <c r="Q15" s="558"/>
      <c r="R15" s="558" t="s">
        <v>163</v>
      </c>
      <c r="S15" s="558"/>
      <c r="T15" s="558" t="s">
        <v>163</v>
      </c>
      <c r="U15" s="558"/>
      <c r="V15" s="558" t="s">
        <v>163</v>
      </c>
      <c r="W15" s="558"/>
      <c r="X15" s="558" t="s">
        <v>163</v>
      </c>
      <c r="Y15" s="558"/>
      <c r="Z15" s="158" t="s">
        <v>163</v>
      </c>
    </row>
    <row r="16" spans="1:28" x14ac:dyDescent="0.35">
      <c r="A16" s="559"/>
      <c r="B16" s="558" t="s">
        <v>95</v>
      </c>
      <c r="C16" s="558"/>
      <c r="D16" s="558" t="s">
        <v>96</v>
      </c>
      <c r="E16" s="558"/>
      <c r="F16" s="558" t="s">
        <v>17</v>
      </c>
      <c r="G16" s="558"/>
      <c r="H16" s="558" t="s">
        <v>18</v>
      </c>
      <c r="I16" s="558"/>
      <c r="J16" s="557" t="s">
        <v>19</v>
      </c>
      <c r="K16" s="563"/>
      <c r="L16" s="558" t="s">
        <v>20</v>
      </c>
      <c r="M16" s="558"/>
      <c r="N16" s="557" t="s">
        <v>21</v>
      </c>
      <c r="O16" s="563"/>
      <c r="P16" s="558" t="s">
        <v>22</v>
      </c>
      <c r="Q16" s="558"/>
      <c r="R16" s="557" t="s">
        <v>23</v>
      </c>
      <c r="S16" s="558"/>
      <c r="T16" s="558" t="s">
        <v>24</v>
      </c>
      <c r="U16" s="558"/>
      <c r="V16" s="558" t="s">
        <v>25</v>
      </c>
      <c r="W16" s="558"/>
      <c r="X16" s="558" t="s">
        <v>26</v>
      </c>
      <c r="Y16" s="558"/>
      <c r="Z16" s="159" t="s">
        <v>39</v>
      </c>
    </row>
    <row r="17" spans="1:26" x14ac:dyDescent="0.35">
      <c r="A17" s="559"/>
      <c r="B17" s="175"/>
      <c r="C17" s="176" t="s">
        <v>27</v>
      </c>
      <c r="D17" s="177"/>
      <c r="E17" s="178" t="s">
        <v>27</v>
      </c>
      <c r="F17" s="175"/>
      <c r="G17" s="176" t="s">
        <v>27</v>
      </c>
      <c r="H17" s="177"/>
      <c r="I17" s="178" t="s">
        <v>27</v>
      </c>
      <c r="J17" s="175"/>
      <c r="K17" s="178" t="s">
        <v>27</v>
      </c>
      <c r="L17" s="175"/>
      <c r="M17" s="178" t="s">
        <v>27</v>
      </c>
      <c r="N17" s="175"/>
      <c r="O17" s="178" t="s">
        <v>27</v>
      </c>
      <c r="P17" s="175"/>
      <c r="Q17" s="178" t="s">
        <v>27</v>
      </c>
      <c r="R17" s="160"/>
      <c r="S17" s="161" t="s">
        <v>27</v>
      </c>
      <c r="T17" s="162"/>
      <c r="U17" s="161" t="s">
        <v>27</v>
      </c>
      <c r="V17" s="162"/>
      <c r="W17" s="161" t="s">
        <v>27</v>
      </c>
      <c r="X17" s="162"/>
      <c r="Y17" s="161" t="s">
        <v>27</v>
      </c>
      <c r="Z17" s="163" t="s">
        <v>27</v>
      </c>
    </row>
    <row r="18" spans="1:26" ht="59.4" customHeight="1" x14ac:dyDescent="0.35">
      <c r="A18" s="559"/>
      <c r="B18" s="179" t="s">
        <v>29</v>
      </c>
      <c r="C18" s="165" t="s">
        <v>31</v>
      </c>
      <c r="D18" s="180" t="s">
        <v>29</v>
      </c>
      <c r="E18" s="165" t="s">
        <v>31</v>
      </c>
      <c r="F18" s="179" t="s">
        <v>29</v>
      </c>
      <c r="G18" s="165" t="s">
        <v>31</v>
      </c>
      <c r="H18" s="180" t="s">
        <v>29</v>
      </c>
      <c r="I18" s="165" t="s">
        <v>31</v>
      </c>
      <c r="J18" s="179" t="s">
        <v>29</v>
      </c>
      <c r="K18" s="165" t="s">
        <v>31</v>
      </c>
      <c r="L18" s="179" t="s">
        <v>29</v>
      </c>
      <c r="M18" s="165" t="s">
        <v>31</v>
      </c>
      <c r="N18" s="179" t="s">
        <v>29</v>
      </c>
      <c r="O18" s="165" t="s">
        <v>31</v>
      </c>
      <c r="P18" s="179" t="s">
        <v>29</v>
      </c>
      <c r="Q18" s="165" t="s">
        <v>31</v>
      </c>
      <c r="R18" s="164" t="s">
        <v>29</v>
      </c>
      <c r="S18" s="165" t="s">
        <v>31</v>
      </c>
      <c r="T18" s="165" t="s">
        <v>29</v>
      </c>
      <c r="U18" s="165" t="s">
        <v>31</v>
      </c>
      <c r="V18" s="165" t="s">
        <v>29</v>
      </c>
      <c r="W18" s="165" t="s">
        <v>31</v>
      </c>
      <c r="X18" s="165" t="s">
        <v>29</v>
      </c>
      <c r="Y18" s="165" t="s">
        <v>31</v>
      </c>
      <c r="Z18" s="159" t="s">
        <v>106</v>
      </c>
    </row>
    <row r="19" spans="1:26" x14ac:dyDescent="0.35">
      <c r="A19" s="166" t="s">
        <v>42</v>
      </c>
      <c r="B19" s="107">
        <v>1</v>
      </c>
      <c r="C19" s="9">
        <v>2</v>
      </c>
      <c r="D19" s="108">
        <v>3</v>
      </c>
      <c r="E19" s="109">
        <v>4</v>
      </c>
      <c r="F19" s="107">
        <v>5</v>
      </c>
      <c r="G19" s="9">
        <v>6</v>
      </c>
      <c r="H19" s="108">
        <v>7</v>
      </c>
      <c r="I19" s="109">
        <v>8</v>
      </c>
      <c r="J19" s="107">
        <v>9</v>
      </c>
      <c r="K19" s="109">
        <v>10</v>
      </c>
      <c r="L19" s="107">
        <v>11</v>
      </c>
      <c r="M19" s="109">
        <v>12</v>
      </c>
      <c r="N19" s="107">
        <v>13</v>
      </c>
      <c r="O19" s="109">
        <v>14</v>
      </c>
      <c r="P19" s="107">
        <v>15</v>
      </c>
      <c r="Q19" s="109">
        <v>16</v>
      </c>
      <c r="R19" s="9">
        <v>17</v>
      </c>
      <c r="S19" s="167">
        <v>18</v>
      </c>
      <c r="T19" s="167">
        <v>19</v>
      </c>
      <c r="U19" s="167">
        <v>20</v>
      </c>
      <c r="V19" s="167">
        <v>21</v>
      </c>
      <c r="W19" s="167">
        <v>22</v>
      </c>
      <c r="X19" s="167">
        <v>23</v>
      </c>
      <c r="Y19" s="167">
        <v>24</v>
      </c>
      <c r="Z19" s="168">
        <v>25</v>
      </c>
    </row>
    <row r="20" spans="1:26" ht="49.4" customHeight="1" x14ac:dyDescent="0.35">
      <c r="A20" s="8" t="s">
        <v>220</v>
      </c>
      <c r="B20" s="169">
        <f>ROUNDUP(AVERAGE(B9,D9,F9,H9,J9,L9,N9,P9,R9,T9,V9,X9)*1.05,0)</f>
        <v>326</v>
      </c>
      <c r="C20" s="170">
        <f>B20*AB9</f>
        <v>45542.2</v>
      </c>
      <c r="D20" s="169">
        <f t="shared" ref="D20:Y20" si="5">B20</f>
        <v>326</v>
      </c>
      <c r="E20" s="170">
        <f t="shared" si="5"/>
        <v>45542.2</v>
      </c>
      <c r="F20" s="169">
        <f t="shared" si="5"/>
        <v>326</v>
      </c>
      <c r="G20" s="170">
        <f t="shared" si="5"/>
        <v>45542.2</v>
      </c>
      <c r="H20" s="169">
        <f t="shared" si="5"/>
        <v>326</v>
      </c>
      <c r="I20" s="170">
        <f t="shared" si="5"/>
        <v>45542.2</v>
      </c>
      <c r="J20" s="169">
        <f t="shared" si="5"/>
        <v>326</v>
      </c>
      <c r="K20" s="170">
        <f t="shared" si="5"/>
        <v>45542.2</v>
      </c>
      <c r="L20" s="169">
        <f t="shared" si="5"/>
        <v>326</v>
      </c>
      <c r="M20" s="170">
        <f t="shared" si="5"/>
        <v>45542.2</v>
      </c>
      <c r="N20" s="169">
        <f t="shared" si="5"/>
        <v>326</v>
      </c>
      <c r="O20" s="170">
        <f t="shared" si="5"/>
        <v>45542.2</v>
      </c>
      <c r="P20" s="169">
        <f t="shared" si="5"/>
        <v>326</v>
      </c>
      <c r="Q20" s="170">
        <f t="shared" si="5"/>
        <v>45542.2</v>
      </c>
      <c r="R20" s="169">
        <f t="shared" si="5"/>
        <v>326</v>
      </c>
      <c r="S20" s="170">
        <f t="shared" si="5"/>
        <v>45542.2</v>
      </c>
      <c r="T20" s="169">
        <f t="shared" si="5"/>
        <v>326</v>
      </c>
      <c r="U20" s="170">
        <f t="shared" si="5"/>
        <v>45542.2</v>
      </c>
      <c r="V20" s="169">
        <f t="shared" si="5"/>
        <v>326</v>
      </c>
      <c r="W20" s="170">
        <f t="shared" si="5"/>
        <v>45542.2</v>
      </c>
      <c r="X20" s="169">
        <f t="shared" si="5"/>
        <v>326</v>
      </c>
      <c r="Y20" s="170">
        <f t="shared" si="5"/>
        <v>45542.2</v>
      </c>
      <c r="Z20" s="171">
        <f t="shared" ref="Z20:Z22" si="6">G20+I20+K20+M20+O20+Q20+S20+U20+W20+Y20+E20+C20</f>
        <v>546506.4</v>
      </c>
    </row>
    <row r="21" spans="1:26" ht="49.4" customHeight="1" x14ac:dyDescent="0.35">
      <c r="A21" s="8" t="s">
        <v>221</v>
      </c>
      <c r="B21" s="169">
        <f>ROUNDUP(AVERAGE(B10,D10,F10,H10,J10,L10,N10,P10,R10,T10,V10,X10)*1.05,0)</f>
        <v>455</v>
      </c>
      <c r="C21" s="170">
        <f>B21*AB10</f>
        <v>115847.55</v>
      </c>
      <c r="D21" s="169">
        <f t="shared" ref="D21:D22" si="7">B21</f>
        <v>455</v>
      </c>
      <c r="E21" s="170">
        <f t="shared" ref="E21:E22" si="8">C21</f>
        <v>115847.55</v>
      </c>
      <c r="F21" s="169">
        <f t="shared" ref="F21:F22" si="9">D21</f>
        <v>455</v>
      </c>
      <c r="G21" s="170">
        <f t="shared" ref="G21:G22" si="10">E21</f>
        <v>115847.55</v>
      </c>
      <c r="H21" s="169">
        <f t="shared" ref="H21:H22" si="11">F21</f>
        <v>455</v>
      </c>
      <c r="I21" s="170">
        <f t="shared" ref="I21:I22" si="12">G21</f>
        <v>115847.55</v>
      </c>
      <c r="J21" s="169">
        <f t="shared" ref="J21:J22" si="13">H21</f>
        <v>455</v>
      </c>
      <c r="K21" s="170">
        <f t="shared" ref="K21:K22" si="14">I21</f>
        <v>115847.55</v>
      </c>
      <c r="L21" s="169">
        <f t="shared" ref="L21:L22" si="15">J21</f>
        <v>455</v>
      </c>
      <c r="M21" s="170">
        <f t="shared" ref="M21:M22" si="16">K21</f>
        <v>115847.55</v>
      </c>
      <c r="N21" s="169">
        <f t="shared" ref="N21:N22" si="17">L21</f>
        <v>455</v>
      </c>
      <c r="O21" s="170">
        <f t="shared" ref="O21:O22" si="18">M21</f>
        <v>115847.55</v>
      </c>
      <c r="P21" s="169">
        <f t="shared" ref="P21:P22" si="19">N21</f>
        <v>455</v>
      </c>
      <c r="Q21" s="170">
        <f t="shared" ref="Q21:Q22" si="20">O21</f>
        <v>115847.55</v>
      </c>
      <c r="R21" s="169">
        <f t="shared" ref="R21:R22" si="21">P21</f>
        <v>455</v>
      </c>
      <c r="S21" s="170">
        <f t="shared" ref="S21:S22" si="22">Q21</f>
        <v>115847.55</v>
      </c>
      <c r="T21" s="169">
        <f t="shared" ref="T21:T22" si="23">R21</f>
        <v>455</v>
      </c>
      <c r="U21" s="170">
        <f t="shared" ref="U21:U22" si="24">S21</f>
        <v>115847.55</v>
      </c>
      <c r="V21" s="169">
        <f t="shared" ref="V21:V22" si="25">T21</f>
        <v>455</v>
      </c>
      <c r="W21" s="170">
        <f t="shared" ref="W21:W22" si="26">U21</f>
        <v>115847.55</v>
      </c>
      <c r="X21" s="169">
        <f t="shared" ref="X21:X22" si="27">V21</f>
        <v>455</v>
      </c>
      <c r="Y21" s="170">
        <f t="shared" ref="Y21:Y22" si="28">W21</f>
        <v>115847.55</v>
      </c>
      <c r="Z21" s="171">
        <f t="shared" si="6"/>
        <v>1390170.6000000003</v>
      </c>
    </row>
    <row r="22" spans="1:26" ht="49.4" customHeight="1" x14ac:dyDescent="0.35">
      <c r="A22" s="8" t="s">
        <v>222</v>
      </c>
      <c r="B22" s="169">
        <f>ROUNDUP(AVERAGE(B11,D11,F11,H11,J11,L11,N11,P11,R11,T11,V11,X11)*1.05,0)</f>
        <v>102</v>
      </c>
      <c r="C22" s="170">
        <f>B22*AB11</f>
        <v>9544.14</v>
      </c>
      <c r="D22" s="169">
        <f t="shared" si="7"/>
        <v>102</v>
      </c>
      <c r="E22" s="170">
        <f t="shared" si="8"/>
        <v>9544.14</v>
      </c>
      <c r="F22" s="169">
        <f t="shared" si="9"/>
        <v>102</v>
      </c>
      <c r="G22" s="170">
        <f t="shared" si="10"/>
        <v>9544.14</v>
      </c>
      <c r="H22" s="169">
        <f t="shared" si="11"/>
        <v>102</v>
      </c>
      <c r="I22" s="170">
        <f t="shared" si="12"/>
        <v>9544.14</v>
      </c>
      <c r="J22" s="169">
        <f t="shared" si="13"/>
        <v>102</v>
      </c>
      <c r="K22" s="170">
        <f t="shared" si="14"/>
        <v>9544.14</v>
      </c>
      <c r="L22" s="169">
        <f t="shared" si="15"/>
        <v>102</v>
      </c>
      <c r="M22" s="170">
        <f t="shared" si="16"/>
        <v>9544.14</v>
      </c>
      <c r="N22" s="169">
        <f t="shared" si="17"/>
        <v>102</v>
      </c>
      <c r="O22" s="170">
        <f t="shared" si="18"/>
        <v>9544.14</v>
      </c>
      <c r="P22" s="169">
        <f t="shared" si="19"/>
        <v>102</v>
      </c>
      <c r="Q22" s="170">
        <f t="shared" si="20"/>
        <v>9544.14</v>
      </c>
      <c r="R22" s="169">
        <f t="shared" si="21"/>
        <v>102</v>
      </c>
      <c r="S22" s="170">
        <f t="shared" si="22"/>
        <v>9544.14</v>
      </c>
      <c r="T22" s="169">
        <f t="shared" si="23"/>
        <v>102</v>
      </c>
      <c r="U22" s="170">
        <f t="shared" si="24"/>
        <v>9544.14</v>
      </c>
      <c r="V22" s="169">
        <f t="shared" si="25"/>
        <v>102</v>
      </c>
      <c r="W22" s="170">
        <f t="shared" si="26"/>
        <v>9544.14</v>
      </c>
      <c r="X22" s="169">
        <f t="shared" si="27"/>
        <v>102</v>
      </c>
      <c r="Y22" s="170">
        <f t="shared" si="28"/>
        <v>9544.14</v>
      </c>
      <c r="Z22" s="171">
        <f t="shared" si="6"/>
        <v>114529.68</v>
      </c>
    </row>
    <row r="23" spans="1:26" x14ac:dyDescent="0.35">
      <c r="Z23" s="174">
        <f>ROUND(SUM(Z20:Z22),0)</f>
        <v>2051207</v>
      </c>
    </row>
    <row r="24" spans="1:26" ht="47.4" customHeight="1" x14ac:dyDescent="0.35">
      <c r="A24" s="561" t="s">
        <v>293</v>
      </c>
      <c r="B24" s="562"/>
      <c r="C24" s="562"/>
      <c r="D24" s="562"/>
      <c r="E24" s="562"/>
      <c r="F24" s="562"/>
      <c r="G24" s="562"/>
      <c r="H24" s="562"/>
      <c r="I24" s="562"/>
      <c r="J24" s="562"/>
      <c r="K24" s="562"/>
      <c r="L24" s="562"/>
      <c r="M24" s="562"/>
      <c r="N24" s="562"/>
      <c r="O24" s="562"/>
      <c r="P24" s="562"/>
      <c r="Q24" s="562"/>
      <c r="R24" s="562"/>
      <c r="S24" s="562"/>
      <c r="T24" s="562"/>
      <c r="U24" s="562"/>
      <c r="V24" s="562"/>
      <c r="W24" s="562"/>
      <c r="X24" s="562"/>
      <c r="Y24" s="562"/>
      <c r="Z24" s="562"/>
    </row>
    <row r="25" spans="1:26" ht="17.399999999999999" customHeight="1" x14ac:dyDescent="0.35">
      <c r="A25" s="561" t="s">
        <v>223</v>
      </c>
      <c r="B25" s="562"/>
      <c r="C25" s="562"/>
      <c r="D25" s="562"/>
      <c r="E25" s="562"/>
      <c r="F25" s="562"/>
      <c r="G25" s="562"/>
      <c r="H25" s="562"/>
      <c r="I25" s="562"/>
      <c r="J25" s="562"/>
      <c r="K25" s="562"/>
      <c r="L25" s="562"/>
      <c r="M25" s="562"/>
      <c r="N25" s="562"/>
      <c r="O25" s="562"/>
      <c r="P25" s="562"/>
      <c r="Q25" s="562"/>
      <c r="R25" s="562"/>
      <c r="S25" s="562"/>
      <c r="T25" s="562"/>
      <c r="U25" s="562"/>
      <c r="V25" s="562"/>
      <c r="W25" s="562"/>
      <c r="X25" s="562"/>
      <c r="Y25" s="562"/>
      <c r="Z25" s="562"/>
    </row>
    <row r="26" spans="1:26" ht="17.399999999999999" customHeight="1" x14ac:dyDescent="0.35">
      <c r="A26" s="561" t="s">
        <v>224</v>
      </c>
      <c r="B26" s="562"/>
      <c r="C26" s="562"/>
      <c r="D26" s="562"/>
      <c r="E26" s="562"/>
      <c r="F26" s="562"/>
      <c r="G26" s="562"/>
      <c r="H26" s="562"/>
      <c r="I26" s="562"/>
      <c r="J26" s="562"/>
      <c r="K26" s="562"/>
      <c r="L26" s="562"/>
      <c r="M26" s="562"/>
      <c r="N26" s="562"/>
      <c r="O26" s="562"/>
      <c r="P26" s="562"/>
      <c r="Q26" s="562"/>
      <c r="R26" s="562"/>
      <c r="S26" s="562"/>
      <c r="T26" s="562"/>
      <c r="U26" s="562"/>
      <c r="V26" s="562"/>
      <c r="W26" s="562"/>
      <c r="X26" s="562"/>
      <c r="Y26" s="562"/>
      <c r="Z26" s="562"/>
    </row>
    <row r="27" spans="1:26" ht="17.399999999999999" customHeight="1" x14ac:dyDescent="0.35">
      <c r="A27" s="561" t="s">
        <v>225</v>
      </c>
      <c r="B27" s="562"/>
      <c r="C27" s="562"/>
      <c r="D27" s="562"/>
      <c r="E27" s="562"/>
      <c r="F27" s="562"/>
      <c r="G27" s="562"/>
      <c r="H27" s="562"/>
      <c r="I27" s="562"/>
      <c r="J27" s="562"/>
      <c r="K27" s="562"/>
      <c r="L27" s="562"/>
      <c r="M27" s="562"/>
      <c r="N27" s="562"/>
      <c r="O27" s="562"/>
      <c r="P27" s="562"/>
      <c r="Q27" s="562"/>
      <c r="R27" s="562"/>
      <c r="S27" s="562"/>
      <c r="T27" s="562"/>
      <c r="U27" s="562"/>
      <c r="V27" s="562"/>
      <c r="W27" s="562"/>
      <c r="X27" s="562"/>
      <c r="Y27" s="562"/>
      <c r="Z27" s="562"/>
    </row>
  </sheetData>
  <mergeCells count="57">
    <mergeCell ref="A27:Z27"/>
    <mergeCell ref="T16:U16"/>
    <mergeCell ref="V16:W16"/>
    <mergeCell ref="X16:Y16"/>
    <mergeCell ref="A24:Z24"/>
    <mergeCell ref="A25:Z25"/>
    <mergeCell ref="A26:Z26"/>
    <mergeCell ref="A15:A18"/>
    <mergeCell ref="B15:C15"/>
    <mergeCell ref="D15:E15"/>
    <mergeCell ref="F15:G15"/>
    <mergeCell ref="H15:I15"/>
    <mergeCell ref="J15:K15"/>
    <mergeCell ref="X15:Y15"/>
    <mergeCell ref="B16:C16"/>
    <mergeCell ref="D16:E16"/>
    <mergeCell ref="F16:G16"/>
    <mergeCell ref="H16:I16"/>
    <mergeCell ref="J16:K16"/>
    <mergeCell ref="L16:M16"/>
    <mergeCell ref="N16:O16"/>
    <mergeCell ref="P16:Q16"/>
    <mergeCell ref="R16:S16"/>
    <mergeCell ref="L15:M15"/>
    <mergeCell ref="N15:O15"/>
    <mergeCell ref="P15:Q15"/>
    <mergeCell ref="R15:S15"/>
    <mergeCell ref="T15:U15"/>
    <mergeCell ref="V15:W15"/>
    <mergeCell ref="V5:W5"/>
    <mergeCell ref="X5:Y5"/>
    <mergeCell ref="A1:Z1"/>
    <mergeCell ref="A2:Z2"/>
    <mergeCell ref="A3:Z3"/>
    <mergeCell ref="V4:W4"/>
    <mergeCell ref="X4:Y4"/>
    <mergeCell ref="B5:C5"/>
    <mergeCell ref="D5:E5"/>
    <mergeCell ref="F5:G5"/>
    <mergeCell ref="H5:I5"/>
    <mergeCell ref="J5:K5"/>
    <mergeCell ref="L5:M5"/>
    <mergeCell ref="N5:O5"/>
    <mergeCell ref="R4:S4"/>
    <mergeCell ref="T4:U4"/>
    <mergeCell ref="A4:A7"/>
    <mergeCell ref="B4:C4"/>
    <mergeCell ref="D4:E4"/>
    <mergeCell ref="F4:G4"/>
    <mergeCell ref="H4:I4"/>
    <mergeCell ref="P5:Q5"/>
    <mergeCell ref="J4:K4"/>
    <mergeCell ref="L4:M4"/>
    <mergeCell ref="N4:O4"/>
    <mergeCell ref="P4:Q4"/>
    <mergeCell ref="R5:S5"/>
    <mergeCell ref="T5:U5"/>
  </mergeCells>
  <pageMargins left="0.70866141732283472" right="0.70866141732283472" top="0.74803149606299213" bottom="0.74803149606299213" header="0.31496062992125984" footer="0.31496062992125984"/>
  <pageSetup paperSize="9" scale="48"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15834F-CA43-4BE9-8B5D-24B16ED8850E}">
  <dimension ref="A1:AA22"/>
  <sheetViews>
    <sheetView zoomScale="60" zoomScaleNormal="60" workbookViewId="0">
      <selection activeCell="Z29" sqref="Z29"/>
    </sheetView>
  </sheetViews>
  <sheetFormatPr defaultColWidth="8.90625" defaultRowHeight="14.5" x14ac:dyDescent="0.35"/>
  <cols>
    <col min="1" max="1" width="25.08984375" style="1" customWidth="1"/>
    <col min="2" max="2" width="8.90625" style="1"/>
    <col min="3" max="3" width="7" style="1" customWidth="1"/>
    <col min="4" max="4" width="11.08984375" style="1" customWidth="1"/>
    <col min="5" max="5" width="7" style="1" customWidth="1"/>
    <col min="6" max="6" width="11.08984375" style="1" customWidth="1"/>
    <col min="7" max="7" width="7" style="1" customWidth="1"/>
    <col min="8" max="8" width="11.08984375" style="1" customWidth="1"/>
    <col min="9" max="9" width="7" style="1" customWidth="1"/>
    <col min="10" max="10" width="11.08984375" style="1" customWidth="1"/>
    <col min="11" max="11" width="7" style="1" customWidth="1"/>
    <col min="12" max="12" width="11.08984375" style="1" customWidth="1"/>
    <col min="13" max="13" width="7" style="1" customWidth="1"/>
    <col min="14" max="14" width="11.08984375" style="1" customWidth="1"/>
    <col min="15" max="15" width="7" style="1" customWidth="1"/>
    <col min="16" max="16" width="11.08984375" style="1" customWidth="1"/>
    <col min="17" max="17" width="7" style="1" customWidth="1"/>
    <col min="18" max="18" width="11.08984375" style="1" customWidth="1"/>
    <col min="19" max="19" width="7" style="1" customWidth="1"/>
    <col min="20" max="20" width="11.08984375" style="1" customWidth="1"/>
    <col min="21" max="21" width="7" style="1" customWidth="1"/>
    <col min="22" max="22" width="11.08984375" style="1" customWidth="1"/>
    <col min="23" max="23" width="7" style="1" customWidth="1"/>
    <col min="24" max="24" width="11.08984375" style="1" customWidth="1"/>
    <col min="25" max="25" width="7" style="1" customWidth="1"/>
    <col min="26" max="27" width="11.08984375" style="1" customWidth="1"/>
    <col min="28" max="16384" width="8.90625" style="1"/>
  </cols>
  <sheetData>
    <row r="1" spans="1:27" s="145" customFormat="1" ht="18" x14ac:dyDescent="0.35">
      <c r="A1" s="503" t="s">
        <v>150</v>
      </c>
      <c r="B1" s="503"/>
      <c r="C1" s="503"/>
      <c r="D1" s="503"/>
      <c r="E1" s="503"/>
      <c r="F1" s="503"/>
      <c r="G1" s="503"/>
      <c r="H1" s="503"/>
      <c r="I1" s="503"/>
      <c r="J1" s="503"/>
      <c r="K1" s="503"/>
      <c r="L1" s="503"/>
      <c r="M1" s="503"/>
      <c r="N1" s="503"/>
      <c r="O1" s="503"/>
      <c r="P1" s="503"/>
      <c r="Q1" s="503"/>
      <c r="R1" s="503"/>
      <c r="S1" s="503"/>
      <c r="T1" s="503"/>
      <c r="U1" s="503"/>
      <c r="V1" s="503"/>
      <c r="W1" s="503"/>
      <c r="X1" s="503"/>
      <c r="Y1" s="503"/>
      <c r="Z1" s="503"/>
      <c r="AA1" s="503"/>
    </row>
    <row r="2" spans="1:27" s="145" customFormat="1" ht="18" x14ac:dyDescent="0.35">
      <c r="A2" s="503" t="s">
        <v>162</v>
      </c>
      <c r="B2" s="503"/>
      <c r="C2" s="503"/>
      <c r="D2" s="503"/>
      <c r="E2" s="503"/>
      <c r="F2" s="503"/>
      <c r="G2" s="503"/>
      <c r="H2" s="503"/>
      <c r="I2" s="503"/>
      <c r="J2" s="503"/>
      <c r="K2" s="503"/>
      <c r="L2" s="503"/>
      <c r="M2" s="503"/>
      <c r="N2" s="503"/>
      <c r="O2" s="503"/>
      <c r="P2" s="503"/>
      <c r="Q2" s="503"/>
      <c r="R2" s="503"/>
      <c r="S2" s="503"/>
      <c r="T2" s="503"/>
      <c r="U2" s="503"/>
      <c r="V2" s="503"/>
      <c r="W2" s="503"/>
      <c r="X2" s="503"/>
      <c r="Y2" s="503"/>
      <c r="Z2" s="503"/>
      <c r="AA2" s="503"/>
    </row>
    <row r="3" spans="1:27" s="145" customFormat="1" ht="42" customHeight="1" thickBot="1" x14ac:dyDescent="0.4">
      <c r="A3" s="504" t="str">
        <f>'Ietekme uz valsts budžetu 2024'!B213</f>
        <v>4.13. Atbalsta sniegšana Ukrainas civiliedzīvotājiem, kuri sasnieguši likumā "Par valsts pensijām" noteikto vecuma pensijas piešķiršanai nepieciešamo vecumu, bet kuriem nav tiesību uz vecuma pensiju Latvijas Republikā</v>
      </c>
      <c r="B3" s="504"/>
      <c r="C3" s="504"/>
      <c r="D3" s="504"/>
      <c r="E3" s="504"/>
      <c r="F3" s="504"/>
      <c r="G3" s="504"/>
      <c r="H3" s="504"/>
      <c r="I3" s="504"/>
      <c r="J3" s="504"/>
      <c r="K3" s="504"/>
      <c r="L3" s="504"/>
      <c r="M3" s="504"/>
      <c r="N3" s="504"/>
      <c r="O3" s="504"/>
      <c r="P3" s="504"/>
      <c r="Q3" s="504"/>
      <c r="R3" s="504"/>
      <c r="S3" s="504"/>
      <c r="T3" s="504"/>
      <c r="U3" s="504"/>
      <c r="V3" s="504"/>
      <c r="W3" s="504"/>
      <c r="X3" s="504"/>
      <c r="Y3" s="504"/>
      <c r="Z3" s="504"/>
      <c r="AA3" s="504"/>
    </row>
    <row r="4" spans="1:27" s="99" customFormat="1" ht="26.15" customHeight="1" thickBot="1" x14ac:dyDescent="0.35">
      <c r="A4" s="146" t="s">
        <v>214</v>
      </c>
      <c r="B4" s="147"/>
      <c r="C4" s="147"/>
      <c r="D4" s="147"/>
      <c r="E4" s="147"/>
      <c r="F4" s="147"/>
      <c r="G4" s="147"/>
      <c r="H4" s="147"/>
      <c r="I4" s="147"/>
      <c r="J4" s="147"/>
      <c r="K4" s="147"/>
      <c r="L4" s="147"/>
      <c r="M4" s="147"/>
      <c r="N4" s="147"/>
      <c r="O4" s="147"/>
      <c r="P4" s="384"/>
      <c r="Q4" s="384"/>
      <c r="R4" s="384"/>
      <c r="S4" s="384"/>
      <c r="T4" s="384"/>
      <c r="U4" s="384"/>
      <c r="V4" s="385"/>
      <c r="W4" s="547" t="s">
        <v>213</v>
      </c>
      <c r="X4" s="548"/>
      <c r="Y4" s="548"/>
      <c r="Z4" s="548"/>
      <c r="AA4" s="549"/>
    </row>
    <row r="5" spans="1:27" s="99" customFormat="1" ht="14" x14ac:dyDescent="0.3">
      <c r="A5" s="444" t="s">
        <v>15</v>
      </c>
      <c r="B5" s="445"/>
      <c r="C5" s="437" t="s">
        <v>90</v>
      </c>
      <c r="D5" s="438"/>
      <c r="E5" s="437" t="s">
        <v>90</v>
      </c>
      <c r="F5" s="438"/>
      <c r="G5" s="437" t="s">
        <v>90</v>
      </c>
      <c r="H5" s="438"/>
      <c r="I5" s="437" t="s">
        <v>90</v>
      </c>
      <c r="J5" s="438"/>
      <c r="K5" s="437" t="s">
        <v>90</v>
      </c>
      <c r="L5" s="438"/>
      <c r="M5" s="437" t="s">
        <v>90</v>
      </c>
      <c r="N5" s="438"/>
      <c r="O5" s="437" t="s">
        <v>90</v>
      </c>
      <c r="P5" s="438"/>
      <c r="Q5" s="437" t="s">
        <v>90</v>
      </c>
      <c r="R5" s="438"/>
      <c r="S5" s="553" t="s">
        <v>90</v>
      </c>
      <c r="T5" s="554"/>
      <c r="U5" s="553" t="s">
        <v>90</v>
      </c>
      <c r="V5" s="554"/>
      <c r="W5" s="553" t="s">
        <v>90</v>
      </c>
      <c r="X5" s="554"/>
      <c r="Y5" s="553" t="s">
        <v>90</v>
      </c>
      <c r="Z5" s="556"/>
      <c r="AA5" s="148" t="s">
        <v>90</v>
      </c>
    </row>
    <row r="6" spans="1:27" s="99" customFormat="1" ht="14.4" customHeight="1" x14ac:dyDescent="0.3">
      <c r="A6" s="442" t="s">
        <v>16</v>
      </c>
      <c r="B6" s="443"/>
      <c r="C6" s="431" t="s">
        <v>97</v>
      </c>
      <c r="D6" s="432"/>
      <c r="E6" s="431" t="s">
        <v>55</v>
      </c>
      <c r="F6" s="432"/>
      <c r="G6" s="431" t="s">
        <v>56</v>
      </c>
      <c r="H6" s="432"/>
      <c r="I6" s="433" t="s">
        <v>57</v>
      </c>
      <c r="J6" s="434"/>
      <c r="K6" s="431" t="s">
        <v>58</v>
      </c>
      <c r="L6" s="432"/>
      <c r="M6" s="431" t="s">
        <v>59</v>
      </c>
      <c r="N6" s="432"/>
      <c r="O6" s="431" t="s">
        <v>60</v>
      </c>
      <c r="P6" s="432"/>
      <c r="Q6" s="433" t="s">
        <v>89</v>
      </c>
      <c r="R6" s="433"/>
      <c r="S6" s="550" t="s">
        <v>98</v>
      </c>
      <c r="T6" s="551"/>
      <c r="U6" s="550" t="s">
        <v>99</v>
      </c>
      <c r="V6" s="551"/>
      <c r="W6" s="550" t="s">
        <v>100</v>
      </c>
      <c r="X6" s="551"/>
      <c r="Y6" s="550" t="s">
        <v>101</v>
      </c>
      <c r="Z6" s="552"/>
      <c r="AA6" s="149" t="s">
        <v>39</v>
      </c>
    </row>
    <row r="7" spans="1:27" s="99" customFormat="1" ht="14" x14ac:dyDescent="0.3">
      <c r="A7" s="435" t="s">
        <v>35</v>
      </c>
      <c r="B7" s="436"/>
      <c r="C7" s="27"/>
      <c r="D7" s="28" t="s">
        <v>27</v>
      </c>
      <c r="E7" s="27"/>
      <c r="F7" s="28" t="s">
        <v>27</v>
      </c>
      <c r="G7" s="27"/>
      <c r="H7" s="28" t="s">
        <v>27</v>
      </c>
      <c r="I7" s="66"/>
      <c r="J7" s="66" t="s">
        <v>27</v>
      </c>
      <c r="K7" s="27"/>
      <c r="L7" s="28" t="s">
        <v>27</v>
      </c>
      <c r="M7" s="27"/>
      <c r="N7" s="28" t="s">
        <v>27</v>
      </c>
      <c r="O7" s="34"/>
      <c r="P7" s="28" t="s">
        <v>27</v>
      </c>
      <c r="Q7" s="66"/>
      <c r="R7" s="66" t="s">
        <v>27</v>
      </c>
      <c r="S7" s="120"/>
      <c r="T7" s="121" t="s">
        <v>27</v>
      </c>
      <c r="U7" s="120"/>
      <c r="V7" s="121" t="s">
        <v>27</v>
      </c>
      <c r="W7" s="120"/>
      <c r="X7" s="121" t="s">
        <v>27</v>
      </c>
      <c r="Y7" s="120"/>
      <c r="Z7" s="150" t="s">
        <v>27</v>
      </c>
      <c r="AA7" s="151" t="s">
        <v>27</v>
      </c>
    </row>
    <row r="8" spans="1:27" s="99" customFormat="1" ht="65.150000000000006" customHeight="1" x14ac:dyDescent="0.3">
      <c r="A8" s="2" t="s">
        <v>28</v>
      </c>
      <c r="B8" s="2" t="s">
        <v>61</v>
      </c>
      <c r="C8" s="29" t="s">
        <v>62</v>
      </c>
      <c r="D8" s="30" t="s">
        <v>30</v>
      </c>
      <c r="E8" s="29" t="s">
        <v>62</v>
      </c>
      <c r="F8" s="30" t="s">
        <v>30</v>
      </c>
      <c r="G8" s="29" t="s">
        <v>62</v>
      </c>
      <c r="H8" s="30" t="s">
        <v>30</v>
      </c>
      <c r="I8" s="29" t="s">
        <v>62</v>
      </c>
      <c r="J8" s="30" t="s">
        <v>30</v>
      </c>
      <c r="K8" s="29" t="s">
        <v>62</v>
      </c>
      <c r="L8" s="30" t="s">
        <v>30</v>
      </c>
      <c r="M8" s="29" t="s">
        <v>62</v>
      </c>
      <c r="N8" s="30" t="s">
        <v>30</v>
      </c>
      <c r="O8" s="29" t="s">
        <v>62</v>
      </c>
      <c r="P8" s="30" t="s">
        <v>30</v>
      </c>
      <c r="Q8" s="35" t="s">
        <v>62</v>
      </c>
      <c r="R8" s="32" t="s">
        <v>30</v>
      </c>
      <c r="S8" s="122" t="s">
        <v>62</v>
      </c>
      <c r="T8" s="32" t="s">
        <v>30</v>
      </c>
      <c r="U8" s="122" t="s">
        <v>62</v>
      </c>
      <c r="V8" s="32" t="s">
        <v>30</v>
      </c>
      <c r="W8" s="122" t="s">
        <v>62</v>
      </c>
      <c r="X8" s="123" t="s">
        <v>31</v>
      </c>
      <c r="Y8" s="122" t="s">
        <v>62</v>
      </c>
      <c r="Z8" s="123" t="s">
        <v>31</v>
      </c>
      <c r="AA8" s="152" t="s">
        <v>31</v>
      </c>
    </row>
    <row r="9" spans="1:27" s="99" customFormat="1" ht="14" x14ac:dyDescent="0.3">
      <c r="A9" s="3" t="s">
        <v>32</v>
      </c>
      <c r="B9" s="3" t="s">
        <v>63</v>
      </c>
      <c r="C9" s="4">
        <v>1</v>
      </c>
      <c r="D9" s="5">
        <v>2</v>
      </c>
      <c r="E9" s="4">
        <v>3</v>
      </c>
      <c r="F9" s="5">
        <v>4</v>
      </c>
      <c r="G9" s="6">
        <v>5</v>
      </c>
      <c r="H9" s="7">
        <v>6</v>
      </c>
      <c r="I9" s="4">
        <v>7</v>
      </c>
      <c r="J9" s="5">
        <v>8</v>
      </c>
      <c r="K9" s="4">
        <v>9</v>
      </c>
      <c r="L9" s="5">
        <v>10</v>
      </c>
      <c r="M9" s="4">
        <v>11</v>
      </c>
      <c r="N9" s="5">
        <v>12</v>
      </c>
      <c r="O9" s="6">
        <v>13</v>
      </c>
      <c r="P9" s="33">
        <v>14</v>
      </c>
      <c r="Q9" s="4">
        <v>15</v>
      </c>
      <c r="R9" s="5">
        <v>16</v>
      </c>
      <c r="S9" s="132">
        <v>17</v>
      </c>
      <c r="T9" s="133">
        <v>18</v>
      </c>
      <c r="U9" s="132">
        <v>19</v>
      </c>
      <c r="V9" s="133">
        <v>20</v>
      </c>
      <c r="W9" s="132">
        <v>21</v>
      </c>
      <c r="X9" s="133">
        <v>22</v>
      </c>
      <c r="Y9" s="132">
        <v>23</v>
      </c>
      <c r="Z9" s="153">
        <v>24</v>
      </c>
      <c r="AA9" s="154">
        <v>25</v>
      </c>
    </row>
    <row r="10" spans="1:27" s="99" customFormat="1" ht="50.15" customHeight="1" thickBot="1" x14ac:dyDescent="0.35">
      <c r="A10" s="59" t="s">
        <v>217</v>
      </c>
      <c r="B10" s="60" t="s">
        <v>77</v>
      </c>
      <c r="C10" s="61">
        <v>82</v>
      </c>
      <c r="D10" s="62">
        <v>9262.5400000000009</v>
      </c>
      <c r="E10" s="61">
        <v>93</v>
      </c>
      <c r="F10" s="62">
        <v>10738.63</v>
      </c>
      <c r="G10" s="61">
        <v>109</v>
      </c>
      <c r="H10" s="62">
        <v>19224.559999999998</v>
      </c>
      <c r="I10" s="61">
        <v>120</v>
      </c>
      <c r="J10" s="62">
        <v>13827.31</v>
      </c>
      <c r="K10" s="61">
        <v>138</v>
      </c>
      <c r="L10" s="62">
        <v>19660.440000000002</v>
      </c>
      <c r="M10" s="61">
        <v>148</v>
      </c>
      <c r="N10" s="62">
        <v>19081.650000000001</v>
      </c>
      <c r="O10" s="61">
        <v>158</v>
      </c>
      <c r="P10" s="62">
        <v>20900.169999999998</v>
      </c>
      <c r="Q10" s="61">
        <v>181</v>
      </c>
      <c r="R10" s="62">
        <v>23245.33</v>
      </c>
      <c r="S10" s="126">
        <v>201</v>
      </c>
      <c r="T10" s="127">
        <v>31047.48</v>
      </c>
      <c r="U10" s="126">
        <v>217</v>
      </c>
      <c r="V10" s="127">
        <v>28655.49</v>
      </c>
      <c r="W10" s="126">
        <v>238.70000000000002</v>
      </c>
      <c r="X10" s="127">
        <v>29837.500000000004</v>
      </c>
      <c r="Y10" s="126">
        <v>262.57000000000005</v>
      </c>
      <c r="Z10" s="128">
        <v>32821.250000000007</v>
      </c>
      <c r="AA10" s="155">
        <f t="shared" ref="AA10" si="0">F10+H10+J10+L10+N10+P10+R10+T10+V10+X10+Z10+D10</f>
        <v>258302.35</v>
      </c>
    </row>
    <row r="11" spans="1:27" s="99" customFormat="1" ht="26.5" customHeight="1" x14ac:dyDescent="0.3">
      <c r="A11" s="567" t="s">
        <v>309</v>
      </c>
      <c r="B11" s="567"/>
      <c r="C11" s="567"/>
      <c r="D11" s="567"/>
      <c r="E11" s="567"/>
      <c r="F11" s="567"/>
      <c r="G11" s="567"/>
      <c r="H11" s="567"/>
      <c r="I11" s="567"/>
      <c r="J11" s="567"/>
      <c r="K11" s="567"/>
      <c r="L11" s="567"/>
      <c r="M11" s="567"/>
      <c r="N11" s="567"/>
      <c r="O11" s="567"/>
      <c r="P11" s="567"/>
      <c r="Q11" s="567"/>
      <c r="R11" s="567"/>
      <c r="S11" s="567"/>
      <c r="T11" s="567"/>
      <c r="Z11" s="100"/>
    </row>
    <row r="12" spans="1:27" s="99" customFormat="1" ht="14" x14ac:dyDescent="0.3">
      <c r="E12" s="156"/>
      <c r="G12" s="156"/>
      <c r="I12" s="156"/>
      <c r="K12" s="156"/>
      <c r="M12" s="156"/>
      <c r="O12" s="156"/>
      <c r="Q12" s="156"/>
      <c r="S12" s="156"/>
      <c r="Z12" s="100"/>
    </row>
    <row r="13" spans="1:27" s="99" customFormat="1" ht="14" x14ac:dyDescent="0.3">
      <c r="S13" s="157"/>
      <c r="Z13" s="100"/>
    </row>
    <row r="14" spans="1:27" ht="15" thickBot="1" x14ac:dyDescent="0.4"/>
    <row r="15" spans="1:27" s="99" customFormat="1" ht="26.15" customHeight="1" thickBot="1" x14ac:dyDescent="0.35">
      <c r="A15" s="146" t="s">
        <v>215</v>
      </c>
      <c r="B15" s="147"/>
      <c r="C15" s="547" t="s">
        <v>213</v>
      </c>
      <c r="D15" s="548"/>
      <c r="E15" s="548"/>
      <c r="F15" s="548"/>
      <c r="G15" s="548"/>
      <c r="H15" s="548"/>
      <c r="I15" s="548"/>
      <c r="J15" s="548"/>
      <c r="K15" s="548"/>
      <c r="L15" s="548"/>
      <c r="M15" s="548"/>
      <c r="N15" s="548"/>
      <c r="O15" s="548"/>
      <c r="P15" s="548"/>
      <c r="Q15" s="548"/>
      <c r="R15" s="548"/>
      <c r="S15" s="548"/>
      <c r="T15" s="548"/>
      <c r="U15" s="548"/>
      <c r="V15" s="548"/>
      <c r="W15" s="548"/>
      <c r="X15" s="548"/>
      <c r="Y15" s="548"/>
      <c r="Z15" s="548"/>
      <c r="AA15" s="549"/>
    </row>
    <row r="16" spans="1:27" s="99" customFormat="1" ht="14" x14ac:dyDescent="0.3">
      <c r="A16" s="444" t="s">
        <v>15</v>
      </c>
      <c r="B16" s="445"/>
      <c r="C16" s="437" t="s">
        <v>163</v>
      </c>
      <c r="D16" s="438"/>
      <c r="E16" s="437" t="s">
        <v>163</v>
      </c>
      <c r="F16" s="438"/>
      <c r="G16" s="437" t="s">
        <v>163</v>
      </c>
      <c r="H16" s="438"/>
      <c r="I16" s="437" t="s">
        <v>163</v>
      </c>
      <c r="J16" s="438"/>
      <c r="K16" s="437" t="s">
        <v>163</v>
      </c>
      <c r="L16" s="438"/>
      <c r="M16" s="437" t="s">
        <v>163</v>
      </c>
      <c r="N16" s="438"/>
      <c r="O16" s="437" t="s">
        <v>163</v>
      </c>
      <c r="P16" s="438"/>
      <c r="Q16" s="437" t="s">
        <v>163</v>
      </c>
      <c r="R16" s="438"/>
      <c r="S16" s="437" t="s">
        <v>163</v>
      </c>
      <c r="T16" s="438"/>
      <c r="U16" s="437" t="s">
        <v>163</v>
      </c>
      <c r="V16" s="438"/>
      <c r="W16" s="437" t="s">
        <v>163</v>
      </c>
      <c r="X16" s="438"/>
      <c r="Y16" s="437" t="s">
        <v>163</v>
      </c>
      <c r="Z16" s="438"/>
      <c r="AA16" s="148" t="s">
        <v>163</v>
      </c>
    </row>
    <row r="17" spans="1:27" s="99" customFormat="1" ht="14.4" customHeight="1" x14ac:dyDescent="0.3">
      <c r="A17" s="442" t="s">
        <v>16</v>
      </c>
      <c r="B17" s="443"/>
      <c r="C17" s="431" t="s">
        <v>97</v>
      </c>
      <c r="D17" s="432"/>
      <c r="E17" s="431" t="s">
        <v>55</v>
      </c>
      <c r="F17" s="432"/>
      <c r="G17" s="431" t="s">
        <v>56</v>
      </c>
      <c r="H17" s="432"/>
      <c r="I17" s="433" t="s">
        <v>57</v>
      </c>
      <c r="J17" s="434"/>
      <c r="K17" s="431" t="s">
        <v>58</v>
      </c>
      <c r="L17" s="432"/>
      <c r="M17" s="431" t="s">
        <v>59</v>
      </c>
      <c r="N17" s="432"/>
      <c r="O17" s="431" t="s">
        <v>60</v>
      </c>
      <c r="P17" s="432"/>
      <c r="Q17" s="433" t="s">
        <v>89</v>
      </c>
      <c r="R17" s="433"/>
      <c r="S17" s="550" t="s">
        <v>98</v>
      </c>
      <c r="T17" s="551"/>
      <c r="U17" s="550" t="s">
        <v>99</v>
      </c>
      <c r="V17" s="551"/>
      <c r="W17" s="550" t="s">
        <v>100</v>
      </c>
      <c r="X17" s="551"/>
      <c r="Y17" s="550" t="s">
        <v>101</v>
      </c>
      <c r="Z17" s="552"/>
      <c r="AA17" s="149" t="s">
        <v>39</v>
      </c>
    </row>
    <row r="18" spans="1:27" s="99" customFormat="1" ht="14" x14ac:dyDescent="0.3">
      <c r="A18" s="435" t="s">
        <v>35</v>
      </c>
      <c r="B18" s="436"/>
      <c r="C18" s="27"/>
      <c r="D18" s="28" t="s">
        <v>27</v>
      </c>
      <c r="E18" s="27"/>
      <c r="F18" s="28" t="s">
        <v>27</v>
      </c>
      <c r="G18" s="27"/>
      <c r="H18" s="28" t="s">
        <v>27</v>
      </c>
      <c r="I18" s="66"/>
      <c r="J18" s="66" t="s">
        <v>27</v>
      </c>
      <c r="K18" s="27"/>
      <c r="L18" s="28" t="s">
        <v>27</v>
      </c>
      <c r="M18" s="27"/>
      <c r="N18" s="28" t="s">
        <v>27</v>
      </c>
      <c r="O18" s="34"/>
      <c r="P18" s="28" t="s">
        <v>27</v>
      </c>
      <c r="Q18" s="66"/>
      <c r="R18" s="66" t="s">
        <v>27</v>
      </c>
      <c r="S18" s="120"/>
      <c r="T18" s="121" t="s">
        <v>27</v>
      </c>
      <c r="U18" s="120"/>
      <c r="V18" s="121" t="s">
        <v>27</v>
      </c>
      <c r="W18" s="120"/>
      <c r="X18" s="121" t="s">
        <v>27</v>
      </c>
      <c r="Y18" s="120"/>
      <c r="Z18" s="150" t="s">
        <v>27</v>
      </c>
      <c r="AA18" s="151" t="s">
        <v>27</v>
      </c>
    </row>
    <row r="19" spans="1:27" s="99" customFormat="1" ht="65.150000000000006" customHeight="1" x14ac:dyDescent="0.3">
      <c r="A19" s="2" t="s">
        <v>28</v>
      </c>
      <c r="B19" s="2" t="s">
        <v>61</v>
      </c>
      <c r="C19" s="29" t="s">
        <v>62</v>
      </c>
      <c r="D19" s="30" t="s">
        <v>30</v>
      </c>
      <c r="E19" s="29" t="s">
        <v>62</v>
      </c>
      <c r="F19" s="30" t="s">
        <v>30</v>
      </c>
      <c r="G19" s="29" t="s">
        <v>62</v>
      </c>
      <c r="H19" s="30" t="s">
        <v>30</v>
      </c>
      <c r="I19" s="29" t="s">
        <v>62</v>
      </c>
      <c r="J19" s="30" t="s">
        <v>30</v>
      </c>
      <c r="K19" s="29" t="s">
        <v>62</v>
      </c>
      <c r="L19" s="30" t="s">
        <v>30</v>
      </c>
      <c r="M19" s="29" t="s">
        <v>62</v>
      </c>
      <c r="N19" s="30" t="s">
        <v>30</v>
      </c>
      <c r="O19" s="29" t="s">
        <v>62</v>
      </c>
      <c r="P19" s="30" t="s">
        <v>30</v>
      </c>
      <c r="Q19" s="35" t="s">
        <v>62</v>
      </c>
      <c r="R19" s="32" t="s">
        <v>30</v>
      </c>
      <c r="S19" s="122" t="s">
        <v>62</v>
      </c>
      <c r="T19" s="123" t="s">
        <v>31</v>
      </c>
      <c r="U19" s="122" t="s">
        <v>62</v>
      </c>
      <c r="V19" s="123" t="s">
        <v>31</v>
      </c>
      <c r="W19" s="122" t="s">
        <v>62</v>
      </c>
      <c r="X19" s="123" t="s">
        <v>31</v>
      </c>
      <c r="Y19" s="122" t="s">
        <v>62</v>
      </c>
      <c r="Z19" s="123" t="s">
        <v>31</v>
      </c>
      <c r="AA19" s="152" t="s">
        <v>31</v>
      </c>
    </row>
    <row r="20" spans="1:27" s="99" customFormat="1" ht="14" x14ac:dyDescent="0.3">
      <c r="A20" s="3" t="s">
        <v>32</v>
      </c>
      <c r="B20" s="3" t="s">
        <v>63</v>
      </c>
      <c r="C20" s="4">
        <v>1</v>
      </c>
      <c r="D20" s="5">
        <v>2</v>
      </c>
      <c r="E20" s="4">
        <v>3</v>
      </c>
      <c r="F20" s="5">
        <v>4</v>
      </c>
      <c r="G20" s="6">
        <v>5</v>
      </c>
      <c r="H20" s="7">
        <v>6</v>
      </c>
      <c r="I20" s="4">
        <v>7</v>
      </c>
      <c r="J20" s="5">
        <v>8</v>
      </c>
      <c r="K20" s="4">
        <v>9</v>
      </c>
      <c r="L20" s="5">
        <v>10</v>
      </c>
      <c r="M20" s="4">
        <v>11</v>
      </c>
      <c r="N20" s="5">
        <v>12</v>
      </c>
      <c r="O20" s="6">
        <v>13</v>
      </c>
      <c r="P20" s="33">
        <v>14</v>
      </c>
      <c r="Q20" s="4">
        <v>15</v>
      </c>
      <c r="R20" s="5">
        <v>16</v>
      </c>
      <c r="S20" s="132">
        <v>17</v>
      </c>
      <c r="T20" s="133">
        <v>18</v>
      </c>
      <c r="U20" s="132">
        <v>19</v>
      </c>
      <c r="V20" s="133">
        <v>20</v>
      </c>
      <c r="W20" s="132">
        <v>21</v>
      </c>
      <c r="X20" s="133">
        <v>22</v>
      </c>
      <c r="Y20" s="132">
        <v>23</v>
      </c>
      <c r="Z20" s="153">
        <v>24</v>
      </c>
      <c r="AA20" s="154">
        <v>25</v>
      </c>
    </row>
    <row r="21" spans="1:27" s="99" customFormat="1" ht="50.15" customHeight="1" thickBot="1" x14ac:dyDescent="0.35">
      <c r="A21" s="59" t="s">
        <v>217</v>
      </c>
      <c r="B21" s="60" t="s">
        <v>77</v>
      </c>
      <c r="C21" s="61">
        <f>ROUND(Y10*1.05,0)</f>
        <v>276</v>
      </c>
      <c r="D21" s="62">
        <f>C21*125</f>
        <v>34500</v>
      </c>
      <c r="E21" s="61">
        <f>ROUND(C21*1.05,0)</f>
        <v>290</v>
      </c>
      <c r="F21" s="62">
        <f>E21*137</f>
        <v>39730</v>
      </c>
      <c r="G21" s="61">
        <f>ROUND(E21*1.05,0)</f>
        <v>305</v>
      </c>
      <c r="H21" s="62">
        <f>G21*137</f>
        <v>41785</v>
      </c>
      <c r="I21" s="61">
        <f>ROUND(G21*1.05,0)</f>
        <v>320</v>
      </c>
      <c r="J21" s="62">
        <f>I21*137</f>
        <v>43840</v>
      </c>
      <c r="K21" s="61">
        <f>ROUND(I21*1.05,0)</f>
        <v>336</v>
      </c>
      <c r="L21" s="62">
        <f>K21*137</f>
        <v>46032</v>
      </c>
      <c r="M21" s="61">
        <f>ROUND(K21*1.05,0)</f>
        <v>353</v>
      </c>
      <c r="N21" s="62">
        <f>M21*137</f>
        <v>48361</v>
      </c>
      <c r="O21" s="61">
        <f>ROUND(M21*1.05,0)</f>
        <v>371</v>
      </c>
      <c r="P21" s="62">
        <f>O21*137</f>
        <v>50827</v>
      </c>
      <c r="Q21" s="61">
        <f>ROUND(O21*1.05,0)</f>
        <v>390</v>
      </c>
      <c r="R21" s="62">
        <f>Q21*137</f>
        <v>53430</v>
      </c>
      <c r="S21" s="61">
        <f>ROUND(Q21*1.05,0)</f>
        <v>410</v>
      </c>
      <c r="T21" s="62">
        <f>S21*137</f>
        <v>56170</v>
      </c>
      <c r="U21" s="61">
        <f>ROUND(S21*1.05,0)</f>
        <v>431</v>
      </c>
      <c r="V21" s="62">
        <f>U21*137</f>
        <v>59047</v>
      </c>
      <c r="W21" s="61">
        <f>ROUND(U21*1.05,0)</f>
        <v>453</v>
      </c>
      <c r="X21" s="62">
        <f>W21*137</f>
        <v>62061</v>
      </c>
      <c r="Y21" s="61">
        <f>ROUND(W21*1.05,0)</f>
        <v>476</v>
      </c>
      <c r="Z21" s="62">
        <f>Y21*137</f>
        <v>65212</v>
      </c>
      <c r="AA21" s="155">
        <f t="shared" ref="AA21" si="1">F21+H21+J21+L21+N21+P21+R21+T21+V21+X21+Z21+D21</f>
        <v>600995</v>
      </c>
    </row>
    <row r="22" spans="1:27" s="99" customFormat="1" ht="14" x14ac:dyDescent="0.3">
      <c r="A22" s="98" t="s">
        <v>310</v>
      </c>
      <c r="Z22" s="100"/>
    </row>
  </sheetData>
  <mergeCells count="60">
    <mergeCell ref="K5:L5"/>
    <mergeCell ref="M5:N5"/>
    <mergeCell ref="O5:P5"/>
    <mergeCell ref="Q5:R5"/>
    <mergeCell ref="A5:B5"/>
    <mergeCell ref="C5:D5"/>
    <mergeCell ref="E5:F5"/>
    <mergeCell ref="G5:H5"/>
    <mergeCell ref="I5:J5"/>
    <mergeCell ref="A1:AA1"/>
    <mergeCell ref="A2:AA2"/>
    <mergeCell ref="A3:AA3"/>
    <mergeCell ref="M6:N6"/>
    <mergeCell ref="O6:P6"/>
    <mergeCell ref="Q6:R6"/>
    <mergeCell ref="S6:T6"/>
    <mergeCell ref="U6:V6"/>
    <mergeCell ref="W6:X6"/>
    <mergeCell ref="S5:T5"/>
    <mergeCell ref="U5:V5"/>
    <mergeCell ref="W5:X5"/>
    <mergeCell ref="Y5:Z5"/>
    <mergeCell ref="A6:B6"/>
    <mergeCell ref="C6:D6"/>
    <mergeCell ref="E6:F6"/>
    <mergeCell ref="M16:N16"/>
    <mergeCell ref="O16:P16"/>
    <mergeCell ref="Q16:R16"/>
    <mergeCell ref="Y6:Z6"/>
    <mergeCell ref="A7:B7"/>
    <mergeCell ref="G6:H6"/>
    <mergeCell ref="I6:J6"/>
    <mergeCell ref="K6:L6"/>
    <mergeCell ref="A11:T11"/>
    <mergeCell ref="E17:F17"/>
    <mergeCell ref="G17:H17"/>
    <mergeCell ref="I17:J17"/>
    <mergeCell ref="K17:L17"/>
    <mergeCell ref="A16:B16"/>
    <mergeCell ref="C16:D16"/>
    <mergeCell ref="E16:F16"/>
    <mergeCell ref="G16:H16"/>
    <mergeCell ref="I16:J16"/>
    <mergeCell ref="K16:L16"/>
    <mergeCell ref="W4:AA4"/>
    <mergeCell ref="Y17:Z17"/>
    <mergeCell ref="A18:B18"/>
    <mergeCell ref="C15:AA15"/>
    <mergeCell ref="M17:N17"/>
    <mergeCell ref="O17:P17"/>
    <mergeCell ref="Q17:R17"/>
    <mergeCell ref="S17:T17"/>
    <mergeCell ref="U17:V17"/>
    <mergeCell ref="W17:X17"/>
    <mergeCell ref="S16:T16"/>
    <mergeCell ref="U16:V16"/>
    <mergeCell ref="W16:X16"/>
    <mergeCell ref="Y16:Z16"/>
    <mergeCell ref="A17:B17"/>
    <mergeCell ref="C17:D17"/>
  </mergeCells>
  <pageMargins left="0.70866141732283472" right="0.70866141732283472" top="0.74803149606299213" bottom="0.74803149606299213" header="0.31496062992125984" footer="0.31496062992125984"/>
  <pageSetup paperSize="9" scale="49"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Ietekme uz valsts budžetu 2024</vt:lpstr>
      <vt:lpstr>1.tab.</vt:lpstr>
      <vt:lpstr>2.tab.</vt:lpstr>
      <vt:lpstr>3.tab.</vt:lpstr>
      <vt:lpstr>4.tab.</vt:lpstr>
      <vt:lpstr>5.tab.</vt:lpstr>
      <vt:lpstr>6.tab.</vt:lpstr>
      <vt:lpstr>7.tab.</vt:lpstr>
      <vt:lpstr>8.tab.</vt:lpstr>
      <vt:lpstr>9.tab.</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2015-06-05T18:17:20Z</dcterms:created>
  <dcterms:modified xsi:type="dcterms:W3CDTF">2023-12-14T11:09:29Z</dcterms:modified>
  <cp:category/>
</cp:coreProperties>
</file>