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VM_Sanita_Lazdina\Downloads\"/>
    </mc:Choice>
  </mc:AlternateContent>
  <xr:revisionPtr revIDLastSave="0" documentId="13_ncr:1_{30DA2580-C79D-4788-94E8-5750EBE5C47E}" xr6:coauthVersionLast="47" xr6:coauthVersionMax="47" xr10:uidLastSave="{00000000-0000-0000-0000-000000000000}"/>
  <bookViews>
    <workbookView xWindow="-110" yWindow="-110" windowWidth="19420" windowHeight="10420" firstSheet="1" activeTab="1" xr2:uid="{36ACC99C-C23B-43F1-93D5-E999E7F26916}"/>
  </bookViews>
  <sheets>
    <sheet name="Kopsavilkums" sheetId="17" r:id="rId1"/>
    <sheet name="2025_sept_dec" sheetId="16" r:id="rId2"/>
    <sheet name="2026_I_pusg" sheetId="2" r:id="rId3"/>
    <sheet name="Papildus_specialisti" sheetId="12" r:id="rId4"/>
    <sheet name="Bupenorfīns" sheetId="18" r:id="rId5"/>
    <sheet name="Stacion_interv_BKUS" sheetId="11" r:id="rId6"/>
    <sheet name="Motivācijas_progr." sheetId="7" r:id="rId7"/>
    <sheet name="Izvertesanas_process_BKUS" sheetId="9" r:id="rId8"/>
    <sheet name="Nemedikam_terapija" sheetId="8" r:id="rId9"/>
  </sheets>
  <externalReferences>
    <externalReference r:id="rId10"/>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1" i="18" l="1"/>
  <c r="E50" i="18"/>
  <c r="G46" i="18"/>
  <c r="F42" i="18"/>
  <c r="C6" i="18" s="1"/>
  <c r="F35" i="18"/>
  <c r="F34" i="18"/>
  <c r="F36" i="18" s="1"/>
  <c r="E30" i="18"/>
  <c r="C8" i="18" s="1"/>
  <c r="E29" i="18"/>
  <c r="E28" i="18"/>
  <c r="C23" i="18"/>
  <c r="E52" i="18" l="1"/>
  <c r="C7" i="18" s="1"/>
  <c r="C9" i="18" s="1"/>
  <c r="E15" i="2" l="1"/>
  <c r="E11" i="2"/>
  <c r="F11" i="2" s="1"/>
  <c r="K7" i="12"/>
  <c r="J7" i="12"/>
  <c r="F7" i="12"/>
  <c r="F9" i="12" s="1"/>
  <c r="G9" i="12" s="1"/>
  <c r="D8" i="11"/>
  <c r="D15" i="11"/>
  <c r="D27" i="2"/>
  <c r="F12" i="2"/>
  <c r="F13" i="2"/>
  <c r="F14" i="2"/>
  <c r="F16" i="2"/>
  <c r="F17" i="2"/>
  <c r="F18" i="2"/>
  <c r="E18" i="2"/>
  <c r="E14" i="2"/>
  <c r="E17" i="2"/>
  <c r="E16" i="2"/>
  <c r="E13" i="2"/>
  <c r="E12" i="2"/>
  <c r="E10" i="2"/>
  <c r="F10" i="2" s="1"/>
  <c r="E9" i="2"/>
  <c r="F9" i="2" s="1"/>
  <c r="F15" i="2"/>
  <c r="E8" i="2"/>
  <c r="F8" i="2" s="1"/>
  <c r="C34" i="16"/>
  <c r="I34" i="16"/>
  <c r="J8" i="12"/>
  <c r="K8" i="12" s="1"/>
  <c r="E8" i="12"/>
  <c r="F8" i="12" s="1"/>
  <c r="D7" i="12"/>
  <c r="E7" i="12" s="1"/>
  <c r="K9" i="12" l="1"/>
  <c r="D17" i="2" l="1"/>
  <c r="D15" i="2"/>
  <c r="D13" i="2"/>
  <c r="D11" i="2"/>
  <c r="D10" i="2"/>
  <c r="D9" i="2"/>
  <c r="D8" i="2"/>
  <c r="D27" i="16"/>
  <c r="F30" i="16"/>
  <c r="E30" i="16"/>
  <c r="D29" i="16"/>
  <c r="D37" i="16"/>
  <c r="F33" i="16"/>
  <c r="D33" i="16"/>
  <c r="F32" i="16"/>
  <c r="E32" i="16"/>
  <c r="D32" i="16"/>
  <c r="F31" i="16"/>
  <c r="D31" i="16"/>
  <c r="D30" i="16"/>
  <c r="F29" i="16"/>
  <c r="E29" i="16"/>
  <c r="C18" i="16"/>
  <c r="D18" i="16" s="1"/>
  <c r="D17" i="16"/>
  <c r="C16" i="16"/>
  <c r="D16" i="16" s="1"/>
  <c r="D15" i="16"/>
  <c r="C14" i="16"/>
  <c r="D14" i="16" s="1"/>
  <c r="D13" i="16"/>
  <c r="C12" i="16"/>
  <c r="D12" i="16" s="1"/>
  <c r="D11" i="16"/>
  <c r="D10" i="16"/>
  <c r="D9" i="16"/>
  <c r="D8" i="16"/>
  <c r="G27" i="16" l="1"/>
  <c r="H27" i="16" s="1"/>
  <c r="J27" i="16" s="1"/>
  <c r="G29" i="16"/>
  <c r="H29" i="16" s="1"/>
  <c r="J29" i="16" s="1"/>
  <c r="G31" i="16"/>
  <c r="H31" i="16" s="1"/>
  <c r="J31" i="16" s="1"/>
  <c r="D19" i="16"/>
  <c r="E34" i="16"/>
  <c r="G32" i="16"/>
  <c r="H32" i="16" s="1"/>
  <c r="J32" i="16" s="1"/>
  <c r="F34" i="16"/>
  <c r="G30" i="16"/>
  <c r="H30" i="16" s="1"/>
  <c r="J30" i="16" s="1"/>
  <c r="G33" i="16"/>
  <c r="H33" i="16" s="1"/>
  <c r="J33" i="16" s="1"/>
  <c r="J34" i="16" l="1"/>
  <c r="I37" i="16" s="1"/>
  <c r="G34" i="16"/>
  <c r="H34" i="16" s="1"/>
  <c r="D3" i="16" l="1"/>
  <c r="D37" i="2"/>
  <c r="E37" i="2" s="1"/>
  <c r="C7" i="17" l="1"/>
  <c r="C9" i="17" s="1"/>
  <c r="F29" i="2"/>
  <c r="E29" i="2"/>
  <c r="D29" i="2"/>
  <c r="G29" i="2" s="1"/>
  <c r="H29" i="2" s="1"/>
  <c r="J29" i="2" s="1"/>
  <c r="E19" i="11"/>
  <c r="E8" i="11" s="1"/>
  <c r="C9" i="11"/>
  <c r="D9" i="11" l="1"/>
  <c r="E15" i="11"/>
  <c r="E9" i="11"/>
  <c r="E17" i="11" s="1"/>
  <c r="E20" i="11" s="1"/>
  <c r="G27" i="2" l="1"/>
  <c r="H27" i="2" s="1"/>
  <c r="J27" i="2" s="1"/>
  <c r="D22" i="8" l="1"/>
  <c r="E21" i="8"/>
  <c r="E20" i="8"/>
  <c r="E19" i="8"/>
  <c r="E18" i="8"/>
  <c r="E17" i="8"/>
  <c r="E16" i="8"/>
  <c r="E15" i="8"/>
  <c r="E14" i="8"/>
  <c r="E13" i="8"/>
  <c r="E12" i="8"/>
  <c r="E11" i="8"/>
  <c r="E10" i="8"/>
  <c r="E9" i="8"/>
  <c r="E8" i="8"/>
  <c r="E7" i="8"/>
  <c r="E6" i="8"/>
  <c r="E22" i="8" l="1"/>
  <c r="E24" i="8" s="1"/>
  <c r="E25" i="8" s="1"/>
  <c r="F33" i="2"/>
  <c r="F32" i="2"/>
  <c r="F31" i="2"/>
  <c r="F30" i="2"/>
  <c r="E32" i="2"/>
  <c r="E30" i="2"/>
  <c r="E25" i="7"/>
  <c r="E21" i="7"/>
  <c r="E11" i="7"/>
  <c r="C7" i="7"/>
  <c r="E7" i="7" s="1"/>
  <c r="E9" i="7" s="1"/>
  <c r="E12" i="7" s="1"/>
  <c r="E23" i="7" l="1"/>
  <c r="E26" i="7" s="1"/>
  <c r="I34" i="2"/>
  <c r="D33" i="2"/>
  <c r="G33" i="2" s="1"/>
  <c r="H33" i="2" s="1"/>
  <c r="J33" i="2" s="1"/>
  <c r="D32" i="2"/>
  <c r="G32" i="2" s="1"/>
  <c r="H32" i="2" s="1"/>
  <c r="D31" i="2"/>
  <c r="G31" i="2" s="1"/>
  <c r="H31" i="2" s="1"/>
  <c r="J31" i="2" s="1"/>
  <c r="D30" i="2"/>
  <c r="G30" i="2" s="1"/>
  <c r="C18" i="2"/>
  <c r="C16" i="2"/>
  <c r="C14" i="2"/>
  <c r="C12" i="2"/>
  <c r="D14" i="2" l="1"/>
  <c r="D18" i="2"/>
  <c r="D16" i="2"/>
  <c r="D12" i="2"/>
  <c r="F19" i="2" s="1"/>
  <c r="G34" i="2"/>
  <c r="H34" i="2" s="1"/>
  <c r="H30" i="2"/>
  <c r="J30" i="2" s="1"/>
  <c r="F34" i="2"/>
  <c r="J32" i="2"/>
  <c r="E34" i="2"/>
  <c r="D19" i="2" l="1"/>
  <c r="J34" i="2"/>
  <c r="I37" i="2" l="1"/>
  <c r="D5" i="2" s="1"/>
  <c r="K34" i="2"/>
  <c r="J37" i="2" s="1"/>
  <c r="C5" i="2" s="1"/>
  <c r="D7" i="17" l="1"/>
  <c r="D10" i="1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Kronberga</author>
  </authors>
  <commentList>
    <comment ref="A8" authorId="0" shapeId="0" xr:uid="{7EB6EF6F-4132-4993-84E6-0CC14124B2D1}">
      <text>
        <r>
          <rPr>
            <b/>
            <sz val="9"/>
            <color indexed="81"/>
            <rFont val="Tahoma"/>
            <family val="2"/>
          </rPr>
          <t>Laura Kronberga:</t>
        </r>
        <r>
          <rPr>
            <sz val="9"/>
            <color indexed="81"/>
            <rFont val="Tahoma"/>
            <family val="2"/>
          </rPr>
          <t xml:space="preserve">
Jauna manipulācija, kas balstās uz 13121 pamatprincipiem</t>
        </r>
      </text>
    </comment>
  </commentList>
</comments>
</file>

<file path=xl/sharedStrings.xml><?xml version="1.0" encoding="utf-8"?>
<sst xmlns="http://schemas.openxmlformats.org/spreadsheetml/2006/main" count="379" uniqueCount="223">
  <si>
    <t>Papildus nepieciešamais finansējums narkoloģiskās rehabilitācijas nodrošināšanai (projekta ietvaros)</t>
  </si>
  <si>
    <t>1. Finanšu ietekmes aprēķins</t>
  </si>
  <si>
    <t>Pasākums</t>
  </si>
  <si>
    <t>Tarifs, euro</t>
  </si>
  <si>
    <t>Kopā, euro</t>
  </si>
  <si>
    <t>Apmaksas modelis</t>
  </si>
  <si>
    <t>Pēc faktiski ārstēto pacientu skaita</t>
  </si>
  <si>
    <t xml:space="preserve">Stacionārā psihiskā palīdzība bērniem līdz 30 dienām VSIA "Bērnu klīniskā universitātes slimnīca" </t>
  </si>
  <si>
    <t>pēc faktiskā ar manipulācijām</t>
  </si>
  <si>
    <t>Narkoloģiskā motivācija stacionārā bērniem (30 dienas) slimnīcā "Ģintermuiža"</t>
  </si>
  <si>
    <t>Narkoloģiskā motivācija stacionārā bērniem (60 dienas) slimnīcā "Ģintermuiža"</t>
  </si>
  <si>
    <t>Narkoloģiskā motivācija stacionārā bērniem (30 dienas) Bērnu psihoneiroloģiskā slimnīcā "Ainaži"</t>
  </si>
  <si>
    <t>Narkoloģiskā motivācija stacionārā bērniem (60 dienas) Bērnu psihoneiroloģiskā slimnīcā "Ainaži"</t>
  </si>
  <si>
    <t>KOPĀ</t>
  </si>
  <si>
    <t>Ārsts</t>
  </si>
  <si>
    <t>Māsa</t>
  </si>
  <si>
    <t>Palīgpersonāls</t>
  </si>
  <si>
    <t>Soc.nodoklis </t>
  </si>
  <si>
    <t>Mēneša darba samaksa, euro</t>
  </si>
  <si>
    <t>Kabineta plānotais darbības periods mēnešos 2025. gadā</t>
  </si>
  <si>
    <t>Slodžu plāns 2025.gadam</t>
  </si>
  <si>
    <t>Darba samaksa kopā 2025.gadā, euro</t>
  </si>
  <si>
    <t>Piemaksa  par pieejamības nodrošināšanu un darbu paaugstinātas intensitātes apstākļos,
 euro**</t>
  </si>
  <si>
    <t>Piemaksa par sarežģītību,
euro***</t>
  </si>
  <si>
    <t>VSAOI 2025.gadā, euro</t>
  </si>
  <si>
    <t>Darba samaksa+VSAOI, euro</t>
  </si>
  <si>
    <t>Darbības nodrošināšanai nepieciešamie līdzekļi,
euro</t>
  </si>
  <si>
    <t>Papildus nepieciešamais finansējums 2025. gadam un turpmāk ik gadu, euro</t>
  </si>
  <si>
    <t>Viena multiprofesionālā komanda (ambulatori) VSIA "Bērnu klīniskā universitātes slimnīca"*</t>
  </si>
  <si>
    <t>Atkarību psihiatrs (narkologs)</t>
  </si>
  <si>
    <t>Psihologs</t>
  </si>
  <si>
    <t>Funkcionālie speciālisti</t>
  </si>
  <si>
    <t>* Darba samaksas aprēķinam izmantotas sekojošas likmes: atkarību speciālistam (narkologam) un psihologam, funkcionālam speciālistam  - 2304 euro, māsai - 1388 euro</t>
  </si>
  <si>
    <t xml:space="preserve">** MK noteikumu Nr.555 10.pielikums; </t>
  </si>
  <si>
    <t>***Piemaksa par sarežģītību pēc Psihiatru kabineta principa, kas noteikts MK 555 10.pielikumā</t>
  </si>
  <si>
    <t>Nemedikamentozās terapijas nodrošināšanai (**Rehabilitācijas komandas darbs psihiatrijas iestādē), EUR (60 dienām) slimnīcā "Ģintermuiža"</t>
  </si>
  <si>
    <t>Nemedikamentozās terapijas nodrošināšanai (**Rehabilitācijas komandas darbs psihiatrijas iestādē), EUR (60 dienām) Bērnu psihoneiroloģiskā slimnīcā "Ainaži"</t>
  </si>
  <si>
    <t>Mērvienība</t>
  </si>
  <si>
    <t>1. Samaksa par manipulācijām</t>
  </si>
  <si>
    <t>Manipulācijas kods</t>
  </si>
  <si>
    <t>Manipulācijas nosaukums</t>
  </si>
  <si>
    <t>Slimnīca " Ģintermuiža"</t>
  </si>
  <si>
    <t>Tarifs, EUR</t>
  </si>
  <si>
    <t>Skaits</t>
  </si>
  <si>
    <t>Summa, EUR</t>
  </si>
  <si>
    <t>2. Samaksa par gultasdienām</t>
  </si>
  <si>
    <t>Gultasdienu tarifs, EUR</t>
  </si>
  <si>
    <t>Gultasdienu skaits</t>
  </si>
  <si>
    <t>Pavisam kopā:</t>
  </si>
  <si>
    <t>Pacientu skaits:</t>
  </si>
  <si>
    <t>Vidējais ārstēšanas ilgums</t>
  </si>
  <si>
    <t>Iezīmēto programmu vidējās izmaksas, EUR:</t>
  </si>
  <si>
    <t>Narkoloģiskā motivācija stacionārā bērniem līdz 30 dienām</t>
  </si>
  <si>
    <t>Narkoloģiskā motivācija stacionārā bērniem līdz 60 dienām</t>
  </si>
  <si>
    <t>Māsa/Koordinators</t>
  </si>
  <si>
    <t>* Atbilstoši 2024_10 mēnešu datiem Slimnīca Ģintermuiža vidēji uz vienu pacientu nodrošina rehabilitācijas komandas darba manipulācijas 497.79 EUR apmērā</t>
  </si>
  <si>
    <t>Nemedikamentozās terapijas nodrošināšanai (**Rehabilitācijas komandas darbs psihiatrijas iestādē), EUR (30 dienām) slimnīcā "Ģintermuiža"*</t>
  </si>
  <si>
    <t>Nemedikamentozās terapijas nodrošināšanai (**Rehabilitācijas komandas darbs psihiatrijas iestādē), EUR (30 dienām) Bērnu psihoneiroloģiskā slimnīcā "Ainaži"*</t>
  </si>
  <si>
    <t>55069</t>
  </si>
  <si>
    <t>Multiprofesionāls rehabilitācijas bāzes pakalpojums psihiatriskiem pacientiem (2–3 stundas) (par katru kalendāro dienu)</t>
  </si>
  <si>
    <t>55156</t>
  </si>
  <si>
    <t>Funkcionālā speciālista nodarbība (15 minūtes) (par katru kalendāro dienu)</t>
  </si>
  <si>
    <t>55176</t>
  </si>
  <si>
    <t>Funkcionālā speciālista vai psihologa darbs ar pacientu grupu (30 minūtes). Norāda par katru pacientu (grupā 3-5 pacienti)</t>
  </si>
  <si>
    <t>55177</t>
  </si>
  <si>
    <t>Funkcionālā speciālista vai psihologa darbs ar pacientu grupu (nākamās 15 minūtes). Norāda par katru pacientu (grupā 3-5 pacienti)</t>
  </si>
  <si>
    <t>55178</t>
  </si>
  <si>
    <t>Funkcionālā speciālista vai psihologa darbs ar pacientu grupu (30 minūtes). Norāda par katru pacientu (grupā 6-8 pacienti)</t>
  </si>
  <si>
    <t>55179</t>
  </si>
  <si>
    <t>Funkcionālā speciālista vai psihologa darbs ar pacientu grupu (nākamās 15 minūtes). Norāda par katru pacientu (grupā 6-8 pacienti)</t>
  </si>
  <si>
    <t>55182</t>
  </si>
  <si>
    <t>Individuāla rehabilitācijas plāna izstrādāšana stacionāram pacientam, norāda multiprofesionālas rehabilitācijas komandas vadītājs - ārsts</t>
  </si>
  <si>
    <t>55183</t>
  </si>
  <si>
    <t>Rehabilitācijas komandas apspriede, norāda katrs iesaistītais rehabilitācijas speciālists</t>
  </si>
  <si>
    <t>Manipulāciju skaits</t>
  </si>
  <si>
    <t>Nemedikamentozās terapijas nodrošināšanai (**Rehabilitācijas komandas darbs psihiatrijas iestādē)</t>
  </si>
  <si>
    <t>KOPĀ EUR par manipulācijām</t>
  </si>
  <si>
    <t>Pacientu skaits, kam nodrošinātas manipulācijas</t>
  </si>
  <si>
    <t>Vidējās izmaksas uz vienu pacientu 30 dienu ārstēšanā</t>
  </si>
  <si>
    <t>Vidējās izmaksas uz vienu pacientu 60 dienu ārstēšanā</t>
  </si>
  <si>
    <t>2024_10M dati, Slimnīca "Ģintermuiža"</t>
  </si>
  <si>
    <t>Koordinators Ģintermuižā</t>
  </si>
  <si>
    <t>Tarifs, eiro</t>
  </si>
  <si>
    <t>Reižu skaits</t>
  </si>
  <si>
    <t>Summa gadam, eiro</t>
  </si>
  <si>
    <t>KOPĀ, EUR</t>
  </si>
  <si>
    <t>Pacientu skaits</t>
  </si>
  <si>
    <t>13119</t>
  </si>
  <si>
    <t>Multiprofesionālas komandas izvērtēšanas un vizītes ar vecākiem veikšana AST agrīnās intervences ietvaros, ko nodrošina 6 speciālisti. Norāda multiprofesionālas intervences komandas vadītājs vienu reizi kursa ietvaros</t>
  </si>
  <si>
    <t>xxxx</t>
  </si>
  <si>
    <t>Intensīvas multiprofesionālas intervences komandas izvērtēšanas un vizītes ar vecākiem veikšana NMC etapa laikā.  Norāda multiprofesionālas intervences komandas vadītājs vienu reizi. Pacientam un ģimeni nodrošinot visaptverošu vajadzību izvērtējumu un plāna sastādīšanu, psihoedukāciju, starpinstitucionālās sapulces izvērtējumu.</t>
  </si>
  <si>
    <t>Izvērtēšana/observācija NMC specializēta bērniem, kas lieto apreibinošās vielas</t>
  </si>
  <si>
    <t>Laiks Ārstam</t>
  </si>
  <si>
    <t>Laiks Māsai</t>
  </si>
  <si>
    <t>Laiks Jaunākajam personālam</t>
  </si>
  <si>
    <t>Darba samaksa, EUR</t>
  </si>
  <si>
    <t>Valsts sociālās apdrošināšanas obligātās iemaksas, EUR</t>
  </si>
  <si>
    <t>Ārstniecības līdzekļi, EUR</t>
  </si>
  <si>
    <t>Izdevumi, saistīti ar pacientu ēdināšanu, EUR</t>
  </si>
  <si>
    <t>Pieskaitāmās un netiešās ražošanas izmaksas, EUR</t>
  </si>
  <si>
    <t>Administratīvie izdevumi, EUR</t>
  </si>
  <si>
    <t>Nolietojums, EUR</t>
  </si>
  <si>
    <t>Kopējās pakalpojuma izmaksas</t>
  </si>
  <si>
    <t>Pacienta līdzmaksājums</t>
  </si>
  <si>
    <t xml:space="preserve">D </t>
  </si>
  <si>
    <t>S</t>
  </si>
  <si>
    <t>M</t>
  </si>
  <si>
    <t>E</t>
  </si>
  <si>
    <t>U</t>
  </si>
  <si>
    <t>A</t>
  </si>
  <si>
    <t>N</t>
  </si>
  <si>
    <t>P</t>
  </si>
  <si>
    <t>TC</t>
  </si>
  <si>
    <t>Stacionārā multidisciplinārā intervence bērniem, kas lieto atkarību izraisošas vielas</t>
  </si>
  <si>
    <t>2025. gads</t>
  </si>
  <si>
    <t>Apmaksas nosacījumi:</t>
  </si>
  <si>
    <t>Bērnu klīniskās universitātes slimnīca</t>
  </si>
  <si>
    <t>Pakalpojums bērniem, kas lieto atkarību izraisošas vielas. Manipulācijā ir ietverta samaksa par intervences nodarbībām, ko īsteno divi un vairāk speciālisti vienā dienā. Ja intervences plāna ietvaros nav iespējams īstenot vienas dienas laikā vairāku multiprofesionālās komandas speciālistu darbu, šo manipulāciju var norādīt viens speciālists, veicot 2 nodarbības manipulācijas ietvaros. Manipulāciju var norādīt atkārtotas multiprofesionālās komandas izvērtēšanas gadījumā. Manipulāciju norāda viens no multiprofesionālās komandas speciālistiem, kas īsteno nodarbību šī  manipulācijas ietvaros vai multiprofesionālās intervences komandas vadītājs. Pacientam kursa laikā var norādīt ne vairāk kā 30 reizes.</t>
  </si>
  <si>
    <t>Multiprofesionāls  intervences pakalpojums bērniem, kas lieto atkarību izraisošas vielas - speciālistu nodarbības</t>
  </si>
  <si>
    <t>Kopā:</t>
  </si>
  <si>
    <t>13121</t>
  </si>
  <si>
    <t>Multiprofesionāls AST agrīnās intervences pakalpojums - speciālistu nodarbības</t>
  </si>
  <si>
    <t xml:space="preserve">Uzturēšanās slimnīcā līdz 24h VSIA "Bērnu klīniskā universitātes slimnīca"- IZVĒRTĒŠANA </t>
  </si>
  <si>
    <t>Pakalpojuma veids</t>
  </si>
  <si>
    <t>Vienību skaits</t>
  </si>
  <si>
    <t>Vienības cena</t>
  </si>
  <si>
    <t>Summa par vienību, EUR</t>
  </si>
  <si>
    <t>PLE + VSAOI</t>
  </si>
  <si>
    <t>Juridiskā atbalsta pakalpojumi</t>
  </si>
  <si>
    <t>Papildus nodrošināmies speciālisti</t>
  </si>
  <si>
    <t>Komandas vadītājs 0.5 slodze (narkologs)</t>
  </si>
  <si>
    <t>Papildus nepieciešamais finansējums</t>
  </si>
  <si>
    <t>33.03.00 "Kompensējamo medikamentu un materiālu apmaksāšana"</t>
  </si>
  <si>
    <t>33.15.00 "Laboratorisko izmeklējumu nodrošināšana ambulatorajā aprūpē"</t>
  </si>
  <si>
    <t>33.16.00 Pārējo ambulatoro veselības aprūpes pakalpojumu nodrošināšana</t>
  </si>
  <si>
    <t>KOPĀ, EUR:</t>
  </si>
  <si>
    <t>1.Pirms terapijas uzsākšanas nepieciešamie izmeklējumi un ārstu konsīlijs</t>
  </si>
  <si>
    <t>Laboratoriskieizmeklējumi pirms terapijas uzsākšanas</t>
  </si>
  <si>
    <t>Asins ņemšana ar slēgtu sistēmu vienā stobriņā</t>
  </si>
  <si>
    <t xml:space="preserve">Pilna asins aina </t>
  </si>
  <si>
    <t>Urīna analīze ar teststrēmeli (9–10 parametri)</t>
  </si>
  <si>
    <t>54092</t>
  </si>
  <si>
    <t>Izmeklēšana ar mikromatricu tehnoloģiju uz 13 vielu grupām</t>
  </si>
  <si>
    <t>ALAT – alanīnaminotransferāze</t>
  </si>
  <si>
    <t>Anti-HCV</t>
  </si>
  <si>
    <t>Anti-HIV 1, HIV 2 + HIV Ag. Imūnķīmiskās metodes (bez reaktīvu cenas)</t>
  </si>
  <si>
    <t>*Analīzes paņemšanu veic VSIA "Bērnu klīniskā universitātes slimnīca", testē VSIA "Nacionālais psihiskās veselības centrs"</t>
  </si>
  <si>
    <t>Funkcionālie izmeklējumi pirms terapijas uzsākšanas</t>
  </si>
  <si>
    <t>Pacienta līdzmaksājums, eiro*</t>
  </si>
  <si>
    <t>Kopā, eiro</t>
  </si>
  <si>
    <t>06003</t>
  </si>
  <si>
    <t>Elektrokardiogrammas ar 12 novadījumiem pieraksts</t>
  </si>
  <si>
    <t>06004</t>
  </si>
  <si>
    <t>Elektrokardiogrammas ar 12 novadījumiem apraksts</t>
  </si>
  <si>
    <t>*Bērni vecumā līdz 18 gadiem un personas, kuras slimo ar alkohola, narkotisko, psihotropo vai toksisko vielu atkarību, saņemot narkoloģisko ārstēšanu, atbrīvotas no pacienta līdmaksājuma.</t>
  </si>
  <si>
    <t xml:space="preserve">Ārstu konsīlijs (3 speciālisti) terapijas uzsākšanai </t>
  </si>
  <si>
    <t>Ārstu skaits</t>
  </si>
  <si>
    <t>Narkologa aprūpes epizode</t>
  </si>
  <si>
    <t>Psihiatra aprūpes epizode</t>
  </si>
  <si>
    <t>Ārstu konsīliju sastāvs atkarībā no pieejamiem speciālistiem, iespējams arī 3 narkologu konsīlijs</t>
  </si>
  <si>
    <t>2.Terapijas saņemšana</t>
  </si>
  <si>
    <t>Aizstājējterapijas medikamenta saņemšana</t>
  </si>
  <si>
    <t>Nepieciešamais devu skaits mēnesī</t>
  </si>
  <si>
    <t>Vidējais ārstēšanās ilgums, mēnešos</t>
  </si>
  <si>
    <t>Cena, eiro*</t>
  </si>
  <si>
    <t>Buprenorfīns (tablete lietošanai zem mēles) 8mg</t>
  </si>
  <si>
    <t>Ikmēneša narkologa apmeklējums medikamentu saņemšanai</t>
  </si>
  <si>
    <t>Apmeklējumu skaits mēnesī</t>
  </si>
  <si>
    <t xml:space="preserve">Kopā, eiro </t>
  </si>
  <si>
    <t>Narkologa konsultācija, eiro</t>
  </si>
  <si>
    <t>Papildus nepieciešamie izmeklējumi</t>
  </si>
  <si>
    <t>Reizes gadā</t>
  </si>
  <si>
    <t>vienības cena</t>
  </si>
  <si>
    <r>
      <t xml:space="preserve">Transportēšana uz Ģintermuižu, Ainažiem 
(Manipulācija 60680 </t>
    </r>
    <r>
      <rPr>
        <i/>
        <sz val="10"/>
        <rFont val="Times New Roman"/>
        <family val="1"/>
      </rPr>
      <t>Piemaksa par pacienta nogādāšanu no augstāka līmeņa stacionārās ārstniecības iestādes uz zemāka līmeņa stacionāro ārstniecības iestādi terapijas pabeigšanai</t>
    </r>
    <r>
      <rPr>
        <sz val="10"/>
        <rFont val="Times New Roman"/>
        <family val="1"/>
      </rPr>
      <t>)</t>
    </r>
  </si>
  <si>
    <r>
      <t xml:space="preserve">*pēz ZVA Zāļu reģistra </t>
    </r>
    <r>
      <rPr>
        <i/>
        <sz val="11"/>
        <rFont val="Times New Roman"/>
        <family val="1"/>
        <charset val="186"/>
      </rPr>
      <t>Bupensanduo</t>
    </r>
    <r>
      <rPr>
        <sz val="11"/>
        <rFont val="Times New Roman"/>
        <family val="1"/>
        <charset val="186"/>
      </rPr>
      <t xml:space="preserve"> 8 mg/2 mg tabletes lietošanai zem mēles</t>
    </r>
  </si>
  <si>
    <t>Transporta izmaksas mobilās psihiatriskās komandas izbraukumiem (manipulācija 13079)</t>
  </si>
  <si>
    <t>1.pielikums Informatīvajam ziņojumam “Par pilotprojekta integrētai pieejai - pakalpojumu pieejamības uzlabošanai nepilngadīgajiem, kuri pārmērīgi lieto atkarību izraisošas vielas, īstenošanu”</t>
  </si>
  <si>
    <t>Veselības ministrija</t>
  </si>
  <si>
    <t xml:space="preserve"> 2025. gada septembris - decembris, EUR</t>
  </si>
  <si>
    <t>Papildus nepieciešamais finansējums Informatīvajā ziņojumā “Par pilotprojekta integrētai pieejai - pakalpojumu pieejamības uzlabošanai nepilngadīgajiem, kuri pārmērīgi lieto atkarību izraisošas vielas, īstenošanu” minēto pasākumu īstenošanai no 2025. gada 1.septembra līdz 2026. gada 30.  jūnijam, EUR</t>
  </si>
  <si>
    <t>2026. gada I pusgads, EUR</t>
  </si>
  <si>
    <t>Finansējuma avots</t>
  </si>
  <si>
    <t>Budžeta resora “74. Gadskārtējā valsts budžeta izpildes procesā pārdalāmais finansējums” programmas 20.00.00 “Veselības aprūpes pasākumu īstenošana” ietvaros</t>
  </si>
  <si>
    <t>Nacionālā veselības dienesta esošā budžeta ietvaros</t>
  </si>
  <si>
    <t>Vienību skaits*</t>
  </si>
  <si>
    <t>2026. gada I pusgadam</t>
  </si>
  <si>
    <t>Sociālā atbalsta darbinieks**</t>
  </si>
  <si>
    <t>GADAM</t>
  </si>
  <si>
    <t>2025. GADA SEPTEMBRIS- DECEMBRIS</t>
  </si>
  <si>
    <t>* BKUS nodrošinātais  atalgojums personālam</t>
  </si>
  <si>
    <t>2026. gada I pusgadam, EUR</t>
  </si>
  <si>
    <t>2025. gada septembris-decembris, EUR</t>
  </si>
  <si>
    <t>1.1.pielikums Informatīvajam ziņojumam “Par pilotprojekta integrētai pieejai - pakalpojumu pieejamības uzlabošanai nepilngadīgajiem, kuri pārmērīgi lieto atkarību izraisošas vielas, īstenošanu”</t>
  </si>
  <si>
    <t>1.2.pielikums Informatīvajam ziņojumam “Par pilotprojekta integrētai pieejai - pakalpojumu pieejamības uzlabošanai nepilngadīgajiem, kuri pārmērīgi lieto atkarību izraisošas vielas, īstenošanu”</t>
  </si>
  <si>
    <t>1.3.pielikums Informatīvajam ziņojumam “Par pilotprojekta integrētai pieejai - pakalpojumu pieejamības uzlabošanai nepilngadīgajiem, kuri pārmērīgi lieto atkarību izraisošas vielas, īstenošanu”</t>
  </si>
  <si>
    <t>1.4.pielikums Informatīvajam ziņojumam “Par pilotprojekta integrētai pieejai - pakalpojumu pieejamības uzlabošanai nepilngadīgajiem, kuri pārmērīgi lieto atkarību izraisošas vielas, īstenošanu”</t>
  </si>
  <si>
    <t>1.5.pielikums Informatīvajam ziņojumam “Par pilotprojekta integrētai pieejai - pakalpojumu pieejamības uzlabošanai nepilngadīgajiem, kuri pārmērīgi lieto atkarību izraisošas vielas, īstenošanu”</t>
  </si>
  <si>
    <t>1.6.pielikums Informatīvajam ziņojumam “Par pilotprojekta integrētai pieejai - pakalpojumu pieejamības uzlabošanai nepilngadīgajiem, kuri pārmērīgi lieto atkarību izraisošas vielas, īstenošanu”</t>
  </si>
  <si>
    <t>1.7.pielikums Informatīvajam ziņojumam “Par pilotprojekta integrētai pieejai - pakalpojumu pieejamības uzlabošanai nepilngadīgajiem, kuri pārmērīgi lieto atkarību izraisošas vielas, īstenošanu”</t>
  </si>
  <si>
    <t>1.8.pielikums Informatīvajam ziņojumam “Par pilotprojekta integrētai pieejai - pakalpojumu pieejamības uzlabošanai nepilngadīgajiem, kuri pārmērīgi lieto atkarību izraisošas vielas, īstenošanu”</t>
  </si>
  <si>
    <t>2026. gada I pusgadam, euro</t>
  </si>
  <si>
    <t>Papildus nepieciešamais finansējums 2026. gada I pusgadam, euro</t>
  </si>
  <si>
    <t>Summa gadam, euro</t>
  </si>
  <si>
    <t>Summa 2026. gada I pusgadam, euro</t>
  </si>
  <si>
    <t>Papildus nepieciešams finansējums 2026. gada I pusgadam</t>
  </si>
  <si>
    <t>Papildus nepieciešamais finansējums pilotprojekta īstenošanai</t>
  </si>
  <si>
    <t>Plānotais pacientu skaits gadam</t>
  </si>
  <si>
    <t>Kopā GADAM, euro</t>
  </si>
  <si>
    <t>Kabineta plānotais darbības periods mēnešos GADĀ</t>
  </si>
  <si>
    <t>Slodžu plāns GADAM</t>
  </si>
  <si>
    <t>Darba samaksa kopā GADĀ, euro</t>
  </si>
  <si>
    <t>VSAOI , euro</t>
  </si>
  <si>
    <t>Papildus nepieciešamais finansējumsGADAM, euro</t>
  </si>
  <si>
    <t>GADAM KOPĀ, EUR</t>
  </si>
  <si>
    <t>Periodam no 01.09.-31.12.2025.</t>
  </si>
  <si>
    <t xml:space="preserve">** paredzot 12 kalendāros mēnešus </t>
  </si>
  <si>
    <t>Plānotais pacientu skaits 2026. gada I pusgadam</t>
  </si>
  <si>
    <t>Papildus nepieciešams finansējums gadam **</t>
  </si>
  <si>
    <t>2026. gada II pusgadam</t>
  </si>
  <si>
    <t>2026. gada II pusgads</t>
  </si>
  <si>
    <t>Plānotais pacientu skaits 2025. gada septembris - decembris</t>
  </si>
  <si>
    <r>
      <t xml:space="preserve">Papildus nepieciešamais finansējums Buprenorfīna terapijas nodrošināšanai - </t>
    </r>
    <r>
      <rPr>
        <b/>
        <u/>
        <sz val="13"/>
        <rFont val="Times New Roman"/>
        <family val="1"/>
        <charset val="186"/>
      </rPr>
      <t>terapija uzsākama no 2026. gada II pusgada</t>
    </r>
    <r>
      <rPr>
        <b/>
        <sz val="13"/>
        <rFont val="Times New Roman"/>
        <family val="1"/>
        <charset val="186"/>
      </rPr>
      <t xml:space="preserve"> (ņemot vērā procedūras medikamenta iekļaušanai KZS)</t>
    </r>
  </si>
  <si>
    <t>Samaksa par gultasdienām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</si>
</sst>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 #,##0_-;_-* &quot;-&quot;??_-;_-@_-"/>
    <numFmt numFmtId="165" formatCode="_-* #,##0.0000_-;\-* #,##0.0000_-;_-* &quot;-&quot;??_-;_-@_-"/>
    <numFmt numFmtId="166" formatCode="#,##0.0"/>
    <numFmt numFmtId="167" formatCode="#,##0.00_ ;\-#,##0.00\ "/>
    <numFmt numFmtId="168" formatCode="_-* #,##0.00\ _€_-;\-* #,##0.00\ _€_-;_-* &quot;-&quot;??\ _€_-;_-@_-"/>
    <numFmt numFmtId="169" formatCode="_-* #,##0\ _€_-;\-* #,##0\ _€_-;_-* &quot;-&quot;??\ _€_-;_-@_-"/>
  </numFmts>
  <fonts count="43" x14ac:knownFonts="1">
    <font>
      <sz val="11"/>
      <color theme="1"/>
      <name val="Aptos Narrow"/>
      <family val="2"/>
      <charset val="186"/>
      <scheme val="minor"/>
    </font>
    <font>
      <sz val="11"/>
      <color theme="1"/>
      <name val="Aptos Narrow"/>
      <family val="2"/>
      <charset val="186"/>
      <scheme val="minor"/>
    </font>
    <font>
      <sz val="10"/>
      <name val="Arial"/>
      <family val="2"/>
      <charset val="186"/>
    </font>
    <font>
      <sz val="10"/>
      <name val="Times New Roman"/>
      <family val="1"/>
    </font>
    <font>
      <b/>
      <sz val="14"/>
      <name val="Times New Roman"/>
      <family val="1"/>
      <charset val="186"/>
    </font>
    <font>
      <sz val="12"/>
      <name val="Times New Roman"/>
      <family val="1"/>
      <charset val="186"/>
    </font>
    <font>
      <b/>
      <sz val="12"/>
      <name val="Times New Roman"/>
      <family val="1"/>
      <charset val="186"/>
    </font>
    <font>
      <sz val="11"/>
      <color theme="1"/>
      <name val="Aptos Narrow"/>
      <family val="2"/>
      <scheme val="minor"/>
    </font>
    <font>
      <b/>
      <sz val="12"/>
      <color theme="1"/>
      <name val="Times New Roman"/>
      <family val="1"/>
      <charset val="186"/>
    </font>
    <font>
      <b/>
      <sz val="11"/>
      <color theme="1"/>
      <name val="Times New Roman"/>
      <family val="1"/>
      <charset val="186"/>
    </font>
    <font>
      <sz val="11"/>
      <color theme="1"/>
      <name val="Times New Roman"/>
      <family val="1"/>
      <charset val="186"/>
    </font>
    <font>
      <b/>
      <sz val="11"/>
      <color rgb="FFFF0000"/>
      <name val="Times New Roman"/>
      <family val="1"/>
      <charset val="186"/>
    </font>
    <font>
      <i/>
      <sz val="11"/>
      <color theme="1"/>
      <name val="Times New Roman"/>
      <family val="1"/>
      <charset val="186"/>
    </font>
    <font>
      <sz val="12"/>
      <name val="Arial"/>
      <family val="2"/>
      <charset val="186"/>
    </font>
    <font>
      <sz val="9"/>
      <color theme="1"/>
      <name val="Aptos Narrow"/>
      <family val="2"/>
      <scheme val="minor"/>
    </font>
    <font>
      <b/>
      <sz val="9"/>
      <name val="Times New Roman"/>
      <family val="1"/>
      <charset val="186"/>
    </font>
    <font>
      <sz val="9"/>
      <color indexed="81"/>
      <name val="Tahoma"/>
      <family val="2"/>
    </font>
    <font>
      <b/>
      <sz val="12"/>
      <name val="Calibri"/>
      <family val="2"/>
      <charset val="186"/>
    </font>
    <font>
      <sz val="12"/>
      <name val="Calibri"/>
      <family val="2"/>
      <charset val="186"/>
    </font>
    <font>
      <sz val="12"/>
      <color theme="1"/>
      <name val="Calibri"/>
      <family val="2"/>
      <charset val="186"/>
    </font>
    <font>
      <b/>
      <sz val="12"/>
      <color theme="1"/>
      <name val="Calibri"/>
      <family val="2"/>
      <charset val="186"/>
    </font>
    <font>
      <b/>
      <sz val="9"/>
      <color theme="1"/>
      <name val="Times New Roman"/>
      <family val="1"/>
      <charset val="186"/>
    </font>
    <font>
      <sz val="9"/>
      <color theme="1"/>
      <name val="Times New Roman"/>
      <family val="1"/>
      <charset val="186"/>
    </font>
    <font>
      <sz val="9"/>
      <name val="Times New Roman"/>
      <family val="1"/>
      <charset val="186"/>
    </font>
    <font>
      <sz val="9"/>
      <color rgb="FFFF0000"/>
      <name val="Times New Roman"/>
      <family val="1"/>
      <charset val="186"/>
    </font>
    <font>
      <b/>
      <sz val="9"/>
      <color indexed="81"/>
      <name val="Tahoma"/>
      <family val="2"/>
    </font>
    <font>
      <sz val="11"/>
      <name val="Times New Roman"/>
      <family val="1"/>
      <charset val="186"/>
    </font>
    <font>
      <i/>
      <sz val="11"/>
      <name val="Times New Roman"/>
      <family val="1"/>
      <charset val="186"/>
    </font>
    <font>
      <b/>
      <sz val="10"/>
      <name val="Times New Roman"/>
      <family val="1"/>
    </font>
    <font>
      <i/>
      <sz val="10"/>
      <name val="Times New Roman"/>
      <family val="1"/>
    </font>
    <font>
      <b/>
      <sz val="11"/>
      <name val="Times New Roman"/>
      <family val="1"/>
      <charset val="186"/>
    </font>
    <font>
      <sz val="10"/>
      <color theme="1"/>
      <name val="Times New Roman"/>
      <family val="1"/>
    </font>
    <font>
      <i/>
      <sz val="11"/>
      <color theme="1"/>
      <name val="Aptos Narrow"/>
      <family val="2"/>
      <scheme val="minor"/>
    </font>
    <font>
      <b/>
      <sz val="11"/>
      <color theme="1"/>
      <name val="Aptos Narrow"/>
      <family val="2"/>
      <scheme val="minor"/>
    </font>
    <font>
      <sz val="12"/>
      <color theme="1"/>
      <name val="Times New Roman"/>
      <family val="1"/>
      <charset val="186"/>
    </font>
    <font>
      <b/>
      <sz val="13"/>
      <color theme="1"/>
      <name val="Times New Roman"/>
      <family val="1"/>
      <charset val="186"/>
    </font>
    <font>
      <b/>
      <sz val="12"/>
      <color rgb="FF000000"/>
      <name val="Times New Roman"/>
      <family val="1"/>
      <charset val="186"/>
    </font>
    <font>
      <i/>
      <sz val="10"/>
      <name val="Times New Roman"/>
      <family val="1"/>
      <charset val="186"/>
    </font>
    <font>
      <b/>
      <sz val="13"/>
      <name val="Times New Roman"/>
      <family val="1"/>
      <charset val="186"/>
    </font>
    <font>
      <i/>
      <sz val="12"/>
      <name val="Times New Roman"/>
      <family val="1"/>
      <charset val="186"/>
    </font>
    <font>
      <b/>
      <sz val="10"/>
      <name val="Times New Roman"/>
      <family val="1"/>
      <charset val="186"/>
    </font>
    <font>
      <b/>
      <sz val="9"/>
      <color rgb="FFFF0000"/>
      <name val="Times New Roman"/>
      <family val="1"/>
      <charset val="186"/>
    </font>
    <font>
      <b/>
      <u/>
      <sz val="13"/>
      <name val="Times New Roman"/>
      <family val="1"/>
      <charset val="186"/>
    </font>
  </fonts>
  <fills count="12">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59999389629810485"/>
        <bgColor indexed="64"/>
      </patternFill>
    </fill>
    <fill>
      <patternFill patternType="solid">
        <fgColor theme="0"/>
        <bgColor rgb="FF000000"/>
      </patternFill>
    </fill>
    <fill>
      <patternFill patternType="solid">
        <fgColor theme="2" tint="-9.9978637043366805E-2"/>
        <bgColor indexed="64"/>
      </patternFill>
    </fill>
    <fill>
      <patternFill patternType="solid">
        <fgColor rgb="FF97BAFF"/>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5" tint="0.59999389629810485"/>
        <bgColor indexed="64"/>
      </patternFill>
    </fill>
  </fills>
  <borders count="14">
    <border>
      <left/>
      <right/>
      <top/>
      <bottom/>
      <diagonal/>
    </border>
    <border>
      <left style="thin">
        <color auto="1"/>
      </left>
      <right style="thin">
        <color auto="1"/>
      </right>
      <top style="thin">
        <color auto="1"/>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style="thin">
        <color auto="1"/>
      </top>
      <bottom style="thin">
        <color indexed="64"/>
      </bottom>
      <diagonal/>
    </border>
    <border>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auto="1"/>
      </left>
      <right style="thin">
        <color auto="1"/>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auto="1"/>
      </left>
      <right style="medium">
        <color indexed="64"/>
      </right>
      <top/>
      <bottom style="medium">
        <color indexed="64"/>
      </bottom>
      <diagonal/>
    </border>
    <border>
      <left/>
      <right/>
      <top style="thin">
        <color auto="1"/>
      </top>
      <bottom style="thin">
        <color indexed="64"/>
      </bottom>
      <diagonal/>
    </border>
  </borders>
  <cellStyleXfs count="16">
    <xf numFmtId="0" fontId="0" fillId="0" borderId="0"/>
    <xf numFmtId="43" fontId="1" fillId="0" borderId="0" applyFont="0" applyFill="0" applyBorder="0" applyAlignment="0" applyProtection="0"/>
    <xf numFmtId="0" fontId="1" fillId="0" borderId="0"/>
    <xf numFmtId="0" fontId="2" fillId="0" borderId="0"/>
    <xf numFmtId="0" fontId="1" fillId="0" borderId="0"/>
    <xf numFmtId="0" fontId="2" fillId="0" borderId="0"/>
    <xf numFmtId="0" fontId="2" fillId="0" borderId="0"/>
    <xf numFmtId="43" fontId="2" fillId="0" borderId="0" applyFont="0" applyFill="0" applyBorder="0" applyAlignment="0" applyProtection="0"/>
    <xf numFmtId="0" fontId="7"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13" fillId="0" borderId="0"/>
    <xf numFmtId="43" fontId="13" fillId="0" borderId="0" applyFont="0" applyFill="0" applyBorder="0" applyAlignment="0" applyProtection="0"/>
  </cellStyleXfs>
  <cellXfs count="270">
    <xf numFmtId="0" fontId="0" fillId="0" borderId="0" xfId="0"/>
    <xf numFmtId="0" fontId="3" fillId="0" borderId="1" xfId="5" applyFont="1" applyBorder="1" applyAlignment="1">
      <alignment horizontal="right" vertical="center" wrapText="1"/>
    </xf>
    <xf numFmtId="0" fontId="5" fillId="0" borderId="0" xfId="0" applyFont="1"/>
    <xf numFmtId="0" fontId="5" fillId="0" borderId="0" xfId="6" applyFont="1" applyAlignment="1">
      <alignment vertical="center" wrapText="1"/>
    </xf>
    <xf numFmtId="0" fontId="5" fillId="0" borderId="0" xfId="6" applyFont="1"/>
    <xf numFmtId="0" fontId="5" fillId="0" borderId="1" xfId="3" applyFont="1" applyBorder="1" applyAlignment="1">
      <alignment horizontal="center" vertical="center" wrapText="1"/>
    </xf>
    <xf numFmtId="0" fontId="5" fillId="0" borderId="1" xfId="11" applyFont="1" applyBorder="1" applyAlignment="1">
      <alignment horizontal="center" vertical="center" wrapText="1"/>
    </xf>
    <xf numFmtId="43" fontId="5" fillId="0" borderId="1" xfId="12" applyFont="1" applyFill="1" applyBorder="1" applyAlignment="1">
      <alignment horizontal="center" vertical="center" wrapText="1"/>
    </xf>
    <xf numFmtId="4" fontId="5" fillId="0" borderId="1" xfId="13" applyNumberFormat="1" applyFont="1" applyBorder="1" applyAlignment="1">
      <alignment horizontal="right" wrapText="1"/>
    </xf>
    <xf numFmtId="3" fontId="5" fillId="0" borderId="1" xfId="13" applyNumberFormat="1" applyFont="1" applyBorder="1" applyAlignment="1">
      <alignment horizontal="right" wrapText="1"/>
    </xf>
    <xf numFmtId="4" fontId="5" fillId="0" borderId="0" xfId="13" applyNumberFormat="1" applyFont="1" applyFill="1" applyBorder="1" applyAlignment="1">
      <alignment horizontal="right" wrapText="1"/>
    </xf>
    <xf numFmtId="3" fontId="5" fillId="0" borderId="0" xfId="13" applyNumberFormat="1" applyFont="1" applyAlignment="1">
      <alignment horizontal="right" wrapText="1"/>
    </xf>
    <xf numFmtId="0" fontId="6" fillId="0" borderId="0" xfId="6" applyFont="1" applyAlignment="1">
      <alignment horizontal="right"/>
    </xf>
    <xf numFmtId="166" fontId="5" fillId="0" borderId="0" xfId="6" applyNumberFormat="1" applyFont="1" applyAlignment="1">
      <alignment horizontal="right" wrapText="1"/>
    </xf>
    <xf numFmtId="4" fontId="6" fillId="8" borderId="0" xfId="6" applyNumberFormat="1" applyFont="1" applyFill="1" applyAlignment="1">
      <alignment horizontal="right" wrapText="1"/>
    </xf>
    <xf numFmtId="167" fontId="5" fillId="0" borderId="0" xfId="0" applyNumberFormat="1" applyFont="1"/>
    <xf numFmtId="4" fontId="5" fillId="0" borderId="0" xfId="6" applyNumberFormat="1" applyFont="1" applyAlignment="1">
      <alignment horizontal="right" wrapText="1"/>
    </xf>
    <xf numFmtId="0" fontId="6" fillId="0" borderId="0" xfId="6" applyFont="1" applyAlignment="1">
      <alignment horizontal="left" vertical="center"/>
    </xf>
    <xf numFmtId="2" fontId="5" fillId="0" borderId="0" xfId="6" applyNumberFormat="1" applyFont="1" applyAlignment="1">
      <alignment horizontal="center"/>
    </xf>
    <xf numFmtId="0" fontId="3" fillId="0" borderId="0" xfId="0" applyFont="1"/>
    <xf numFmtId="0" fontId="3" fillId="2" borderId="1" xfId="0" applyFont="1" applyFill="1" applyBorder="1" applyAlignment="1">
      <alignment horizontal="center" vertical="center"/>
    </xf>
    <xf numFmtId="43" fontId="3" fillId="2" borderId="1" xfId="1" applyFont="1" applyFill="1" applyBorder="1" applyAlignment="1">
      <alignment horizontal="center" vertical="center"/>
    </xf>
    <xf numFmtId="3" fontId="3" fillId="0" borderId="1" xfId="0" applyNumberFormat="1" applyFont="1" applyBorder="1" applyAlignment="1">
      <alignment horizontal="center" vertical="center"/>
    </xf>
    <xf numFmtId="0" fontId="3" fillId="4" borderId="1" xfId="0" applyFont="1" applyFill="1" applyBorder="1" applyAlignment="1">
      <alignment horizontal="center" vertical="center"/>
    </xf>
    <xf numFmtId="3" fontId="3" fillId="4" borderId="1" xfId="0" applyNumberFormat="1" applyFont="1" applyFill="1" applyBorder="1" applyAlignment="1">
      <alignment horizontal="center" vertical="center"/>
    </xf>
    <xf numFmtId="43" fontId="3" fillId="4" borderId="1" xfId="1" applyFont="1" applyFill="1" applyBorder="1" applyAlignment="1">
      <alignment horizontal="center" vertical="center"/>
    </xf>
    <xf numFmtId="43" fontId="3" fillId="0" borderId="1" xfId="1" applyFont="1" applyBorder="1" applyAlignment="1">
      <alignment horizontal="center" vertical="center"/>
    </xf>
    <xf numFmtId="0" fontId="9" fillId="0" borderId="1" xfId="0" applyFont="1" applyBorder="1"/>
    <xf numFmtId="164" fontId="9" fillId="0" borderId="1" xfId="1" applyNumberFormat="1" applyFont="1" applyBorder="1"/>
    <xf numFmtId="0" fontId="10" fillId="0" borderId="0" xfId="0" applyFont="1"/>
    <xf numFmtId="0" fontId="10" fillId="0" borderId="1" xfId="0" applyFont="1" applyBorder="1"/>
    <xf numFmtId="164" fontId="10" fillId="0" borderId="1" xfId="1" applyNumberFormat="1" applyFont="1" applyBorder="1"/>
    <xf numFmtId="0" fontId="9" fillId="0" borderId="0" xfId="0" applyFont="1"/>
    <xf numFmtId="164" fontId="10" fillId="0" borderId="0" xfId="1" applyNumberFormat="1" applyFont="1"/>
    <xf numFmtId="0" fontId="9" fillId="7" borderId="1" xfId="0" applyFont="1" applyFill="1" applyBorder="1" applyAlignment="1">
      <alignment horizontal="center" vertical="center" wrapText="1"/>
    </xf>
    <xf numFmtId="164" fontId="9" fillId="7" borderId="1" xfId="1" applyNumberFormat="1" applyFont="1" applyFill="1" applyBorder="1" applyAlignment="1">
      <alignment horizontal="center" vertical="center" wrapText="1"/>
    </xf>
    <xf numFmtId="164" fontId="9" fillId="0" borderId="0" xfId="1" applyNumberFormat="1" applyFont="1" applyBorder="1"/>
    <xf numFmtId="0" fontId="9" fillId="0" borderId="1" xfId="0" applyFont="1" applyBorder="1" applyAlignment="1">
      <alignment horizontal="right"/>
    </xf>
    <xf numFmtId="0" fontId="11" fillId="0" borderId="1" xfId="0" applyFont="1" applyBorder="1"/>
    <xf numFmtId="0" fontId="11" fillId="0" borderId="0" xfId="0" applyFont="1"/>
    <xf numFmtId="0" fontId="12" fillId="0" borderId="0" xfId="0" applyFont="1"/>
    <xf numFmtId="164" fontId="12" fillId="0" borderId="0" xfId="1" applyNumberFormat="1" applyFont="1"/>
    <xf numFmtId="0" fontId="14" fillId="0" borderId="0" xfId="0" applyFont="1"/>
    <xf numFmtId="3" fontId="3" fillId="0" borderId="0" xfId="5" applyNumberFormat="1" applyFont="1" applyAlignment="1">
      <alignment horizontal="center" vertical="center" wrapText="1"/>
    </xf>
    <xf numFmtId="4" fontId="3" fillId="0" borderId="1" xfId="0" applyNumberFormat="1" applyFont="1" applyBorder="1" applyAlignment="1">
      <alignment horizontal="center" vertical="center"/>
    </xf>
    <xf numFmtId="3" fontId="3" fillId="2" borderId="1" xfId="5" applyNumberFormat="1" applyFont="1" applyFill="1" applyBorder="1" applyAlignment="1">
      <alignment horizontal="center" vertical="center" wrapText="1"/>
    </xf>
    <xf numFmtId="4" fontId="3" fillId="2" borderId="1" xfId="5" applyNumberFormat="1" applyFont="1" applyFill="1" applyBorder="1" applyAlignment="1">
      <alignment horizontal="center" vertical="center" wrapText="1"/>
    </xf>
    <xf numFmtId="43" fontId="3" fillId="0" borderId="0" xfId="1" applyFont="1" applyFill="1" applyBorder="1" applyAlignment="1">
      <alignment horizontal="center" vertical="center"/>
    </xf>
    <xf numFmtId="0" fontId="15" fillId="0" borderId="1" xfId="0" applyFont="1" applyBorder="1" applyAlignment="1">
      <alignment horizontal="center" vertical="center" wrapText="1"/>
    </xf>
    <xf numFmtId="0" fontId="15" fillId="0" borderId="1" xfId="6" applyFont="1" applyBorder="1" applyAlignment="1">
      <alignment horizontal="center" vertical="center" wrapText="1"/>
    </xf>
    <xf numFmtId="0" fontId="15" fillId="0" borderId="1" xfId="0" applyFont="1" applyBorder="1" applyAlignment="1">
      <alignment vertical="center"/>
    </xf>
    <xf numFmtId="0" fontId="15" fillId="0" borderId="1" xfId="6" applyFont="1" applyBorder="1" applyAlignment="1">
      <alignment vertical="center"/>
    </xf>
    <xf numFmtId="0" fontId="15" fillId="0" borderId="1" xfId="0" applyFont="1" applyBorder="1" applyAlignment="1">
      <alignment horizontal="center" vertical="center"/>
    </xf>
    <xf numFmtId="2" fontId="18" fillId="9" borderId="7" xfId="3" applyNumberFormat="1" applyFont="1" applyFill="1" applyBorder="1" applyAlignment="1">
      <alignment horizontal="center" vertical="center" wrapText="1"/>
    </xf>
    <xf numFmtId="2" fontId="18" fillId="9" borderId="3" xfId="3" applyNumberFormat="1" applyFont="1" applyFill="1" applyBorder="1" applyAlignment="1">
      <alignment horizontal="center" vertical="center" wrapText="1"/>
    </xf>
    <xf numFmtId="0" fontId="17" fillId="9" borderId="6" xfId="0" applyFont="1" applyFill="1" applyBorder="1" applyAlignment="1">
      <alignment horizontal="center" vertical="center" wrapText="1"/>
    </xf>
    <xf numFmtId="0" fontId="17" fillId="9" borderId="3" xfId="0" applyFont="1" applyFill="1" applyBorder="1" applyAlignment="1">
      <alignment horizontal="center" vertical="center" wrapText="1"/>
    </xf>
    <xf numFmtId="2" fontId="17" fillId="9" borderId="7" xfId="0" applyNumberFormat="1" applyFont="1" applyFill="1" applyBorder="1" applyAlignment="1" applyProtection="1">
      <alignment horizontal="center" vertical="center" wrapText="1"/>
      <protection locked="0"/>
    </xf>
    <xf numFmtId="2" fontId="17" fillId="9" borderId="6" xfId="0" applyNumberFormat="1" applyFont="1" applyFill="1" applyBorder="1" applyAlignment="1" applyProtection="1">
      <alignment horizontal="center" vertical="center" wrapText="1"/>
      <protection locked="0"/>
    </xf>
    <xf numFmtId="0" fontId="17" fillId="9" borderId="1" xfId="3" applyFont="1" applyFill="1" applyBorder="1" applyAlignment="1">
      <alignment horizontal="center" vertical="center" wrapText="1"/>
    </xf>
    <xf numFmtId="0" fontId="17" fillId="9" borderId="8" xfId="3" applyFont="1" applyFill="1" applyBorder="1" applyAlignment="1">
      <alignment horizontal="left" vertical="center" wrapText="1"/>
    </xf>
    <xf numFmtId="0" fontId="17" fillId="9" borderId="1" xfId="0" applyFont="1" applyFill="1" applyBorder="1" applyAlignment="1" applyProtection="1">
      <alignment horizontal="center" vertical="center" wrapText="1"/>
      <protection locked="0"/>
    </xf>
    <xf numFmtId="0" fontId="17" fillId="9" borderId="8" xfId="3" applyFont="1" applyFill="1" applyBorder="1" applyAlignment="1">
      <alignment horizontal="center" vertical="center"/>
    </xf>
    <xf numFmtId="0" fontId="19" fillId="0" borderId="9" xfId="3" applyFont="1" applyBorder="1" applyAlignment="1">
      <alignment horizontal="center" vertical="center" wrapText="1"/>
    </xf>
    <xf numFmtId="49" fontId="19" fillId="0" borderId="9" xfId="3" applyNumberFormat="1" applyFont="1" applyBorder="1" applyAlignment="1">
      <alignment horizontal="left" vertical="center" wrapText="1"/>
    </xf>
    <xf numFmtId="4" fontId="19" fillId="0" borderId="5" xfId="3" applyNumberFormat="1" applyFont="1" applyBorder="1" applyAlignment="1">
      <alignment horizontal="center" vertical="center" wrapText="1"/>
    </xf>
    <xf numFmtId="4" fontId="19" fillId="9" borderId="5" xfId="3" applyNumberFormat="1" applyFont="1" applyFill="1" applyBorder="1" applyAlignment="1">
      <alignment horizontal="center" vertical="center" wrapText="1"/>
    </xf>
    <xf numFmtId="4" fontId="20" fillId="9" borderId="5" xfId="3" applyNumberFormat="1" applyFont="1" applyFill="1" applyBorder="1" applyAlignment="1">
      <alignment horizontal="center" vertical="center" wrapText="1"/>
    </xf>
    <xf numFmtId="0" fontId="21" fillId="0" borderId="0" xfId="0" applyFont="1"/>
    <xf numFmtId="0" fontId="22" fillId="0" borderId="0" xfId="0" applyFont="1"/>
    <xf numFmtId="0" fontId="23" fillId="0" borderId="0" xfId="11" applyFont="1"/>
    <xf numFmtId="0" fontId="23" fillId="0" borderId="0" xfId="11" applyFont="1" applyAlignment="1">
      <alignment vertical="center" wrapText="1"/>
    </xf>
    <xf numFmtId="0" fontId="23" fillId="0" borderId="0" xfId="0" applyFont="1"/>
    <xf numFmtId="0" fontId="23" fillId="0" borderId="1" xfId="6" applyFont="1" applyBorder="1" applyAlignment="1">
      <alignment horizontal="center" vertical="center" wrapText="1"/>
    </xf>
    <xf numFmtId="0" fontId="24" fillId="0" borderId="0" xfId="0" applyFont="1"/>
    <xf numFmtId="0" fontId="23" fillId="0" borderId="1" xfId="11" applyFont="1" applyBorder="1" applyAlignment="1">
      <alignment horizontal="center" vertical="center" wrapText="1"/>
    </xf>
    <xf numFmtId="43" fontId="23" fillId="0" borderId="1" xfId="7" applyFont="1" applyFill="1" applyBorder="1" applyAlignment="1">
      <alignment horizontal="center" vertical="center" wrapText="1"/>
    </xf>
    <xf numFmtId="4" fontId="23" fillId="0" borderId="1" xfId="10" applyNumberFormat="1" applyFont="1" applyFill="1" applyBorder="1" applyAlignment="1">
      <alignment horizontal="right" wrapText="1"/>
    </xf>
    <xf numFmtId="0" fontId="23" fillId="0" borderId="0" xfId="11" applyFont="1" applyAlignment="1">
      <alignment horizontal="left" vertical="center"/>
    </xf>
    <xf numFmtId="43" fontId="23" fillId="0" borderId="1" xfId="13" applyFont="1" applyFill="1" applyBorder="1" applyAlignment="1">
      <alignment horizontal="center" vertical="center" wrapText="1"/>
    </xf>
    <xf numFmtId="4" fontId="15" fillId="0" borderId="0" xfId="10" applyNumberFormat="1" applyFont="1" applyFill="1" applyBorder="1" applyAlignment="1">
      <alignment horizontal="right" wrapText="1"/>
    </xf>
    <xf numFmtId="0" fontId="15" fillId="0" borderId="0" xfId="11" applyFont="1" applyAlignment="1">
      <alignment horizontal="right"/>
    </xf>
    <xf numFmtId="4" fontId="23" fillId="0" borderId="0" xfId="11" applyNumberFormat="1" applyFont="1" applyAlignment="1">
      <alignment horizontal="right"/>
    </xf>
    <xf numFmtId="4" fontId="23" fillId="0" borderId="0" xfId="11" applyNumberFormat="1" applyFont="1" applyAlignment="1">
      <alignment horizontal="right" wrapText="1"/>
    </xf>
    <xf numFmtId="0" fontId="15" fillId="0" borderId="0" xfId="11" applyFont="1" applyAlignment="1">
      <alignment horizontal="left" vertical="center"/>
    </xf>
    <xf numFmtId="2" fontId="23" fillId="0" borderId="0" xfId="11" applyNumberFormat="1" applyFont="1" applyAlignment="1">
      <alignment horizontal="center"/>
    </xf>
    <xf numFmtId="0" fontId="26" fillId="0" borderId="1" xfId="0" applyFont="1" applyBorder="1" applyAlignment="1">
      <alignment horizontal="center" vertical="center"/>
    </xf>
    <xf numFmtId="0" fontId="26" fillId="0" borderId="1" xfId="0" applyFont="1" applyBorder="1"/>
    <xf numFmtId="2" fontId="26" fillId="0" borderId="1" xfId="0" applyNumberFormat="1" applyFont="1" applyBorder="1" applyAlignment="1">
      <alignment horizontal="center"/>
    </xf>
    <xf numFmtId="0" fontId="26" fillId="0" borderId="0" xfId="0" applyFont="1"/>
    <xf numFmtId="0" fontId="27" fillId="0" borderId="0" xfId="0" applyFont="1"/>
    <xf numFmtId="0" fontId="3" fillId="0" borderId="0" xfId="0" applyFont="1" applyAlignment="1">
      <alignment horizontal="left" vertical="center" wrapText="1"/>
    </xf>
    <xf numFmtId="0" fontId="28" fillId="0" borderId="0" xfId="0" applyFont="1"/>
    <xf numFmtId="0" fontId="28" fillId="0" borderId="0" xfId="0" applyFont="1" applyAlignment="1">
      <alignment vertical="center"/>
    </xf>
    <xf numFmtId="168" fontId="3" fillId="0" borderId="0" xfId="0" applyNumberFormat="1" applyFont="1" applyAlignment="1">
      <alignment vertical="center"/>
    </xf>
    <xf numFmtId="168" fontId="28" fillId="0" borderId="0" xfId="0" applyNumberFormat="1" applyFont="1" applyAlignment="1">
      <alignment horizontal="left" vertical="center"/>
    </xf>
    <xf numFmtId="0" fontId="28" fillId="0" borderId="0" xfId="0" applyFont="1" applyAlignment="1">
      <alignment horizontal="left" vertical="center"/>
    </xf>
    <xf numFmtId="0" fontId="28" fillId="0" borderId="1" xfId="0" applyFont="1" applyBorder="1" applyAlignment="1">
      <alignment horizontal="center" vertical="center" wrapText="1"/>
    </xf>
    <xf numFmtId="0" fontId="28" fillId="0" borderId="1" xfId="0" applyFont="1" applyBorder="1" applyAlignment="1">
      <alignment horizontal="center" wrapText="1"/>
    </xf>
    <xf numFmtId="0" fontId="28" fillId="0" borderId="0" xfId="0" applyFont="1" applyAlignment="1">
      <alignment horizontal="left"/>
    </xf>
    <xf numFmtId="0" fontId="28" fillId="0" borderId="0" xfId="0" applyFont="1" applyAlignment="1">
      <alignment horizontal="right"/>
    </xf>
    <xf numFmtId="164" fontId="28" fillId="2" borderId="1" xfId="1" applyNumberFormat="1" applyFont="1" applyFill="1" applyBorder="1" applyAlignment="1">
      <alignment horizontal="center" vertical="center" wrapText="1"/>
    </xf>
    <xf numFmtId="0" fontId="3" fillId="0" borderId="0" xfId="0" applyFont="1" applyAlignment="1">
      <alignment horizontal="center"/>
    </xf>
    <xf numFmtId="2" fontId="3" fillId="0" borderId="0" xfId="0" applyNumberFormat="1" applyFont="1" applyAlignment="1">
      <alignment horizontal="center"/>
    </xf>
    <xf numFmtId="3" fontId="28" fillId="0" borderId="0" xfId="0" applyNumberFormat="1" applyFont="1" applyAlignment="1">
      <alignment horizontal="left"/>
    </xf>
    <xf numFmtId="0" fontId="28" fillId="3" borderId="1" xfId="0" applyFont="1" applyFill="1" applyBorder="1" applyAlignment="1">
      <alignment horizontal="center" vertical="center"/>
    </xf>
    <xf numFmtId="0" fontId="28" fillId="3" borderId="1" xfId="0" applyFont="1" applyFill="1" applyBorder="1" applyAlignment="1">
      <alignment horizontal="center" vertical="center" wrapText="1"/>
    </xf>
    <xf numFmtId="164" fontId="3" fillId="0" borderId="0" xfId="1" applyNumberFormat="1" applyFont="1"/>
    <xf numFmtId="164" fontId="3" fillId="0" borderId="0" xfId="0" applyNumberFormat="1" applyFont="1"/>
    <xf numFmtId="0" fontId="3" fillId="2" borderId="1" xfId="0" applyFont="1" applyFill="1" applyBorder="1" applyAlignment="1">
      <alignment wrapText="1"/>
    </xf>
    <xf numFmtId="1" fontId="3" fillId="2" borderId="1" xfId="0" applyNumberFormat="1" applyFont="1" applyFill="1" applyBorder="1" applyAlignment="1">
      <alignment horizontal="center" vertical="center"/>
    </xf>
    <xf numFmtId="168" fontId="3" fillId="0" borderId="0" xfId="0" applyNumberFormat="1" applyFont="1"/>
    <xf numFmtId="2" fontId="3" fillId="2" borderId="1" xfId="0" applyNumberFormat="1" applyFont="1" applyFill="1" applyBorder="1" applyAlignment="1">
      <alignment horizontal="center" vertical="center"/>
    </xf>
    <xf numFmtId="0" fontId="28" fillId="4" borderId="1" xfId="0" applyFont="1" applyFill="1" applyBorder="1" applyAlignment="1">
      <alignment horizontal="right"/>
    </xf>
    <xf numFmtId="0" fontId="28" fillId="4" borderId="1" xfId="0" applyFont="1" applyFill="1" applyBorder="1"/>
    <xf numFmtId="43" fontId="28" fillId="5" borderId="1" xfId="1" applyFont="1" applyFill="1" applyBorder="1"/>
    <xf numFmtId="0" fontId="3" fillId="4" borderId="0" xfId="2" applyFont="1" applyFill="1"/>
    <xf numFmtId="0" fontId="3" fillId="4" borderId="1" xfId="2" applyFont="1" applyFill="1" applyBorder="1" applyAlignment="1">
      <alignment horizontal="center" vertical="center" wrapText="1"/>
    </xf>
    <xf numFmtId="0" fontId="3" fillId="4" borderId="0" xfId="2" applyFont="1" applyFill="1" applyAlignment="1">
      <alignment horizontal="right"/>
    </xf>
    <xf numFmtId="1" fontId="28" fillId="0" borderId="1" xfId="3" applyNumberFormat="1" applyFont="1" applyBorder="1" applyAlignment="1" applyProtection="1">
      <alignment horizontal="center" wrapText="1"/>
      <protection locked="0"/>
    </xf>
    <xf numFmtId="165" fontId="3" fillId="4" borderId="1" xfId="1" applyNumberFormat="1" applyFont="1" applyFill="1" applyBorder="1" applyAlignment="1">
      <alignment horizontal="center" vertical="center" wrapText="1"/>
    </xf>
    <xf numFmtId="0" fontId="28" fillId="2" borderId="1" xfId="0" applyFont="1" applyFill="1" applyBorder="1" applyAlignment="1">
      <alignment horizontal="center" vertical="center"/>
    </xf>
    <xf numFmtId="0" fontId="28" fillId="2" borderId="1" xfId="0" applyFont="1" applyFill="1" applyBorder="1" applyAlignment="1">
      <alignment horizontal="center" vertical="center" wrapText="1"/>
    </xf>
    <xf numFmtId="0" fontId="3" fillId="4" borderId="1" xfId="0" applyFont="1" applyFill="1" applyBorder="1" applyAlignment="1">
      <alignment horizontal="right" vertical="center"/>
    </xf>
    <xf numFmtId="0" fontId="3" fillId="4" borderId="1" xfId="0" applyFont="1" applyFill="1" applyBorder="1" applyAlignment="1">
      <alignment horizontal="center" vertical="center" wrapText="1"/>
    </xf>
    <xf numFmtId="0" fontId="3" fillId="0" borderId="1" xfId="0" applyFont="1" applyBorder="1" applyAlignment="1">
      <alignment wrapText="1"/>
    </xf>
    <xf numFmtId="0" fontId="3" fillId="0" borderId="1" xfId="0" applyFont="1" applyBorder="1"/>
    <xf numFmtId="0" fontId="3" fillId="0" borderId="1" xfId="0" applyFont="1" applyBorder="1" applyAlignment="1">
      <alignment horizontal="center" vertical="center"/>
    </xf>
    <xf numFmtId="0" fontId="3" fillId="0" borderId="1" xfId="4" applyFont="1" applyBorder="1" applyAlignment="1">
      <alignment horizontal="right" vertical="center"/>
    </xf>
    <xf numFmtId="3" fontId="3" fillId="0" borderId="1" xfId="5" applyNumberFormat="1" applyFont="1" applyBorder="1" applyAlignment="1">
      <alignment horizontal="center" vertical="center" wrapText="1"/>
    </xf>
    <xf numFmtId="3" fontId="3" fillId="0" borderId="1" xfId="0" applyNumberFormat="1" applyFont="1" applyBorder="1" applyAlignment="1">
      <alignment horizontal="center" vertical="center" wrapText="1"/>
    </xf>
    <xf numFmtId="3" fontId="28" fillId="4" borderId="1" xfId="0" applyNumberFormat="1" applyFont="1" applyFill="1" applyBorder="1"/>
    <xf numFmtId="3" fontId="28" fillId="6" borderId="1" xfId="0" applyNumberFormat="1" applyFont="1" applyFill="1" applyBorder="1"/>
    <xf numFmtId="3" fontId="3" fillId="0" borderId="1" xfId="3" applyNumberFormat="1" applyFont="1" applyBorder="1" applyAlignment="1">
      <alignment horizontal="center" vertical="center"/>
    </xf>
    <xf numFmtId="43" fontId="28" fillId="2" borderId="1" xfId="1" applyFont="1" applyFill="1" applyBorder="1"/>
    <xf numFmtId="0" fontId="28" fillId="4" borderId="0" xfId="0" applyFont="1" applyFill="1" applyAlignment="1">
      <alignment horizontal="right"/>
    </xf>
    <xf numFmtId="3" fontId="28" fillId="4" borderId="0" xfId="0" applyNumberFormat="1" applyFont="1" applyFill="1"/>
    <xf numFmtId="0" fontId="28" fillId="4" borderId="0" xfId="0" applyFont="1" applyFill="1"/>
    <xf numFmtId="3" fontId="28" fillId="6" borderId="0" xfId="0" applyNumberFormat="1" applyFont="1" applyFill="1"/>
    <xf numFmtId="3" fontId="3" fillId="0" borderId="0" xfId="3" applyNumberFormat="1" applyFont="1" applyAlignment="1">
      <alignment horizontal="center" vertical="center"/>
    </xf>
    <xf numFmtId="43" fontId="28" fillId="0" borderId="0" xfId="1" applyFont="1" applyFill="1" applyBorder="1"/>
    <xf numFmtId="3" fontId="28" fillId="3" borderId="1" xfId="0" applyNumberFormat="1" applyFont="1" applyFill="1" applyBorder="1" applyAlignment="1">
      <alignment horizontal="center" vertical="center" wrapText="1"/>
    </xf>
    <xf numFmtId="43" fontId="28" fillId="3" borderId="1" xfId="1" applyFont="1" applyFill="1" applyBorder="1" applyAlignment="1">
      <alignment horizontal="center" vertical="center"/>
    </xf>
    <xf numFmtId="0" fontId="3" fillId="0" borderId="0" xfId="4" applyFont="1" applyAlignment="1">
      <alignment vertical="center"/>
    </xf>
    <xf numFmtId="0" fontId="3" fillId="0" borderId="0" xfId="0" applyFont="1" applyAlignment="1">
      <alignment horizontal="left"/>
    </xf>
    <xf numFmtId="0" fontId="28" fillId="4" borderId="0" xfId="0" applyFont="1" applyFill="1" applyAlignment="1">
      <alignment horizontal="center" wrapText="1"/>
    </xf>
    <xf numFmtId="164" fontId="28" fillId="4" borderId="0" xfId="1" applyNumberFormat="1" applyFont="1" applyFill="1" applyBorder="1" applyAlignment="1">
      <alignment horizontal="center" vertical="center" wrapText="1"/>
    </xf>
    <xf numFmtId="0" fontId="3" fillId="4" borderId="0" xfId="0" applyFont="1" applyFill="1" applyAlignment="1">
      <alignment horizontal="center"/>
    </xf>
    <xf numFmtId="0" fontId="3" fillId="4" borderId="0" xfId="0" applyFont="1" applyFill="1"/>
    <xf numFmtId="0" fontId="30" fillId="0" borderId="0" xfId="0" applyFont="1"/>
    <xf numFmtId="168" fontId="26" fillId="0" borderId="0" xfId="0" applyNumberFormat="1" applyFont="1"/>
    <xf numFmtId="0" fontId="30" fillId="10" borderId="1" xfId="0" applyFont="1" applyFill="1" applyBorder="1"/>
    <xf numFmtId="0" fontId="26" fillId="0" borderId="1" xfId="0" applyFont="1" applyBorder="1" applyAlignment="1">
      <alignment wrapText="1"/>
    </xf>
    <xf numFmtId="164" fontId="26" fillId="0" borderId="1" xfId="0" applyNumberFormat="1" applyFont="1" applyBorder="1"/>
    <xf numFmtId="0" fontId="30" fillId="0" borderId="1" xfId="0" applyFont="1" applyBorder="1" applyAlignment="1">
      <alignment horizontal="right"/>
    </xf>
    <xf numFmtId="164" fontId="26" fillId="0" borderId="0" xfId="0" applyNumberFormat="1" applyFont="1"/>
    <xf numFmtId="0" fontId="26" fillId="10" borderId="1" xfId="0" applyFont="1" applyFill="1" applyBorder="1"/>
    <xf numFmtId="0" fontId="30" fillId="0" borderId="1" xfId="0" applyFont="1" applyBorder="1"/>
    <xf numFmtId="0" fontId="30" fillId="10" borderId="1" xfId="0" applyFont="1" applyFill="1" applyBorder="1" applyAlignment="1">
      <alignment horizontal="center" vertical="center" wrapText="1"/>
    </xf>
    <xf numFmtId="0" fontId="30" fillId="10" borderId="1" xfId="0" applyFont="1" applyFill="1" applyBorder="1" applyAlignment="1">
      <alignment horizontal="center" vertical="center"/>
    </xf>
    <xf numFmtId="0" fontId="26" fillId="0" borderId="3" xfId="0" applyFont="1" applyBorder="1" applyAlignment="1">
      <alignment horizontal="center" vertical="center"/>
    </xf>
    <xf numFmtId="0" fontId="26" fillId="0" borderId="3" xfId="0" applyFont="1" applyBorder="1"/>
    <xf numFmtId="0" fontId="26" fillId="0" borderId="1" xfId="0" applyFont="1" applyBorder="1" applyAlignment="1">
      <alignment horizontal="center"/>
    </xf>
    <xf numFmtId="0" fontId="26" fillId="0" borderId="0" xfId="0" applyFont="1" applyAlignment="1">
      <alignment horizontal="center" vertical="center" wrapText="1"/>
    </xf>
    <xf numFmtId="0" fontId="26" fillId="0" borderId="6" xfId="0" applyFont="1" applyBorder="1" applyAlignment="1">
      <alignment horizontal="center" vertical="center"/>
    </xf>
    <xf numFmtId="0" fontId="26" fillId="0" borderId="6" xfId="0" applyFont="1" applyBorder="1"/>
    <xf numFmtId="0" fontId="26" fillId="0" borderId="6" xfId="0" applyFont="1" applyBorder="1" applyAlignment="1">
      <alignment horizontal="center"/>
    </xf>
    <xf numFmtId="43" fontId="30" fillId="0" borderId="2" xfId="0" applyNumberFormat="1" applyFont="1" applyBorder="1" applyAlignment="1">
      <alignment horizontal="center" vertical="center"/>
    </xf>
    <xf numFmtId="43" fontId="30" fillId="0" borderId="0" xfId="0" applyNumberFormat="1" applyFont="1" applyAlignment="1">
      <alignment horizontal="center" vertical="center"/>
    </xf>
    <xf numFmtId="0" fontId="26" fillId="0" borderId="0" xfId="0" applyFont="1" applyAlignment="1">
      <alignment wrapText="1"/>
    </xf>
    <xf numFmtId="0" fontId="26" fillId="0" borderId="0" xfId="0" applyFont="1" applyAlignment="1">
      <alignment horizontal="center" vertical="center"/>
    </xf>
    <xf numFmtId="2" fontId="26" fillId="0" borderId="1" xfId="0" applyNumberFormat="1" applyFont="1" applyBorder="1" applyAlignment="1">
      <alignment horizontal="center" vertical="center"/>
    </xf>
    <xf numFmtId="0" fontId="30" fillId="10" borderId="1" xfId="0" applyFont="1" applyFill="1" applyBorder="1" applyAlignment="1">
      <alignment vertical="center"/>
    </xf>
    <xf numFmtId="0" fontId="30" fillId="10" borderId="6" xfId="0" applyFont="1" applyFill="1" applyBorder="1" applyAlignment="1">
      <alignment vertical="center"/>
    </xf>
    <xf numFmtId="1" fontId="26" fillId="0" borderId="5" xfId="0" applyNumberFormat="1" applyFont="1" applyBorder="1" applyAlignment="1">
      <alignment horizontal="center" vertical="center"/>
    </xf>
    <xf numFmtId="0" fontId="26" fillId="11" borderId="4" xfId="0" applyFont="1" applyFill="1" applyBorder="1" applyAlignment="1">
      <alignment horizontal="center" vertical="center"/>
    </xf>
    <xf numFmtId="2" fontId="26" fillId="0" borderId="4" xfId="0" applyNumberFormat="1" applyFont="1" applyBorder="1" applyAlignment="1">
      <alignment horizontal="center" vertical="center"/>
    </xf>
    <xf numFmtId="43" fontId="30" fillId="0" borderId="2" xfId="1" applyFont="1" applyBorder="1" applyAlignment="1">
      <alignment horizontal="center" vertical="center"/>
    </xf>
    <xf numFmtId="43" fontId="26" fillId="0" borderId="0" xfId="0" applyNumberFormat="1" applyFont="1"/>
    <xf numFmtId="0" fontId="30" fillId="10" borderId="6" xfId="0" applyFont="1" applyFill="1" applyBorder="1" applyAlignment="1">
      <alignment horizontal="center" vertical="center" wrapText="1"/>
    </xf>
    <xf numFmtId="0" fontId="26" fillId="11" borderId="1" xfId="0" applyFont="1" applyFill="1" applyBorder="1" applyAlignment="1">
      <alignment horizontal="center"/>
    </xf>
    <xf numFmtId="0" fontId="31" fillId="0" borderId="1" xfId="5" applyFont="1" applyBorder="1" applyAlignment="1">
      <alignment horizontal="right" vertical="center" wrapText="1"/>
    </xf>
    <xf numFmtId="0" fontId="0" fillId="0" borderId="0" xfId="0" applyAlignment="1">
      <alignment horizontal="left" wrapText="1"/>
    </xf>
    <xf numFmtId="0" fontId="31" fillId="0" borderId="0" xfId="0" applyFont="1" applyAlignment="1">
      <alignment vertical="center" wrapText="1"/>
    </xf>
    <xf numFmtId="0" fontId="0" fillId="0" borderId="0" xfId="0" applyAlignment="1">
      <alignment vertical="top" wrapText="1"/>
    </xf>
    <xf numFmtId="0" fontId="34" fillId="0" borderId="1" xfId="0" applyFont="1" applyBorder="1"/>
    <xf numFmtId="0" fontId="8" fillId="0" borderId="1" xfId="0" applyFont="1" applyBorder="1" applyAlignment="1">
      <alignment horizontal="center" vertical="center" wrapText="1"/>
    </xf>
    <xf numFmtId="0" fontId="8" fillId="0" borderId="1" xfId="0" applyFont="1" applyBorder="1"/>
    <xf numFmtId="0" fontId="36" fillId="0" borderId="1" xfId="0" applyFont="1" applyBorder="1" applyAlignment="1">
      <alignment wrapText="1"/>
    </xf>
    <xf numFmtId="0" fontId="8" fillId="0" borderId="1" xfId="0" applyFont="1" applyBorder="1" applyAlignment="1">
      <alignment wrapText="1" shrinkToFit="1"/>
    </xf>
    <xf numFmtId="0" fontId="22" fillId="0" borderId="1" xfId="11" applyFont="1" applyBorder="1" applyAlignment="1">
      <alignment horizontal="center" vertical="center" wrapText="1"/>
    </xf>
    <xf numFmtId="0" fontId="22" fillId="0" borderId="1" xfId="11" applyFont="1" applyBorder="1" applyAlignment="1">
      <alignment horizontal="left" wrapText="1"/>
    </xf>
    <xf numFmtId="4" fontId="22" fillId="0" borderId="1" xfId="0" applyNumberFormat="1" applyFont="1" applyBorder="1" applyAlignment="1">
      <alignment horizontal="right" wrapText="1"/>
    </xf>
    <xf numFmtId="3" fontId="22" fillId="0" borderId="1" xfId="11" applyNumberFormat="1" applyFont="1" applyBorder="1" applyAlignment="1">
      <alignment horizontal="right" wrapText="1"/>
    </xf>
    <xf numFmtId="4" fontId="22" fillId="0" borderId="1" xfId="10" applyNumberFormat="1" applyFont="1" applyFill="1" applyBorder="1" applyAlignment="1">
      <alignment horizontal="right" wrapText="1"/>
    </xf>
    <xf numFmtId="0" fontId="22" fillId="0" borderId="1" xfId="11" applyFont="1" applyBorder="1" applyAlignment="1">
      <alignment vertical="center" wrapText="1"/>
    </xf>
    <xf numFmtId="0" fontId="21" fillId="0" borderId="3" xfId="11" applyFont="1" applyBorder="1" applyAlignment="1">
      <alignment horizontal="right"/>
    </xf>
    <xf numFmtId="4" fontId="21" fillId="0" borderId="3" xfId="11" applyNumberFormat="1" applyFont="1" applyBorder="1" applyAlignment="1">
      <alignment horizontal="right"/>
    </xf>
    <xf numFmtId="4" fontId="22" fillId="0" borderId="0" xfId="10" applyNumberFormat="1" applyFont="1" applyFill="1" applyAlignment="1">
      <alignment horizontal="right" wrapText="1"/>
    </xf>
    <xf numFmtId="0" fontId="7" fillId="0" borderId="1" xfId="0" applyFont="1" applyBorder="1" applyAlignment="1">
      <alignment vertical="center"/>
    </xf>
    <xf numFmtId="0" fontId="7" fillId="0" borderId="0" xfId="0" applyFont="1"/>
    <xf numFmtId="43" fontId="9" fillId="0" borderId="1" xfId="1" applyFont="1" applyBorder="1"/>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43" fontId="10" fillId="2" borderId="1" xfId="1" applyFont="1" applyFill="1" applyBorder="1" applyAlignment="1">
      <alignment horizontal="center"/>
    </xf>
    <xf numFmtId="43" fontId="10" fillId="2" borderId="1" xfId="1" applyFont="1" applyFill="1" applyBorder="1"/>
    <xf numFmtId="0" fontId="9" fillId="2" borderId="1" xfId="0" applyFont="1" applyFill="1" applyBorder="1"/>
    <xf numFmtId="169" fontId="9" fillId="2" borderId="1" xfId="0" applyNumberFormat="1" applyFont="1" applyFill="1" applyBorder="1"/>
    <xf numFmtId="0" fontId="30" fillId="9" borderId="10" xfId="0" applyFont="1" applyFill="1" applyBorder="1" applyAlignment="1">
      <alignment horizontal="center" vertical="center" wrapText="1"/>
    </xf>
    <xf numFmtId="0" fontId="30" fillId="9" borderId="11" xfId="0" applyFont="1" applyFill="1" applyBorder="1" applyAlignment="1">
      <alignment horizontal="center" vertical="center" wrapText="1"/>
    </xf>
    <xf numFmtId="0" fontId="30" fillId="9" borderId="12" xfId="0" applyFont="1" applyFill="1" applyBorder="1" applyAlignment="1">
      <alignment horizontal="center" vertical="center" wrapText="1"/>
    </xf>
    <xf numFmtId="168" fontId="10" fillId="9" borderId="1" xfId="0" applyNumberFormat="1" applyFont="1" applyFill="1" applyBorder="1"/>
    <xf numFmtId="169" fontId="9" fillId="9" borderId="1" xfId="0" applyNumberFormat="1" applyFont="1" applyFill="1" applyBorder="1"/>
    <xf numFmtId="43" fontId="26" fillId="9" borderId="1" xfId="1" applyFont="1" applyFill="1" applyBorder="1"/>
    <xf numFmtId="43" fontId="26" fillId="9" borderId="6" xfId="1" applyFont="1" applyFill="1" applyBorder="1"/>
    <xf numFmtId="168" fontId="10" fillId="9" borderId="1" xfId="0" applyNumberFormat="1" applyFont="1" applyFill="1" applyBorder="1" applyAlignment="1">
      <alignment horizontal="right"/>
    </xf>
    <xf numFmtId="0" fontId="32" fillId="0" borderId="0" xfId="0" applyFont="1"/>
    <xf numFmtId="0" fontId="38" fillId="0" borderId="0" xfId="0" applyFont="1"/>
    <xf numFmtId="3" fontId="8" fillId="0" borderId="1" xfId="0" applyNumberFormat="1" applyFont="1" applyBorder="1"/>
    <xf numFmtId="0" fontId="40" fillId="2" borderId="1" xfId="0" applyFont="1" applyFill="1" applyBorder="1" applyAlignment="1">
      <alignment horizontal="center"/>
    </xf>
    <xf numFmtId="0" fontId="40" fillId="2" borderId="1" xfId="0" applyFont="1" applyFill="1" applyBorder="1" applyAlignment="1">
      <alignment horizontal="center" wrapText="1"/>
    </xf>
    <xf numFmtId="3" fontId="28" fillId="2" borderId="1" xfId="0" applyNumberFormat="1" applyFont="1" applyFill="1" applyBorder="1" applyAlignment="1">
      <alignment horizontal="center" vertical="center" wrapText="1"/>
    </xf>
    <xf numFmtId="43" fontId="28" fillId="2" borderId="1" xfId="1" applyFont="1" applyFill="1" applyBorder="1" applyAlignment="1">
      <alignment horizontal="center" vertical="center"/>
    </xf>
    <xf numFmtId="4" fontId="28" fillId="2" borderId="1" xfId="0" applyNumberFormat="1" applyFont="1" applyFill="1" applyBorder="1" applyAlignment="1">
      <alignment horizontal="center" vertical="center" wrapText="1"/>
    </xf>
    <xf numFmtId="43" fontId="30" fillId="0" borderId="1" xfId="0" applyNumberFormat="1" applyFont="1" applyBorder="1"/>
    <xf numFmtId="43" fontId="3" fillId="0" borderId="0" xfId="0" applyNumberFormat="1" applyFont="1"/>
    <xf numFmtId="43" fontId="28" fillId="0" borderId="0" xfId="0" applyNumberFormat="1" applyFont="1" applyAlignment="1">
      <alignment horizontal="right"/>
    </xf>
    <xf numFmtId="43" fontId="28" fillId="4" borderId="7" xfId="1" applyFont="1" applyFill="1" applyBorder="1"/>
    <xf numFmtId="164" fontId="3" fillId="5" borderId="1" xfId="1" applyNumberFormat="1" applyFont="1" applyFill="1" applyBorder="1" applyAlignment="1">
      <alignment horizontal="center" vertical="center"/>
    </xf>
    <xf numFmtId="43" fontId="3" fillId="5" borderId="1" xfId="1" applyFont="1" applyFill="1" applyBorder="1" applyAlignment="1">
      <alignment horizontal="center" vertical="center"/>
    </xf>
    <xf numFmtId="4" fontId="41" fillId="8" borderId="0" xfId="6" applyNumberFormat="1" applyFont="1" applyFill="1" applyAlignment="1">
      <alignment horizontal="right" wrapText="1"/>
    </xf>
    <xf numFmtId="43" fontId="30" fillId="0" borderId="0" xfId="0" applyNumberFormat="1" applyFont="1"/>
    <xf numFmtId="0" fontId="3" fillId="2" borderId="3" xfId="0" applyFont="1" applyFill="1" applyBorder="1" applyAlignment="1">
      <alignment horizontal="center" vertical="center"/>
    </xf>
    <xf numFmtId="164" fontId="28" fillId="0" borderId="0" xfId="0" applyNumberFormat="1" applyFont="1" applyAlignment="1">
      <alignment horizontal="left"/>
    </xf>
    <xf numFmtId="0" fontId="32" fillId="0" borderId="0" xfId="0" applyFont="1" applyAlignment="1">
      <alignment horizontal="right" wrapText="1"/>
    </xf>
    <xf numFmtId="0" fontId="33" fillId="0" borderId="0" xfId="0" applyFont="1" applyAlignment="1">
      <alignment horizontal="center" vertical="top" wrapText="1"/>
    </xf>
    <xf numFmtId="0" fontId="35" fillId="9" borderId="1" xfId="0" applyFont="1" applyFill="1" applyBorder="1" applyAlignment="1">
      <alignment horizontal="center"/>
    </xf>
    <xf numFmtId="0" fontId="35" fillId="2" borderId="4" xfId="0" applyFont="1" applyFill="1" applyBorder="1" applyAlignment="1">
      <alignment horizontal="center"/>
    </xf>
    <xf numFmtId="0" fontId="35" fillId="2" borderId="13" xfId="0" applyFont="1" applyFill="1" applyBorder="1" applyAlignment="1">
      <alignment horizontal="center"/>
    </xf>
    <xf numFmtId="0" fontId="35" fillId="2" borderId="5" xfId="0" applyFont="1" applyFill="1" applyBorder="1" applyAlignment="1">
      <alignment horizontal="center"/>
    </xf>
    <xf numFmtId="0" fontId="3" fillId="0" borderId="0" xfId="0" applyFont="1" applyAlignment="1">
      <alignment horizontal="left" vertical="center" wrapText="1"/>
    </xf>
    <xf numFmtId="0" fontId="28" fillId="0" borderId="0" xfId="0" applyFont="1" applyAlignment="1">
      <alignment horizontal="center"/>
    </xf>
    <xf numFmtId="0" fontId="37" fillId="0" borderId="0" xfId="0" applyFont="1" applyAlignment="1">
      <alignment horizontal="right" wrapText="1"/>
    </xf>
    <xf numFmtId="0" fontId="30" fillId="9" borderId="1" xfId="0" applyFont="1" applyFill="1" applyBorder="1" applyAlignment="1">
      <alignment horizontal="center"/>
    </xf>
    <xf numFmtId="0" fontId="27" fillId="0" borderId="0" xfId="0" applyFont="1" applyAlignment="1">
      <alignment horizontal="right" wrapText="1"/>
    </xf>
    <xf numFmtId="0" fontId="30" fillId="2" borderId="4" xfId="0" applyFont="1" applyFill="1" applyBorder="1" applyAlignment="1">
      <alignment horizontal="center"/>
    </xf>
    <xf numFmtId="0" fontId="30" fillId="2" borderId="13" xfId="0" applyFont="1" applyFill="1" applyBorder="1" applyAlignment="1">
      <alignment horizontal="center"/>
    </xf>
    <xf numFmtId="0" fontId="30" fillId="2" borderId="5" xfId="0" applyFont="1" applyFill="1" applyBorder="1" applyAlignment="1">
      <alignment horizontal="center"/>
    </xf>
    <xf numFmtId="2" fontId="17" fillId="9" borderId="6" xfId="3" applyNumberFormat="1" applyFont="1" applyFill="1" applyBorder="1" applyAlignment="1">
      <alignment horizontal="center" vertical="center" wrapText="1"/>
    </xf>
    <xf numFmtId="2" fontId="17" fillId="9" borderId="3" xfId="3" applyNumberFormat="1" applyFont="1" applyFill="1" applyBorder="1" applyAlignment="1">
      <alignment horizontal="center" vertical="center" wrapText="1"/>
    </xf>
    <xf numFmtId="0" fontId="15" fillId="0" borderId="0" xfId="0" applyFont="1" applyAlignment="1">
      <alignment horizontal="right"/>
    </xf>
    <xf numFmtId="0" fontId="17" fillId="9" borderId="6" xfId="3" applyFont="1" applyFill="1" applyBorder="1" applyAlignment="1">
      <alignment horizontal="center" vertical="center" wrapText="1"/>
    </xf>
    <xf numFmtId="0" fontId="17" fillId="9" borderId="3" xfId="3"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6" applyFont="1" applyBorder="1" applyAlignment="1">
      <alignment horizontal="center" vertical="center" wrapText="1"/>
    </xf>
    <xf numFmtId="0" fontId="23" fillId="0" borderId="1" xfId="0" applyFont="1" applyBorder="1" applyAlignment="1">
      <alignment horizontal="center" wrapText="1"/>
    </xf>
    <xf numFmtId="0" fontId="22" fillId="0" borderId="0" xfId="0" applyFont="1" applyAlignment="1">
      <alignment horizontal="center" vertical="center" wrapText="1"/>
    </xf>
    <xf numFmtId="0" fontId="23" fillId="0" borderId="1" xfId="0" applyFont="1" applyBorder="1" applyAlignment="1">
      <alignment vertical="center"/>
    </xf>
    <xf numFmtId="0" fontId="23" fillId="0" borderId="6"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wrapText="1"/>
    </xf>
    <xf numFmtId="0" fontId="23" fillId="0" borderId="5" xfId="0" applyFont="1" applyBorder="1" applyAlignment="1">
      <alignment horizontal="center" wrapText="1"/>
    </xf>
    <xf numFmtId="0" fontId="5" fillId="0" borderId="1" xfId="0" applyFont="1" applyBorder="1" applyAlignment="1">
      <alignment vertical="center"/>
    </xf>
    <xf numFmtId="0" fontId="5" fillId="0" borderId="1" xfId="0" applyFont="1" applyBorder="1" applyAlignment="1">
      <alignment horizontal="center" vertical="center"/>
    </xf>
    <xf numFmtId="0" fontId="39" fillId="0" borderId="0" xfId="6" applyFont="1" applyAlignment="1">
      <alignment horizontal="right" vertical="center" wrapText="1"/>
    </xf>
    <xf numFmtId="0" fontId="6" fillId="0" borderId="0" xfId="0" applyFont="1" applyAlignment="1">
      <alignment horizontal="right"/>
    </xf>
    <xf numFmtId="0" fontId="4" fillId="0" borderId="0" xfId="6" applyFont="1" applyAlignment="1">
      <alignment horizontal="left" wrapText="1"/>
    </xf>
    <xf numFmtId="0" fontId="12" fillId="0" borderId="0" xfId="0" applyFont="1" applyAlignment="1">
      <alignment horizontal="right" wrapText="1"/>
    </xf>
    <xf numFmtId="0" fontId="9" fillId="0" borderId="4" xfId="0" applyFont="1" applyBorder="1" applyAlignment="1">
      <alignment horizontal="right"/>
    </xf>
    <xf numFmtId="0" fontId="9" fillId="0" borderId="5" xfId="0" applyFont="1" applyBorder="1" applyAlignment="1">
      <alignment horizontal="right"/>
    </xf>
  </cellXfs>
  <cellStyles count="16">
    <cellStyle name="Comma" xfId="1" builtinId="3"/>
    <cellStyle name="Comma 2 2" xfId="7" xr:uid="{B0FB2BFD-BEF9-41F5-8CBE-8AD075E2A96D}"/>
    <cellStyle name="Comma 3 2 2" xfId="10" xr:uid="{6AADD4B3-5AE9-4234-B241-B47CAB6184D7}"/>
    <cellStyle name="Comma 3 3" xfId="12" xr:uid="{7DDAD0F7-7062-447B-9B8C-664D296ADFE8}"/>
    <cellStyle name="Comma 4" xfId="13" xr:uid="{7877E490-07B4-4286-9559-5F1BD8BFA2FF}"/>
    <cellStyle name="Comma 5" xfId="15" xr:uid="{1C063EE4-7816-4DC4-9D1B-44A12F49445F}"/>
    <cellStyle name="Normal" xfId="0" builtinId="0"/>
    <cellStyle name="Normal 10" xfId="8" xr:uid="{8EA8E55F-8013-4D3A-8D49-8817E19A096C}"/>
    <cellStyle name="Normal 10 2 2" xfId="3" xr:uid="{F6E121BD-2483-482E-8FCB-885E9AECF63C}"/>
    <cellStyle name="Normal 2 2 2 2" xfId="5" xr:uid="{84EDAC0C-DAB7-4126-941E-1744417FE265}"/>
    <cellStyle name="Normal 3" xfId="2" xr:uid="{A7593450-2E22-435E-ACAE-D0F730E1B84B}"/>
    <cellStyle name="Normal 3 11" xfId="11" xr:uid="{27DE7F44-64D9-44A0-9BC0-8C824A13920C}"/>
    <cellStyle name="Normal 39 5 2" xfId="4" xr:uid="{5AD1AED7-A1DD-46DF-B33A-EFD4D1547BBD}"/>
    <cellStyle name="Normal 4" xfId="6" xr:uid="{E0AB4FB4-ED5A-4AF2-8501-3D411C4B9263}"/>
    <cellStyle name="Normal 4 10" xfId="9" xr:uid="{F3A008AF-E849-4EEA-AD13-794DEE770C91}"/>
    <cellStyle name="Normal 6" xfId="14" xr:uid="{8CD0C487-2A21-4CEB-B7A2-27D775E249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N:\2024%20Tarifi\2024%20Iezimetas%20programmas_.xlsx" TargetMode="External"/><Relationship Id="rId1" Type="http://schemas.openxmlformats.org/officeDocument/2006/relationships/externalLinkPath" Target="file:///N:\2024%20Tarifi\2024%20Iezimetas%20programmas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S 2013 izm_ (3)"/>
      <sheetName val="D+S 20135555"/>
      <sheetName val="D+S 2013 izm_ (2)"/>
      <sheetName val="Programmas no 01.01.2024"/>
      <sheetName val="tar_elementi 15 (2)"/>
      <sheetName val="tar_elementi 15 (3)"/>
      <sheetName val="tar_elementi 15 (4)"/>
      <sheetName val="progr_14_01_01_"/>
      <sheetName val="GD tarifi"/>
      <sheetName val="Pa elementiem"/>
      <sheetName val="Man.saraksts"/>
      <sheetName val="Parrekinatas man"/>
      <sheetName val="2zv man"/>
      <sheetName val="2.5.2."/>
      <sheetName val="2.5.1."/>
      <sheetName val="2.23.3."/>
      <sheetName val="2.23.4."/>
      <sheetName val="2.18.5.2."/>
      <sheetName val="2.25.1."/>
      <sheetName val="2.25.2."/>
      <sheetName val="2.18.5.3."/>
      <sheetName val="2.18.5.4."/>
      <sheetName val="2.18.5.1."/>
      <sheetName val="2.20.4."/>
      <sheetName val="2.20.3."/>
      <sheetName val="2.10.8."/>
      <sheetName val="2.18.7.1."/>
      <sheetName val="2.10.3."/>
      <sheetName val="2.25.4."/>
      <sheetName val="2.25.12."/>
      <sheetName val="2.11.1."/>
      <sheetName val="2.17.2."/>
      <sheetName val="2.10.5."/>
      <sheetName val="2.10.20."/>
      <sheetName val="2.10.19."/>
      <sheetName val="2.10.21."/>
      <sheetName val="2.10.17."/>
      <sheetName val="2.10.13."/>
      <sheetName val="2.10.14."/>
      <sheetName val="2.10.16."/>
      <sheetName val="2.10.15."/>
      <sheetName val="2.10.12."/>
      <sheetName val="2.10.11."/>
      <sheetName val="2.10.18."/>
      <sheetName val="3.2.29."/>
      <sheetName val="2.15.8."/>
      <sheetName val="2.15.9."/>
      <sheetName val="2.15.10."/>
      <sheetName val="2.15.5."/>
      <sheetName val="2.15.6."/>
      <sheetName val="2.19.6."/>
      <sheetName val="2.22.2."/>
      <sheetName val="2.6.10."/>
      <sheetName val="2.6.9."/>
      <sheetName val="2.6.11."/>
      <sheetName val="2.6.1."/>
      <sheetName val="2.6.6."/>
      <sheetName val="2.6.5."/>
      <sheetName val="2.6.4."/>
      <sheetName val="2.6.3."/>
      <sheetName val="2.6.8."/>
      <sheetName val="2.6.7."/>
      <sheetName val="2.6.2."/>
      <sheetName val="2.19.4."/>
      <sheetName val="2.19.3."/>
      <sheetName val="2.7.1."/>
      <sheetName val="2.25.13.5."/>
      <sheetName val="2.25.13.3."/>
      <sheetName val="2.25.13.2."/>
      <sheetName val="2.25.13.4."/>
      <sheetName val="2.25.13.1."/>
      <sheetName val="2.1.3."/>
      <sheetName val="2.1.1."/>
      <sheetName val="2.25.5."/>
      <sheetName val="2.25.11.2."/>
      <sheetName val="2.8.2."/>
      <sheetName val="2.25.11.1."/>
    </sheetNames>
    <sheetDataSet>
      <sheetData sheetId="0"/>
      <sheetData sheetId="1"/>
      <sheetData sheetId="2"/>
      <sheetData sheetId="3"/>
      <sheetData sheetId="4"/>
      <sheetData sheetId="5"/>
      <sheetData sheetId="6"/>
      <sheetData sheetId="7"/>
      <sheetData sheetId="8">
        <row r="12">
          <cell r="E12">
            <v>98.86999999999999</v>
          </cell>
        </row>
      </sheetData>
      <sheetData sheetId="9"/>
      <sheetData sheetId="10">
        <row r="7">
          <cell r="D7" t="str">
            <v>01004</v>
          </cell>
        </row>
      </sheetData>
      <sheetData sheetId="11"/>
      <sheetData sheetId="12"/>
      <sheetData sheetId="13">
        <row r="95">
          <cell r="E95">
            <v>749.25</v>
          </cell>
        </row>
      </sheetData>
      <sheetData sheetId="14">
        <row r="61">
          <cell r="E61">
            <v>584.29</v>
          </cell>
        </row>
      </sheetData>
      <sheetData sheetId="15">
        <row r="98">
          <cell r="E98">
            <v>6836.55</v>
          </cell>
        </row>
      </sheetData>
      <sheetData sheetId="16">
        <row r="46">
          <cell r="E46">
            <v>4850.42</v>
          </cell>
        </row>
      </sheetData>
      <sheetData sheetId="17">
        <row r="30">
          <cell r="E30">
            <v>1753.29</v>
          </cell>
        </row>
      </sheetData>
      <sheetData sheetId="18">
        <row r="69">
          <cell r="E69">
            <v>6551.36</v>
          </cell>
        </row>
      </sheetData>
      <sheetData sheetId="19">
        <row r="133">
          <cell r="E133">
            <v>999.06</v>
          </cell>
        </row>
      </sheetData>
      <sheetData sheetId="20">
        <row r="25">
          <cell r="E25">
            <v>27434</v>
          </cell>
        </row>
      </sheetData>
      <sheetData sheetId="21">
        <row r="22">
          <cell r="E22">
            <v>9812.9699999999993</v>
          </cell>
        </row>
      </sheetData>
      <sheetData sheetId="22">
        <row r="21">
          <cell r="E21">
            <v>2578.41</v>
          </cell>
        </row>
      </sheetData>
      <sheetData sheetId="23">
        <row r="32">
          <cell r="E32">
            <v>2869.65</v>
          </cell>
        </row>
      </sheetData>
      <sheetData sheetId="24">
        <row r="36">
          <cell r="E36">
            <v>6718.43</v>
          </cell>
        </row>
      </sheetData>
      <sheetData sheetId="25">
        <row r="269">
          <cell r="E269">
            <v>2587.2600000000002</v>
          </cell>
        </row>
      </sheetData>
      <sheetData sheetId="26">
        <row r="69">
          <cell r="E69">
            <v>3089.41</v>
          </cell>
        </row>
      </sheetData>
      <sheetData sheetId="27">
        <row r="81">
          <cell r="E81">
            <v>22079.759999999998</v>
          </cell>
        </row>
      </sheetData>
      <sheetData sheetId="28">
        <row r="34">
          <cell r="E34">
            <v>2373.9499999999998</v>
          </cell>
        </row>
      </sheetData>
      <sheetData sheetId="29">
        <row r="82">
          <cell r="E82">
            <v>15852.54</v>
          </cell>
        </row>
      </sheetData>
      <sheetData sheetId="30">
        <row r="101">
          <cell r="E101">
            <v>2031.62</v>
          </cell>
        </row>
      </sheetData>
      <sheetData sheetId="31">
        <row r="36">
          <cell r="E36">
            <v>1492.83</v>
          </cell>
        </row>
      </sheetData>
      <sheetData sheetId="32">
        <row r="47">
          <cell r="E47">
            <v>2913.81</v>
          </cell>
        </row>
      </sheetData>
      <sheetData sheetId="33">
        <row r="41">
          <cell r="E41">
            <v>3640.1</v>
          </cell>
        </row>
      </sheetData>
      <sheetData sheetId="34">
        <row r="36">
          <cell r="E36">
            <v>5167.66</v>
          </cell>
        </row>
      </sheetData>
      <sheetData sheetId="35">
        <row r="45">
          <cell r="E45">
            <v>3719.7</v>
          </cell>
        </row>
      </sheetData>
      <sheetData sheetId="36">
        <row r="44">
          <cell r="E44">
            <v>4792.74</v>
          </cell>
        </row>
      </sheetData>
      <sheetData sheetId="37">
        <row r="29">
          <cell r="E29">
            <v>2985.06</v>
          </cell>
        </row>
      </sheetData>
      <sheetData sheetId="38">
        <row r="32">
          <cell r="E32">
            <v>6080.87</v>
          </cell>
        </row>
      </sheetData>
      <sheetData sheetId="39">
        <row r="72">
          <cell r="E72">
            <v>3026.62</v>
          </cell>
        </row>
      </sheetData>
      <sheetData sheetId="40">
        <row r="48">
          <cell r="E48">
            <v>3992.8</v>
          </cell>
        </row>
      </sheetData>
      <sheetData sheetId="41">
        <row r="55">
          <cell r="E55">
            <v>5405.06</v>
          </cell>
        </row>
      </sheetData>
      <sheetData sheetId="42">
        <row r="71">
          <cell r="E71">
            <v>4730.46</v>
          </cell>
        </row>
      </sheetData>
      <sheetData sheetId="43">
        <row r="106">
          <cell r="E106">
            <v>4102.26</v>
          </cell>
        </row>
      </sheetData>
      <sheetData sheetId="44">
        <row r="22">
          <cell r="E22">
            <v>1886.29</v>
          </cell>
        </row>
      </sheetData>
      <sheetData sheetId="45">
        <row r="257">
          <cell r="E257">
            <v>4796.41</v>
          </cell>
        </row>
      </sheetData>
      <sheetData sheetId="46">
        <row r="286">
          <cell r="E286">
            <v>5745.09</v>
          </cell>
        </row>
      </sheetData>
      <sheetData sheetId="47">
        <row r="75">
          <cell r="E75">
            <v>5760.86</v>
          </cell>
        </row>
      </sheetData>
      <sheetData sheetId="48">
        <row r="152">
          <cell r="E152">
            <v>5420.32</v>
          </cell>
        </row>
      </sheetData>
      <sheetData sheetId="49">
        <row r="275">
          <cell r="E275">
            <v>990.88</v>
          </cell>
        </row>
      </sheetData>
      <sheetData sheetId="50">
        <row r="77">
          <cell r="E77">
            <v>1896.87</v>
          </cell>
        </row>
      </sheetData>
      <sheetData sheetId="51">
        <row r="114">
          <cell r="E114">
            <v>13683.5</v>
          </cell>
        </row>
      </sheetData>
      <sheetData sheetId="52">
        <row r="155">
          <cell r="E155">
            <v>7679.44</v>
          </cell>
        </row>
      </sheetData>
      <sheetData sheetId="53">
        <row r="90">
          <cell r="E90">
            <v>8232.91</v>
          </cell>
        </row>
      </sheetData>
      <sheetData sheetId="54">
        <row r="121">
          <cell r="E121">
            <v>1880.32</v>
          </cell>
        </row>
      </sheetData>
      <sheetData sheetId="55">
        <row r="52">
          <cell r="E52">
            <v>2986.54</v>
          </cell>
        </row>
      </sheetData>
      <sheetData sheetId="56">
        <row r="27">
          <cell r="E27">
            <v>13554.3</v>
          </cell>
        </row>
      </sheetData>
      <sheetData sheetId="57">
        <row r="23">
          <cell r="E23">
            <v>16221.31</v>
          </cell>
        </row>
      </sheetData>
      <sheetData sheetId="58">
        <row r="23">
          <cell r="E23">
            <v>953.96</v>
          </cell>
        </row>
      </sheetData>
      <sheetData sheetId="59">
        <row r="26">
          <cell r="E26">
            <v>2275.08</v>
          </cell>
        </row>
      </sheetData>
      <sheetData sheetId="60">
        <row r="71">
          <cell r="E71">
            <v>18707.03</v>
          </cell>
        </row>
      </sheetData>
      <sheetData sheetId="61">
        <row r="83">
          <cell r="E83">
            <v>19553.52</v>
          </cell>
        </row>
      </sheetData>
      <sheetData sheetId="62">
        <row r="19">
          <cell r="E19">
            <v>12057.79</v>
          </cell>
        </row>
      </sheetData>
      <sheetData sheetId="63">
        <row r="57">
          <cell r="E57">
            <v>3171.7</v>
          </cell>
        </row>
      </sheetData>
      <sheetData sheetId="64">
        <row r="18">
          <cell r="E18">
            <v>1544.09</v>
          </cell>
        </row>
      </sheetData>
      <sheetData sheetId="65">
        <row r="127">
          <cell r="E127">
            <v>1989.59</v>
          </cell>
        </row>
      </sheetData>
      <sheetData sheetId="66">
        <row r="44">
          <cell r="E44">
            <v>659.23</v>
          </cell>
        </row>
      </sheetData>
      <sheetData sheetId="67">
        <row r="17">
          <cell r="E17">
            <v>10418.81</v>
          </cell>
        </row>
      </sheetData>
      <sheetData sheetId="68">
        <row r="19">
          <cell r="E19">
            <v>2966.1</v>
          </cell>
        </row>
      </sheetData>
      <sheetData sheetId="69">
        <row r="23">
          <cell r="E23">
            <v>2530.83</v>
          </cell>
        </row>
      </sheetData>
      <sheetData sheetId="70">
        <row r="19">
          <cell r="E19">
            <v>2966.1</v>
          </cell>
        </row>
      </sheetData>
      <sheetData sheetId="71">
        <row r="37">
          <cell r="E37">
            <v>14078.32</v>
          </cell>
        </row>
      </sheetData>
      <sheetData sheetId="72">
        <row r="47">
          <cell r="E47">
            <v>21061.25</v>
          </cell>
        </row>
      </sheetData>
      <sheetData sheetId="73">
        <row r="50">
          <cell r="E50">
            <v>36697.949999999997</v>
          </cell>
        </row>
      </sheetData>
      <sheetData sheetId="74">
        <row r="51">
          <cell r="E51">
            <v>45504.18</v>
          </cell>
        </row>
      </sheetData>
      <sheetData sheetId="75">
        <row r="28">
          <cell r="E28">
            <v>27096.63</v>
          </cell>
        </row>
      </sheetData>
      <sheetData sheetId="76">
        <row r="42">
          <cell r="E42">
            <v>1999.11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75093-2B46-419C-86B6-24D512D6B664}">
  <dimension ref="B1:L10"/>
  <sheetViews>
    <sheetView topLeftCell="A3" workbookViewId="0">
      <selection activeCell="C7" sqref="C7"/>
    </sheetView>
  </sheetViews>
  <sheetFormatPr defaultRowHeight="14.5" x14ac:dyDescent="0.35"/>
  <cols>
    <col min="2" max="2" width="38.54296875" customWidth="1"/>
    <col min="3" max="3" width="21" customWidth="1"/>
    <col min="4" max="4" width="19.453125" customWidth="1"/>
    <col min="5" max="5" width="21" customWidth="1"/>
    <col min="6" max="6" width="18.54296875" customWidth="1"/>
    <col min="7" max="7" width="20.26953125" customWidth="1"/>
    <col min="8" max="8" width="12.81640625" customWidth="1"/>
  </cols>
  <sheetData>
    <row r="1" spans="2:12" ht="45.75" customHeight="1" x14ac:dyDescent="0.35">
      <c r="D1" s="234" t="s">
        <v>176</v>
      </c>
      <c r="E1" s="234"/>
      <c r="F1" s="234"/>
      <c r="G1" s="234"/>
      <c r="H1" s="234"/>
      <c r="I1" s="234"/>
    </row>
    <row r="2" spans="2:12" x14ac:dyDescent="0.35">
      <c r="E2" s="182"/>
      <c r="F2" s="182"/>
      <c r="G2" s="182"/>
      <c r="H2" s="182"/>
      <c r="I2" s="183"/>
    </row>
    <row r="3" spans="2:12" ht="48.75" customHeight="1" x14ac:dyDescent="0.35">
      <c r="B3" s="235" t="s">
        <v>179</v>
      </c>
      <c r="C3" s="235"/>
      <c r="D3" s="235"/>
      <c r="E3" s="235"/>
      <c r="F3" s="235"/>
      <c r="G3" s="235"/>
      <c r="H3" s="235"/>
      <c r="I3" s="184"/>
      <c r="J3" s="184"/>
      <c r="K3" s="184"/>
      <c r="L3" s="184"/>
    </row>
    <row r="5" spans="2:12" ht="45" x14ac:dyDescent="0.35">
      <c r="B5" s="185"/>
      <c r="C5" s="186" t="s">
        <v>178</v>
      </c>
      <c r="D5" s="186" t="s">
        <v>180</v>
      </c>
    </row>
    <row r="6" spans="2:12" ht="16.5" x14ac:dyDescent="0.35">
      <c r="B6" s="237" t="s">
        <v>205</v>
      </c>
      <c r="C6" s="238"/>
      <c r="D6" s="239"/>
    </row>
    <row r="7" spans="2:12" ht="15.5" x14ac:dyDescent="0.35">
      <c r="B7" s="187" t="s">
        <v>177</v>
      </c>
      <c r="C7" s="218">
        <f>'2025_sept_dec'!D3</f>
        <v>174768</v>
      </c>
      <c r="D7" s="218">
        <f>'2026_I_pusg'!C5</f>
        <v>343627</v>
      </c>
    </row>
    <row r="8" spans="2:12" ht="16.5" x14ac:dyDescent="0.35">
      <c r="B8" s="236" t="s">
        <v>181</v>
      </c>
      <c r="C8" s="236"/>
      <c r="D8" s="236"/>
    </row>
    <row r="9" spans="2:12" ht="79.5" customHeight="1" x14ac:dyDescent="0.35">
      <c r="B9" s="188" t="s">
        <v>182</v>
      </c>
      <c r="C9" s="218">
        <f>C7</f>
        <v>174768</v>
      </c>
      <c r="D9" s="218">
        <v>253203</v>
      </c>
    </row>
    <row r="10" spans="2:12" ht="30.5" x14ac:dyDescent="0.35">
      <c r="B10" s="189" t="s">
        <v>183</v>
      </c>
      <c r="C10" s="187"/>
      <c r="D10" s="218">
        <f>D7-D9</f>
        <v>90424</v>
      </c>
    </row>
  </sheetData>
  <mergeCells count="4">
    <mergeCell ref="D1:I1"/>
    <mergeCell ref="B3:H3"/>
    <mergeCell ref="B8:D8"/>
    <mergeCell ref="B6:D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B93AC-95DE-491A-B71F-53105FBC0136}">
  <dimension ref="A1:N42"/>
  <sheetViews>
    <sheetView tabSelected="1" topLeftCell="A10" workbookViewId="0">
      <selection activeCell="B11" sqref="B11:B12"/>
    </sheetView>
  </sheetViews>
  <sheetFormatPr defaultColWidth="9.1796875" defaultRowHeight="13" x14ac:dyDescent="0.3"/>
  <cols>
    <col min="1" max="1" width="66.26953125" style="19" customWidth="1"/>
    <col min="2" max="2" width="14.7265625" style="19" customWidth="1"/>
    <col min="3" max="3" width="22.1796875" style="19" customWidth="1"/>
    <col min="4" max="4" width="22.453125" style="19" customWidth="1"/>
    <col min="5" max="5" width="18" style="19" customWidth="1"/>
    <col min="6" max="6" width="21.1796875" style="19" customWidth="1"/>
    <col min="7" max="7" width="28.81640625" style="19" customWidth="1"/>
    <col min="8" max="8" width="17.7265625" style="19" customWidth="1"/>
    <col min="9" max="9" width="17.26953125" style="19" customWidth="1"/>
    <col min="10" max="11" width="14.7265625" style="19" customWidth="1"/>
    <col min="12" max="12" width="19.81640625" style="19" customWidth="1"/>
    <col min="13" max="13" width="14.7265625" style="19" customWidth="1"/>
    <col min="14" max="14" width="17.7265625" style="19" customWidth="1"/>
    <col min="15" max="16384" width="9.1796875" style="19"/>
  </cols>
  <sheetData>
    <row r="1" spans="1:14" ht="42.75" customHeight="1" x14ac:dyDescent="0.3">
      <c r="F1" s="242" t="s">
        <v>192</v>
      </c>
      <c r="G1" s="242"/>
      <c r="H1" s="242"/>
      <c r="K1" s="240"/>
      <c r="L1" s="240"/>
      <c r="M1" s="240"/>
      <c r="N1" s="240"/>
    </row>
    <row r="2" spans="1:14" ht="23.25" customHeight="1" x14ac:dyDescent="0.3">
      <c r="A2" s="92" t="s">
        <v>0</v>
      </c>
      <c r="D2" s="97" t="s">
        <v>191</v>
      </c>
      <c r="K2" s="91"/>
      <c r="L2" s="91"/>
      <c r="M2" s="91"/>
      <c r="N2" s="91"/>
    </row>
    <row r="3" spans="1:14" x14ac:dyDescent="0.3">
      <c r="A3" s="92" t="s">
        <v>1</v>
      </c>
      <c r="D3" s="101">
        <f>ROUND(D19+I37+Papildus_specialisti!K9,0)</f>
        <v>174768</v>
      </c>
      <c r="E3" s="225"/>
      <c r="G3" s="241"/>
      <c r="H3" s="241"/>
      <c r="I3" s="241"/>
    </row>
    <row r="4" spans="1:14" x14ac:dyDescent="0.3">
      <c r="A4" s="93"/>
      <c r="B4" s="93"/>
      <c r="C4" s="93"/>
      <c r="D4" s="94"/>
      <c r="E4" s="95"/>
      <c r="F4" s="96"/>
      <c r="H4" s="145"/>
    </row>
    <row r="5" spans="1:14" x14ac:dyDescent="0.3">
      <c r="A5" s="99"/>
      <c r="B5" s="99"/>
      <c r="C5" s="99"/>
      <c r="D5" s="100"/>
      <c r="E5" s="226"/>
      <c r="F5" s="100"/>
      <c r="H5" s="146"/>
    </row>
    <row r="6" spans="1:14" x14ac:dyDescent="0.3">
      <c r="A6" s="99"/>
      <c r="B6" s="99"/>
      <c r="C6" s="99"/>
      <c r="D6" s="99"/>
      <c r="E6" s="99"/>
      <c r="F6" s="99"/>
      <c r="G6" s="99"/>
      <c r="H6" s="99"/>
      <c r="I6" s="102"/>
      <c r="J6" s="147"/>
      <c r="K6" s="103"/>
      <c r="M6" s="104"/>
    </row>
    <row r="7" spans="1:14" ht="65" x14ac:dyDescent="0.3">
      <c r="A7" s="105" t="s">
        <v>2</v>
      </c>
      <c r="B7" s="106" t="s">
        <v>220</v>
      </c>
      <c r="C7" s="106" t="s">
        <v>3</v>
      </c>
      <c r="D7" s="106" t="s">
        <v>4</v>
      </c>
      <c r="E7" s="107"/>
      <c r="G7" s="106" t="s">
        <v>5</v>
      </c>
      <c r="I7" s="108"/>
      <c r="J7" s="148"/>
    </row>
    <row r="8" spans="1:14" ht="26" x14ac:dyDescent="0.3">
      <c r="A8" s="109" t="s">
        <v>122</v>
      </c>
      <c r="B8" s="20">
        <v>18</v>
      </c>
      <c r="C8" s="20">
        <v>299.82</v>
      </c>
      <c r="D8" s="21">
        <f>B8*C8</f>
        <v>5396.76</v>
      </c>
      <c r="E8" s="225"/>
      <c r="G8" s="21" t="s">
        <v>6</v>
      </c>
      <c r="I8" s="108"/>
    </row>
    <row r="9" spans="1:14" ht="26" x14ac:dyDescent="0.3">
      <c r="A9" s="109" t="s">
        <v>7</v>
      </c>
      <c r="B9" s="20">
        <v>7</v>
      </c>
      <c r="C9" s="232">
        <v>6177.42</v>
      </c>
      <c r="D9" s="21">
        <f>B9*C9</f>
        <v>43241.94</v>
      </c>
      <c r="E9" s="225"/>
      <c r="G9" s="21" t="s">
        <v>6</v>
      </c>
    </row>
    <row r="10" spans="1:14" ht="52" x14ac:dyDescent="0.3">
      <c r="A10" s="109" t="s">
        <v>173</v>
      </c>
      <c r="B10" s="110">
        <v>7</v>
      </c>
      <c r="C10" s="20">
        <v>109.99</v>
      </c>
      <c r="D10" s="21">
        <f>B10*C10</f>
        <v>769.93</v>
      </c>
      <c r="E10" s="225"/>
      <c r="G10" s="21" t="s">
        <v>8</v>
      </c>
      <c r="I10" s="111"/>
    </row>
    <row r="11" spans="1:14" x14ac:dyDescent="0.3">
      <c r="A11" s="109" t="s">
        <v>9</v>
      </c>
      <c r="B11" s="110">
        <v>6</v>
      </c>
      <c r="C11" s="112">
        <v>2966.1</v>
      </c>
      <c r="D11" s="21">
        <f>B11*C11</f>
        <v>17796.599999999999</v>
      </c>
      <c r="G11" s="21" t="s">
        <v>6</v>
      </c>
    </row>
    <row r="12" spans="1:14" x14ac:dyDescent="0.3">
      <c r="A12" s="109" t="s">
        <v>10</v>
      </c>
      <c r="B12" s="110">
        <v>1</v>
      </c>
      <c r="C12" s="112">
        <f>C11*2</f>
        <v>5932.2</v>
      </c>
      <c r="D12" s="21">
        <f t="shared" ref="D12:D14" si="0">B12*C12</f>
        <v>5932.2</v>
      </c>
      <c r="G12" s="21" t="s">
        <v>6</v>
      </c>
    </row>
    <row r="13" spans="1:14" ht="26" x14ac:dyDescent="0.3">
      <c r="A13" s="109" t="s">
        <v>11</v>
      </c>
      <c r="B13" s="110">
        <v>0</v>
      </c>
      <c r="C13" s="112">
        <v>2966.1</v>
      </c>
      <c r="D13" s="21">
        <f t="shared" si="0"/>
        <v>0</v>
      </c>
      <c r="G13" s="21" t="s">
        <v>6</v>
      </c>
    </row>
    <row r="14" spans="1:14" ht="26" x14ac:dyDescent="0.3">
      <c r="A14" s="109" t="s">
        <v>12</v>
      </c>
      <c r="B14" s="110">
        <v>0</v>
      </c>
      <c r="C14" s="112">
        <f>C13*2</f>
        <v>5932.2</v>
      </c>
      <c r="D14" s="21">
        <f t="shared" si="0"/>
        <v>0</v>
      </c>
      <c r="G14" s="21" t="s">
        <v>6</v>
      </c>
    </row>
    <row r="15" spans="1:14" ht="26" x14ac:dyDescent="0.3">
      <c r="A15" s="109" t="s">
        <v>56</v>
      </c>
      <c r="B15" s="110">
        <v>6</v>
      </c>
      <c r="C15" s="20">
        <v>497.79</v>
      </c>
      <c r="D15" s="21">
        <f>B15*C15</f>
        <v>2986.7400000000002</v>
      </c>
      <c r="G15" s="21" t="s">
        <v>8</v>
      </c>
    </row>
    <row r="16" spans="1:14" ht="26" x14ac:dyDescent="0.3">
      <c r="A16" s="109" t="s">
        <v>35</v>
      </c>
      <c r="B16" s="110">
        <v>1</v>
      </c>
      <c r="C16" s="20">
        <f>C15*2</f>
        <v>995.58</v>
      </c>
      <c r="D16" s="21">
        <f t="shared" ref="D16:D18" si="1">B16*C16</f>
        <v>995.58</v>
      </c>
      <c r="G16" s="21" t="s">
        <v>8</v>
      </c>
    </row>
    <row r="17" spans="1:12" ht="26" x14ac:dyDescent="0.3">
      <c r="A17" s="109" t="s">
        <v>57</v>
      </c>
      <c r="B17" s="110">
        <v>0</v>
      </c>
      <c r="C17" s="20">
        <v>497.79</v>
      </c>
      <c r="D17" s="21">
        <f t="shared" si="1"/>
        <v>0</v>
      </c>
      <c r="G17" s="21" t="s">
        <v>8</v>
      </c>
    </row>
    <row r="18" spans="1:12" ht="30" customHeight="1" x14ac:dyDescent="0.3">
      <c r="A18" s="109" t="s">
        <v>36</v>
      </c>
      <c r="B18" s="110">
        <v>0</v>
      </c>
      <c r="C18" s="20">
        <f>C17*2</f>
        <v>995.58</v>
      </c>
      <c r="D18" s="21">
        <f t="shared" si="1"/>
        <v>0</v>
      </c>
      <c r="G18" s="21" t="s">
        <v>8</v>
      </c>
    </row>
    <row r="19" spans="1:12" x14ac:dyDescent="0.3">
      <c r="A19" s="113" t="s">
        <v>13</v>
      </c>
      <c r="B19" s="114"/>
      <c r="C19" s="114"/>
      <c r="D19" s="115">
        <f>SUM(D8:D18)</f>
        <v>77119.750000000015</v>
      </c>
    </row>
    <row r="20" spans="1:12" x14ac:dyDescent="0.3">
      <c r="A20" s="92" t="s">
        <v>55</v>
      </c>
    </row>
    <row r="21" spans="1:12" x14ac:dyDescent="0.3">
      <c r="A21" s="92"/>
    </row>
    <row r="22" spans="1:12" x14ac:dyDescent="0.3">
      <c r="A22" s="92"/>
    </row>
    <row r="23" spans="1:12" x14ac:dyDescent="0.3">
      <c r="D23" s="116"/>
      <c r="E23" s="117" t="s">
        <v>14</v>
      </c>
      <c r="F23" s="117" t="s">
        <v>15</v>
      </c>
      <c r="G23" s="117" t="s">
        <v>16</v>
      </c>
      <c r="H23" s="117" t="s">
        <v>17</v>
      </c>
    </row>
    <row r="24" spans="1:12" x14ac:dyDescent="0.3">
      <c r="D24" s="118" t="s">
        <v>18</v>
      </c>
      <c r="E24" s="119">
        <v>2304</v>
      </c>
      <c r="F24" s="119">
        <v>1388</v>
      </c>
      <c r="G24" s="119">
        <v>925</v>
      </c>
      <c r="H24" s="120">
        <v>0.2359</v>
      </c>
    </row>
    <row r="26" spans="1:12" ht="126.65" customHeight="1" x14ac:dyDescent="0.3">
      <c r="A26" s="121" t="s">
        <v>2</v>
      </c>
      <c r="B26" s="122" t="s">
        <v>19</v>
      </c>
      <c r="C26" s="122" t="s">
        <v>20</v>
      </c>
      <c r="D26" s="122" t="s">
        <v>21</v>
      </c>
      <c r="E26" s="122" t="s">
        <v>22</v>
      </c>
      <c r="F26" s="122" t="s">
        <v>23</v>
      </c>
      <c r="G26" s="122" t="s">
        <v>24</v>
      </c>
      <c r="H26" s="122" t="s">
        <v>25</v>
      </c>
      <c r="I26" s="122" t="s">
        <v>26</v>
      </c>
      <c r="J26" s="122" t="s">
        <v>27</v>
      </c>
    </row>
    <row r="27" spans="1:12" ht="33" customHeight="1" x14ac:dyDescent="0.3">
      <c r="A27" s="123" t="s">
        <v>81</v>
      </c>
      <c r="B27" s="124">
        <v>4</v>
      </c>
      <c r="C27" s="124">
        <v>0.5</v>
      </c>
      <c r="D27" s="124">
        <f>F24*B27*C27</f>
        <v>2776</v>
      </c>
      <c r="E27" s="124">
        <v>0</v>
      </c>
      <c r="F27" s="124">
        <v>0</v>
      </c>
      <c r="G27" s="25">
        <f>ROUND(D27*H$24,2)</f>
        <v>654.86</v>
      </c>
      <c r="H27" s="25">
        <f t="shared" ref="H27" si="2">D27+G27</f>
        <v>3430.86</v>
      </c>
      <c r="I27" s="124"/>
      <c r="J27" s="26">
        <f>E27+F27+H27+I27</f>
        <v>3430.86</v>
      </c>
    </row>
    <row r="28" spans="1:12" ht="25.9" customHeight="1" x14ac:dyDescent="0.3">
      <c r="A28" s="125" t="s">
        <v>28</v>
      </c>
      <c r="B28" s="22"/>
      <c r="C28" s="23"/>
      <c r="D28" s="24"/>
      <c r="E28" s="126"/>
      <c r="F28" s="24"/>
      <c r="G28" s="25"/>
      <c r="H28" s="25"/>
      <c r="I28" s="25"/>
      <c r="J28" s="26"/>
    </row>
    <row r="29" spans="1:12" ht="25.9" customHeight="1" x14ac:dyDescent="0.3">
      <c r="A29" s="125" t="s">
        <v>130</v>
      </c>
      <c r="B29" s="22">
        <v>4</v>
      </c>
      <c r="C29" s="23">
        <v>0.5</v>
      </c>
      <c r="D29" s="24">
        <f>B29*C29*E24</f>
        <v>4608</v>
      </c>
      <c r="E29" s="127">
        <f>540*B29*C29</f>
        <v>1080</v>
      </c>
      <c r="F29" s="24">
        <f>405*B29*C29</f>
        <v>810</v>
      </c>
      <c r="G29" s="25">
        <f>ROUND(D29*H$24,2)</f>
        <v>1087.03</v>
      </c>
      <c r="H29" s="25">
        <f>D29+G29</f>
        <v>5695.03</v>
      </c>
      <c r="I29" s="25"/>
      <c r="J29" s="26">
        <f>E29+F29+H29+I29</f>
        <v>7585.03</v>
      </c>
      <c r="K29" s="111"/>
    </row>
    <row r="30" spans="1:12" x14ac:dyDescent="0.3">
      <c r="A30" s="128" t="s">
        <v>29</v>
      </c>
      <c r="B30" s="22">
        <v>4</v>
      </c>
      <c r="C30" s="23">
        <v>0.25</v>
      </c>
      <c r="D30" s="24">
        <f>B30*C30*E24</f>
        <v>2304</v>
      </c>
      <c r="E30" s="129">
        <f>540*B30*C30</f>
        <v>540</v>
      </c>
      <c r="F30" s="129">
        <f>405*B30*C30</f>
        <v>405</v>
      </c>
      <c r="G30" s="25">
        <f>ROUND(D30*H$24,2)</f>
        <v>543.51</v>
      </c>
      <c r="H30" s="25">
        <f>D30+G30</f>
        <v>2847.51</v>
      </c>
      <c r="I30" s="130">
        <v>1245</v>
      </c>
      <c r="J30" s="26">
        <f t="shared" ref="J30:J33" si="3">E30+F30+H30+I30</f>
        <v>5037.51</v>
      </c>
    </row>
    <row r="31" spans="1:12" x14ac:dyDescent="0.3">
      <c r="A31" s="1" t="s">
        <v>54</v>
      </c>
      <c r="B31" s="22">
        <v>4</v>
      </c>
      <c r="C31" s="23">
        <v>2</v>
      </c>
      <c r="D31" s="24">
        <f>B31*C31*F24</f>
        <v>11104</v>
      </c>
      <c r="E31" s="129">
        <v>0</v>
      </c>
      <c r="F31" s="129">
        <f>243*B31*C31</f>
        <v>1944</v>
      </c>
      <c r="G31" s="25">
        <f>ROUND(D31*H$24,2)</f>
        <v>2619.4299999999998</v>
      </c>
      <c r="H31" s="25">
        <f t="shared" ref="H31:H34" si="4">D31+G31</f>
        <v>13723.43</v>
      </c>
      <c r="I31" s="130">
        <v>1283</v>
      </c>
      <c r="J31" s="26">
        <f t="shared" si="3"/>
        <v>16950.43</v>
      </c>
      <c r="L31" s="111"/>
    </row>
    <row r="32" spans="1:12" x14ac:dyDescent="0.3">
      <c r="A32" s="1" t="s">
        <v>30</v>
      </c>
      <c r="B32" s="22">
        <v>4</v>
      </c>
      <c r="C32" s="23">
        <v>1</v>
      </c>
      <c r="D32" s="24">
        <f>B32*C32*E24</f>
        <v>9216</v>
      </c>
      <c r="E32" s="129">
        <f>540*B32*C32</f>
        <v>2160</v>
      </c>
      <c r="F32" s="129">
        <f>405*B32*C32</f>
        <v>1620</v>
      </c>
      <c r="G32" s="25">
        <f>ROUND(D32*H$24,2)</f>
        <v>2174.0500000000002</v>
      </c>
      <c r="H32" s="25">
        <f t="shared" si="4"/>
        <v>11390.05</v>
      </c>
      <c r="I32" s="130">
        <v>1245</v>
      </c>
      <c r="J32" s="26">
        <f t="shared" si="3"/>
        <v>16415.05</v>
      </c>
    </row>
    <row r="33" spans="1:13" ht="16.149999999999999" customHeight="1" x14ac:dyDescent="0.3">
      <c r="A33" s="1" t="s">
        <v>31</v>
      </c>
      <c r="B33" s="22">
        <v>4</v>
      </c>
      <c r="C33" s="23">
        <v>2</v>
      </c>
      <c r="D33" s="24">
        <f>B33*C33*E24</f>
        <v>18432</v>
      </c>
      <c r="E33" s="129">
        <v>0</v>
      </c>
      <c r="F33" s="129">
        <f>405*B33*C33</f>
        <v>3240</v>
      </c>
      <c r="G33" s="25">
        <f>ROUND(D33*H$24,2)</f>
        <v>4348.1099999999997</v>
      </c>
      <c r="H33" s="25">
        <f t="shared" si="4"/>
        <v>22780.11</v>
      </c>
      <c r="I33" s="130">
        <v>2490</v>
      </c>
      <c r="J33" s="26">
        <f t="shared" si="3"/>
        <v>28510.11</v>
      </c>
      <c r="L33" s="111"/>
      <c r="M33" s="111"/>
    </row>
    <row r="34" spans="1:13" x14ac:dyDescent="0.3">
      <c r="A34" s="113" t="s">
        <v>13</v>
      </c>
      <c r="B34" s="131"/>
      <c r="C34" s="114">
        <f>SUM(C27:C33)</f>
        <v>6.25</v>
      </c>
      <c r="D34" s="132"/>
      <c r="E34" s="133">
        <f>E31+E32+E30+E33</f>
        <v>2700</v>
      </c>
      <c r="F34" s="133">
        <f t="shared" ref="F34" si="5">F31+F32+F30+F33</f>
        <v>7209</v>
      </c>
      <c r="G34" s="25">
        <f>SUM(G30:G33)</f>
        <v>9685.0999999999985</v>
      </c>
      <c r="H34" s="25">
        <f t="shared" si="4"/>
        <v>9685.0999999999985</v>
      </c>
      <c r="I34" s="133">
        <f t="shared" ref="I34" si="6">I31+I32+I30+I33</f>
        <v>6263</v>
      </c>
      <c r="J34" s="134">
        <f>SUM(J27:J33)</f>
        <v>77928.990000000005</v>
      </c>
    </row>
    <row r="35" spans="1:13" x14ac:dyDescent="0.3">
      <c r="A35" s="135"/>
      <c r="B35" s="136"/>
      <c r="C35" s="137"/>
      <c r="D35" s="138"/>
      <c r="E35" s="139"/>
      <c r="F35" s="139"/>
      <c r="G35" s="47"/>
      <c r="H35" s="47"/>
      <c r="I35" s="139"/>
      <c r="J35" s="140"/>
    </row>
    <row r="36" spans="1:13" x14ac:dyDescent="0.3">
      <c r="A36" s="1"/>
      <c r="B36" s="22" t="s">
        <v>82</v>
      </c>
      <c r="C36" s="24" t="s">
        <v>83</v>
      </c>
      <c r="D36" s="45" t="s">
        <v>84</v>
      </c>
      <c r="E36" s="43"/>
      <c r="F36" s="47"/>
      <c r="G36" s="47"/>
      <c r="L36" s="111"/>
      <c r="M36" s="111"/>
    </row>
    <row r="37" spans="1:13" ht="26" x14ac:dyDescent="0.3">
      <c r="A37" s="181" t="s">
        <v>175</v>
      </c>
      <c r="B37" s="44">
        <v>30.32</v>
      </c>
      <c r="C37" s="24">
        <v>26</v>
      </c>
      <c r="D37" s="46">
        <f>B37*C37</f>
        <v>788.32</v>
      </c>
      <c r="E37" s="43"/>
      <c r="F37" s="47"/>
      <c r="G37" s="47"/>
      <c r="H37" s="141" t="s">
        <v>85</v>
      </c>
      <c r="I37" s="142">
        <f>SUM(J34,D37)</f>
        <v>78717.310000000012</v>
      </c>
    </row>
    <row r="38" spans="1:13" x14ac:dyDescent="0.3">
      <c r="A38" s="143" t="s">
        <v>32</v>
      </c>
    </row>
    <row r="39" spans="1:13" x14ac:dyDescent="0.3">
      <c r="A39" s="143" t="s">
        <v>33</v>
      </c>
    </row>
    <row r="40" spans="1:13" x14ac:dyDescent="0.3">
      <c r="A40" s="144" t="s">
        <v>34</v>
      </c>
    </row>
    <row r="42" spans="1:13" x14ac:dyDescent="0.3">
      <c r="I42" s="111"/>
    </row>
  </sheetData>
  <mergeCells count="3">
    <mergeCell ref="K1:N1"/>
    <mergeCell ref="G3:I3"/>
    <mergeCell ref="F1:H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1F0FF-314C-497F-A8EC-4CFC899DBFAD}">
  <dimension ref="A1:K42"/>
  <sheetViews>
    <sheetView topLeftCell="A7" workbookViewId="0">
      <selection activeCell="B13" sqref="B13:B14"/>
    </sheetView>
  </sheetViews>
  <sheetFormatPr defaultColWidth="9.1796875" defaultRowHeight="13" x14ac:dyDescent="0.3"/>
  <cols>
    <col min="1" max="1" width="66.26953125" style="19" customWidth="1"/>
    <col min="2" max="2" width="14.7265625" style="19" customWidth="1"/>
    <col min="3" max="3" width="17.453125" style="19" customWidth="1"/>
    <col min="4" max="4" width="15.7265625" style="19" customWidth="1"/>
    <col min="5" max="5" width="15.81640625" style="19" customWidth="1"/>
    <col min="6" max="6" width="17.26953125" style="19" customWidth="1"/>
    <col min="7" max="7" width="18.7265625" style="19" customWidth="1"/>
    <col min="8" max="8" width="27.54296875" style="19" customWidth="1"/>
    <col min="9" max="9" width="17.26953125" style="19" customWidth="1"/>
    <col min="10" max="10" width="14.7265625" style="19" customWidth="1"/>
    <col min="11" max="11" width="13.81640625" style="19" customWidth="1"/>
    <col min="12" max="16384" width="9.1796875" style="19"/>
  </cols>
  <sheetData>
    <row r="1" spans="1:10" ht="42.75" customHeight="1" x14ac:dyDescent="0.3">
      <c r="F1" s="242" t="s">
        <v>193</v>
      </c>
      <c r="G1" s="242"/>
      <c r="H1" s="242"/>
    </row>
    <row r="2" spans="1:10" ht="23.25" customHeight="1" x14ac:dyDescent="0.3">
      <c r="A2" s="92" t="s">
        <v>0</v>
      </c>
      <c r="D2" s="92"/>
    </row>
    <row r="3" spans="1:10" x14ac:dyDescent="0.3">
      <c r="A3" s="92" t="s">
        <v>1</v>
      </c>
      <c r="G3" s="241"/>
      <c r="H3" s="241"/>
      <c r="I3" s="241"/>
    </row>
    <row r="4" spans="1:10" ht="26" x14ac:dyDescent="0.3">
      <c r="A4" s="93"/>
      <c r="B4" s="93"/>
      <c r="C4" s="98" t="s">
        <v>190</v>
      </c>
      <c r="D4" s="98" t="s">
        <v>213</v>
      </c>
      <c r="E4" s="96"/>
      <c r="F4" s="145"/>
    </row>
    <row r="5" spans="1:10" x14ac:dyDescent="0.3">
      <c r="A5" s="99"/>
      <c r="B5" s="99"/>
      <c r="C5" s="101">
        <f>ROUND(F19+J37+Papildus_specialisti!G9,0)</f>
        <v>343627</v>
      </c>
      <c r="D5" s="101">
        <f>ROUND(D19+I37+Papildus_specialisti!F9+Bupenorfīns!C9,0)</f>
        <v>700107</v>
      </c>
      <c r="E5" s="226"/>
      <c r="F5" s="146"/>
    </row>
    <row r="6" spans="1:10" x14ac:dyDescent="0.3">
      <c r="A6" s="99"/>
      <c r="B6" s="99"/>
      <c r="C6" s="99"/>
      <c r="D6" s="99"/>
      <c r="E6" s="99"/>
      <c r="F6" s="99"/>
      <c r="G6" s="233"/>
      <c r="H6" s="99"/>
      <c r="I6" s="102"/>
      <c r="J6" s="147"/>
    </row>
    <row r="7" spans="1:10" ht="39" x14ac:dyDescent="0.3">
      <c r="A7" s="105" t="s">
        <v>2</v>
      </c>
      <c r="B7" s="106" t="s">
        <v>206</v>
      </c>
      <c r="C7" s="106" t="s">
        <v>3</v>
      </c>
      <c r="D7" s="106" t="s">
        <v>207</v>
      </c>
      <c r="E7" s="106" t="s">
        <v>216</v>
      </c>
      <c r="F7" s="106" t="s">
        <v>200</v>
      </c>
      <c r="G7" s="225"/>
      <c r="H7" s="106" t="s">
        <v>5</v>
      </c>
      <c r="J7" s="108"/>
    </row>
    <row r="8" spans="1:10" ht="26" x14ac:dyDescent="0.3">
      <c r="A8" s="109" t="s">
        <v>122</v>
      </c>
      <c r="B8" s="20">
        <v>54</v>
      </c>
      <c r="C8" s="20">
        <v>299.82</v>
      </c>
      <c r="D8" s="21">
        <f t="shared" ref="D8:D18" si="0">B8*C8</f>
        <v>16190.279999999999</v>
      </c>
      <c r="E8" s="228">
        <f>ROUND(B8/2,0)</f>
        <v>27</v>
      </c>
      <c r="F8" s="229">
        <f>ROUND(C8*E8,2)</f>
        <v>8095.14</v>
      </c>
      <c r="G8" s="225"/>
      <c r="H8" s="21" t="s">
        <v>6</v>
      </c>
      <c r="J8" s="108"/>
    </row>
    <row r="9" spans="1:10" ht="26" x14ac:dyDescent="0.3">
      <c r="A9" s="109" t="s">
        <v>7</v>
      </c>
      <c r="B9" s="20">
        <v>36</v>
      </c>
      <c r="C9" s="232">
        <v>6177.42</v>
      </c>
      <c r="D9" s="21">
        <f t="shared" si="0"/>
        <v>222387.12</v>
      </c>
      <c r="E9" s="228">
        <f>ROUND(B9/2,0)</f>
        <v>18</v>
      </c>
      <c r="F9" s="229">
        <f t="shared" ref="F9:F18" si="1">ROUND(C9*E9,2)</f>
        <v>111193.56</v>
      </c>
      <c r="G9" s="225"/>
      <c r="H9" s="21" t="s">
        <v>6</v>
      </c>
    </row>
    <row r="10" spans="1:10" ht="52" x14ac:dyDescent="0.3">
      <c r="A10" s="109" t="s">
        <v>173</v>
      </c>
      <c r="B10" s="110">
        <v>36</v>
      </c>
      <c r="C10" s="20">
        <v>109.99</v>
      </c>
      <c r="D10" s="21">
        <f t="shared" si="0"/>
        <v>3959.64</v>
      </c>
      <c r="E10" s="228">
        <f>ROUND(B10/2,0)</f>
        <v>18</v>
      </c>
      <c r="F10" s="229">
        <f t="shared" si="1"/>
        <v>1979.82</v>
      </c>
      <c r="G10" s="225"/>
      <c r="H10" s="21" t="s">
        <v>8</v>
      </c>
      <c r="J10" s="111"/>
    </row>
    <row r="11" spans="1:10" x14ac:dyDescent="0.3">
      <c r="A11" s="109" t="s">
        <v>9</v>
      </c>
      <c r="B11" s="110">
        <v>15</v>
      </c>
      <c r="C11" s="112">
        <v>2966.1</v>
      </c>
      <c r="D11" s="21">
        <f t="shared" si="0"/>
        <v>44491.5</v>
      </c>
      <c r="E11" s="228">
        <f>ROUNDDOWN(B11/2,0)</f>
        <v>7</v>
      </c>
      <c r="F11" s="229">
        <f t="shared" si="1"/>
        <v>20762.7</v>
      </c>
      <c r="G11" s="225"/>
      <c r="H11" s="21" t="s">
        <v>6</v>
      </c>
    </row>
    <row r="12" spans="1:10" x14ac:dyDescent="0.3">
      <c r="A12" s="109" t="s">
        <v>10</v>
      </c>
      <c r="B12" s="110">
        <v>3</v>
      </c>
      <c r="C12" s="112">
        <f>C11*2</f>
        <v>5932.2</v>
      </c>
      <c r="D12" s="21">
        <f t="shared" si="0"/>
        <v>17796.599999999999</v>
      </c>
      <c r="E12" s="228">
        <f>ROUND(B12/2,0)</f>
        <v>2</v>
      </c>
      <c r="F12" s="229">
        <f t="shared" si="1"/>
        <v>11864.4</v>
      </c>
      <c r="G12" s="225"/>
      <c r="H12" s="21" t="s">
        <v>6</v>
      </c>
    </row>
    <row r="13" spans="1:10" ht="26" x14ac:dyDescent="0.3">
      <c r="A13" s="109" t="s">
        <v>11</v>
      </c>
      <c r="B13" s="110">
        <v>15</v>
      </c>
      <c r="C13" s="112">
        <v>2966.1</v>
      </c>
      <c r="D13" s="21">
        <f t="shared" si="0"/>
        <v>44491.5</v>
      </c>
      <c r="E13" s="228">
        <f>ROUND(B13/2,0)</f>
        <v>8</v>
      </c>
      <c r="F13" s="229">
        <f t="shared" si="1"/>
        <v>23728.799999999999</v>
      </c>
      <c r="G13" s="225"/>
      <c r="H13" s="21" t="s">
        <v>6</v>
      </c>
    </row>
    <row r="14" spans="1:10" ht="26" x14ac:dyDescent="0.3">
      <c r="A14" s="109" t="s">
        <v>12</v>
      </c>
      <c r="B14" s="110">
        <v>3</v>
      </c>
      <c r="C14" s="112">
        <f>C13*2</f>
        <v>5932.2</v>
      </c>
      <c r="D14" s="21">
        <f t="shared" si="0"/>
        <v>17796.599999999999</v>
      </c>
      <c r="E14" s="228">
        <f>ROUNDDOWN(B14/2,0)</f>
        <v>1</v>
      </c>
      <c r="F14" s="229">
        <f t="shared" si="1"/>
        <v>5932.2</v>
      </c>
      <c r="G14" s="225"/>
      <c r="H14" s="21" t="s">
        <v>6</v>
      </c>
    </row>
    <row r="15" spans="1:10" ht="26" x14ac:dyDescent="0.3">
      <c r="A15" s="109" t="s">
        <v>56</v>
      </c>
      <c r="B15" s="110">
        <v>15</v>
      </c>
      <c r="C15" s="20">
        <v>497.79</v>
      </c>
      <c r="D15" s="21">
        <f t="shared" si="0"/>
        <v>7466.85</v>
      </c>
      <c r="E15" s="228">
        <f>ROUNDDOWN(B15/2,0)</f>
        <v>7</v>
      </c>
      <c r="F15" s="229">
        <f t="shared" si="1"/>
        <v>3484.53</v>
      </c>
      <c r="G15" s="225"/>
      <c r="H15" s="21" t="s">
        <v>8</v>
      </c>
    </row>
    <row r="16" spans="1:10" ht="26" x14ac:dyDescent="0.3">
      <c r="A16" s="109" t="s">
        <v>35</v>
      </c>
      <c r="B16" s="110">
        <v>3</v>
      </c>
      <c r="C16" s="20">
        <f>C15*2</f>
        <v>995.58</v>
      </c>
      <c r="D16" s="21">
        <f t="shared" si="0"/>
        <v>2986.7400000000002</v>
      </c>
      <c r="E16" s="228">
        <f>ROUND(B16/2,0)</f>
        <v>2</v>
      </c>
      <c r="F16" s="229">
        <f t="shared" si="1"/>
        <v>1991.16</v>
      </c>
      <c r="G16" s="225"/>
      <c r="H16" s="21" t="s">
        <v>8</v>
      </c>
    </row>
    <row r="17" spans="1:11" ht="26" x14ac:dyDescent="0.3">
      <c r="A17" s="109" t="s">
        <v>57</v>
      </c>
      <c r="B17" s="110">
        <v>15</v>
      </c>
      <c r="C17" s="20">
        <v>497.79</v>
      </c>
      <c r="D17" s="21">
        <f t="shared" si="0"/>
        <v>7466.85</v>
      </c>
      <c r="E17" s="228">
        <f>ROUND(B17/2,0)</f>
        <v>8</v>
      </c>
      <c r="F17" s="229">
        <f t="shared" si="1"/>
        <v>3982.32</v>
      </c>
      <c r="G17" s="225"/>
      <c r="H17" s="21" t="s">
        <v>8</v>
      </c>
    </row>
    <row r="18" spans="1:11" ht="30" customHeight="1" x14ac:dyDescent="0.3">
      <c r="A18" s="109" t="s">
        <v>36</v>
      </c>
      <c r="B18" s="110">
        <v>3</v>
      </c>
      <c r="C18" s="20">
        <f>C17*2</f>
        <v>995.58</v>
      </c>
      <c r="D18" s="21">
        <f t="shared" si="0"/>
        <v>2986.7400000000002</v>
      </c>
      <c r="E18" s="228">
        <f>ROUNDDOWN(B18/2,0)</f>
        <v>1</v>
      </c>
      <c r="F18" s="229">
        <f t="shared" si="1"/>
        <v>995.58</v>
      </c>
      <c r="G18" s="225"/>
      <c r="H18" s="21" t="s">
        <v>8</v>
      </c>
    </row>
    <row r="19" spans="1:11" x14ac:dyDescent="0.3">
      <c r="A19" s="113" t="s">
        <v>13</v>
      </c>
      <c r="B19" s="114"/>
      <c r="C19" s="114"/>
      <c r="D19" s="134">
        <f>SUM(D8:D18)</f>
        <v>388020.41999999993</v>
      </c>
      <c r="E19" s="115"/>
      <c r="F19" s="115">
        <f>SUM(F8:F18)</f>
        <v>194010.21</v>
      </c>
      <c r="G19" s="227"/>
    </row>
    <row r="20" spans="1:11" x14ac:dyDescent="0.3">
      <c r="A20" s="92" t="s">
        <v>55</v>
      </c>
    </row>
    <row r="21" spans="1:11" x14ac:dyDescent="0.3">
      <c r="A21" s="92"/>
    </row>
    <row r="22" spans="1:11" x14ac:dyDescent="0.3">
      <c r="A22" s="92"/>
    </row>
    <row r="23" spans="1:11" x14ac:dyDescent="0.3">
      <c r="D23" s="116"/>
      <c r="E23" s="117" t="s">
        <v>14</v>
      </c>
      <c r="F23" s="117" t="s">
        <v>15</v>
      </c>
      <c r="G23" s="117" t="s">
        <v>16</v>
      </c>
      <c r="H23" s="117" t="s">
        <v>17</v>
      </c>
    </row>
    <row r="24" spans="1:11" x14ac:dyDescent="0.3">
      <c r="D24" s="118" t="s">
        <v>18</v>
      </c>
      <c r="E24" s="119">
        <v>2304</v>
      </c>
      <c r="F24" s="119">
        <v>1388</v>
      </c>
      <c r="G24" s="119">
        <v>925</v>
      </c>
      <c r="H24" s="120">
        <v>0.2359</v>
      </c>
    </row>
    <row r="26" spans="1:11" ht="126.65" customHeight="1" x14ac:dyDescent="0.3">
      <c r="A26" s="121" t="s">
        <v>2</v>
      </c>
      <c r="B26" s="122" t="s">
        <v>208</v>
      </c>
      <c r="C26" s="122" t="s">
        <v>209</v>
      </c>
      <c r="D26" s="122" t="s">
        <v>210</v>
      </c>
      <c r="E26" s="122" t="s">
        <v>22</v>
      </c>
      <c r="F26" s="122" t="s">
        <v>23</v>
      </c>
      <c r="G26" s="122" t="s">
        <v>211</v>
      </c>
      <c r="H26" s="122" t="s">
        <v>25</v>
      </c>
      <c r="I26" s="122" t="s">
        <v>26</v>
      </c>
      <c r="J26" s="122" t="s">
        <v>212</v>
      </c>
      <c r="K26" s="122" t="s">
        <v>201</v>
      </c>
    </row>
    <row r="27" spans="1:11" ht="33" customHeight="1" x14ac:dyDescent="0.3">
      <c r="A27" s="123" t="s">
        <v>81</v>
      </c>
      <c r="B27" s="124">
        <v>12</v>
      </c>
      <c r="C27" s="124">
        <v>0.5</v>
      </c>
      <c r="D27" s="124">
        <f>F24*B27*C27</f>
        <v>8328</v>
      </c>
      <c r="E27" s="124">
        <v>0</v>
      </c>
      <c r="F27" s="124">
        <v>0</v>
      </c>
      <c r="G27" s="25">
        <f>ROUND(D27*H$24,2)</f>
        <v>1964.58</v>
      </c>
      <c r="H27" s="25">
        <f t="shared" ref="H27" si="2">D27+G27</f>
        <v>10292.58</v>
      </c>
      <c r="I27" s="124"/>
      <c r="J27" s="26">
        <f>E27+F27+H27+I27</f>
        <v>10292.58</v>
      </c>
      <c r="K27" s="26"/>
    </row>
    <row r="28" spans="1:11" ht="25.9" customHeight="1" x14ac:dyDescent="0.3">
      <c r="A28" s="125" t="s">
        <v>28</v>
      </c>
      <c r="B28" s="22"/>
      <c r="C28" s="23"/>
      <c r="D28" s="24"/>
      <c r="E28" s="126"/>
      <c r="F28" s="24"/>
      <c r="G28" s="25"/>
      <c r="H28" s="25"/>
      <c r="I28" s="25"/>
      <c r="J28" s="26"/>
      <c r="K28" s="26"/>
    </row>
    <row r="29" spans="1:11" ht="25.9" customHeight="1" x14ac:dyDescent="0.3">
      <c r="A29" s="125" t="s">
        <v>130</v>
      </c>
      <c r="B29" s="22">
        <v>12</v>
      </c>
      <c r="C29" s="23">
        <v>0.5</v>
      </c>
      <c r="D29" s="24">
        <f>B29*C29*E24</f>
        <v>13824</v>
      </c>
      <c r="E29" s="127">
        <f>540*B29*C29</f>
        <v>3240</v>
      </c>
      <c r="F29" s="24">
        <f>405*B29*C29</f>
        <v>2430</v>
      </c>
      <c r="G29" s="25">
        <f>ROUND(D29*H$24,2)</f>
        <v>3261.08</v>
      </c>
      <c r="H29" s="25">
        <f>D29+G29</f>
        <v>17085.080000000002</v>
      </c>
      <c r="I29" s="25"/>
      <c r="J29" s="26">
        <f t="shared" ref="J29:J33" si="3">E29+F29+H29+I29</f>
        <v>22755.08</v>
      </c>
      <c r="K29" s="26"/>
    </row>
    <row r="30" spans="1:11" x14ac:dyDescent="0.3">
      <c r="A30" s="128" t="s">
        <v>29</v>
      </c>
      <c r="B30" s="22">
        <v>12</v>
      </c>
      <c r="C30" s="23">
        <v>0.25</v>
      </c>
      <c r="D30" s="24">
        <f>B30*C30*E24</f>
        <v>6912</v>
      </c>
      <c r="E30" s="129">
        <f>540*B30*C30</f>
        <v>1620</v>
      </c>
      <c r="F30" s="129">
        <f>405*B30*C30</f>
        <v>1215</v>
      </c>
      <c r="G30" s="25">
        <f>ROUND(D30*H$24,2)</f>
        <v>1630.54</v>
      </c>
      <c r="H30" s="25">
        <f>D30+G30</f>
        <v>8542.5400000000009</v>
      </c>
      <c r="I30" s="130">
        <v>3736</v>
      </c>
      <c r="J30" s="26">
        <f t="shared" si="3"/>
        <v>15113.54</v>
      </c>
      <c r="K30" s="26"/>
    </row>
    <row r="31" spans="1:11" x14ac:dyDescent="0.3">
      <c r="A31" s="1" t="s">
        <v>54</v>
      </c>
      <c r="B31" s="22">
        <v>12</v>
      </c>
      <c r="C31" s="23">
        <v>2</v>
      </c>
      <c r="D31" s="24">
        <f>B31*C31*F24</f>
        <v>33312</v>
      </c>
      <c r="E31" s="129">
        <v>0</v>
      </c>
      <c r="F31" s="129">
        <f>243*B31*C31</f>
        <v>5832</v>
      </c>
      <c r="G31" s="25">
        <f>ROUND(D31*H$24,2)</f>
        <v>7858.3</v>
      </c>
      <c r="H31" s="25">
        <f t="shared" ref="H31:H34" si="4">D31+G31</f>
        <v>41170.300000000003</v>
      </c>
      <c r="I31" s="130">
        <v>3849</v>
      </c>
      <c r="J31" s="26">
        <f t="shared" si="3"/>
        <v>50851.3</v>
      </c>
      <c r="K31" s="26"/>
    </row>
    <row r="32" spans="1:11" x14ac:dyDescent="0.3">
      <c r="A32" s="1" t="s">
        <v>30</v>
      </c>
      <c r="B32" s="22">
        <v>12</v>
      </c>
      <c r="C32" s="23">
        <v>1</v>
      </c>
      <c r="D32" s="24">
        <f>B32*C32*E24</f>
        <v>27648</v>
      </c>
      <c r="E32" s="129">
        <f>540*B32*C32</f>
        <v>6480</v>
      </c>
      <c r="F32" s="129">
        <f>405*B32*C32</f>
        <v>4860</v>
      </c>
      <c r="G32" s="25">
        <f>ROUND(D32*H$24,2)</f>
        <v>6522.16</v>
      </c>
      <c r="H32" s="25">
        <f t="shared" si="4"/>
        <v>34170.160000000003</v>
      </c>
      <c r="I32" s="130">
        <v>3736</v>
      </c>
      <c r="J32" s="26">
        <f t="shared" si="3"/>
        <v>49246.16</v>
      </c>
      <c r="K32" s="26"/>
    </row>
    <row r="33" spans="1:11" ht="16.149999999999999" customHeight="1" x14ac:dyDescent="0.3">
      <c r="A33" s="1" t="s">
        <v>31</v>
      </c>
      <c r="B33" s="22">
        <v>12</v>
      </c>
      <c r="C33" s="23">
        <v>2</v>
      </c>
      <c r="D33" s="24">
        <f>B33*C33*E24</f>
        <v>55296</v>
      </c>
      <c r="E33" s="129">
        <v>0</v>
      </c>
      <c r="F33" s="129">
        <f>405*B33*C33</f>
        <v>9720</v>
      </c>
      <c r="G33" s="25">
        <f>ROUND(D33*H$24,2)</f>
        <v>13044.33</v>
      </c>
      <c r="H33" s="25">
        <f t="shared" si="4"/>
        <v>68340.33</v>
      </c>
      <c r="I33" s="130">
        <v>7472</v>
      </c>
      <c r="J33" s="26">
        <f t="shared" si="3"/>
        <v>85532.33</v>
      </c>
      <c r="K33" s="26"/>
    </row>
    <row r="34" spans="1:11" x14ac:dyDescent="0.3">
      <c r="A34" s="113" t="s">
        <v>13</v>
      </c>
      <c r="B34" s="131"/>
      <c r="C34" s="114"/>
      <c r="D34" s="132"/>
      <c r="E34" s="133">
        <f>E31+E32+E30+E33</f>
        <v>8100</v>
      </c>
      <c r="F34" s="133">
        <f t="shared" ref="F34" si="5">F31+F32+F30+F33</f>
        <v>21627</v>
      </c>
      <c r="G34" s="25">
        <f>SUM(G30:G33)</f>
        <v>29055.33</v>
      </c>
      <c r="H34" s="25">
        <f t="shared" si="4"/>
        <v>29055.33</v>
      </c>
      <c r="I34" s="133">
        <f t="shared" ref="I34" si="6">I31+I32+I30+I33</f>
        <v>18793</v>
      </c>
      <c r="J34" s="134">
        <f>SUM(J27:J33)</f>
        <v>233790.99</v>
      </c>
      <c r="K34" s="134">
        <f>ROUND(J34/2,2)</f>
        <v>116895.5</v>
      </c>
    </row>
    <row r="35" spans="1:11" x14ac:dyDescent="0.3">
      <c r="A35" s="135"/>
      <c r="B35" s="136"/>
      <c r="C35" s="137"/>
      <c r="D35" s="138"/>
      <c r="E35" s="139"/>
      <c r="F35" s="139"/>
      <c r="G35" s="47"/>
      <c r="H35" s="47"/>
      <c r="I35" s="139"/>
      <c r="J35" s="140"/>
    </row>
    <row r="36" spans="1:11" ht="26" x14ac:dyDescent="0.3">
      <c r="A36" s="1"/>
      <c r="B36" s="22" t="s">
        <v>82</v>
      </c>
      <c r="C36" s="24" t="s">
        <v>83</v>
      </c>
      <c r="D36" s="45" t="s">
        <v>202</v>
      </c>
      <c r="E36" s="45" t="s">
        <v>203</v>
      </c>
      <c r="F36" s="47"/>
      <c r="G36" s="47"/>
      <c r="I36" s="219" t="s">
        <v>187</v>
      </c>
      <c r="J36" s="220" t="s">
        <v>185</v>
      </c>
    </row>
    <row r="37" spans="1:11" ht="26" x14ac:dyDescent="0.3">
      <c r="A37" s="181" t="s">
        <v>175</v>
      </c>
      <c r="B37" s="44">
        <v>30.32</v>
      </c>
      <c r="C37" s="24">
        <v>80</v>
      </c>
      <c r="D37" s="46">
        <f>B37*C37</f>
        <v>2425.6</v>
      </c>
      <c r="E37" s="46">
        <f>ROUND(D37/2,2)</f>
        <v>1212.8</v>
      </c>
      <c r="F37" s="47"/>
      <c r="G37" s="47"/>
      <c r="H37" s="221" t="s">
        <v>85</v>
      </c>
      <c r="I37" s="222">
        <f>SUM(J34,D37)</f>
        <v>236216.59</v>
      </c>
      <c r="J37" s="223">
        <f>K34+E37</f>
        <v>118108.3</v>
      </c>
      <c r="K37" s="225"/>
    </row>
    <row r="38" spans="1:11" x14ac:dyDescent="0.3">
      <c r="A38" s="143" t="s">
        <v>32</v>
      </c>
    </row>
    <row r="39" spans="1:11" x14ac:dyDescent="0.3">
      <c r="A39" s="143" t="s">
        <v>33</v>
      </c>
    </row>
    <row r="40" spans="1:11" x14ac:dyDescent="0.3">
      <c r="A40" s="144" t="s">
        <v>34</v>
      </c>
    </row>
    <row r="42" spans="1:11" x14ac:dyDescent="0.3">
      <c r="I42" s="111"/>
    </row>
  </sheetData>
  <mergeCells count="2">
    <mergeCell ref="G3:I3"/>
    <mergeCell ref="F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62D9D-4E7F-4DCD-8E28-F96BCE9C87F8}">
  <dimension ref="A1:M12"/>
  <sheetViews>
    <sheetView topLeftCell="B1" workbookViewId="0">
      <selection activeCell="I22" sqref="I22"/>
    </sheetView>
  </sheetViews>
  <sheetFormatPr defaultColWidth="8.81640625" defaultRowHeight="14" x14ac:dyDescent="0.3"/>
  <cols>
    <col min="1" max="1" width="41" style="149" customWidth="1"/>
    <col min="2" max="2" width="17.26953125" style="149" customWidth="1"/>
    <col min="3" max="3" width="9.1796875" style="149" bestFit="1" customWidth="1"/>
    <col min="4" max="4" width="11" style="149" bestFit="1" customWidth="1"/>
    <col min="5" max="5" width="10.453125" style="149" bestFit="1" customWidth="1"/>
    <col min="6" max="7" width="15.7265625" style="149" customWidth="1"/>
    <col min="8" max="8" width="12.7265625" style="149" customWidth="1"/>
    <col min="9" max="9" width="13.54296875" style="149" customWidth="1"/>
    <col min="10" max="10" width="12.81640625" style="149" customWidth="1"/>
    <col min="11" max="11" width="16.7265625" style="149" customWidth="1"/>
    <col min="12" max="12" width="8.81640625" style="149"/>
    <col min="13" max="14" width="12" style="149" bestFit="1" customWidth="1"/>
    <col min="15" max="16384" width="8.81640625" style="149"/>
  </cols>
  <sheetData>
    <row r="1" spans="1:13" ht="46.5" customHeight="1" x14ac:dyDescent="0.3">
      <c r="F1" s="244" t="s">
        <v>194</v>
      </c>
      <c r="G1" s="244"/>
      <c r="H1" s="244"/>
      <c r="I1" s="244"/>
      <c r="J1" s="244"/>
      <c r="K1" s="244"/>
    </row>
    <row r="3" spans="1:13" x14ac:dyDescent="0.3">
      <c r="A3" s="149" t="s">
        <v>129</v>
      </c>
    </row>
    <row r="5" spans="1:13" x14ac:dyDescent="0.3">
      <c r="C5" s="245" t="s">
        <v>187</v>
      </c>
      <c r="D5" s="246"/>
      <c r="E5" s="246"/>
      <c r="F5" s="246"/>
      <c r="G5" s="247"/>
      <c r="H5" s="243" t="s">
        <v>188</v>
      </c>
      <c r="I5" s="243"/>
      <c r="J5" s="243"/>
      <c r="K5" s="243"/>
    </row>
    <row r="6" spans="1:13" ht="70.5" thickBot="1" x14ac:dyDescent="0.35">
      <c r="A6" s="202" t="s">
        <v>123</v>
      </c>
      <c r="B6" s="202" t="s">
        <v>37</v>
      </c>
      <c r="C6" s="202" t="s">
        <v>184</v>
      </c>
      <c r="D6" s="202" t="s">
        <v>125</v>
      </c>
      <c r="E6" s="202" t="s">
        <v>126</v>
      </c>
      <c r="F6" s="202" t="s">
        <v>217</v>
      </c>
      <c r="G6" s="202" t="s">
        <v>204</v>
      </c>
      <c r="H6" s="208" t="s">
        <v>124</v>
      </c>
      <c r="I6" s="209" t="s">
        <v>125</v>
      </c>
      <c r="J6" s="209" t="s">
        <v>126</v>
      </c>
      <c r="K6" s="210" t="s">
        <v>214</v>
      </c>
    </row>
    <row r="7" spans="1:13" x14ac:dyDescent="0.3">
      <c r="A7" s="30" t="s">
        <v>186</v>
      </c>
      <c r="B7" s="203" t="s">
        <v>127</v>
      </c>
      <c r="C7" s="204">
        <v>2</v>
      </c>
      <c r="D7" s="205">
        <f>ROUND(1600*1.2359,2)</f>
        <v>1977.44</v>
      </c>
      <c r="E7" s="205">
        <f>C7*D7</f>
        <v>3954.88</v>
      </c>
      <c r="F7" s="205">
        <f>ROUND(E7*12,2)</f>
        <v>47458.559999999998</v>
      </c>
      <c r="G7" s="205"/>
      <c r="H7" s="211">
        <v>2</v>
      </c>
      <c r="I7" s="213">
        <v>1977.44</v>
      </c>
      <c r="J7" s="215">
        <f>H7*I7</f>
        <v>3954.88</v>
      </c>
      <c r="K7" s="211">
        <f>ROUND(J7*4,2)</f>
        <v>15819.52</v>
      </c>
      <c r="M7" s="231"/>
    </row>
    <row r="8" spans="1:13" x14ac:dyDescent="0.3">
      <c r="A8" s="30" t="s">
        <v>128</v>
      </c>
      <c r="B8" s="203" t="s">
        <v>172</v>
      </c>
      <c r="C8" s="204">
        <v>25</v>
      </c>
      <c r="D8" s="205">
        <v>622.29</v>
      </c>
      <c r="E8" s="205">
        <f>C8*D8</f>
        <v>15557.25</v>
      </c>
      <c r="F8" s="205">
        <f>E8</f>
        <v>15557.25</v>
      </c>
      <c r="G8" s="205"/>
      <c r="H8" s="211">
        <v>5</v>
      </c>
      <c r="I8" s="214">
        <v>622.28571428571433</v>
      </c>
      <c r="J8" s="215">
        <f>H8*I8</f>
        <v>3111.4285714285716</v>
      </c>
      <c r="K8" s="211">
        <f>J8</f>
        <v>3111.4285714285716</v>
      </c>
    </row>
    <row r="9" spans="1:13" x14ac:dyDescent="0.3">
      <c r="A9" s="27" t="s">
        <v>13</v>
      </c>
      <c r="B9" s="27"/>
      <c r="C9" s="206"/>
      <c r="D9" s="206"/>
      <c r="E9" s="206"/>
      <c r="F9" s="207">
        <f>ROUND(F7+F8,0)</f>
        <v>63016</v>
      </c>
      <c r="G9" s="207">
        <f>F9/2</f>
        <v>31508</v>
      </c>
      <c r="H9" s="212"/>
      <c r="I9" s="212"/>
      <c r="J9" s="212"/>
      <c r="K9" s="212">
        <f>ROUND(SUM(K7:K8),0)</f>
        <v>18931</v>
      </c>
    </row>
    <row r="11" spans="1:13" ht="14.5" x14ac:dyDescent="0.35">
      <c r="A11" s="216" t="s">
        <v>189</v>
      </c>
    </row>
    <row r="12" spans="1:13" ht="14.5" x14ac:dyDescent="0.35">
      <c r="A12" s="216" t="s">
        <v>215</v>
      </c>
    </row>
  </sheetData>
  <mergeCells count="3">
    <mergeCell ref="H5:K5"/>
    <mergeCell ref="F1:K1"/>
    <mergeCell ref="C5:G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0D3AB-7EEF-4CCB-B43F-62507CEF9207}">
  <dimension ref="A1:H54"/>
  <sheetViews>
    <sheetView topLeftCell="A7" workbookViewId="0">
      <selection activeCell="G9" sqref="G9"/>
    </sheetView>
  </sheetViews>
  <sheetFormatPr defaultColWidth="8.81640625" defaultRowHeight="14" x14ac:dyDescent="0.3"/>
  <cols>
    <col min="1" max="1" width="14.453125" style="89" customWidth="1"/>
    <col min="2" max="2" width="55" style="89" customWidth="1"/>
    <col min="3" max="3" width="23.453125" style="89" customWidth="1"/>
    <col min="4" max="4" width="22.453125" style="89" customWidth="1"/>
    <col min="5" max="5" width="18.7265625" style="89" customWidth="1"/>
    <col min="6" max="6" width="18" style="89" customWidth="1"/>
    <col min="7" max="7" width="11" style="89" bestFit="1" customWidth="1"/>
    <col min="8" max="8" width="12" style="89" bestFit="1" customWidth="1"/>
    <col min="9" max="16384" width="8.81640625" style="89"/>
  </cols>
  <sheetData>
    <row r="1" spans="1:6" ht="47.25" customHeight="1" x14ac:dyDescent="0.3">
      <c r="C1" s="244" t="s">
        <v>195</v>
      </c>
      <c r="D1" s="244"/>
      <c r="E1" s="244"/>
      <c r="F1" s="244"/>
    </row>
    <row r="3" spans="1:6" ht="16.5" x14ac:dyDescent="0.35">
      <c r="A3" s="217" t="s">
        <v>221</v>
      </c>
    </row>
    <row r="5" spans="1:6" x14ac:dyDescent="0.3">
      <c r="B5" s="151" t="s">
        <v>131</v>
      </c>
      <c r="C5" s="151" t="s">
        <v>218</v>
      </c>
    </row>
    <row r="6" spans="1:6" ht="32.25" customHeight="1" x14ac:dyDescent="0.3">
      <c r="B6" s="152" t="s">
        <v>132</v>
      </c>
      <c r="C6" s="153">
        <f>$F42*D12</f>
        <v>11395.199999999999</v>
      </c>
    </row>
    <row r="7" spans="1:6" ht="32.15" customHeight="1" x14ac:dyDescent="0.3">
      <c r="B7" s="152" t="s">
        <v>133</v>
      </c>
      <c r="C7" s="153">
        <f>($C23+$E52)*D12</f>
        <v>635.26</v>
      </c>
    </row>
    <row r="8" spans="1:6" ht="28" x14ac:dyDescent="0.3">
      <c r="B8" s="152" t="s">
        <v>134</v>
      </c>
      <c r="C8" s="153">
        <f>($E30+$F36+$G46)*D12</f>
        <v>823.44</v>
      </c>
    </row>
    <row r="9" spans="1:6" ht="16.399999999999999" customHeight="1" x14ac:dyDescent="0.3">
      <c r="B9" s="154" t="s">
        <v>135</v>
      </c>
      <c r="C9" s="224">
        <f>SUM(C6:C8)</f>
        <v>12853.9</v>
      </c>
    </row>
    <row r="10" spans="1:6" ht="39" customHeight="1" x14ac:dyDescent="0.3">
      <c r="C10" s="155"/>
      <c r="D10" s="155"/>
    </row>
    <row r="11" spans="1:6" x14ac:dyDescent="0.3">
      <c r="C11" s="156"/>
      <c r="D11" s="151" t="s">
        <v>219</v>
      </c>
    </row>
    <row r="12" spans="1:6" x14ac:dyDescent="0.3">
      <c r="C12" s="157" t="s">
        <v>86</v>
      </c>
      <c r="D12" s="30">
        <v>2</v>
      </c>
    </row>
    <row r="14" spans="1:6" x14ac:dyDescent="0.3">
      <c r="A14" s="149" t="s">
        <v>136</v>
      </c>
    </row>
    <row r="15" spans="1:6" ht="28" x14ac:dyDescent="0.3">
      <c r="A15" s="158" t="s">
        <v>39</v>
      </c>
      <c r="B15" s="159" t="s">
        <v>137</v>
      </c>
      <c r="C15" s="159" t="s">
        <v>82</v>
      </c>
    </row>
    <row r="16" spans="1:6" x14ac:dyDescent="0.3">
      <c r="A16" s="160">
        <v>40003</v>
      </c>
      <c r="B16" s="161" t="s">
        <v>138</v>
      </c>
      <c r="C16" s="162">
        <v>1.52</v>
      </c>
      <c r="E16" s="163"/>
    </row>
    <row r="17" spans="1:5" x14ac:dyDescent="0.3">
      <c r="A17" s="164">
        <v>40042</v>
      </c>
      <c r="B17" s="165" t="s">
        <v>139</v>
      </c>
      <c r="C17" s="162">
        <v>3.93</v>
      </c>
    </row>
    <row r="18" spans="1:5" x14ac:dyDescent="0.3">
      <c r="A18" s="86">
        <v>40148</v>
      </c>
      <c r="B18" s="87" t="s">
        <v>140</v>
      </c>
      <c r="C18" s="162">
        <v>1.72</v>
      </c>
    </row>
    <row r="19" spans="1:5" x14ac:dyDescent="0.3">
      <c r="A19" s="86" t="s">
        <v>141</v>
      </c>
      <c r="B19" s="87" t="s">
        <v>142</v>
      </c>
      <c r="C19" s="88">
        <v>57.64</v>
      </c>
    </row>
    <row r="20" spans="1:5" x14ac:dyDescent="0.3">
      <c r="A20" s="86">
        <v>41022</v>
      </c>
      <c r="B20" s="87" t="s">
        <v>143</v>
      </c>
      <c r="C20" s="162">
        <v>1.42</v>
      </c>
    </row>
    <row r="21" spans="1:5" x14ac:dyDescent="0.3">
      <c r="A21" s="86">
        <v>41309</v>
      </c>
      <c r="B21" s="87" t="s">
        <v>144</v>
      </c>
      <c r="C21" s="88">
        <v>7.2</v>
      </c>
    </row>
    <row r="22" spans="1:5" ht="28.5" thickBot="1" x14ac:dyDescent="0.35">
      <c r="A22" s="86">
        <v>41401</v>
      </c>
      <c r="B22" s="152" t="s">
        <v>145</v>
      </c>
      <c r="C22" s="166">
        <v>7.56</v>
      </c>
    </row>
    <row r="23" spans="1:5" ht="14.5" thickBot="1" x14ac:dyDescent="0.35">
      <c r="C23" s="167">
        <f>SUM(C16:C22)</f>
        <v>80.990000000000009</v>
      </c>
    </row>
    <row r="24" spans="1:5" x14ac:dyDescent="0.3">
      <c r="A24" s="89" t="s">
        <v>146</v>
      </c>
      <c r="C24" s="168"/>
    </row>
    <row r="25" spans="1:5" x14ac:dyDescent="0.3">
      <c r="B25" s="169"/>
      <c r="C25" s="168"/>
    </row>
    <row r="26" spans="1:5" x14ac:dyDescent="0.3">
      <c r="B26" s="169"/>
      <c r="C26" s="170"/>
    </row>
    <row r="27" spans="1:5" ht="28" x14ac:dyDescent="0.3">
      <c r="A27" s="158" t="s">
        <v>39</v>
      </c>
      <c r="B27" s="159" t="s">
        <v>147</v>
      </c>
      <c r="C27" s="159" t="s">
        <v>82</v>
      </c>
      <c r="D27" s="158" t="s">
        <v>148</v>
      </c>
      <c r="E27" s="159" t="s">
        <v>149</v>
      </c>
    </row>
    <row r="28" spans="1:5" x14ac:dyDescent="0.3">
      <c r="A28" s="86" t="s">
        <v>150</v>
      </c>
      <c r="B28" s="87" t="s">
        <v>151</v>
      </c>
      <c r="C28" s="86">
        <v>1.83</v>
      </c>
      <c r="D28" s="171">
        <v>2</v>
      </c>
      <c r="E28" s="171">
        <f>C28+D28</f>
        <v>3.83</v>
      </c>
    </row>
    <row r="29" spans="1:5" ht="14.5" thickBot="1" x14ac:dyDescent="0.35">
      <c r="A29" s="86" t="s">
        <v>152</v>
      </c>
      <c r="B29" s="87" t="s">
        <v>153</v>
      </c>
      <c r="C29" s="86">
        <v>6.06</v>
      </c>
      <c r="D29" s="171">
        <v>0</v>
      </c>
      <c r="E29" s="164">
        <f>C29+D29</f>
        <v>6.06</v>
      </c>
    </row>
    <row r="30" spans="1:5" ht="14.5" thickBot="1" x14ac:dyDescent="0.35">
      <c r="C30" s="170"/>
      <c r="D30" s="170"/>
      <c r="E30" s="167">
        <f>SUM(E28:E29)</f>
        <v>9.89</v>
      </c>
    </row>
    <row r="31" spans="1:5" x14ac:dyDescent="0.3">
      <c r="A31" s="90" t="s">
        <v>154</v>
      </c>
      <c r="C31" s="170"/>
    </row>
    <row r="32" spans="1:5" x14ac:dyDescent="0.3">
      <c r="C32" s="170"/>
    </row>
    <row r="33" spans="1:7" ht="42" x14ac:dyDescent="0.3">
      <c r="B33" s="151" t="s">
        <v>155</v>
      </c>
      <c r="C33" s="159" t="s">
        <v>156</v>
      </c>
      <c r="D33" s="159" t="s">
        <v>82</v>
      </c>
      <c r="E33" s="158" t="s">
        <v>148</v>
      </c>
      <c r="F33" s="159" t="s">
        <v>149</v>
      </c>
    </row>
    <row r="34" spans="1:7" x14ac:dyDescent="0.3">
      <c r="B34" s="87" t="s">
        <v>157</v>
      </c>
      <c r="C34" s="86">
        <v>2</v>
      </c>
      <c r="D34" s="86">
        <v>32.53</v>
      </c>
      <c r="E34" s="88">
        <v>4</v>
      </c>
      <c r="F34" s="86">
        <f>C34*(D34+E34)</f>
        <v>73.06</v>
      </c>
    </row>
    <row r="35" spans="1:7" ht="14.5" thickBot="1" x14ac:dyDescent="0.35">
      <c r="B35" s="87" t="s">
        <v>158</v>
      </c>
      <c r="C35" s="86">
        <v>1</v>
      </c>
      <c r="D35" s="86">
        <v>32.53</v>
      </c>
      <c r="E35" s="88">
        <v>4</v>
      </c>
      <c r="F35" s="164">
        <f>C35*(D35+E35)</f>
        <v>36.53</v>
      </c>
    </row>
    <row r="36" spans="1:7" ht="14.5" thickBot="1" x14ac:dyDescent="0.35">
      <c r="C36" s="170"/>
      <c r="D36" s="170"/>
      <c r="F36" s="167">
        <f>SUM(F34:F35)</f>
        <v>109.59</v>
      </c>
    </row>
    <row r="37" spans="1:7" x14ac:dyDescent="0.3">
      <c r="A37" s="90" t="s">
        <v>159</v>
      </c>
      <c r="C37" s="170"/>
      <c r="D37" s="170"/>
      <c r="E37" s="168"/>
    </row>
    <row r="38" spans="1:7" x14ac:dyDescent="0.3">
      <c r="A38" s="90" t="s">
        <v>154</v>
      </c>
      <c r="C38" s="170"/>
    </row>
    <row r="39" spans="1:7" x14ac:dyDescent="0.3">
      <c r="C39" s="170"/>
      <c r="D39" s="170"/>
      <c r="E39" s="168"/>
    </row>
    <row r="40" spans="1:7" x14ac:dyDescent="0.3">
      <c r="A40" s="149" t="s">
        <v>160</v>
      </c>
    </row>
    <row r="41" spans="1:7" ht="28.5" thickBot="1" x14ac:dyDescent="0.35">
      <c r="B41" s="172" t="s">
        <v>161</v>
      </c>
      <c r="C41" s="158" t="s">
        <v>162</v>
      </c>
      <c r="D41" s="158" t="s">
        <v>163</v>
      </c>
      <c r="E41" s="173" t="s">
        <v>164</v>
      </c>
      <c r="F41" s="173" t="s">
        <v>149</v>
      </c>
    </row>
    <row r="42" spans="1:7" ht="14.5" thickBot="1" x14ac:dyDescent="0.35">
      <c r="B42" s="87" t="s">
        <v>165</v>
      </c>
      <c r="C42" s="174">
        <v>30</v>
      </c>
      <c r="D42" s="175">
        <v>8</v>
      </c>
      <c r="E42" s="176">
        <v>23.74</v>
      </c>
      <c r="F42" s="177">
        <f>E42*C42*D42</f>
        <v>5697.5999999999995</v>
      </c>
    </row>
    <row r="43" spans="1:7" x14ac:dyDescent="0.3">
      <c r="B43" s="89" t="s">
        <v>174</v>
      </c>
      <c r="F43" s="178"/>
    </row>
    <row r="44" spans="1:7" x14ac:dyDescent="0.3">
      <c r="F44" s="178"/>
    </row>
    <row r="45" spans="1:7" ht="42.5" thickBot="1" x14ac:dyDescent="0.35">
      <c r="B45" s="158" t="s">
        <v>166</v>
      </c>
      <c r="C45" s="158" t="s">
        <v>167</v>
      </c>
      <c r="D45" s="158" t="s">
        <v>163</v>
      </c>
      <c r="E45" s="158" t="s">
        <v>82</v>
      </c>
      <c r="F45" s="158" t="s">
        <v>148</v>
      </c>
      <c r="G45" s="179" t="s">
        <v>168</v>
      </c>
    </row>
    <row r="46" spans="1:7" ht="14.5" thickBot="1" x14ac:dyDescent="0.35">
      <c r="B46" s="87" t="s">
        <v>169</v>
      </c>
      <c r="C46" s="162">
        <v>1</v>
      </c>
      <c r="D46" s="175">
        <v>8</v>
      </c>
      <c r="E46" s="162">
        <v>32.53</v>
      </c>
      <c r="F46" s="88">
        <v>4</v>
      </c>
      <c r="G46" s="167">
        <f>C46*D46*(E46+F46)</f>
        <v>292.24</v>
      </c>
    </row>
    <row r="47" spans="1:7" x14ac:dyDescent="0.3">
      <c r="A47" s="90" t="s">
        <v>154</v>
      </c>
      <c r="C47" s="170"/>
    </row>
    <row r="48" spans="1:7" x14ac:dyDescent="0.3">
      <c r="A48" s="90"/>
      <c r="C48" s="170"/>
    </row>
    <row r="49" spans="1:8" ht="28" x14ac:dyDescent="0.3">
      <c r="A49" s="158" t="s">
        <v>39</v>
      </c>
      <c r="B49" s="159" t="s">
        <v>170</v>
      </c>
      <c r="C49" s="159" t="s">
        <v>171</v>
      </c>
      <c r="D49" s="159" t="s">
        <v>82</v>
      </c>
      <c r="E49" s="159" t="s">
        <v>149</v>
      </c>
    </row>
    <row r="50" spans="1:8" x14ac:dyDescent="0.3">
      <c r="A50" s="162">
        <v>54092</v>
      </c>
      <c r="B50" s="87" t="s">
        <v>142</v>
      </c>
      <c r="C50" s="180">
        <v>4</v>
      </c>
      <c r="D50" s="86">
        <v>57.64</v>
      </c>
      <c r="E50" s="87">
        <f>D50*C50</f>
        <v>230.56</v>
      </c>
    </row>
    <row r="51" spans="1:8" ht="14.5" thickBot="1" x14ac:dyDescent="0.35">
      <c r="A51" s="160">
        <v>40003</v>
      </c>
      <c r="B51" s="161" t="s">
        <v>138</v>
      </c>
      <c r="C51" s="180">
        <v>4</v>
      </c>
      <c r="D51" s="86">
        <v>1.52</v>
      </c>
      <c r="E51" s="165">
        <f>D51*C51</f>
        <v>6.08</v>
      </c>
    </row>
    <row r="52" spans="1:8" ht="14.5" thickBot="1" x14ac:dyDescent="0.35">
      <c r="E52" s="167">
        <f>SUM(E50:E51)</f>
        <v>236.64000000000001</v>
      </c>
    </row>
    <row r="54" spans="1:8" x14ac:dyDescent="0.3">
      <c r="G54" s="150"/>
      <c r="H54" s="150"/>
    </row>
  </sheetData>
  <mergeCells count="1">
    <mergeCell ref="C1:F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C47D2-F744-44F8-A85C-F720B82600BC}">
  <dimension ref="A1:Q35"/>
  <sheetViews>
    <sheetView workbookViewId="0">
      <selection activeCell="D8" sqref="D8"/>
    </sheetView>
  </sheetViews>
  <sheetFormatPr defaultRowHeight="14.5" x14ac:dyDescent="0.35"/>
  <cols>
    <col min="1" max="1" width="13.26953125" customWidth="1"/>
    <col min="2" max="2" width="22.7265625" customWidth="1"/>
    <col min="14" max="14" width="10.1796875" customWidth="1"/>
  </cols>
  <sheetData>
    <row r="1" spans="1:17" ht="48.75" customHeight="1" x14ac:dyDescent="0.35">
      <c r="G1" s="234" t="s">
        <v>196</v>
      </c>
      <c r="H1" s="234"/>
      <c r="I1" s="234"/>
      <c r="J1" s="234"/>
      <c r="K1" s="234"/>
      <c r="L1" s="234"/>
      <c r="M1" s="234"/>
    </row>
    <row r="3" spans="1:17" x14ac:dyDescent="0.35">
      <c r="A3" s="68" t="s">
        <v>113</v>
      </c>
      <c r="B3" s="69"/>
      <c r="C3" s="69"/>
      <c r="D3" s="69"/>
      <c r="E3" s="69"/>
      <c r="F3" s="69"/>
      <c r="G3" s="69"/>
      <c r="H3" s="69"/>
      <c r="I3" s="69"/>
      <c r="J3" s="69"/>
      <c r="K3" s="69"/>
      <c r="L3" s="69"/>
      <c r="M3" s="69"/>
      <c r="N3" s="69"/>
      <c r="O3" s="69"/>
      <c r="P3" s="69"/>
      <c r="Q3" s="69"/>
    </row>
    <row r="4" spans="1:17" x14ac:dyDescent="0.35">
      <c r="A4" s="69"/>
      <c r="B4" s="69"/>
      <c r="C4" s="69"/>
      <c r="D4" s="69"/>
      <c r="E4" s="69"/>
      <c r="F4" s="69"/>
      <c r="G4" s="69"/>
      <c r="H4" s="69"/>
      <c r="I4" s="69"/>
      <c r="J4" s="69"/>
      <c r="K4" s="69"/>
      <c r="L4" s="69"/>
      <c r="M4" s="69"/>
      <c r="N4" s="69"/>
      <c r="O4" s="69"/>
      <c r="P4" s="69"/>
      <c r="Q4" s="69"/>
    </row>
    <row r="5" spans="1:17" x14ac:dyDescent="0.35">
      <c r="A5" s="70" t="s">
        <v>38</v>
      </c>
      <c r="B5" s="71"/>
      <c r="C5" s="71"/>
      <c r="D5" s="69" t="s">
        <v>114</v>
      </c>
      <c r="E5" s="72"/>
      <c r="F5" s="69"/>
      <c r="G5" s="69"/>
      <c r="H5" s="69"/>
      <c r="I5" s="69" t="s">
        <v>115</v>
      </c>
      <c r="J5" s="69"/>
      <c r="K5" s="69"/>
      <c r="L5" s="69"/>
      <c r="M5" s="69"/>
      <c r="N5" s="69"/>
      <c r="O5" s="69"/>
      <c r="P5" s="69"/>
      <c r="Q5" s="69"/>
    </row>
    <row r="6" spans="1:17" x14ac:dyDescent="0.35">
      <c r="A6" s="253" t="s">
        <v>39</v>
      </c>
      <c r="B6" s="253" t="s">
        <v>40</v>
      </c>
      <c r="C6" s="254" t="s">
        <v>42</v>
      </c>
      <c r="D6" s="255" t="s">
        <v>116</v>
      </c>
      <c r="E6" s="255"/>
      <c r="F6" s="69"/>
      <c r="G6" s="69"/>
      <c r="H6" s="69"/>
      <c r="I6" s="256" t="s">
        <v>117</v>
      </c>
      <c r="J6" s="256"/>
      <c r="K6" s="256"/>
      <c r="L6" s="256"/>
      <c r="M6" s="256"/>
      <c r="N6" s="74"/>
      <c r="O6" s="69"/>
      <c r="P6" s="69"/>
      <c r="Q6" s="69"/>
    </row>
    <row r="7" spans="1:17" ht="23" x14ac:dyDescent="0.35">
      <c r="A7" s="253"/>
      <c r="B7" s="253"/>
      <c r="C7" s="254"/>
      <c r="D7" s="75" t="s">
        <v>43</v>
      </c>
      <c r="E7" s="76" t="s">
        <v>44</v>
      </c>
      <c r="F7" s="69"/>
      <c r="G7" s="69"/>
      <c r="H7" s="69"/>
      <c r="I7" s="256"/>
      <c r="J7" s="256"/>
      <c r="K7" s="256"/>
      <c r="L7" s="256"/>
      <c r="M7" s="256"/>
      <c r="N7" s="69"/>
      <c r="O7" s="69"/>
      <c r="P7" s="69"/>
      <c r="Q7" s="69"/>
    </row>
    <row r="8" spans="1:17" ht="112.15" customHeight="1" x14ac:dyDescent="0.35">
      <c r="A8" s="190" t="s">
        <v>89</v>
      </c>
      <c r="B8" s="191" t="s">
        <v>118</v>
      </c>
      <c r="C8" s="192">
        <v>66.63</v>
      </c>
      <c r="D8" s="193">
        <f>E19*36</f>
        <v>648</v>
      </c>
      <c r="E8" s="194">
        <f>C8*D8</f>
        <v>43176.24</v>
      </c>
      <c r="F8" s="69"/>
      <c r="G8" s="69"/>
      <c r="H8" s="69"/>
      <c r="I8" s="256"/>
      <c r="J8" s="256"/>
      <c r="K8" s="256"/>
      <c r="L8" s="256"/>
      <c r="M8" s="256"/>
      <c r="N8" s="69"/>
      <c r="O8" s="69"/>
      <c r="P8" s="69"/>
      <c r="Q8" s="69"/>
    </row>
    <row r="9" spans="1:17" x14ac:dyDescent="0.35">
      <c r="A9" s="195"/>
      <c r="B9" s="196" t="s">
        <v>119</v>
      </c>
      <c r="C9" s="197">
        <f>SUM(C8:C8)</f>
        <v>66.63</v>
      </c>
      <c r="D9" s="197">
        <f>SUM(D8:D8)</f>
        <v>648</v>
      </c>
      <c r="E9" s="197">
        <f>SUM(E8:E8)</f>
        <v>43176.24</v>
      </c>
      <c r="F9" s="69"/>
      <c r="G9" s="69"/>
      <c r="H9" s="69"/>
      <c r="I9" s="256"/>
      <c r="J9" s="256"/>
      <c r="K9" s="256"/>
      <c r="L9" s="256"/>
      <c r="M9" s="256"/>
      <c r="N9" s="69"/>
      <c r="O9" s="69"/>
      <c r="P9" s="69"/>
      <c r="Q9" s="69"/>
    </row>
    <row r="10" spans="1:17" x14ac:dyDescent="0.35">
      <c r="A10" s="72"/>
      <c r="B10" s="72"/>
      <c r="C10" s="72"/>
      <c r="D10" s="72"/>
      <c r="E10" s="72"/>
      <c r="F10" s="69"/>
      <c r="G10" s="69"/>
      <c r="H10" s="69"/>
      <c r="I10" s="256"/>
      <c r="J10" s="256"/>
      <c r="K10" s="256"/>
      <c r="L10" s="256"/>
      <c r="M10" s="256"/>
      <c r="N10" s="69"/>
      <c r="O10" s="69"/>
      <c r="P10" s="69"/>
      <c r="Q10" s="69"/>
    </row>
    <row r="11" spans="1:17" x14ac:dyDescent="0.35">
      <c r="A11" s="72"/>
      <c r="B11" s="72"/>
      <c r="C11" s="72"/>
      <c r="D11" s="72"/>
      <c r="E11" s="72"/>
      <c r="F11" s="69"/>
      <c r="G11" s="69"/>
      <c r="H11" s="69"/>
      <c r="I11" s="256"/>
      <c r="J11" s="256"/>
      <c r="K11" s="256"/>
      <c r="L11" s="256"/>
      <c r="M11" s="256"/>
      <c r="N11" s="69"/>
      <c r="O11" s="69"/>
      <c r="P11" s="69"/>
      <c r="Q11" s="69"/>
    </row>
    <row r="12" spans="1:17" x14ac:dyDescent="0.35">
      <c r="A12" s="71"/>
      <c r="B12" s="78"/>
      <c r="C12" s="78"/>
      <c r="D12" s="70"/>
      <c r="E12" s="70"/>
      <c r="F12" s="69"/>
      <c r="G12" s="69"/>
      <c r="H12" s="69"/>
      <c r="I12" s="256"/>
      <c r="J12" s="256"/>
      <c r="K12" s="256"/>
      <c r="L12" s="256"/>
      <c r="M12" s="256"/>
      <c r="N12" s="69"/>
      <c r="O12" s="69"/>
      <c r="P12" s="69"/>
      <c r="Q12" s="69"/>
    </row>
    <row r="13" spans="1:17" x14ac:dyDescent="0.35">
      <c r="A13" s="257" t="s">
        <v>45</v>
      </c>
      <c r="B13" s="257"/>
      <c r="C13" s="258" t="s">
        <v>46</v>
      </c>
      <c r="D13" s="260" t="s">
        <v>116</v>
      </c>
      <c r="E13" s="261"/>
      <c r="F13" s="69"/>
      <c r="G13" s="69"/>
      <c r="H13" s="69"/>
      <c r="I13" s="256"/>
      <c r="J13" s="256"/>
      <c r="K13" s="256"/>
      <c r="L13" s="256"/>
      <c r="M13" s="256"/>
      <c r="N13" s="69"/>
      <c r="O13" s="69"/>
      <c r="P13" s="69"/>
      <c r="Q13" s="69"/>
    </row>
    <row r="14" spans="1:17" ht="23" x14ac:dyDescent="0.35">
      <c r="A14" s="257"/>
      <c r="B14" s="257"/>
      <c r="C14" s="259"/>
      <c r="D14" s="73" t="s">
        <v>47</v>
      </c>
      <c r="E14" s="79" t="s">
        <v>44</v>
      </c>
      <c r="F14" s="69"/>
      <c r="G14" s="69"/>
      <c r="H14" s="69"/>
      <c r="I14" s="69"/>
      <c r="J14" s="69"/>
      <c r="K14" s="69"/>
      <c r="L14" s="69"/>
      <c r="M14" s="69"/>
      <c r="N14" s="69"/>
      <c r="O14" s="69"/>
      <c r="P14" s="69"/>
      <c r="Q14" s="69"/>
    </row>
    <row r="15" spans="1:17" x14ac:dyDescent="0.35">
      <c r="A15" s="257"/>
      <c r="B15" s="257"/>
      <c r="C15" s="194">
        <v>276.56</v>
      </c>
      <c r="D15" s="77">
        <f>36*18</f>
        <v>648</v>
      </c>
      <c r="E15" s="77">
        <f>D15*C15</f>
        <v>179210.88</v>
      </c>
      <c r="F15" s="69"/>
      <c r="G15" s="69"/>
      <c r="H15" s="69"/>
      <c r="I15" s="69"/>
      <c r="J15" s="69"/>
      <c r="K15" s="69"/>
      <c r="L15" s="69"/>
      <c r="M15" s="69"/>
      <c r="N15" s="69"/>
      <c r="O15" s="69"/>
      <c r="P15" s="69"/>
      <c r="Q15" s="69"/>
    </row>
    <row r="16" spans="1:17" x14ac:dyDescent="0.35">
      <c r="A16" s="70"/>
      <c r="B16" s="70"/>
      <c r="C16" s="70"/>
      <c r="D16" s="70"/>
      <c r="E16" s="70"/>
      <c r="F16" s="69"/>
      <c r="G16" s="69"/>
      <c r="H16" s="69"/>
      <c r="I16" s="69"/>
      <c r="J16" s="69"/>
      <c r="K16" s="69"/>
      <c r="L16" s="69"/>
      <c r="M16" s="69"/>
      <c r="N16" s="69"/>
      <c r="O16" s="69"/>
      <c r="P16" s="69"/>
      <c r="Q16" s="69"/>
    </row>
    <row r="17" spans="1:17" x14ac:dyDescent="0.35">
      <c r="A17" s="250" t="s">
        <v>48</v>
      </c>
      <c r="B17" s="250"/>
      <c r="C17" s="250"/>
      <c r="D17" s="250"/>
      <c r="E17" s="80">
        <f>E15+E9</f>
        <v>222387.12</v>
      </c>
      <c r="F17" s="69"/>
      <c r="G17" s="69"/>
      <c r="H17" s="69"/>
      <c r="I17" s="69"/>
      <c r="J17" s="69"/>
      <c r="K17" s="69"/>
      <c r="L17" s="69"/>
      <c r="M17" s="69"/>
      <c r="N17" s="69"/>
      <c r="O17" s="69"/>
      <c r="P17" s="69"/>
      <c r="Q17" s="69"/>
    </row>
    <row r="18" spans="1:17" x14ac:dyDescent="0.35">
      <c r="A18" s="250" t="s">
        <v>49</v>
      </c>
      <c r="B18" s="250"/>
      <c r="C18" s="250"/>
      <c r="D18" s="250"/>
      <c r="E18" s="198">
        <v>36</v>
      </c>
      <c r="F18" s="69"/>
      <c r="G18" s="69"/>
      <c r="H18" s="69"/>
      <c r="I18" s="69"/>
      <c r="J18" s="69"/>
      <c r="K18" s="69"/>
      <c r="L18" s="69"/>
      <c r="M18" s="69"/>
      <c r="N18" s="69"/>
      <c r="O18" s="69"/>
      <c r="P18" s="69"/>
      <c r="Q18" s="69"/>
    </row>
    <row r="19" spans="1:17" x14ac:dyDescent="0.35">
      <c r="A19" s="81"/>
      <c r="B19" s="250" t="s">
        <v>50</v>
      </c>
      <c r="C19" s="250"/>
      <c r="D19" s="250"/>
      <c r="E19" s="82">
        <f>ROUND(D15/E18,1)</f>
        <v>18</v>
      </c>
      <c r="F19" s="69"/>
      <c r="G19" s="69"/>
      <c r="H19" s="69"/>
      <c r="I19" s="69"/>
      <c r="J19" s="69"/>
      <c r="K19" s="69"/>
      <c r="L19" s="69"/>
      <c r="M19" s="69"/>
      <c r="N19" s="69"/>
      <c r="O19" s="69"/>
      <c r="P19" s="69"/>
      <c r="Q19" s="69"/>
    </row>
    <row r="20" spans="1:17" x14ac:dyDescent="0.35">
      <c r="A20" s="250" t="s">
        <v>51</v>
      </c>
      <c r="B20" s="250"/>
      <c r="C20" s="250"/>
      <c r="D20" s="250"/>
      <c r="E20" s="230">
        <f>ROUND(E17/E18,2)</f>
        <v>6177.42</v>
      </c>
      <c r="F20" s="69"/>
      <c r="G20" s="69"/>
      <c r="H20" s="69"/>
      <c r="I20" s="69"/>
      <c r="J20" s="69"/>
      <c r="K20" s="69"/>
      <c r="L20" s="69"/>
      <c r="M20" s="69"/>
      <c r="N20" s="69"/>
      <c r="O20" s="69"/>
      <c r="P20" s="69"/>
      <c r="Q20" s="69"/>
    </row>
    <row r="21" spans="1:17" x14ac:dyDescent="0.35">
      <c r="A21" s="70"/>
      <c r="B21" s="70"/>
      <c r="C21" s="70"/>
      <c r="D21" s="70"/>
      <c r="E21" s="83"/>
      <c r="F21" s="69"/>
      <c r="G21" s="69"/>
      <c r="H21" s="69"/>
      <c r="I21" s="69"/>
      <c r="J21" s="69"/>
      <c r="K21" s="69"/>
      <c r="L21" s="69"/>
      <c r="M21" s="69"/>
      <c r="N21" s="69"/>
      <c r="O21" s="69"/>
      <c r="P21" s="69"/>
      <c r="Q21" s="69"/>
    </row>
    <row r="22" spans="1:17" x14ac:dyDescent="0.35">
      <c r="A22" s="70"/>
      <c r="B22" s="70"/>
      <c r="C22" s="70"/>
      <c r="D22" s="84"/>
      <c r="E22" s="85"/>
      <c r="F22" s="69"/>
      <c r="G22" s="69"/>
      <c r="H22" s="69"/>
      <c r="I22" s="69"/>
      <c r="J22" s="69"/>
      <c r="K22" s="69"/>
      <c r="L22" s="69"/>
      <c r="M22" s="69"/>
      <c r="N22" s="69"/>
      <c r="O22" s="69"/>
      <c r="P22" s="69"/>
      <c r="Q22" s="69"/>
    </row>
    <row r="23" spans="1:17" x14ac:dyDescent="0.35">
      <c r="A23" s="69"/>
      <c r="B23" s="69"/>
      <c r="C23" s="69"/>
      <c r="D23" s="69"/>
      <c r="E23" s="69"/>
      <c r="F23" s="69"/>
      <c r="G23" s="69"/>
      <c r="H23" s="69"/>
      <c r="I23" s="69"/>
      <c r="J23" s="69"/>
      <c r="K23" s="69"/>
      <c r="L23" s="69"/>
      <c r="M23" s="69"/>
      <c r="N23" s="69"/>
      <c r="O23" s="69"/>
      <c r="P23" s="69"/>
      <c r="Q23" s="69"/>
    </row>
    <row r="24" spans="1:17" x14ac:dyDescent="0.35">
      <c r="A24" s="69"/>
      <c r="B24" s="69"/>
      <c r="C24" s="69"/>
      <c r="D24" s="69"/>
      <c r="E24" s="69"/>
      <c r="F24" s="69"/>
      <c r="G24" s="69"/>
      <c r="H24" s="69"/>
      <c r="I24" s="69"/>
      <c r="J24" s="69"/>
      <c r="K24" s="69"/>
      <c r="L24" s="69"/>
      <c r="M24" s="69"/>
      <c r="N24" s="69"/>
      <c r="O24" s="69"/>
      <c r="P24" s="69"/>
      <c r="Q24" s="69"/>
    </row>
    <row r="25" spans="1:17" ht="124" x14ac:dyDescent="0.35">
      <c r="A25" s="251" t="s">
        <v>39</v>
      </c>
      <c r="B25" s="251" t="s">
        <v>40</v>
      </c>
      <c r="C25" s="53" t="s">
        <v>92</v>
      </c>
      <c r="D25" s="53" t="s">
        <v>93</v>
      </c>
      <c r="E25" s="53" t="s">
        <v>94</v>
      </c>
      <c r="F25" s="54" t="s">
        <v>95</v>
      </c>
      <c r="G25" s="54" t="s">
        <v>96</v>
      </c>
      <c r="H25" s="54" t="s">
        <v>97</v>
      </c>
      <c r="I25" s="54" t="s">
        <v>98</v>
      </c>
      <c r="J25" s="54" t="s">
        <v>99</v>
      </c>
      <c r="K25" s="54" t="s">
        <v>100</v>
      </c>
      <c r="L25" s="54" t="s">
        <v>101</v>
      </c>
      <c r="M25" s="54"/>
      <c r="N25" s="248" t="s">
        <v>102</v>
      </c>
      <c r="O25" s="55" t="s">
        <v>103</v>
      </c>
      <c r="P25" s="56" t="s">
        <v>42</v>
      </c>
      <c r="Q25" s="69"/>
    </row>
    <row r="26" spans="1:17" ht="15.5" x14ac:dyDescent="0.35">
      <c r="A26" s="252"/>
      <c r="B26" s="252"/>
      <c r="C26" s="57"/>
      <c r="D26" s="57"/>
      <c r="E26" s="57"/>
      <c r="F26" s="58" t="s">
        <v>104</v>
      </c>
      <c r="G26" s="58" t="s">
        <v>105</v>
      </c>
      <c r="H26" s="58" t="s">
        <v>106</v>
      </c>
      <c r="I26" s="58" t="s">
        <v>107</v>
      </c>
      <c r="J26" s="58" t="s">
        <v>108</v>
      </c>
      <c r="K26" s="58" t="s">
        <v>109</v>
      </c>
      <c r="L26" s="58" t="s">
        <v>110</v>
      </c>
      <c r="M26" s="58" t="s">
        <v>111</v>
      </c>
      <c r="N26" s="249"/>
      <c r="O26" s="56"/>
      <c r="P26" s="58" t="s">
        <v>112</v>
      </c>
      <c r="Q26" s="69"/>
    </row>
    <row r="27" spans="1:17" ht="15.5" x14ac:dyDescent="0.35">
      <c r="A27" s="59">
        <v>1</v>
      </c>
      <c r="B27" s="60">
        <v>2</v>
      </c>
      <c r="C27" s="61">
        <v>3</v>
      </c>
      <c r="D27" s="59">
        <v>4</v>
      </c>
      <c r="E27" s="62">
        <v>5</v>
      </c>
      <c r="F27" s="61">
        <v>6</v>
      </c>
      <c r="G27" s="59">
        <v>7</v>
      </c>
      <c r="H27" s="62">
        <v>8</v>
      </c>
      <c r="I27" s="61">
        <v>9</v>
      </c>
      <c r="J27" s="59">
        <v>10</v>
      </c>
      <c r="K27" s="62">
        <v>11</v>
      </c>
      <c r="L27" s="61">
        <v>12</v>
      </c>
      <c r="M27" s="59">
        <v>13</v>
      </c>
      <c r="N27" s="62">
        <v>14</v>
      </c>
      <c r="O27" s="61">
        <v>15</v>
      </c>
      <c r="P27" s="59">
        <v>16</v>
      </c>
      <c r="Q27" s="69"/>
    </row>
    <row r="28" spans="1:17" ht="62" x14ac:dyDescent="0.35">
      <c r="A28" s="63" t="s">
        <v>120</v>
      </c>
      <c r="B28" s="64" t="s">
        <v>121</v>
      </c>
      <c r="C28" s="65">
        <v>150</v>
      </c>
      <c r="D28" s="65">
        <v>0</v>
      </c>
      <c r="E28" s="65">
        <v>0</v>
      </c>
      <c r="F28" s="65">
        <v>36</v>
      </c>
      <c r="G28" s="65">
        <v>8.49</v>
      </c>
      <c r="H28" s="65">
        <v>0</v>
      </c>
      <c r="I28" s="65">
        <v>0</v>
      </c>
      <c r="J28" s="65">
        <v>20.25</v>
      </c>
      <c r="K28" s="65">
        <v>0.73</v>
      </c>
      <c r="L28" s="65">
        <v>1.1599999999999999</v>
      </c>
      <c r="M28" s="65">
        <v>0</v>
      </c>
      <c r="N28" s="65">
        <v>66.63</v>
      </c>
      <c r="O28" s="66">
        <v>0</v>
      </c>
      <c r="P28" s="67">
        <v>66.63</v>
      </c>
      <c r="Q28" s="69"/>
    </row>
    <row r="29" spans="1:17" x14ac:dyDescent="0.35">
      <c r="A29" s="69"/>
      <c r="B29" s="69"/>
      <c r="C29" s="69"/>
      <c r="D29" s="69"/>
      <c r="E29" s="69"/>
      <c r="F29" s="69"/>
      <c r="G29" s="69"/>
      <c r="H29" s="69"/>
      <c r="I29" s="69"/>
      <c r="J29" s="69"/>
      <c r="K29" s="69"/>
      <c r="L29" s="69"/>
      <c r="M29" s="69"/>
      <c r="N29" s="69"/>
      <c r="O29" s="69"/>
      <c r="P29" s="69"/>
      <c r="Q29" s="69"/>
    </row>
    <row r="30" spans="1:17" x14ac:dyDescent="0.35">
      <c r="A30" s="69"/>
      <c r="B30" s="69"/>
      <c r="C30" s="69"/>
      <c r="D30" s="69"/>
      <c r="E30" s="69"/>
      <c r="F30" s="69"/>
      <c r="G30" s="69"/>
      <c r="H30" s="69"/>
      <c r="I30" s="69"/>
      <c r="J30" s="69"/>
      <c r="K30" s="69"/>
      <c r="L30" s="69"/>
      <c r="M30" s="69"/>
      <c r="N30" s="69"/>
      <c r="O30" s="69"/>
      <c r="P30" s="69"/>
      <c r="Q30" s="69"/>
    </row>
    <row r="31" spans="1:17" x14ac:dyDescent="0.35">
      <c r="A31" s="69"/>
      <c r="B31" s="69"/>
      <c r="C31" s="69"/>
      <c r="D31" s="69"/>
      <c r="E31" s="69"/>
      <c r="F31" s="69"/>
      <c r="G31" s="69"/>
      <c r="H31" s="69"/>
      <c r="I31" s="69"/>
      <c r="J31" s="69"/>
      <c r="K31" s="69"/>
      <c r="L31" s="69"/>
      <c r="M31" s="69"/>
      <c r="N31" s="69"/>
      <c r="O31" s="69"/>
      <c r="P31" s="69"/>
      <c r="Q31" s="69"/>
    </row>
    <row r="32" spans="1:17" x14ac:dyDescent="0.35">
      <c r="A32" s="69"/>
      <c r="B32" s="69"/>
      <c r="C32" s="69"/>
      <c r="D32" s="69"/>
      <c r="E32" s="69"/>
      <c r="F32" s="69"/>
      <c r="G32" s="69"/>
      <c r="H32" s="69"/>
      <c r="I32" s="69"/>
      <c r="J32" s="69"/>
      <c r="K32" s="69"/>
      <c r="L32" s="69"/>
      <c r="M32" s="69"/>
      <c r="N32" s="69"/>
      <c r="O32" s="69"/>
      <c r="P32" s="69"/>
      <c r="Q32" s="69"/>
    </row>
    <row r="33" spans="1:17" x14ac:dyDescent="0.35">
      <c r="A33" s="69"/>
      <c r="B33" s="69"/>
      <c r="C33" s="69"/>
      <c r="D33" s="69"/>
      <c r="E33" s="69"/>
      <c r="F33" s="69"/>
      <c r="G33" s="69"/>
      <c r="H33" s="69"/>
      <c r="I33" s="69"/>
      <c r="J33" s="69"/>
      <c r="K33" s="69"/>
      <c r="L33" s="69"/>
      <c r="M33" s="69"/>
      <c r="N33" s="69"/>
      <c r="O33" s="69"/>
      <c r="P33" s="69"/>
      <c r="Q33" s="69"/>
    </row>
    <row r="34" spans="1:17" x14ac:dyDescent="0.35">
      <c r="A34" s="69"/>
      <c r="B34" s="69"/>
      <c r="C34" s="69"/>
      <c r="D34" s="69"/>
      <c r="E34" s="69"/>
      <c r="F34" s="69"/>
      <c r="G34" s="69"/>
      <c r="H34" s="69"/>
      <c r="I34" s="69"/>
      <c r="J34" s="69"/>
      <c r="K34" s="69"/>
      <c r="L34" s="69"/>
      <c r="M34" s="69"/>
      <c r="N34" s="69"/>
      <c r="O34" s="69"/>
      <c r="P34" s="69"/>
      <c r="Q34" s="69"/>
    </row>
    <row r="35" spans="1:17" x14ac:dyDescent="0.35">
      <c r="A35" s="69"/>
      <c r="B35" s="69"/>
      <c r="C35" s="69"/>
      <c r="D35" s="69"/>
      <c r="E35" s="69"/>
      <c r="F35" s="69"/>
      <c r="G35" s="69"/>
      <c r="H35" s="69"/>
      <c r="I35" s="69"/>
      <c r="J35" s="69"/>
      <c r="K35" s="69"/>
      <c r="L35" s="69"/>
      <c r="M35" s="69"/>
      <c r="N35" s="69"/>
      <c r="O35" s="69"/>
      <c r="P35" s="69"/>
      <c r="Q35" s="69"/>
    </row>
  </sheetData>
  <mergeCells count="16">
    <mergeCell ref="G1:M1"/>
    <mergeCell ref="N25:N26"/>
    <mergeCell ref="A17:D17"/>
    <mergeCell ref="A18:D18"/>
    <mergeCell ref="B19:D19"/>
    <mergeCell ref="A20:D20"/>
    <mergeCell ref="A25:A26"/>
    <mergeCell ref="B25:B26"/>
    <mergeCell ref="A6:A7"/>
    <mergeCell ref="B6:B7"/>
    <mergeCell ref="C6:C7"/>
    <mergeCell ref="D6:E6"/>
    <mergeCell ref="I6:M13"/>
    <mergeCell ref="A13:B15"/>
    <mergeCell ref="C13:C14"/>
    <mergeCell ref="D13:E13"/>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D41D3-CEB4-4803-82E2-325A056D30D0}">
  <dimension ref="A1:AP27"/>
  <sheetViews>
    <sheetView topLeftCell="A24" workbookViewId="0">
      <selection activeCell="M34" sqref="M34"/>
    </sheetView>
  </sheetViews>
  <sheetFormatPr defaultColWidth="10.81640625" defaultRowHeight="15.5" x14ac:dyDescent="0.35"/>
  <cols>
    <col min="1" max="1" width="13.7265625" style="3" customWidth="1"/>
    <col min="2" max="2" width="78.81640625" style="3" customWidth="1"/>
    <col min="3" max="5" width="14.7265625" style="3" customWidth="1"/>
    <col min="6" max="42" width="10.81640625" style="2"/>
    <col min="43" max="16384" width="10.81640625" style="3"/>
  </cols>
  <sheetData>
    <row r="1" spans="1:42" ht="42" customHeight="1" x14ac:dyDescent="0.35">
      <c r="C1" s="264" t="s">
        <v>197</v>
      </c>
      <c r="D1" s="264"/>
      <c r="E1" s="264"/>
      <c r="F1" s="264"/>
      <c r="G1" s="264"/>
      <c r="H1" s="264"/>
    </row>
    <row r="3" spans="1:42" ht="17.5" customHeight="1" x14ac:dyDescent="0.35">
      <c r="A3" s="266" t="s">
        <v>52</v>
      </c>
      <c r="B3" s="266"/>
      <c r="C3" s="266"/>
      <c r="D3" s="266"/>
      <c r="E3" s="266"/>
    </row>
    <row r="4" spans="1:42" x14ac:dyDescent="0.35">
      <c r="E4" s="4"/>
    </row>
    <row r="5" spans="1:42" x14ac:dyDescent="0.35">
      <c r="A5" s="262" t="s">
        <v>222</v>
      </c>
      <c r="B5" s="262"/>
      <c r="C5" s="263" t="s">
        <v>41</v>
      </c>
      <c r="D5" s="263"/>
      <c r="E5" s="263"/>
    </row>
    <row r="6" spans="1:42" ht="31" x14ac:dyDescent="0.35">
      <c r="A6" s="262"/>
      <c r="B6" s="262"/>
      <c r="C6" s="5" t="s">
        <v>46</v>
      </c>
      <c r="D6" s="6" t="s">
        <v>47</v>
      </c>
      <c r="E6" s="7" t="s">
        <v>44</v>
      </c>
    </row>
    <row r="7" spans="1:42" x14ac:dyDescent="0.35">
      <c r="A7" s="262"/>
      <c r="B7" s="262"/>
      <c r="C7" s="8">
        <f>'[1]GD tarifi'!E12</f>
        <v>98.86999999999999</v>
      </c>
      <c r="D7" s="9">
        <v>30</v>
      </c>
      <c r="E7" s="8">
        <f>D7*C7</f>
        <v>2966.1</v>
      </c>
    </row>
    <row r="8" spans="1:42" s="4" customFormat="1" x14ac:dyDescent="0.35">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row>
    <row r="9" spans="1:42" x14ac:dyDescent="0.35">
      <c r="A9" s="265" t="s">
        <v>48</v>
      </c>
      <c r="B9" s="265"/>
      <c r="C9" s="265"/>
      <c r="D9" s="265"/>
      <c r="E9" s="10">
        <f>E7</f>
        <v>2966.1</v>
      </c>
    </row>
    <row r="10" spans="1:42" x14ac:dyDescent="0.35">
      <c r="A10" s="265" t="s">
        <v>49</v>
      </c>
      <c r="B10" s="265"/>
      <c r="C10" s="265"/>
      <c r="D10" s="265"/>
      <c r="E10" s="11">
        <v>1</v>
      </c>
    </row>
    <row r="11" spans="1:42" x14ac:dyDescent="0.35">
      <c r="A11" s="12"/>
      <c r="B11" s="265" t="s">
        <v>50</v>
      </c>
      <c r="C11" s="265"/>
      <c r="D11" s="265"/>
      <c r="E11" s="13">
        <f>D7/E10</f>
        <v>30</v>
      </c>
    </row>
    <row r="12" spans="1:42" x14ac:dyDescent="0.35">
      <c r="A12" s="265" t="s">
        <v>51</v>
      </c>
      <c r="B12" s="265"/>
      <c r="C12" s="265"/>
      <c r="D12" s="265"/>
      <c r="E12" s="14">
        <f>ROUND(E9/E10,2)</f>
        <v>2966.1</v>
      </c>
      <c r="G12" s="15"/>
    </row>
    <row r="13" spans="1:42" x14ac:dyDescent="0.35">
      <c r="A13" s="4"/>
      <c r="B13" s="4"/>
      <c r="C13" s="4"/>
      <c r="D13" s="4"/>
      <c r="E13" s="16"/>
    </row>
    <row r="14" spans="1:42" x14ac:dyDescent="0.35">
      <c r="A14" s="4"/>
      <c r="B14" s="4"/>
      <c r="C14" s="4"/>
      <c r="D14" s="17"/>
      <c r="E14" s="18"/>
    </row>
    <row r="17" spans="1:5" ht="17.5" customHeight="1" x14ac:dyDescent="0.35">
      <c r="A17" s="266" t="s">
        <v>53</v>
      </c>
      <c r="B17" s="266"/>
      <c r="C17" s="266"/>
      <c r="D17" s="266"/>
      <c r="E17" s="266"/>
    </row>
    <row r="18" spans="1:5" x14ac:dyDescent="0.35">
      <c r="E18" s="4"/>
    </row>
    <row r="19" spans="1:5" x14ac:dyDescent="0.35">
      <c r="A19" s="262" t="s">
        <v>222</v>
      </c>
      <c r="B19" s="262"/>
      <c r="C19" s="263" t="s">
        <v>41</v>
      </c>
      <c r="D19" s="263"/>
      <c r="E19" s="263"/>
    </row>
    <row r="20" spans="1:5" ht="31" x14ac:dyDescent="0.35">
      <c r="A20" s="262"/>
      <c r="B20" s="262"/>
      <c r="C20" s="5" t="s">
        <v>46</v>
      </c>
      <c r="D20" s="6" t="s">
        <v>47</v>
      </c>
      <c r="E20" s="7" t="s">
        <v>44</v>
      </c>
    </row>
    <row r="21" spans="1:5" x14ac:dyDescent="0.35">
      <c r="A21" s="262"/>
      <c r="B21" s="262"/>
      <c r="C21" s="8">
        <v>98.86999999999999</v>
      </c>
      <c r="D21" s="9">
        <v>60</v>
      </c>
      <c r="E21" s="8">
        <f>D21*C21</f>
        <v>5932.2</v>
      </c>
    </row>
    <row r="22" spans="1:5" x14ac:dyDescent="0.35">
      <c r="A22" s="4"/>
      <c r="B22" s="4"/>
      <c r="C22" s="4"/>
      <c r="D22" s="4"/>
      <c r="E22" s="4"/>
    </row>
    <row r="23" spans="1:5" x14ac:dyDescent="0.35">
      <c r="A23" s="265" t="s">
        <v>48</v>
      </c>
      <c r="B23" s="265"/>
      <c r="C23" s="265"/>
      <c r="D23" s="265"/>
      <c r="E23" s="10">
        <f>E21</f>
        <v>5932.2</v>
      </c>
    </row>
    <row r="24" spans="1:5" x14ac:dyDescent="0.35">
      <c r="A24" s="265" t="s">
        <v>49</v>
      </c>
      <c r="B24" s="265"/>
      <c r="C24" s="265"/>
      <c r="D24" s="265"/>
      <c r="E24" s="11">
        <v>1</v>
      </c>
    </row>
    <row r="25" spans="1:5" x14ac:dyDescent="0.35">
      <c r="A25" s="12"/>
      <c r="B25" s="265" t="s">
        <v>50</v>
      </c>
      <c r="C25" s="265"/>
      <c r="D25" s="265"/>
      <c r="E25" s="13">
        <f>D21/E24</f>
        <v>60</v>
      </c>
    </row>
    <row r="26" spans="1:5" x14ac:dyDescent="0.35">
      <c r="A26" s="265" t="s">
        <v>51</v>
      </c>
      <c r="B26" s="265"/>
      <c r="C26" s="265"/>
      <c r="D26" s="265"/>
      <c r="E26" s="14">
        <f>ROUND(E23/E24,2)</f>
        <v>5932.2</v>
      </c>
    </row>
    <row r="27" spans="1:5" x14ac:dyDescent="0.35">
      <c r="A27" s="4"/>
      <c r="B27" s="4"/>
      <c r="C27" s="4"/>
      <c r="D27" s="4"/>
      <c r="E27" s="16"/>
    </row>
  </sheetData>
  <mergeCells count="15">
    <mergeCell ref="A5:B7"/>
    <mergeCell ref="C5:E5"/>
    <mergeCell ref="C1:H1"/>
    <mergeCell ref="A26:D26"/>
    <mergeCell ref="A9:D9"/>
    <mergeCell ref="A10:D10"/>
    <mergeCell ref="B11:D11"/>
    <mergeCell ref="A12:D12"/>
    <mergeCell ref="A17:E17"/>
    <mergeCell ref="A19:B21"/>
    <mergeCell ref="C19:E19"/>
    <mergeCell ref="A23:D23"/>
    <mergeCell ref="A24:D24"/>
    <mergeCell ref="B25:D25"/>
    <mergeCell ref="A3:E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F0A98-18E2-4C63-B778-FCB0FFCEA5C8}">
  <dimension ref="A1:P33"/>
  <sheetViews>
    <sheetView topLeftCell="A10" workbookViewId="0">
      <selection activeCell="C1" sqref="C1:H1"/>
    </sheetView>
  </sheetViews>
  <sheetFormatPr defaultColWidth="8.81640625" defaultRowHeight="12" x14ac:dyDescent="0.3"/>
  <cols>
    <col min="1" max="1" width="12.453125" style="42" customWidth="1"/>
    <col min="2" max="2" width="61.26953125" style="42" customWidth="1"/>
    <col min="3" max="4" width="8.81640625" style="42"/>
    <col min="5" max="5" width="13.453125" style="42" customWidth="1"/>
    <col min="6" max="6" width="10.7265625" style="42" customWidth="1"/>
    <col min="7" max="16384" width="8.81640625" style="42"/>
  </cols>
  <sheetData>
    <row r="1" spans="1:16" ht="63.75" customHeight="1" x14ac:dyDescent="0.3">
      <c r="C1" s="267" t="s">
        <v>198</v>
      </c>
      <c r="D1" s="267"/>
      <c r="E1" s="267"/>
      <c r="F1" s="267"/>
      <c r="G1" s="267"/>
      <c r="H1" s="267"/>
    </row>
    <row r="3" spans="1:16" ht="14.5" x14ac:dyDescent="0.35">
      <c r="A3" s="32" t="s">
        <v>91</v>
      </c>
      <c r="B3"/>
      <c r="C3"/>
      <c r="D3"/>
      <c r="E3"/>
      <c r="F3"/>
      <c r="G3"/>
      <c r="H3"/>
      <c r="I3"/>
    </row>
    <row r="4" spans="1:16" ht="14.5" x14ac:dyDescent="0.35">
      <c r="A4"/>
      <c r="B4"/>
      <c r="C4"/>
      <c r="D4"/>
      <c r="E4"/>
      <c r="F4"/>
      <c r="G4"/>
      <c r="H4"/>
      <c r="I4"/>
    </row>
    <row r="5" spans="1:16" ht="43.9" customHeight="1" x14ac:dyDescent="0.35">
      <c r="A5" s="48" t="s">
        <v>39</v>
      </c>
      <c r="B5" s="52" t="s">
        <v>40</v>
      </c>
      <c r="C5" s="49" t="s">
        <v>42</v>
      </c>
      <c r="D5"/>
      <c r="E5"/>
      <c r="F5"/>
    </row>
    <row r="6" spans="1:16" ht="14.5" x14ac:dyDescent="0.35">
      <c r="A6" s="50"/>
      <c r="B6" s="50"/>
      <c r="C6" s="51"/>
      <c r="D6"/>
      <c r="E6"/>
      <c r="F6"/>
    </row>
    <row r="7" spans="1:16" ht="14.5" x14ac:dyDescent="0.35">
      <c r="A7" s="199" t="s">
        <v>89</v>
      </c>
      <c r="B7" s="199" t="s">
        <v>90</v>
      </c>
      <c r="C7" s="199">
        <v>299.82</v>
      </c>
      <c r="D7" s="200"/>
      <c r="E7" s="200"/>
      <c r="F7" s="200"/>
    </row>
    <row r="8" spans="1:16" ht="14.5" x14ac:dyDescent="0.35">
      <c r="A8"/>
      <c r="B8"/>
      <c r="C8"/>
      <c r="D8"/>
      <c r="E8"/>
      <c r="F8"/>
      <c r="G8"/>
      <c r="H8"/>
      <c r="I8"/>
    </row>
    <row r="9" spans="1:16" ht="14.5" x14ac:dyDescent="0.35">
      <c r="A9"/>
      <c r="B9"/>
      <c r="C9"/>
      <c r="D9"/>
      <c r="E9"/>
      <c r="F9"/>
      <c r="G9"/>
      <c r="H9"/>
      <c r="I9"/>
    </row>
    <row r="10" spans="1:16" ht="14.5" x14ac:dyDescent="0.35">
      <c r="A10"/>
      <c r="B10"/>
      <c r="C10"/>
      <c r="D10"/>
      <c r="E10"/>
      <c r="F10"/>
      <c r="G10"/>
      <c r="H10"/>
      <c r="I10"/>
    </row>
    <row r="11" spans="1:16" ht="124" x14ac:dyDescent="0.3">
      <c r="A11" s="251" t="s">
        <v>39</v>
      </c>
      <c r="B11" s="251" t="s">
        <v>40</v>
      </c>
      <c r="C11" s="53" t="s">
        <v>92</v>
      </c>
      <c r="D11" s="53" t="s">
        <v>93</v>
      </c>
      <c r="E11" s="53" t="s">
        <v>94</v>
      </c>
      <c r="F11" s="54" t="s">
        <v>95</v>
      </c>
      <c r="G11" s="54" t="s">
        <v>96</v>
      </c>
      <c r="H11" s="54" t="s">
        <v>97</v>
      </c>
      <c r="I11" s="54" t="s">
        <v>98</v>
      </c>
      <c r="J11" s="54" t="s">
        <v>99</v>
      </c>
      <c r="K11" s="54" t="s">
        <v>100</v>
      </c>
      <c r="L11" s="54" t="s">
        <v>101</v>
      </c>
      <c r="M11" s="54"/>
      <c r="N11" s="248" t="s">
        <v>102</v>
      </c>
      <c r="O11" s="55" t="s">
        <v>103</v>
      </c>
      <c r="P11" s="56" t="s">
        <v>42</v>
      </c>
    </row>
    <row r="12" spans="1:16" ht="15.5" x14ac:dyDescent="0.3">
      <c r="A12" s="252"/>
      <c r="B12" s="252"/>
      <c r="C12" s="57"/>
      <c r="D12" s="57"/>
      <c r="E12" s="57"/>
      <c r="F12" s="58" t="s">
        <v>104</v>
      </c>
      <c r="G12" s="58" t="s">
        <v>105</v>
      </c>
      <c r="H12" s="58" t="s">
        <v>106</v>
      </c>
      <c r="I12" s="58" t="s">
        <v>107</v>
      </c>
      <c r="J12" s="58" t="s">
        <v>108</v>
      </c>
      <c r="K12" s="58" t="s">
        <v>109</v>
      </c>
      <c r="L12" s="58" t="s">
        <v>110</v>
      </c>
      <c r="M12" s="58" t="s">
        <v>111</v>
      </c>
      <c r="N12" s="249"/>
      <c r="O12" s="56"/>
      <c r="P12" s="58" t="s">
        <v>112</v>
      </c>
    </row>
    <row r="13" spans="1:16" ht="15.5" x14ac:dyDescent="0.3">
      <c r="A13" s="59">
        <v>1</v>
      </c>
      <c r="B13" s="60">
        <v>2</v>
      </c>
      <c r="C13" s="61">
        <v>3</v>
      </c>
      <c r="D13" s="59">
        <v>4</v>
      </c>
      <c r="E13" s="62">
        <v>5</v>
      </c>
      <c r="F13" s="61">
        <v>6</v>
      </c>
      <c r="G13" s="59">
        <v>7</v>
      </c>
      <c r="H13" s="62">
        <v>8</v>
      </c>
      <c r="I13" s="61">
        <v>9</v>
      </c>
      <c r="J13" s="59">
        <v>10</v>
      </c>
      <c r="K13" s="62">
        <v>11</v>
      </c>
      <c r="L13" s="61">
        <v>12</v>
      </c>
      <c r="M13" s="59">
        <v>13</v>
      </c>
      <c r="N13" s="62">
        <v>14</v>
      </c>
      <c r="O13" s="61">
        <v>15</v>
      </c>
      <c r="P13" s="59">
        <v>16</v>
      </c>
    </row>
    <row r="14" spans="1:16" ht="62" x14ac:dyDescent="0.3">
      <c r="A14" s="63" t="s">
        <v>87</v>
      </c>
      <c r="B14" s="64" t="s">
        <v>88</v>
      </c>
      <c r="C14" s="65">
        <v>675</v>
      </c>
      <c r="D14" s="65">
        <v>0</v>
      </c>
      <c r="E14" s="65">
        <v>0</v>
      </c>
      <c r="F14" s="65">
        <v>162</v>
      </c>
      <c r="G14" s="65">
        <v>38.22</v>
      </c>
      <c r="H14" s="65">
        <v>0</v>
      </c>
      <c r="I14" s="65">
        <v>0</v>
      </c>
      <c r="J14" s="65">
        <v>91.11</v>
      </c>
      <c r="K14" s="65">
        <v>3.27</v>
      </c>
      <c r="L14" s="65">
        <v>5.22</v>
      </c>
      <c r="M14" s="65">
        <v>0</v>
      </c>
      <c r="N14" s="65">
        <v>299.82</v>
      </c>
      <c r="O14" s="66">
        <v>0</v>
      </c>
      <c r="P14" s="67">
        <v>299.82</v>
      </c>
    </row>
    <row r="15" spans="1:16" ht="14.5" x14ac:dyDescent="0.35">
      <c r="A15"/>
      <c r="B15"/>
      <c r="C15"/>
      <c r="D15"/>
      <c r="E15"/>
      <c r="F15"/>
      <c r="G15"/>
      <c r="H15"/>
      <c r="I15"/>
    </row>
    <row r="16" spans="1:16" ht="14.5" x14ac:dyDescent="0.35">
      <c r="A16"/>
      <c r="B16"/>
      <c r="C16"/>
      <c r="D16"/>
      <c r="E16"/>
      <c r="F16"/>
      <c r="G16"/>
      <c r="H16"/>
      <c r="I16"/>
    </row>
    <row r="17" spans="1:9" ht="14.5" x14ac:dyDescent="0.35">
      <c r="A17"/>
      <c r="B17"/>
      <c r="C17"/>
      <c r="D17"/>
      <c r="E17"/>
      <c r="F17"/>
      <c r="G17"/>
      <c r="H17"/>
      <c r="I17"/>
    </row>
    <row r="18" spans="1:9" ht="14.5" x14ac:dyDescent="0.35">
      <c r="A18"/>
      <c r="B18"/>
      <c r="C18"/>
      <c r="D18"/>
      <c r="E18"/>
      <c r="F18"/>
      <c r="G18"/>
      <c r="H18"/>
      <c r="I18"/>
    </row>
    <row r="19" spans="1:9" ht="14.5" x14ac:dyDescent="0.35">
      <c r="A19"/>
      <c r="B19"/>
      <c r="C19"/>
      <c r="D19"/>
      <c r="E19"/>
      <c r="F19"/>
      <c r="G19"/>
      <c r="H19"/>
      <c r="I19"/>
    </row>
    <row r="20" spans="1:9" ht="14.5" x14ac:dyDescent="0.35">
      <c r="A20"/>
      <c r="B20"/>
      <c r="C20"/>
      <c r="D20"/>
      <c r="E20"/>
      <c r="F20"/>
      <c r="G20"/>
      <c r="H20"/>
      <c r="I20"/>
    </row>
    <row r="21" spans="1:9" ht="14.5" x14ac:dyDescent="0.35">
      <c r="A21"/>
      <c r="B21"/>
      <c r="C21"/>
      <c r="D21"/>
      <c r="E21"/>
      <c r="F21"/>
      <c r="G21"/>
      <c r="H21"/>
      <c r="I21"/>
    </row>
    <row r="22" spans="1:9" ht="14.5" x14ac:dyDescent="0.35">
      <c r="A22"/>
      <c r="B22"/>
      <c r="C22"/>
      <c r="D22"/>
      <c r="E22"/>
      <c r="F22"/>
      <c r="G22"/>
      <c r="H22"/>
      <c r="I22"/>
    </row>
    <row r="23" spans="1:9" ht="14.5" x14ac:dyDescent="0.35">
      <c r="A23"/>
      <c r="B23"/>
      <c r="C23"/>
      <c r="D23"/>
      <c r="E23"/>
      <c r="F23"/>
      <c r="G23"/>
      <c r="H23"/>
      <c r="I23"/>
    </row>
    <row r="24" spans="1:9" ht="14.5" x14ac:dyDescent="0.35">
      <c r="A24"/>
      <c r="B24"/>
      <c r="C24"/>
      <c r="D24"/>
      <c r="E24"/>
      <c r="F24"/>
      <c r="G24"/>
      <c r="H24"/>
      <c r="I24"/>
    </row>
    <row r="25" spans="1:9" ht="14.5" x14ac:dyDescent="0.35">
      <c r="A25"/>
      <c r="B25"/>
      <c r="C25"/>
      <c r="D25"/>
      <c r="E25"/>
      <c r="F25"/>
      <c r="G25"/>
      <c r="H25"/>
      <c r="I25"/>
    </row>
    <row r="26" spans="1:9" ht="14.5" x14ac:dyDescent="0.35">
      <c r="A26"/>
      <c r="B26"/>
      <c r="C26"/>
      <c r="D26"/>
      <c r="E26"/>
      <c r="F26"/>
      <c r="G26"/>
      <c r="H26"/>
      <c r="I26"/>
    </row>
    <row r="27" spans="1:9" ht="14.5" x14ac:dyDescent="0.35">
      <c r="A27"/>
      <c r="B27"/>
      <c r="C27"/>
      <c r="D27"/>
      <c r="E27"/>
      <c r="F27"/>
      <c r="G27"/>
      <c r="H27"/>
      <c r="I27"/>
    </row>
    <row r="28" spans="1:9" ht="14.5" x14ac:dyDescent="0.35">
      <c r="A28"/>
      <c r="B28"/>
      <c r="C28"/>
      <c r="D28"/>
      <c r="E28"/>
      <c r="F28"/>
      <c r="G28"/>
      <c r="H28"/>
      <c r="I28"/>
    </row>
    <row r="29" spans="1:9" ht="14.5" x14ac:dyDescent="0.35">
      <c r="A29"/>
      <c r="B29"/>
      <c r="C29"/>
      <c r="D29"/>
      <c r="E29"/>
      <c r="F29"/>
      <c r="G29"/>
      <c r="H29"/>
      <c r="I29"/>
    </row>
    <row r="30" spans="1:9" ht="14.5" x14ac:dyDescent="0.35">
      <c r="A30"/>
      <c r="B30"/>
      <c r="C30"/>
      <c r="D30"/>
      <c r="E30"/>
      <c r="F30"/>
      <c r="G30"/>
      <c r="H30"/>
      <c r="I30"/>
    </row>
    <row r="31" spans="1:9" ht="14.5" x14ac:dyDescent="0.35">
      <c r="A31"/>
      <c r="B31"/>
      <c r="C31"/>
      <c r="D31"/>
      <c r="E31"/>
      <c r="F31"/>
      <c r="G31"/>
      <c r="H31"/>
      <c r="I31"/>
    </row>
    <row r="32" spans="1:9" ht="14.5" x14ac:dyDescent="0.35">
      <c r="A32"/>
      <c r="B32"/>
      <c r="C32"/>
      <c r="D32"/>
      <c r="E32"/>
      <c r="F32"/>
      <c r="G32"/>
      <c r="H32"/>
      <c r="I32"/>
    </row>
    <row r="33" spans="1:9" ht="14.5" x14ac:dyDescent="0.35">
      <c r="A33"/>
      <c r="B33"/>
      <c r="C33"/>
      <c r="D33"/>
      <c r="E33"/>
      <c r="F33"/>
      <c r="G33"/>
      <c r="H33"/>
      <c r="I33"/>
    </row>
  </sheetData>
  <mergeCells count="4">
    <mergeCell ref="N11:N12"/>
    <mergeCell ref="A11:A12"/>
    <mergeCell ref="B11:B12"/>
    <mergeCell ref="C1:H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22183-5259-451D-BF74-8BED156B275E}">
  <dimension ref="A1:H27"/>
  <sheetViews>
    <sheetView workbookViewId="0">
      <selection activeCell="C1" sqref="C1:H1"/>
    </sheetView>
  </sheetViews>
  <sheetFormatPr defaultColWidth="8.81640625" defaultRowHeight="14" x14ac:dyDescent="0.3"/>
  <cols>
    <col min="1" max="1" width="14.7265625" style="29" customWidth="1"/>
    <col min="2" max="2" width="110" style="29" customWidth="1"/>
    <col min="3" max="3" width="11.81640625" style="29" customWidth="1"/>
    <col min="4" max="4" width="18.26953125" style="33" customWidth="1"/>
    <col min="5" max="5" width="14.26953125" style="33" customWidth="1"/>
    <col min="6" max="16384" width="8.81640625" style="29"/>
  </cols>
  <sheetData>
    <row r="1" spans="1:8" ht="48" customHeight="1" x14ac:dyDescent="0.3">
      <c r="C1" s="267" t="s">
        <v>199</v>
      </c>
      <c r="D1" s="267"/>
      <c r="E1" s="267"/>
      <c r="F1" s="267"/>
      <c r="G1" s="267"/>
      <c r="H1" s="267"/>
    </row>
    <row r="3" spans="1:8" x14ac:dyDescent="0.3">
      <c r="A3" s="32" t="s">
        <v>75</v>
      </c>
    </row>
    <row r="5" spans="1:8" ht="28" x14ac:dyDescent="0.3">
      <c r="A5" s="34" t="s">
        <v>39</v>
      </c>
      <c r="B5" s="34" t="s">
        <v>40</v>
      </c>
      <c r="C5" s="34" t="s">
        <v>42</v>
      </c>
      <c r="D5" s="35" t="s">
        <v>74</v>
      </c>
      <c r="E5" s="35" t="s">
        <v>44</v>
      </c>
    </row>
    <row r="6" spans="1:8" x14ac:dyDescent="0.3">
      <c r="A6" s="30" t="s">
        <v>58</v>
      </c>
      <c r="B6" s="30" t="s">
        <v>59</v>
      </c>
      <c r="C6" s="30">
        <v>62.38</v>
      </c>
      <c r="D6" s="31">
        <v>90</v>
      </c>
      <c r="E6" s="31">
        <f>C6*D6</f>
        <v>5614.2</v>
      </c>
    </row>
    <row r="7" spans="1:8" x14ac:dyDescent="0.3">
      <c r="A7" s="30" t="s">
        <v>58</v>
      </c>
      <c r="B7" s="30" t="s">
        <v>59</v>
      </c>
      <c r="C7" s="30">
        <v>68.3</v>
      </c>
      <c r="D7" s="31">
        <v>3898</v>
      </c>
      <c r="E7" s="31">
        <f t="shared" ref="E7:E21" si="0">C7*D7</f>
        <v>266233.39999999997</v>
      </c>
    </row>
    <row r="8" spans="1:8" x14ac:dyDescent="0.3">
      <c r="A8" s="30" t="s">
        <v>60</v>
      </c>
      <c r="B8" s="30" t="s">
        <v>61</v>
      </c>
      <c r="C8" s="30">
        <v>5.37</v>
      </c>
      <c r="D8" s="31">
        <v>180</v>
      </c>
      <c r="E8" s="31">
        <f t="shared" si="0"/>
        <v>966.6</v>
      </c>
    </row>
    <row r="9" spans="1:8" x14ac:dyDescent="0.3">
      <c r="A9" s="30" t="s">
        <v>60</v>
      </c>
      <c r="B9" s="30" t="s">
        <v>61</v>
      </c>
      <c r="C9" s="30">
        <v>5.91</v>
      </c>
      <c r="D9" s="31">
        <v>6696</v>
      </c>
      <c r="E9" s="31">
        <f t="shared" si="0"/>
        <v>39573.360000000001</v>
      </c>
    </row>
    <row r="10" spans="1:8" x14ac:dyDescent="0.3">
      <c r="A10" s="30" t="s">
        <v>62</v>
      </c>
      <c r="B10" s="30" t="s">
        <v>63</v>
      </c>
      <c r="C10" s="30">
        <v>2.86</v>
      </c>
      <c r="D10" s="31">
        <v>17</v>
      </c>
      <c r="E10" s="31">
        <f t="shared" si="0"/>
        <v>48.62</v>
      </c>
    </row>
    <row r="11" spans="1:8" x14ac:dyDescent="0.3">
      <c r="A11" s="30" t="s">
        <v>62</v>
      </c>
      <c r="B11" s="30" t="s">
        <v>63</v>
      </c>
      <c r="C11" s="30">
        <v>3.14</v>
      </c>
      <c r="D11" s="31">
        <v>833</v>
      </c>
      <c r="E11" s="31">
        <f t="shared" si="0"/>
        <v>2615.62</v>
      </c>
    </row>
    <row r="12" spans="1:8" x14ac:dyDescent="0.3">
      <c r="A12" s="30" t="s">
        <v>64</v>
      </c>
      <c r="B12" s="30" t="s">
        <v>65</v>
      </c>
      <c r="C12" s="30">
        <v>1.37</v>
      </c>
      <c r="D12" s="31">
        <v>34</v>
      </c>
      <c r="E12" s="31">
        <f t="shared" si="0"/>
        <v>46.580000000000005</v>
      </c>
    </row>
    <row r="13" spans="1:8" x14ac:dyDescent="0.3">
      <c r="A13" s="30" t="s">
        <v>64</v>
      </c>
      <c r="B13" s="30" t="s">
        <v>65</v>
      </c>
      <c r="C13" s="30">
        <v>1.51</v>
      </c>
      <c r="D13" s="31">
        <v>1675</v>
      </c>
      <c r="E13" s="31">
        <f t="shared" si="0"/>
        <v>2529.25</v>
      </c>
    </row>
    <row r="14" spans="1:8" x14ac:dyDescent="0.3">
      <c r="A14" s="30" t="s">
        <v>66</v>
      </c>
      <c r="B14" s="30" t="s">
        <v>67</v>
      </c>
      <c r="C14" s="30">
        <v>1.43</v>
      </c>
      <c r="D14" s="31">
        <v>5</v>
      </c>
      <c r="E14" s="31">
        <f t="shared" si="0"/>
        <v>7.1499999999999995</v>
      </c>
    </row>
    <row r="15" spans="1:8" x14ac:dyDescent="0.3">
      <c r="A15" s="30" t="s">
        <v>66</v>
      </c>
      <c r="B15" s="30" t="s">
        <v>67</v>
      </c>
      <c r="C15" s="30">
        <v>1.57</v>
      </c>
      <c r="D15" s="31">
        <v>552</v>
      </c>
      <c r="E15" s="31">
        <f t="shared" si="0"/>
        <v>866.64</v>
      </c>
    </row>
    <row r="16" spans="1:8" x14ac:dyDescent="0.3">
      <c r="A16" s="30" t="s">
        <v>68</v>
      </c>
      <c r="B16" s="30" t="s">
        <v>69</v>
      </c>
      <c r="C16" s="30">
        <v>0.7</v>
      </c>
      <c r="D16" s="31">
        <v>10</v>
      </c>
      <c r="E16" s="31">
        <f t="shared" si="0"/>
        <v>7</v>
      </c>
    </row>
    <row r="17" spans="1:5" x14ac:dyDescent="0.3">
      <c r="A17" s="30" t="s">
        <v>68</v>
      </c>
      <c r="B17" s="30" t="s">
        <v>69</v>
      </c>
      <c r="C17" s="30">
        <v>0.78</v>
      </c>
      <c r="D17" s="31">
        <v>1100</v>
      </c>
      <c r="E17" s="31">
        <f t="shared" si="0"/>
        <v>858</v>
      </c>
    </row>
    <row r="18" spans="1:5" x14ac:dyDescent="0.3">
      <c r="A18" s="30" t="s">
        <v>70</v>
      </c>
      <c r="B18" s="30" t="s">
        <v>71</v>
      </c>
      <c r="C18" s="30">
        <v>5.13</v>
      </c>
      <c r="D18" s="31">
        <v>27</v>
      </c>
      <c r="E18" s="31">
        <f t="shared" si="0"/>
        <v>138.51</v>
      </c>
    </row>
    <row r="19" spans="1:5" x14ac:dyDescent="0.3">
      <c r="A19" s="30" t="s">
        <v>70</v>
      </c>
      <c r="B19" s="30" t="s">
        <v>71</v>
      </c>
      <c r="C19" s="30">
        <v>5.67</v>
      </c>
      <c r="D19" s="31">
        <v>738</v>
      </c>
      <c r="E19" s="31">
        <f t="shared" si="0"/>
        <v>4184.46</v>
      </c>
    </row>
    <row r="20" spans="1:5" x14ac:dyDescent="0.3">
      <c r="A20" s="30" t="s">
        <v>72</v>
      </c>
      <c r="B20" s="30" t="s">
        <v>73</v>
      </c>
      <c r="C20" s="30">
        <v>5.13</v>
      </c>
      <c r="D20" s="31">
        <v>163</v>
      </c>
      <c r="E20" s="31">
        <f t="shared" si="0"/>
        <v>836.18999999999994</v>
      </c>
    </row>
    <row r="21" spans="1:5" x14ac:dyDescent="0.3">
      <c r="A21" s="30" t="s">
        <v>72</v>
      </c>
      <c r="B21" s="30" t="s">
        <v>73</v>
      </c>
      <c r="C21" s="30">
        <v>5.67</v>
      </c>
      <c r="D21" s="31">
        <v>10278</v>
      </c>
      <c r="E21" s="31">
        <f t="shared" si="0"/>
        <v>58276.26</v>
      </c>
    </row>
    <row r="22" spans="1:5" s="32" customFormat="1" x14ac:dyDescent="0.3">
      <c r="A22" s="268" t="s">
        <v>76</v>
      </c>
      <c r="B22" s="269"/>
      <c r="C22" s="27"/>
      <c r="D22" s="28">
        <f>SUM(D6:D21)</f>
        <v>26296</v>
      </c>
      <c r="E22" s="28">
        <f>SUM(E6:E21)</f>
        <v>382801.84</v>
      </c>
    </row>
    <row r="23" spans="1:5" s="32" customFormat="1" x14ac:dyDescent="0.3">
      <c r="A23" s="27"/>
      <c r="B23" s="37" t="s">
        <v>77</v>
      </c>
      <c r="C23" s="27"/>
      <c r="D23" s="28"/>
      <c r="E23" s="28">
        <v>769</v>
      </c>
    </row>
    <row r="24" spans="1:5" s="39" customFormat="1" x14ac:dyDescent="0.3">
      <c r="A24" s="38"/>
      <c r="B24" s="37" t="s">
        <v>78</v>
      </c>
      <c r="C24" s="27"/>
      <c r="D24" s="28"/>
      <c r="E24" s="201">
        <f>E22/E23</f>
        <v>497.79172951885567</v>
      </c>
    </row>
    <row r="25" spans="1:5" s="39" customFormat="1" x14ac:dyDescent="0.3">
      <c r="A25" s="38"/>
      <c r="B25" s="37" t="s">
        <v>79</v>
      </c>
      <c r="C25" s="27"/>
      <c r="D25" s="28"/>
      <c r="E25" s="201">
        <f>E24*2</f>
        <v>995.58345903771135</v>
      </c>
    </row>
    <row r="26" spans="1:5" s="32" customFormat="1" x14ac:dyDescent="0.3">
      <c r="D26" s="36"/>
      <c r="E26" s="36"/>
    </row>
    <row r="27" spans="1:5" s="40" customFormat="1" x14ac:dyDescent="0.3">
      <c r="A27" s="40" t="s">
        <v>80</v>
      </c>
      <c r="D27" s="41"/>
      <c r="E27" s="41"/>
    </row>
  </sheetData>
  <mergeCells count="2">
    <mergeCell ref="A22:B22"/>
    <mergeCell ref="C1:H1"/>
  </mergeCells>
  <pageMargins left="0.7" right="0.7" top="0.75" bottom="0.75" header="0.3" footer="0.3"/>
</worksheet>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Kopsavilkums</vt:lpstr>
      <vt:lpstr>2025_sept_dec</vt:lpstr>
      <vt:lpstr>2026_I_pusg</vt:lpstr>
      <vt:lpstr>Papildus_specialisti</vt:lpstr>
      <vt:lpstr>Bupenorfīns</vt:lpstr>
      <vt:lpstr>Stacion_interv_BKUS</vt:lpstr>
      <vt:lpstr>Motivācijas_progr.</vt:lpstr>
      <vt:lpstr>Izvertesanas_process_BKUS</vt:lpstr>
      <vt:lpstr>Nemedikam_terapija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 Ābola</dc:creator>
  <cp:lastModifiedBy>Sanita Lazdiņa</cp:lastModifiedBy>
  <dcterms:created xsi:type="dcterms:W3CDTF">2025-02-03T06:56:09Z</dcterms:created>
  <dcterms:modified xsi:type="dcterms:W3CDTF">2025-07-07T06:16:04Z</dcterms:modified>
</cp:coreProperties>
</file>