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vnozare.pri\vm\Redirect_profiles\VM_Svetlana_Batare\My Documents\DARBA_faili_no majam\PSIHIATRIJA_PUSAUDŽI\Pusaudži_TA-22-935\Pārdale\"/>
    </mc:Choice>
  </mc:AlternateContent>
  <xr:revisionPtr revIDLastSave="0" documentId="13_ncr:1_{131AF334-02B2-436C-B068-F5FA13435775}" xr6:coauthVersionLast="47" xr6:coauthVersionMax="47" xr10:uidLastSave="{00000000-0000-0000-0000-000000000000}"/>
  <bookViews>
    <workbookView xWindow="-120" yWindow="-120" windowWidth="29040" windowHeight="15840" activeTab="3" xr2:uid="{1BD95497-F04B-4912-A650-3DBB4634FD4B}"/>
  </bookViews>
  <sheets>
    <sheet name="1.piel_PRC 2022" sheetId="2" r:id="rId1"/>
    <sheet name="2.piel_PRC 2023-un turp." sheetId="3" r:id="rId2"/>
    <sheet name="3.piel_Pusaudžu tālrunis" sheetId="1" r:id="rId3"/>
    <sheet name="4.piel_Pārdales aprēķini"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_1_2_d_NMP_lim" localSheetId="0">#REF!</definedName>
    <definedName name="_1_2_d_NMP_lim" localSheetId="1">#REF!</definedName>
    <definedName name="_1_2_d_NMP_lim">#REF!</definedName>
    <definedName name="_xlnm._FilterDatabase" localSheetId="0" hidden="1">'1.piel_PRC 2022'!$A$41:$AA$142</definedName>
    <definedName name="_xlnm._FilterDatabase" localSheetId="1" hidden="1">'2.piel_PRC 2023-un turp.'!$A$10:$Y$46</definedName>
    <definedName name="aa" localSheetId="0">#REF!</definedName>
    <definedName name="aa" localSheetId="1">#REF!</definedName>
    <definedName name="aa">#REF!</definedName>
    <definedName name="_xlnm.Auto_Open" localSheetId="0">#REF!</definedName>
    <definedName name="_xlnm.Auto_Open" localSheetId="1">#REF!</definedName>
    <definedName name="_xlnm.Auto_Open">#REF!</definedName>
    <definedName name="b" localSheetId="0">#REF!</definedName>
    <definedName name="b" localSheetId="1">#REF!</definedName>
    <definedName name="b">#REF!</definedName>
    <definedName name="BEx3ATHHUCGCIRND8KLAREDV3L40" localSheetId="0" hidden="1">[1]HEADER!#REF!</definedName>
    <definedName name="BEx3ATHHUCGCIRND8KLAREDV3L40" localSheetId="1" hidden="1">[1]HEADER!#REF!</definedName>
    <definedName name="BEx3ATHHUCGCIRND8KLAREDV3L40" hidden="1">[1]HEADER!#REF!</definedName>
    <definedName name="BEx3QB2RILYEXIROLAFCWQMOJXMN" localSheetId="0" hidden="1">[1]HEADER!#REF!</definedName>
    <definedName name="BEx3QB2RILYEXIROLAFCWQMOJXMN" localSheetId="1" hidden="1">[1]HEADER!#REF!</definedName>
    <definedName name="BEx3QB2RILYEXIROLAFCWQMOJXMN" hidden="1">[1]HEADER!#REF!</definedName>
    <definedName name="BEx3RIJ9LXPXWNF4BFBFA4ILG6AY" localSheetId="0" hidden="1">[1]HEADER!#REF!</definedName>
    <definedName name="BEx3RIJ9LXPXWNF4BFBFA4ILG6AY" localSheetId="1" hidden="1">[1]HEADER!#REF!</definedName>
    <definedName name="BEx3RIJ9LXPXWNF4BFBFA4ILG6AY" hidden="1">[1]HEADER!#REF!</definedName>
    <definedName name="BEx3T3XEKJ0I8634YNR6MPN3OBQL" localSheetId="0" hidden="1">[1]HEADER!#REF!</definedName>
    <definedName name="BEx3T3XEKJ0I8634YNR6MPN3OBQL" localSheetId="1"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 localSheetId="0">#REF!</definedName>
    <definedName name="bt" localSheetId="1">#REF!</definedName>
    <definedName name="bt">#REF!</definedName>
    <definedName name="BX" localSheetId="0">#REF!</definedName>
    <definedName name="BX" localSheetId="1">#REF!</definedName>
    <definedName name="BX">#REF!</definedName>
    <definedName name="CalendarYear" localSheetId="0">#REF!</definedName>
    <definedName name="CalendarYear" localSheetId="1">#REF!</definedName>
    <definedName name="CalendarYear">#REF!</definedName>
    <definedName name="ccc">#REF!</definedName>
    <definedName name="d">#REF!</definedName>
    <definedName name="D_Evija3">#REF!</definedName>
    <definedName name="DaysAndWeeks" localSheetId="0">{0,1,2,3,4,5,6} + {0;1;2;3;4;5}*7</definedName>
    <definedName name="DaysAndWeeks" localSheetId="1">{0,1,2,3,4,5,6} + {0;1;2;3;4;5}*7</definedName>
    <definedName name="DaysAndWeeks">{0,1,2,3,4,5,6} + {0;1;2;3;4;5}*7</definedName>
    <definedName name="de" localSheetId="0">#REF!</definedName>
    <definedName name="de" localSheetId="1">#REF!</definedName>
    <definedName name="de">#REF!</definedName>
    <definedName name="dff">#NAME?</definedName>
    <definedName name="DRGNAMES" localSheetId="0">#REF!</definedName>
    <definedName name="DRGNAMES" localSheetId="1">#REF!</definedName>
    <definedName name="DRGNAMES">#REF!</definedName>
    <definedName name="e" localSheetId="0">#REF!</definedName>
    <definedName name="e" localSheetId="1">#REF!</definedName>
    <definedName name="e">#REF!</definedName>
    <definedName name="ee" localSheetId="0">#REF!</definedName>
    <definedName name="ee" localSheetId="1">#REF!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 localSheetId="1">{0,1,2,3,4,5,6} + {0;1;2;3;4;5}*7</definedName>
    <definedName name="gala">{0,1,2,3,4,5,6} + {0;1;2;3;4;5}*7</definedName>
    <definedName name="Gala_kopsavilkums">#REF!</definedName>
    <definedName name="gggg" localSheetId="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 localSheetId="0">#REF!</definedName>
    <definedName name="izm.nos" localSheetId="1">#REF!</definedName>
    <definedName name="izm.nos">#REF!</definedName>
    <definedName name="izm.nos_1">[2]izm.posteni!$B$2:$B$216</definedName>
    <definedName name="jhg" localSheetId="0">#REF!</definedName>
    <definedName name="jhg" localSheetId="1">#REF!</definedName>
    <definedName name="jhg">#REF!</definedName>
    <definedName name="kk" localSheetId="0">#REF!</definedName>
    <definedName name="kk" localSheetId="1">#REF!</definedName>
    <definedName name="kk">#REF!</definedName>
    <definedName name="l" localSheetId="0">#REF!</definedName>
    <definedName name="l" localSheetId="1">#REF!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 localSheetId="0">#REF!</definedName>
    <definedName name="n" localSheetId="1">#REF!</definedName>
    <definedName name="n">#REF!</definedName>
    <definedName name="P_Dati_rikojums" localSheetId="0">#REF!</definedName>
    <definedName name="P_Dati_rikojums" localSheetId="1">#REF!</definedName>
    <definedName name="P_Dati_rikojums">#REF!</definedName>
    <definedName name="pp" localSheetId="0">#REF!</definedName>
    <definedName name="pp" localSheetId="1">#REF!</definedName>
    <definedName name="pp">#REF!</definedName>
    <definedName name="Recover" localSheetId="1">[3]Macro1!$A$135</definedName>
    <definedName name="Recover">[4]Macro1!$A$80</definedName>
    <definedName name="Rikojums2222" localSheetId="1">[5]Macro1!$A$106</definedName>
    <definedName name="Rikojums2222">[6]Macro1!$A$106</definedName>
    <definedName name="rr" localSheetId="0">#REF!</definedName>
    <definedName name="rr" localSheetId="1">#REF!</definedName>
    <definedName name="rr">#REF!</definedName>
    <definedName name="rt" localSheetId="0">#REF!</definedName>
    <definedName name="rt" localSheetId="1">#REF!</definedName>
    <definedName name="rt">#REF!</definedName>
    <definedName name="rty" localSheetId="0">#REF!</definedName>
    <definedName name="rty" localSheetId="1">#REF!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 localSheetId="0">#REF!</definedName>
    <definedName name="Struktūrvien.kods" localSheetId="1">#REF!</definedName>
    <definedName name="Struktūrvien.kods">#REF!</definedName>
    <definedName name="Struktūrvien.kods_1">[2]strukturkodi!$A$2:$A$232</definedName>
    <definedName name="T13l6" localSheetId="0">[7]ATSKAITE_2v!#REF!</definedName>
    <definedName name="T13l6" localSheetId="1">[7]ATSKAITE_2v!#REF!</definedName>
    <definedName name="T13l6">[7]ATSKAITE_2v!#REF!</definedName>
    <definedName name="TableName">"Dummy"</definedName>
    <definedName name="Tarifs_28">#REF!</definedName>
    <definedName name="TWO_LINKS">'[8]8.1.'!$C$5</definedName>
    <definedName name="ty" localSheetId="0">#REF!</definedName>
    <definedName name="ty" localSheetId="1">#REF!</definedName>
    <definedName name="ty">#REF!</definedName>
    <definedName name="tyuj" localSheetId="0">#REF!</definedName>
    <definedName name="tyuj" localSheetId="1">#REF!</definedName>
    <definedName name="tyuj">#REF!</definedName>
    <definedName name="u" localSheetId="0">#REF!</definedName>
    <definedName name="u" localSheetId="1">#REF!</definedName>
    <definedName name="u">#REF!</definedName>
    <definedName name="U_N_A">#REF!</definedName>
    <definedName name="wedr">#REF!</definedName>
    <definedName name="WeekStart">#REF!</definedName>
    <definedName name="x">#REF!</definedName>
    <definedName name="XBD">[9]Dati!$B$6</definedName>
    <definedName name="XDD">[9]Dati!$B$4</definedName>
    <definedName name="XDS">[9]Dati!$B$5</definedName>
    <definedName name="XSVD">[9]Dati!$B$7</definedName>
    <definedName name="xxxx" localSheetId="0">#REF!</definedName>
    <definedName name="xxxx" localSheetId="1">#REF!</definedName>
    <definedName name="xxxx">#REF!</definedName>
    <definedName name="yuh" localSheetId="0">#REF!</definedName>
    <definedName name="yuh" localSheetId="1">#REF!</definedName>
    <definedName name="yuh">#REF!</definedName>
    <definedName name="yyyy" localSheetId="0">#REF!</definedName>
    <definedName name="yyyy" localSheetId="1">#REF!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47" i="3" l="1"/>
  <c r="R16" i="3" l="1"/>
  <c r="R138" i="2" l="1"/>
  <c r="R134" i="2"/>
  <c r="R133" i="2"/>
  <c r="R132" i="2"/>
  <c r="R124" i="2"/>
  <c r="R121" i="2"/>
  <c r="R118" i="2"/>
  <c r="R115" i="2"/>
  <c r="R112" i="2"/>
  <c r="R109" i="2"/>
  <c r="R108" i="2"/>
  <c r="R107" i="2"/>
  <c r="R106" i="2"/>
  <c r="R104" i="2"/>
  <c r="R95" i="2"/>
  <c r="R11" i="3"/>
  <c r="R15" i="3"/>
  <c r="R14" i="3"/>
  <c r="R13" i="3"/>
  <c r="R38" i="3" l="1"/>
  <c r="R42" i="3"/>
  <c r="R35" i="3" l="1"/>
  <c r="R32" i="3"/>
  <c r="R29" i="3"/>
  <c r="R26" i="3"/>
  <c r="R22" i="3"/>
  <c r="R18" i="3"/>
  <c r="R44" i="2" l="1"/>
  <c r="D14" i="4" l="1"/>
  <c r="D12" i="4"/>
  <c r="D11" i="4"/>
  <c r="F47" i="3"/>
  <c r="J45" i="3"/>
  <c r="G45" i="3"/>
  <c r="J44" i="3"/>
  <c r="H44" i="3"/>
  <c r="G44" i="3"/>
  <c r="J43" i="3"/>
  <c r="G43" i="3"/>
  <c r="J42" i="3"/>
  <c r="G42" i="3"/>
  <c r="J41" i="3"/>
  <c r="G41" i="3"/>
  <c r="J40" i="3"/>
  <c r="H40" i="3"/>
  <c r="G40" i="3"/>
  <c r="J39" i="3"/>
  <c r="G39" i="3"/>
  <c r="J38" i="3"/>
  <c r="G38" i="3"/>
  <c r="J37" i="3"/>
  <c r="H37" i="3"/>
  <c r="G37" i="3"/>
  <c r="J36" i="3"/>
  <c r="H36" i="3"/>
  <c r="G36" i="3"/>
  <c r="J35" i="3"/>
  <c r="G35" i="3"/>
  <c r="J34" i="3"/>
  <c r="H34" i="3"/>
  <c r="G34" i="3"/>
  <c r="J33" i="3"/>
  <c r="G33" i="3"/>
  <c r="J32" i="3"/>
  <c r="G32" i="3"/>
  <c r="J31" i="3"/>
  <c r="H31" i="3"/>
  <c r="G31" i="3"/>
  <c r="J30" i="3"/>
  <c r="G30" i="3"/>
  <c r="J29" i="3"/>
  <c r="G29" i="3"/>
  <c r="J28" i="3"/>
  <c r="H28" i="3"/>
  <c r="G28" i="3"/>
  <c r="J27" i="3"/>
  <c r="G27" i="3"/>
  <c r="J26" i="3"/>
  <c r="G26" i="3"/>
  <c r="U25" i="3"/>
  <c r="J24" i="3"/>
  <c r="H24" i="3"/>
  <c r="G24" i="3"/>
  <c r="J23" i="3"/>
  <c r="G23" i="3"/>
  <c r="J22" i="3"/>
  <c r="G22" i="3"/>
  <c r="U21" i="3"/>
  <c r="J20" i="3"/>
  <c r="H20" i="3"/>
  <c r="G20" i="3"/>
  <c r="J19" i="3"/>
  <c r="G19" i="3"/>
  <c r="J18" i="3"/>
  <c r="G18" i="3"/>
  <c r="U17" i="3"/>
  <c r="J16" i="3"/>
  <c r="G16" i="3"/>
  <c r="J15" i="3"/>
  <c r="H15" i="3"/>
  <c r="G15" i="3"/>
  <c r="J14" i="3"/>
  <c r="G14" i="3"/>
  <c r="J13" i="3"/>
  <c r="E47" i="3"/>
  <c r="J12" i="3"/>
  <c r="G12" i="3"/>
  <c r="J11" i="3"/>
  <c r="G11" i="3"/>
  <c r="C156" i="2"/>
  <c r="D148" i="2"/>
  <c r="F142" i="2"/>
  <c r="E142" i="2"/>
  <c r="J141" i="2"/>
  <c r="G141" i="2"/>
  <c r="J140" i="2"/>
  <c r="H140" i="2"/>
  <c r="G140" i="2"/>
  <c r="J139" i="2"/>
  <c r="G139" i="2"/>
  <c r="J138" i="2"/>
  <c r="G138" i="2"/>
  <c r="J137" i="2"/>
  <c r="G137" i="2"/>
  <c r="J136" i="2"/>
  <c r="H136" i="2"/>
  <c r="G136" i="2"/>
  <c r="J135" i="2"/>
  <c r="G135" i="2"/>
  <c r="J134" i="2"/>
  <c r="G134" i="2"/>
  <c r="J133" i="2"/>
  <c r="G133" i="2"/>
  <c r="J132" i="2"/>
  <c r="H132" i="2"/>
  <c r="G132" i="2"/>
  <c r="F127" i="2"/>
  <c r="E127" i="2"/>
  <c r="E128" i="2" s="1"/>
  <c r="J126" i="2"/>
  <c r="H126" i="2"/>
  <c r="G126" i="2"/>
  <c r="J125" i="2"/>
  <c r="H125" i="2"/>
  <c r="G125" i="2"/>
  <c r="J124" i="2"/>
  <c r="G124" i="2"/>
  <c r="J123" i="2"/>
  <c r="H123" i="2"/>
  <c r="G123" i="2"/>
  <c r="J122" i="2"/>
  <c r="G122" i="2"/>
  <c r="J121" i="2"/>
  <c r="G121" i="2"/>
  <c r="J120" i="2"/>
  <c r="H120" i="2"/>
  <c r="G120" i="2"/>
  <c r="J119" i="2"/>
  <c r="G119" i="2"/>
  <c r="J118" i="2"/>
  <c r="G118" i="2"/>
  <c r="J117" i="2"/>
  <c r="H117" i="2"/>
  <c r="G117" i="2"/>
  <c r="J116" i="2"/>
  <c r="G116" i="2"/>
  <c r="J115" i="2"/>
  <c r="G115" i="2"/>
  <c r="J114" i="2"/>
  <c r="H114" i="2"/>
  <c r="G114" i="2"/>
  <c r="J113" i="2"/>
  <c r="G113" i="2"/>
  <c r="J112" i="2"/>
  <c r="G112" i="2"/>
  <c r="J111" i="2"/>
  <c r="H111" i="2"/>
  <c r="G111" i="2"/>
  <c r="J110" i="2"/>
  <c r="G110" i="2"/>
  <c r="J109" i="2"/>
  <c r="G109" i="2"/>
  <c r="J108" i="2"/>
  <c r="H108" i="2"/>
  <c r="G108" i="2"/>
  <c r="J107" i="2"/>
  <c r="G107" i="2"/>
  <c r="J106" i="2"/>
  <c r="H106" i="2"/>
  <c r="G106" i="2"/>
  <c r="J105" i="2"/>
  <c r="G105" i="2"/>
  <c r="J104" i="2"/>
  <c r="G104" i="2"/>
  <c r="F99" i="2"/>
  <c r="E99" i="2"/>
  <c r="R98" i="2"/>
  <c r="J98" i="2"/>
  <c r="H98" i="2"/>
  <c r="G98" i="2"/>
  <c r="J97" i="2"/>
  <c r="H97" i="2"/>
  <c r="G97" i="2"/>
  <c r="R97" i="2"/>
  <c r="R96" i="2"/>
  <c r="J96" i="2"/>
  <c r="G96" i="2"/>
  <c r="J95" i="2"/>
  <c r="H95" i="2"/>
  <c r="G95" i="2"/>
  <c r="R94" i="2"/>
  <c r="J94" i="2"/>
  <c r="G94" i="2"/>
  <c r="R93" i="2"/>
  <c r="J93" i="2"/>
  <c r="G93" i="2"/>
  <c r="R92" i="2"/>
  <c r="J92" i="2"/>
  <c r="H92" i="2"/>
  <c r="G92" i="2"/>
  <c r="R91" i="2"/>
  <c r="J91" i="2"/>
  <c r="G91" i="2"/>
  <c r="R90" i="2"/>
  <c r="J90" i="2"/>
  <c r="G90" i="2"/>
  <c r="R89" i="2"/>
  <c r="J89" i="2"/>
  <c r="H89" i="2"/>
  <c r="G89" i="2"/>
  <c r="R88" i="2"/>
  <c r="J88" i="2"/>
  <c r="G88" i="2"/>
  <c r="R87" i="2"/>
  <c r="J87" i="2"/>
  <c r="G87" i="2"/>
  <c r="J85" i="2"/>
  <c r="H85" i="2"/>
  <c r="G85" i="2"/>
  <c r="R85" i="2"/>
  <c r="R84" i="2"/>
  <c r="J84" i="2"/>
  <c r="G84" i="2"/>
  <c r="R83" i="2"/>
  <c r="J83" i="2"/>
  <c r="G83" i="2"/>
  <c r="J81" i="2"/>
  <c r="H81" i="2"/>
  <c r="G81" i="2"/>
  <c r="R81" i="2"/>
  <c r="R80" i="2"/>
  <c r="J80" i="2"/>
  <c r="G80" i="2"/>
  <c r="R79" i="2"/>
  <c r="J79" i="2"/>
  <c r="G79" i="2"/>
  <c r="T78" i="2"/>
  <c r="U78" i="2" s="1"/>
  <c r="R77" i="2"/>
  <c r="J77" i="2"/>
  <c r="H77" i="2"/>
  <c r="G77" i="2"/>
  <c r="J76" i="2"/>
  <c r="G76" i="2"/>
  <c r="R76" i="2"/>
  <c r="J75" i="2"/>
  <c r="H75" i="2"/>
  <c r="G75" i="2"/>
  <c r="D75" i="2"/>
  <c r="R75" i="2" s="1"/>
  <c r="R74" i="2"/>
  <c r="J74" i="2"/>
  <c r="G74" i="2"/>
  <c r="R73" i="2"/>
  <c r="J73" i="2"/>
  <c r="G73" i="2"/>
  <c r="F68" i="2"/>
  <c r="E68" i="2"/>
  <c r="R67" i="2"/>
  <c r="J67" i="2"/>
  <c r="H67" i="2"/>
  <c r="G67" i="2"/>
  <c r="R66" i="2"/>
  <c r="J66" i="2"/>
  <c r="H66" i="2"/>
  <c r="G66" i="2"/>
  <c r="R65" i="2"/>
  <c r="J65" i="2"/>
  <c r="G65" i="2"/>
  <c r="R64" i="2"/>
  <c r="J64" i="2"/>
  <c r="H64" i="2"/>
  <c r="G64" i="2"/>
  <c r="R63" i="2"/>
  <c r="J63" i="2"/>
  <c r="G63" i="2"/>
  <c r="R62" i="2"/>
  <c r="J62" i="2"/>
  <c r="G62" i="2"/>
  <c r="R61" i="2"/>
  <c r="J61" i="2"/>
  <c r="H61" i="2"/>
  <c r="G61" i="2"/>
  <c r="R60" i="2"/>
  <c r="J60" i="2"/>
  <c r="G60" i="2"/>
  <c r="R59" i="2"/>
  <c r="J59" i="2"/>
  <c r="G59" i="2"/>
  <c r="R58" i="2"/>
  <c r="J58" i="2"/>
  <c r="H58" i="2"/>
  <c r="G58" i="2"/>
  <c r="R57" i="2"/>
  <c r="J57" i="2"/>
  <c r="G57" i="2"/>
  <c r="R56" i="2"/>
  <c r="J56" i="2"/>
  <c r="G56" i="2"/>
  <c r="U55" i="2"/>
  <c r="R54" i="2"/>
  <c r="J54" i="2"/>
  <c r="H54" i="2"/>
  <c r="G54" i="2"/>
  <c r="R53" i="2"/>
  <c r="J53" i="2"/>
  <c r="G53" i="2"/>
  <c r="R52" i="2"/>
  <c r="J52" i="2"/>
  <c r="G52" i="2"/>
  <c r="U51" i="2"/>
  <c r="R50" i="2"/>
  <c r="J50" i="2"/>
  <c r="H50" i="2"/>
  <c r="G50" i="2"/>
  <c r="R49" i="2"/>
  <c r="J49" i="2"/>
  <c r="G49" i="2"/>
  <c r="R48" i="2"/>
  <c r="J48" i="2"/>
  <c r="G48" i="2"/>
  <c r="U47" i="2"/>
  <c r="R46" i="2"/>
  <c r="J46" i="2"/>
  <c r="H46" i="2"/>
  <c r="G46" i="2"/>
  <c r="R45" i="2"/>
  <c r="J45" i="2"/>
  <c r="G45" i="2"/>
  <c r="J44" i="2"/>
  <c r="H44" i="2"/>
  <c r="G44" i="2"/>
  <c r="R43" i="2"/>
  <c r="J43" i="2"/>
  <c r="G43" i="2"/>
  <c r="R42" i="2"/>
  <c r="J42" i="2"/>
  <c r="G42" i="2"/>
  <c r="F36" i="2"/>
  <c r="E36" i="2"/>
  <c r="R35" i="2"/>
  <c r="J35" i="2"/>
  <c r="H35" i="2"/>
  <c r="G35" i="2"/>
  <c r="R34" i="2"/>
  <c r="J34" i="2"/>
  <c r="G34" i="2"/>
  <c r="R33" i="2"/>
  <c r="J33" i="2"/>
  <c r="G33" i="2"/>
  <c r="R32" i="2"/>
  <c r="J32" i="2"/>
  <c r="H32" i="2"/>
  <c r="G32" i="2"/>
  <c r="R31" i="2"/>
  <c r="J31" i="2"/>
  <c r="G31" i="2"/>
  <c r="R30" i="2"/>
  <c r="J30" i="2"/>
  <c r="G30" i="2"/>
  <c r="T29" i="2"/>
  <c r="T86" i="2" s="1"/>
  <c r="U86" i="2" s="1"/>
  <c r="R28" i="2"/>
  <c r="J28" i="2"/>
  <c r="H28" i="2"/>
  <c r="G28" i="2"/>
  <c r="R27" i="2"/>
  <c r="J27" i="2"/>
  <c r="G27" i="2"/>
  <c r="R26" i="2"/>
  <c r="J26" i="2"/>
  <c r="G26" i="2"/>
  <c r="T25" i="2"/>
  <c r="T82" i="2" s="1"/>
  <c r="U82" i="2" s="1"/>
  <c r="R24" i="2"/>
  <c r="J24" i="2"/>
  <c r="H24" i="2"/>
  <c r="G24" i="2"/>
  <c r="R23" i="2"/>
  <c r="J23" i="2"/>
  <c r="G23" i="2"/>
  <c r="R22" i="2"/>
  <c r="J22" i="2"/>
  <c r="G22" i="2"/>
  <c r="U21" i="2"/>
  <c r="R20" i="2"/>
  <c r="J20" i="2"/>
  <c r="H20" i="2"/>
  <c r="G20" i="2"/>
  <c r="R19" i="2"/>
  <c r="J19" i="2"/>
  <c r="G19" i="2"/>
  <c r="R18" i="2"/>
  <c r="J18" i="2"/>
  <c r="H18" i="2"/>
  <c r="G18" i="2"/>
  <c r="R17" i="2"/>
  <c r="J17" i="2"/>
  <c r="G17" i="2"/>
  <c r="R16" i="2"/>
  <c r="J16" i="2"/>
  <c r="G16" i="2"/>
  <c r="L27" i="1"/>
  <c r="L28" i="1" s="1"/>
  <c r="M26" i="1"/>
  <c r="M27" i="1" s="1"/>
  <c r="L26" i="1"/>
  <c r="K26" i="1"/>
  <c r="K27" i="1" s="1"/>
  <c r="K28" i="1" s="1"/>
  <c r="K29" i="1" s="1"/>
  <c r="J26" i="1"/>
  <c r="J27" i="1" s="1"/>
  <c r="J28" i="1" s="1"/>
  <c r="I26" i="1"/>
  <c r="I27" i="1" s="1"/>
  <c r="H26" i="1"/>
  <c r="H27" i="1" s="1"/>
  <c r="J15" i="1"/>
  <c r="J17" i="1" s="1"/>
  <c r="M14" i="1"/>
  <c r="M15" i="1" s="1"/>
  <c r="L14" i="1"/>
  <c r="L15" i="1" s="1"/>
  <c r="K14" i="1"/>
  <c r="K15" i="1" s="1"/>
  <c r="J14" i="1"/>
  <c r="I14" i="1"/>
  <c r="I15" i="1" s="1"/>
  <c r="I17" i="1" s="1"/>
  <c r="H14" i="1"/>
  <c r="H15" i="1" s="1"/>
  <c r="H17" i="1" s="1"/>
  <c r="D14" i="1"/>
  <c r="D15" i="1" s="1"/>
  <c r="C14" i="1"/>
  <c r="C15" i="1" s="1"/>
  <c r="B14" i="1"/>
  <c r="B15" i="1" s="1"/>
  <c r="F128" i="2" l="1"/>
  <c r="D15" i="4"/>
  <c r="D17" i="4" s="1"/>
  <c r="L14" i="3"/>
  <c r="M14" i="3" s="1"/>
  <c r="L119" i="2"/>
  <c r="F144" i="2"/>
  <c r="E144" i="2"/>
  <c r="L23" i="3"/>
  <c r="M23" i="3" s="1"/>
  <c r="S23" i="3" s="1"/>
  <c r="L26" i="3"/>
  <c r="M26" i="3" s="1"/>
  <c r="S26" i="3" s="1"/>
  <c r="L133" i="2"/>
  <c r="L59" i="2"/>
  <c r="M59" i="2" s="1"/>
  <c r="S59" i="2" s="1"/>
  <c r="U59" i="2" s="1"/>
  <c r="L126" i="2"/>
  <c r="M126" i="2" s="1"/>
  <c r="S126" i="2" s="1"/>
  <c r="L63" i="2"/>
  <c r="M63" i="2" s="1"/>
  <c r="L43" i="3"/>
  <c r="M43" i="3" s="1"/>
  <c r="S43" i="3" s="1"/>
  <c r="G13" i="3"/>
  <c r="L19" i="3"/>
  <c r="M19" i="3" s="1"/>
  <c r="S19" i="3" s="1"/>
  <c r="L22" i="3"/>
  <c r="M22" i="3" s="1"/>
  <c r="S22" i="3" s="1"/>
  <c r="L29" i="3"/>
  <c r="M29" i="3" s="1"/>
  <c r="S29" i="3" s="1"/>
  <c r="L34" i="3"/>
  <c r="M34" i="3" s="1"/>
  <c r="H13" i="3"/>
  <c r="L39" i="3"/>
  <c r="M39" i="3" s="1"/>
  <c r="S39" i="3" s="1"/>
  <c r="L15" i="3"/>
  <c r="M15" i="3" s="1"/>
  <c r="L16" i="3"/>
  <c r="M16" i="3" s="1"/>
  <c r="S16" i="3" s="1"/>
  <c r="U16" i="3" s="1"/>
  <c r="L12" i="3"/>
  <c r="M12" i="3" s="1"/>
  <c r="L45" i="3"/>
  <c r="M45" i="3" s="1"/>
  <c r="S45" i="3" s="1"/>
  <c r="L38" i="3"/>
  <c r="M38" i="3" s="1"/>
  <c r="S38" i="3" s="1"/>
  <c r="L41" i="3"/>
  <c r="M41" i="3" s="1"/>
  <c r="S41" i="3" s="1"/>
  <c r="L37" i="3"/>
  <c r="M37" i="3" s="1"/>
  <c r="S37" i="3" s="1"/>
  <c r="L20" i="3"/>
  <c r="M20" i="3" s="1"/>
  <c r="S20" i="3" s="1"/>
  <c r="L33" i="3"/>
  <c r="M33" i="3" s="1"/>
  <c r="L30" i="3"/>
  <c r="M30" i="3" s="1"/>
  <c r="S30" i="3" s="1"/>
  <c r="L32" i="3"/>
  <c r="M32" i="3" s="1"/>
  <c r="S32" i="3" s="1"/>
  <c r="L28" i="3"/>
  <c r="L11" i="3"/>
  <c r="M11" i="3" s="1"/>
  <c r="S11" i="3" s="1"/>
  <c r="L44" i="3"/>
  <c r="M44" i="3" s="1"/>
  <c r="S44" i="3" s="1"/>
  <c r="L31" i="3"/>
  <c r="M31" i="3" s="1"/>
  <c r="S31" i="3" s="1"/>
  <c r="L35" i="3"/>
  <c r="M35" i="3" s="1"/>
  <c r="S35" i="3" s="1"/>
  <c r="L42" i="3"/>
  <c r="M42" i="3" s="1"/>
  <c r="S42" i="3" s="1"/>
  <c r="L40" i="3"/>
  <c r="M40" i="3" s="1"/>
  <c r="S40" i="3" s="1"/>
  <c r="L18" i="3"/>
  <c r="L24" i="3"/>
  <c r="M24" i="3" s="1"/>
  <c r="S24" i="3" s="1"/>
  <c r="L27" i="3"/>
  <c r="M27" i="3" s="1"/>
  <c r="S27" i="3" s="1"/>
  <c r="L36" i="3"/>
  <c r="L29" i="1"/>
  <c r="E16" i="1"/>
  <c r="L56" i="2"/>
  <c r="M56" i="2" s="1"/>
  <c r="S56" i="2" s="1"/>
  <c r="U56" i="2" s="1"/>
  <c r="L62" i="2"/>
  <c r="M62" i="2" s="1"/>
  <c r="S62" i="2" s="1"/>
  <c r="U62" i="2" s="1"/>
  <c r="L104" i="2"/>
  <c r="L105" i="2"/>
  <c r="M105" i="2" s="1"/>
  <c r="S105" i="2" s="1"/>
  <c r="L112" i="2"/>
  <c r="M112" i="2" s="1"/>
  <c r="S112" i="2" s="1"/>
  <c r="L124" i="2"/>
  <c r="M124" i="2" s="1"/>
  <c r="S124" i="2" s="1"/>
  <c r="L87" i="2"/>
  <c r="M87" i="2" s="1"/>
  <c r="S87" i="2" s="1"/>
  <c r="U87" i="2" s="1"/>
  <c r="L122" i="2"/>
  <c r="M122" i="2" s="1"/>
  <c r="S122" i="2" s="1"/>
  <c r="L57" i="2"/>
  <c r="M57" i="2" s="1"/>
  <c r="S57" i="2" s="1"/>
  <c r="U57" i="2" s="1"/>
  <c r="L64" i="2"/>
  <c r="M64" i="2" s="1"/>
  <c r="L66" i="2"/>
  <c r="M66" i="2" s="1"/>
  <c r="S66" i="2" s="1"/>
  <c r="U66" i="2" s="1"/>
  <c r="L73" i="2"/>
  <c r="L106" i="2"/>
  <c r="M106" i="2" s="1"/>
  <c r="S106" i="2" s="1"/>
  <c r="U106" i="2" s="1"/>
  <c r="L115" i="2"/>
  <c r="M115" i="2" s="1"/>
  <c r="S115" i="2" s="1"/>
  <c r="L49" i="2"/>
  <c r="M49" i="2" s="1"/>
  <c r="S49" i="2" s="1"/>
  <c r="U49" i="2" s="1"/>
  <c r="L26" i="2"/>
  <c r="M26" i="2" s="1"/>
  <c r="S26" i="2" s="1"/>
  <c r="U26" i="2" s="1"/>
  <c r="L34" i="2"/>
  <c r="M34" i="2" s="1"/>
  <c r="L85" i="2"/>
  <c r="M85" i="2" s="1"/>
  <c r="S85" i="2" s="1"/>
  <c r="U85" i="2" s="1"/>
  <c r="L121" i="2"/>
  <c r="M121" i="2" s="1"/>
  <c r="S121" i="2" s="1"/>
  <c r="L89" i="2"/>
  <c r="M89" i="2" s="1"/>
  <c r="S89" i="2" s="1"/>
  <c r="U89" i="2" s="1"/>
  <c r="L96" i="2"/>
  <c r="M96" i="2" s="1"/>
  <c r="S96" i="2" s="1"/>
  <c r="U96" i="2" s="1"/>
  <c r="L35" i="2"/>
  <c r="M35" i="2" s="1"/>
  <c r="S35" i="2" s="1"/>
  <c r="U35" i="2" s="1"/>
  <c r="L110" i="2"/>
  <c r="M110" i="2" s="1"/>
  <c r="S110" i="2" s="1"/>
  <c r="L90" i="2"/>
  <c r="M90" i="2" s="1"/>
  <c r="S90" i="2" s="1"/>
  <c r="U90" i="2" s="1"/>
  <c r="L52" i="2"/>
  <c r="M52" i="2" s="1"/>
  <c r="S52" i="2" s="1"/>
  <c r="U52" i="2" s="1"/>
  <c r="L20" i="2"/>
  <c r="M20" i="2" s="1"/>
  <c r="S20" i="2" s="1"/>
  <c r="U20" i="2" s="1"/>
  <c r="L23" i="2"/>
  <c r="M23" i="2" s="1"/>
  <c r="S23" i="2" s="1"/>
  <c r="U23" i="2" s="1"/>
  <c r="U25" i="2"/>
  <c r="L28" i="2"/>
  <c r="M28" i="2" s="1"/>
  <c r="S28" i="2" s="1"/>
  <c r="U28" i="2" s="1"/>
  <c r="L134" i="2"/>
  <c r="M134" i="2" s="1"/>
  <c r="S134" i="2" s="1"/>
  <c r="L139" i="2"/>
  <c r="M139" i="2" s="1"/>
  <c r="S139" i="2" s="1"/>
  <c r="S14" i="3"/>
  <c r="U14" i="3" s="1"/>
  <c r="L60" i="2"/>
  <c r="M60" i="2" s="1"/>
  <c r="L81" i="2"/>
  <c r="M81" i="2" s="1"/>
  <c r="L88" i="2"/>
  <c r="M88" i="2" s="1"/>
  <c r="S88" i="2" s="1"/>
  <c r="U88" i="2" s="1"/>
  <c r="L118" i="2"/>
  <c r="M118" i="2" s="1"/>
  <c r="S118" i="2" s="1"/>
  <c r="L123" i="2"/>
  <c r="M123" i="2" s="1"/>
  <c r="S123" i="2" s="1"/>
  <c r="L125" i="2"/>
  <c r="M125" i="2" s="1"/>
  <c r="S125" i="2" s="1"/>
  <c r="L16" i="2"/>
  <c r="M16" i="2" s="1"/>
  <c r="S16" i="2" s="1"/>
  <c r="U16" i="2" s="1"/>
  <c r="L50" i="2"/>
  <c r="M50" i="2" s="1"/>
  <c r="S50" i="2" s="1"/>
  <c r="U50" i="2" s="1"/>
  <c r="L74" i="2"/>
  <c r="M74" i="2" s="1"/>
  <c r="L79" i="2"/>
  <c r="M79" i="2" s="1"/>
  <c r="L116" i="2"/>
  <c r="M116" i="2" s="1"/>
  <c r="L141" i="2"/>
  <c r="M141" i="2" s="1"/>
  <c r="S141" i="2" s="1"/>
  <c r="L45" i="2"/>
  <c r="M45" i="2" s="1"/>
  <c r="S45" i="2" s="1"/>
  <c r="U45" i="2" s="1"/>
  <c r="L48" i="2"/>
  <c r="M48" i="2" s="1"/>
  <c r="S48" i="2" s="1"/>
  <c r="U48" i="2" s="1"/>
  <c r="L61" i="2"/>
  <c r="M61" i="2" s="1"/>
  <c r="L83" i="2"/>
  <c r="M83" i="2" s="1"/>
  <c r="L31" i="2"/>
  <c r="M31" i="2" s="1"/>
  <c r="L108" i="2"/>
  <c r="M108" i="2" s="1"/>
  <c r="S108" i="2" s="1"/>
  <c r="U108" i="2" s="1"/>
  <c r="L46" i="2"/>
  <c r="M46" i="2" s="1"/>
  <c r="S46" i="2" s="1"/>
  <c r="U46" i="2" s="1"/>
  <c r="L138" i="2"/>
  <c r="L33" i="2"/>
  <c r="M33" i="2" s="1"/>
  <c r="S33" i="2" s="1"/>
  <c r="U33" i="2" s="1"/>
  <c r="L43" i="2"/>
  <c r="M43" i="2" s="1"/>
  <c r="L53" i="2"/>
  <c r="M53" i="2" s="1"/>
  <c r="L92" i="2"/>
  <c r="M92" i="2" s="1"/>
  <c r="S92" i="2" s="1"/>
  <c r="U92" i="2" s="1"/>
  <c r="L94" i="2"/>
  <c r="M94" i="2" s="1"/>
  <c r="S94" i="2" s="1"/>
  <c r="U94" i="2" s="1"/>
  <c r="L136" i="2"/>
  <c r="L24" i="2"/>
  <c r="M24" i="2" s="1"/>
  <c r="S24" i="2" s="1"/>
  <c r="U24" i="2" s="1"/>
  <c r="L27" i="2"/>
  <c r="M27" i="2" s="1"/>
  <c r="U29" i="2"/>
  <c r="L65" i="2"/>
  <c r="M65" i="2" s="1"/>
  <c r="L67" i="2"/>
  <c r="M67" i="2" s="1"/>
  <c r="S67" i="2" s="1"/>
  <c r="U67" i="2" s="1"/>
  <c r="L76" i="2"/>
  <c r="M76" i="2" s="1"/>
  <c r="S76" i="2" s="1"/>
  <c r="U76" i="2" s="1"/>
  <c r="L97" i="2"/>
  <c r="M97" i="2" s="1"/>
  <c r="S97" i="2" s="1"/>
  <c r="U97" i="2" s="1"/>
  <c r="L111" i="2"/>
  <c r="M111" i="2" s="1"/>
  <c r="S111" i="2" s="1"/>
  <c r="L113" i="2"/>
  <c r="M113" i="2" s="1"/>
  <c r="L117" i="2"/>
  <c r="M117" i="2" s="1"/>
  <c r="L132" i="2"/>
  <c r="M132" i="2" s="1"/>
  <c r="S132" i="2" s="1"/>
  <c r="U132" i="2" s="1"/>
  <c r="L58" i="2"/>
  <c r="M58" i="2" s="1"/>
  <c r="S58" i="2" s="1"/>
  <c r="U58" i="2" s="1"/>
  <c r="L17" i="2"/>
  <c r="M17" i="2" s="1"/>
  <c r="L19" i="2"/>
  <c r="M19" i="2" s="1"/>
  <c r="S19" i="2" s="1"/>
  <c r="U19" i="2" s="1"/>
  <c r="L22" i="2"/>
  <c r="M22" i="2" s="1"/>
  <c r="S22" i="2" s="1"/>
  <c r="U22" i="2" s="1"/>
  <c r="L30" i="2"/>
  <c r="M30" i="2" s="1"/>
  <c r="S30" i="2" s="1"/>
  <c r="U30" i="2" s="1"/>
  <c r="L32" i="2"/>
  <c r="M32" i="2" s="1"/>
  <c r="L44" i="2"/>
  <c r="L54" i="2"/>
  <c r="M54" i="2" s="1"/>
  <c r="L93" i="2"/>
  <c r="M93" i="2" s="1"/>
  <c r="S93" i="2" s="1"/>
  <c r="U93" i="2" s="1"/>
  <c r="L95" i="2"/>
  <c r="M95" i="2" s="1"/>
  <c r="S95" i="2" s="1"/>
  <c r="U95" i="2" s="1"/>
  <c r="L137" i="2"/>
  <c r="M137" i="2" s="1"/>
  <c r="S137" i="2" s="1"/>
  <c r="L42" i="2"/>
  <c r="M42" i="2" s="1"/>
  <c r="S42" i="2" s="1"/>
  <c r="U42" i="2" s="1"/>
  <c r="L77" i="2"/>
  <c r="M77" i="2" s="1"/>
  <c r="S77" i="2" s="1"/>
  <c r="U77" i="2" s="1"/>
  <c r="L84" i="2"/>
  <c r="M84" i="2" s="1"/>
  <c r="S84" i="2" s="1"/>
  <c r="U84" i="2" s="1"/>
  <c r="L91" i="2"/>
  <c r="M91" i="2" s="1"/>
  <c r="S91" i="2" s="1"/>
  <c r="U91" i="2" s="1"/>
  <c r="L109" i="2"/>
  <c r="M109" i="2" s="1"/>
  <c r="S109" i="2" s="1"/>
  <c r="L120" i="2"/>
  <c r="M120" i="2" s="1"/>
  <c r="S120" i="2" s="1"/>
  <c r="L135" i="2"/>
  <c r="M135" i="2" s="1"/>
  <c r="S135" i="2" s="1"/>
  <c r="L140" i="2"/>
  <c r="L75" i="2"/>
  <c r="M75" i="2" s="1"/>
  <c r="S75" i="2" s="1"/>
  <c r="U75" i="2" s="1"/>
  <c r="L80" i="2"/>
  <c r="M80" i="2" s="1"/>
  <c r="S80" i="2" s="1"/>
  <c r="U80" i="2" s="1"/>
  <c r="L98" i="2"/>
  <c r="M98" i="2" s="1"/>
  <c r="S98" i="2" s="1"/>
  <c r="U98" i="2" s="1"/>
  <c r="L107" i="2"/>
  <c r="M107" i="2" s="1"/>
  <c r="S107" i="2" s="1"/>
  <c r="U107" i="2" s="1"/>
  <c r="L114" i="2"/>
  <c r="M114" i="2" s="1"/>
  <c r="M119" i="2"/>
  <c r="S119" i="2" s="1"/>
  <c r="L18" i="2"/>
  <c r="K16" i="1"/>
  <c r="K17" i="1"/>
  <c r="M28" i="1"/>
  <c r="M29" i="1" s="1"/>
  <c r="L16" i="1"/>
  <c r="L17" i="1" s="1"/>
  <c r="M16" i="1"/>
  <c r="M17" i="1" s="1"/>
  <c r="H28" i="1"/>
  <c r="H29" i="1" s="1"/>
  <c r="I28" i="1"/>
  <c r="I29" i="1"/>
  <c r="J29" i="1"/>
  <c r="U109" i="2" l="1"/>
  <c r="M133" i="2"/>
  <c r="U124" i="2"/>
  <c r="U118" i="2"/>
  <c r="U121" i="2"/>
  <c r="M73" i="2"/>
  <c r="U38" i="3"/>
  <c r="M18" i="3"/>
  <c r="S18" i="3" s="1"/>
  <c r="U18" i="3" s="1"/>
  <c r="U29" i="3"/>
  <c r="U42" i="3"/>
  <c r="U22" i="3"/>
  <c r="L13" i="3"/>
  <c r="M13" i="3" s="1"/>
  <c r="S13" i="3" s="1"/>
  <c r="U13" i="3" s="1"/>
  <c r="S63" i="2"/>
  <c r="U63" i="2" s="1"/>
  <c r="M104" i="2"/>
  <c r="S104" i="2" s="1"/>
  <c r="U104" i="2" s="1"/>
  <c r="S12" i="3"/>
  <c r="U11" i="3" s="1"/>
  <c r="S43" i="2"/>
  <c r="U43" i="2" s="1"/>
  <c r="S64" i="2"/>
  <c r="U64" i="2" s="1"/>
  <c r="S54" i="2"/>
  <c r="U54" i="2" s="1"/>
  <c r="S34" i="3"/>
  <c r="S15" i="3"/>
  <c r="U15" i="3" s="1"/>
  <c r="M28" i="3"/>
  <c r="S28" i="3" s="1"/>
  <c r="U26" i="3" s="1"/>
  <c r="S33" i="3"/>
  <c r="M36" i="3"/>
  <c r="S36" i="3" s="1"/>
  <c r="U35" i="3" s="1"/>
  <c r="N18" i="1"/>
  <c r="N20" i="1" s="1"/>
  <c r="S34" i="2"/>
  <c r="U34" i="2" s="1"/>
  <c r="S61" i="2"/>
  <c r="U61" i="2" s="1"/>
  <c r="S31" i="2"/>
  <c r="U31" i="2" s="1"/>
  <c r="S65" i="2"/>
  <c r="U65" i="2" s="1"/>
  <c r="S117" i="2"/>
  <c r="S116" i="2"/>
  <c r="U115" i="2" s="1"/>
  <c r="M138" i="2"/>
  <c r="S138" i="2" s="1"/>
  <c r="U138" i="2" s="1"/>
  <c r="S114" i="2"/>
  <c r="S79" i="2"/>
  <c r="U79" i="2" s="1"/>
  <c r="S81" i="2"/>
  <c r="U81" i="2" s="1"/>
  <c r="S60" i="2"/>
  <c r="U60" i="2" s="1"/>
  <c r="M136" i="2"/>
  <c r="S136" i="2" s="1"/>
  <c r="U134" i="2" s="1"/>
  <c r="S74" i="2"/>
  <c r="U74" i="2" s="1"/>
  <c r="S27" i="2"/>
  <c r="U27" i="2" s="1"/>
  <c r="S83" i="2"/>
  <c r="U83" i="2" s="1"/>
  <c r="M140" i="2"/>
  <c r="S140" i="2" s="1"/>
  <c r="S32" i="2"/>
  <c r="U32" i="2" s="1"/>
  <c r="S113" i="2"/>
  <c r="U112" i="2" s="1"/>
  <c r="S17" i="2"/>
  <c r="U17" i="2" s="1"/>
  <c r="M44" i="2"/>
  <c r="S44" i="2" s="1"/>
  <c r="U44" i="2" s="1"/>
  <c r="S53" i="2"/>
  <c r="U53" i="2" s="1"/>
  <c r="M18" i="2"/>
  <c r="S18" i="2" s="1"/>
  <c r="U18" i="2" s="1"/>
  <c r="N30" i="1"/>
  <c r="N34" i="1" s="1"/>
  <c r="U32" i="3" l="1"/>
  <c r="S133" i="2"/>
  <c r="S73" i="2"/>
  <c r="U46" i="3"/>
  <c r="U50" i="3" s="1"/>
  <c r="N33" i="1"/>
  <c r="U36" i="2"/>
  <c r="U37" i="2" s="1"/>
  <c r="U127" i="2"/>
  <c r="U68" i="2"/>
  <c r="U133" i="2" l="1"/>
  <c r="U73" i="2"/>
  <c r="U142" i="2" l="1"/>
  <c r="U146" i="2" s="1"/>
  <c r="U99" i="2"/>
  <c r="U100" i="2" s="1"/>
</calcChain>
</file>

<file path=xl/sharedStrings.xml><?xml version="1.0" encoding="utf-8"?>
<sst xmlns="http://schemas.openxmlformats.org/spreadsheetml/2006/main" count="526" uniqueCount="171">
  <si>
    <t>Izpildītājs: Veselības ministrija</t>
  </si>
  <si>
    <t>Pasākuma īstenošanas periods: 2022.gads un turpmāk ik gadu</t>
  </si>
  <si>
    <t>Prognozētas vidēji 180 konsultācijas mēnesī</t>
  </si>
  <si>
    <t>Oktobris
(faktiskā izpilde)</t>
  </si>
  <si>
    <t>Novembris 
(faktiskā izpilde)</t>
  </si>
  <si>
    <t>Decembris 
(faktiskā izpilde)</t>
  </si>
  <si>
    <t>2022.gada 1. pusgads</t>
  </si>
  <si>
    <t>Janvāris
(faktiskā izpilde)</t>
  </si>
  <si>
    <t>Februāris
(faktiskā izpilde)</t>
  </si>
  <si>
    <t>Marts 
(faktiskā izpilde)</t>
  </si>
  <si>
    <t>Aprīlis
(faktiskā izpilde)</t>
  </si>
  <si>
    <t>Majis
(prognoze)</t>
  </si>
  <si>
    <t>Jūnijs 
(prognoze)</t>
  </si>
  <si>
    <t>Fiksētais ikmēneša maksājums, euro</t>
  </si>
  <si>
    <t>Psihologa konsultācijas</t>
  </si>
  <si>
    <t>Psihologa konsultācijas, skaits</t>
  </si>
  <si>
    <t>Apmaksas summa, euro</t>
  </si>
  <si>
    <t>Samaksa kopā, euro</t>
  </si>
  <si>
    <t>Samaksa kopā bez PVN, euro</t>
  </si>
  <si>
    <t>Kopā 2021.gadā</t>
  </si>
  <si>
    <t>PVN 21%, euro (līdz 01.04.2022 nav PVN maksātājs)</t>
  </si>
  <si>
    <t>Samaksa kopā (ar PVN), euro</t>
  </si>
  <si>
    <t>Nepieciešams kopā 1. pusgadam (ar PVN):</t>
  </si>
  <si>
    <t>Aprēķinātais finansējums 2022.gada 1.pusgadam (iezīmēts no LNG)*:</t>
  </si>
  <si>
    <t>Papildus nepieciešams 1.pusgadam (ar PVN):</t>
  </si>
  <si>
    <t>Prognozētas 180 psihologa konsultācijas mēnesī</t>
  </si>
  <si>
    <t>2022.gada 2. pusgads</t>
  </si>
  <si>
    <t>Jūlijs 
(prognoze)</t>
  </si>
  <si>
    <t>Augusts 
(prognoze)</t>
  </si>
  <si>
    <t>Septembris 
(prognoze)</t>
  </si>
  <si>
    <t>Oktobris 
(prognoze)</t>
  </si>
  <si>
    <t>Novembris 
(prognoze)</t>
  </si>
  <si>
    <t>Decembris
(prognoze)</t>
  </si>
  <si>
    <t>PVN 21%, euro</t>
  </si>
  <si>
    <t>Papildus nepieciešams 2.pusgadam (ar PVN):</t>
  </si>
  <si>
    <t>Kopā papildus nepieciešamais līdz 2022.gada beigām (indikatīvi): 
ar PVN un 180 konsultācijas mēnesī</t>
  </si>
  <si>
    <t>Kopā papildus nepieciešamais 2023.gadam un turpmāk ik gadu (indikatīvi):</t>
  </si>
  <si>
    <r>
      <t>* Ar Ministru kabineta 2021. gada 29. decembra noteikumiem Nr.898 (prot. Nr. 83 1. §) “Grozījumi Ministru kabineta 2018. gada 28. augusta noteikumos Nr.555 “Veselības aprūpes pakalpojumu organizēšanas un samaksas kārtība”” Ministru kabineta 2018. gada 28. augusta noteikumos Nr.555 “Veselības aprūpes pakalpojumu organizēšanas un samaksas kārtība”” ir iekļauts 245.</t>
    </r>
    <r>
      <rPr>
        <vertAlign val="superscript"/>
        <sz val="9"/>
        <rFont val="Times New Roman"/>
        <family val="1"/>
      </rPr>
      <t>5</t>
    </r>
    <r>
      <rPr>
        <sz val="9"/>
        <rFont val="Times New Roman"/>
        <family val="1"/>
      </rPr>
      <t xml:space="preserve"> punkts, kas paredz, ka līdz 2022. gada 30. jūnijam Nacionālais veselības dienests apmaksā konsultatīvā tālruņa darbības nodrošināšanu pusaudžiem psihoemocionālā atbalsta saņemšanai ar indikatīvi aprēķinātu finansiālu ietekmi 40 424 euro, un ar Ministru kabineta 2021. gada 29. decembra ārkārtas sēdes protokola Nr.83 1.§ 3. punktu ir nolemts, ka finansējums ir sedzams no valsts budžeta programmas 02.00.00 “Līdzekļi neparedzētiem gadījumiem”. </t>
    </r>
  </si>
  <si>
    <t>Ārstniecības iestādes kods: 10001989</t>
  </si>
  <si>
    <t>Ārstniecības iestādes nosaukums: Bērnu un pusaudžu resursu centrs, Sabiedrība ar ierobežotu atbildību</t>
  </si>
  <si>
    <t>Kabineta nosaukums: Garastāvokļa traucējumu kabinets bērniem</t>
  </si>
  <si>
    <t>Kabineta nosaukums detalizēti: Garastāvokļa traucējumu kabinets bērniem</t>
  </si>
  <si>
    <t>Iekļauts likumā "Par vidēja termiņa budžeta ietvaru 2022., 2023. un 2024.gadam"</t>
  </si>
  <si>
    <t>Vidējā darba samaksa mēnesī, euro (MK noteikumu Nr.555 153.punkts)</t>
  </si>
  <si>
    <t>Pakalpojumu lokalizācija</t>
  </si>
  <si>
    <t>Speciālista nosaukums</t>
  </si>
  <si>
    <t>Kabineta plānotais darbības periods mēnešos</t>
  </si>
  <si>
    <t xml:space="preserve">Kabinetu skaits </t>
  </si>
  <si>
    <t>Ārsta slodze  plāns (mēnesī)</t>
  </si>
  <si>
    <t>Māsas slodze plāns (mēnesī)</t>
  </si>
  <si>
    <t>Ārsta darba samaksa, euro (kopā gadā)</t>
  </si>
  <si>
    <t>Ārsta piemaksa (psihiatrija), euro (kopā gadā)</t>
  </si>
  <si>
    <t>Funkcionālā speciālista piemaksa (psihiatrija) 2022, EUR</t>
  </si>
  <si>
    <t>Māsas darba samaksa, euro (kopā gadā)</t>
  </si>
  <si>
    <t>Māsas darba piemaksa (psihiatrija) 2022, EUR</t>
  </si>
  <si>
    <t>Darba samaksa kopā, euro</t>
  </si>
  <si>
    <t xml:space="preserve">VSAOI, euro </t>
  </si>
  <si>
    <t>Kabineta fiksētais maksājums, euro  1 slodzei gadā</t>
  </si>
  <si>
    <t>Kabineta fiksētais maksājums, euro  1 slodzei mēnesī</t>
  </si>
  <si>
    <t>Māsai Kabineta fiksētais maksājums, EUR MK 1 slodzei gadā</t>
  </si>
  <si>
    <t>Māsai Kabineta fiksētais maksājums, EUR MK 1 slodzei mēnesī</t>
  </si>
  <si>
    <t>Kabineta nodrošinājuma maksājums gadā, euro</t>
  </si>
  <si>
    <t xml:space="preserve">Finansējums slodzēm 2022. gadam, euro </t>
  </si>
  <si>
    <t>Finansējums manipulāciju apmaksai 2022.gadā, euro</t>
  </si>
  <si>
    <t>Finansējums 2022. gadam, euro</t>
  </si>
  <si>
    <t>Rīga</t>
  </si>
  <si>
    <t>koordinators</t>
  </si>
  <si>
    <t>klientu vadītājs</t>
  </si>
  <si>
    <t>psihologs, psihoterapeits</t>
  </si>
  <si>
    <t>narkologs</t>
  </si>
  <si>
    <t>psihiatrs</t>
  </si>
  <si>
    <t>Manipulāciju apmaksa</t>
  </si>
  <si>
    <t>Liepāja</t>
  </si>
  <si>
    <t>Daugavpils</t>
  </si>
  <si>
    <t>Valmiera</t>
  </si>
  <si>
    <t>Ventspils</t>
  </si>
  <si>
    <t>KOPĀ</t>
  </si>
  <si>
    <t>tai skaitā, kabinetu apmaksai</t>
  </si>
  <si>
    <t>NVD aprēķinātais finansējums 2022.gada 1.pusgadam, ņemot vērā faktisko kabinetu skaitu un slodžu skaitu</t>
  </si>
  <si>
    <t>Ārsta darba samaksa, euro (kopā 2022.g. 1.pusgadā)</t>
  </si>
  <si>
    <t>Ārsta piemaksa (psihiatrija), euro (kopā 2022.g. 1.pusgadā)</t>
  </si>
  <si>
    <t>Māsas darba samaksa, euro (kopā 2022.g. 1.pusgadā)</t>
  </si>
  <si>
    <t xml:space="preserve">Finansējums slodzēm 2022. g. 1.pusgadā, euro </t>
  </si>
  <si>
    <t>Finansējums manipulāciju apmaksai 2022.g. 1.pusgadā, euro</t>
  </si>
  <si>
    <t>Finansējums 2022.g. 1.pusagdam, euro</t>
  </si>
  <si>
    <t>Rēzekne</t>
  </si>
  <si>
    <t>Jelgava</t>
  </si>
  <si>
    <t>Faktiski pieejamais finansējums 2022.g. 1.pusgadam KOPĀ</t>
  </si>
  <si>
    <t>NVD aprēķinātais finansējums 2022.gada 2.pusgadam, nēmot vērā pieejamo atlikušo finansējumu</t>
  </si>
  <si>
    <t>Ārsta darba samaksa, euro (kopā 2022.g. 2.pusgadā)</t>
  </si>
  <si>
    <t>Ārsta piemaksa (psihiatrija), euro (kopā 2022.g. 2.pusgadā)</t>
  </si>
  <si>
    <t>Māsas darba samaksa, euro (kopā 2022.g. 2.pusgadā)</t>
  </si>
  <si>
    <t xml:space="preserve">Finansējums slodzēm  2022.g. 2.pusgadā, euro </t>
  </si>
  <si>
    <t>Finansējums manipulāciju apmaksai  2022.g. 2.pusgadā, euro</t>
  </si>
  <si>
    <t>Finansējums  2022.g. 2.pusgadā, euro</t>
  </si>
  <si>
    <t>Faktiski pieejamais finansējums 2022.g. 2.pusgadam KOPĀ</t>
  </si>
  <si>
    <t>tai skaitā, no ārpus prioritārā pasākuma piešķirtajiem līdzekļiem</t>
  </si>
  <si>
    <t>PAPILDUS NEPIECIEŠAMAIS finansējums 2022.gada 2.pusgadam, lai saglabātu faktisko kabinetu skaitu un slodžu skaitu 1.pusgada līmenī</t>
  </si>
  <si>
    <t xml:space="preserve">Finansējums slodzēm  2022.g. 2.pusgadā euro </t>
  </si>
  <si>
    <t>Finansējums 2022.g. visos mēnešos, euro</t>
  </si>
  <si>
    <t>Psihologs, psihoterapeits</t>
  </si>
  <si>
    <t>Mākslas terapeits (funkcionālais speciālists)</t>
  </si>
  <si>
    <t>Vidzeme</t>
  </si>
  <si>
    <t>Pacienta plūsmas koordinators</t>
  </si>
  <si>
    <t>Zemgale</t>
  </si>
  <si>
    <t>Pasākums</t>
  </si>
  <si>
    <t>2022.gadā paredzētais vienreizējs maksājums, euro</t>
  </si>
  <si>
    <t>Papildus filiāles atvēršana - iekārtošana, materiāli tehniskais nodrošinājums</t>
  </si>
  <si>
    <t>Pavisam KOPĀ PAPILDUS nepieciešamais finansējums 2022.gadam, euro</t>
  </si>
  <si>
    <t>PAPILDUS NEPIECIEŠAMAIS FINANSĒJUMS 2022.gadā filiāļu atvēršanai, euro</t>
  </si>
  <si>
    <t>Indikatīvais atšifrējums pozīciju izmaksām vienā filiālē</t>
  </si>
  <si>
    <t>Pozīcija</t>
  </si>
  <si>
    <t>Mēbeles</t>
  </si>
  <si>
    <t>Datortehnika un biroja tehnika</t>
  </si>
  <si>
    <t>Saimniecības inventārs</t>
  </si>
  <si>
    <t>Remonts un labiekārtošana</t>
  </si>
  <si>
    <t>Kopā:</t>
  </si>
  <si>
    <t>Sabiedrībā balstīti pakalpojumi pusaudžiem, kam iestājušies psihiskās veselības traucējumi</t>
  </si>
  <si>
    <t>1.pielikums Informatīvajam ziņojumam</t>
  </si>
  <si>
    <t>Pusaudžu klīnisko un veselības psihologu atbalsta konsultatīvais tālrunis</t>
  </si>
  <si>
    <t>Finansējums  2022.g. 2.pusgadā</t>
  </si>
  <si>
    <t>Funkcionālā speciālista piemaksa (psihiatrija) 2023, EUR</t>
  </si>
  <si>
    <t>Māsas darba piemaksa (psihiatrija) 2023, EUR</t>
  </si>
  <si>
    <t xml:space="preserve">Finansējums slodzēm 2023. gadam, euro </t>
  </si>
  <si>
    <t>Finansējums manipulāciju apmaksai 2023.gadā, euro</t>
  </si>
  <si>
    <t>3.pielikums Informatīvajam ziņojumam</t>
  </si>
  <si>
    <t>NVD aprēķinātais finansējums 2023.gadam, ņemot vērā 2022.gadā nepieciešamo kabinetu skaitu un slodžu skaitu</t>
  </si>
  <si>
    <t>Nepieciešamais finansējums KOPĀ</t>
  </si>
  <si>
    <t>Māsai Kabineta fiksētais maksājums, EUR 1 slodzei gadā</t>
  </si>
  <si>
    <t>Māsai Kabineta fiksētais maksājums, EUR 1 slodzei mēnesī</t>
  </si>
  <si>
    <t>PAPILDUS NEPIECIEŠAMAIS finansējums 2022.g. 2.pusgadam KOPĀ</t>
  </si>
  <si>
    <t>PAPILDUS NEPIECIEŠAMAIS finansējums papildus slodzēm 2022.g. atlikušajiem mēnešiem KOPĀ</t>
  </si>
  <si>
    <t>Ārsta darba samaksa, euro (kopā 2022.g. visos mēnešos)</t>
  </si>
  <si>
    <t>Ārsta piemaksa (psihiatrija), euro (kopā 2022.g. visos mēnešos)</t>
  </si>
  <si>
    <t>Māsas darba samaksa, euro (kopā 2022.g. visos mēnešos)</t>
  </si>
  <si>
    <t xml:space="preserve">Finansējums slodzēm 2022. g. visos mēnešos, euro </t>
  </si>
  <si>
    <t>Kabineta plānotais darbības periods mēnešos*</t>
  </si>
  <si>
    <t>PAPILDUS NEPIECIEŠAMAIS finansējums papildus slodzēm</t>
  </si>
  <si>
    <t>Pieaugums pret iepriekšējo mēnesi, %</t>
  </si>
  <si>
    <t>janvāris</t>
  </si>
  <si>
    <t>februāris</t>
  </si>
  <si>
    <t>marts</t>
  </si>
  <si>
    <t>Papildus nepieciešamais finansējums 2023.gadam un turpmāk</t>
  </si>
  <si>
    <t xml:space="preserve">Palielināt psihiskās veselības aprūpes speciālistu klātienes un attālinātu konsultāciju saņemšanas iespējas iedzīvotājiem </t>
  </si>
  <si>
    <t>Nodrošināt, ka pacients var saņemt 5-10 psihologa vai psihoterapeita konsultācijas ar ģimenes ārsta nosūtījumu</t>
  </si>
  <si>
    <t>Budžeta programmas (apakšprogrammas) kods un nosaukums:</t>
  </si>
  <si>
    <t>33.16.00. "Pārējo ambulatoro veselības aprūpes pakalpojumu nodrošināšana"</t>
  </si>
  <si>
    <t>Pasākums "Uzlabot bērnu un pusaudžu psihiskās veselības pakalpojumu pieejamību, attīstot pakalpojumu reģionos"</t>
  </si>
  <si>
    <t>4.pielikums Informatīvajam ziņojumam</t>
  </si>
  <si>
    <t>Finansējums 2023.gadam KOPĀ, euro</t>
  </si>
  <si>
    <t>* Ja slodžu skaits uz 1 kabinetu pārsniedz 1, tad fiksēto kabineta maksājumu slodžu skaita vietā aprēķina uz kabinetu skaitu</t>
  </si>
  <si>
    <t>*Filiāļu darbība Rīgā paredzēta no 15.jūnija, Vidzemē un Zemgalē paredzēta no 1.jūlija.</t>
  </si>
  <si>
    <t>Prognozētā izpilde 2022.gadam pēc veiktā darba 1.ceturksnī, euro</t>
  </si>
  <si>
    <t>Prognozētā neizpilde, euro</t>
  </si>
  <si>
    <t>Veselības ministrijai prioritārā pasākuma “Pasākumi, lai samazinātu ilglaicīgu negatīvo ietekmi uz sabiedrības psihisko veselību, ko rada COVID-19 pandēmija” ietvaros piešķirtais finansējums</t>
  </si>
  <si>
    <t>narkologs**</t>
  </si>
  <si>
    <t>psihiatrs**</t>
  </si>
  <si>
    <t>** Aprēķins veikts uz slodžu skaitu</t>
  </si>
  <si>
    <r>
      <t>Kabineta nodrošinājuma maksājums gadā, euro</t>
    </r>
    <r>
      <rPr>
        <b/>
        <sz val="11"/>
        <rFont val="Times New Roman"/>
        <family val="1"/>
      </rPr>
      <t>*</t>
    </r>
  </si>
  <si>
    <t xml:space="preserve">AP87 - Psihologa/psihoterapeita pakalpojumi </t>
  </si>
  <si>
    <t>Faktiskās konsultāciju izmaksas, euro</t>
  </si>
  <si>
    <t>2022.gada mēnesis</t>
  </si>
  <si>
    <t>Prognozētā izpilde 2022.gadam ar 34,79% pieaugumu, euro</t>
  </si>
  <si>
    <t>Indikatīvās izmaksas vienā filiālē***, euro</t>
  </si>
  <si>
    <t>*** Finansējuma sadalījums pozīciju griezumā var mainīties, ņemot vērā filiāļu telpu iekārtošanas specifiku.</t>
  </si>
  <si>
    <t>Kabineta nodrošinājuma maksājums 2022.g. 2.pusgadā, euro**</t>
  </si>
  <si>
    <t>Kabineta nodrošinājuma maksājums  2022.g. 2.pusgadā, euro**</t>
  </si>
  <si>
    <t>Kabineta nodrošinājuma maksājums 2022.g. visos mēnešos, euro**</t>
  </si>
  <si>
    <t>** Veselības ministrija plāno virzīt grozījumus Ministru kabineta 2018. gada 28. augusta noteikumu Nr.555 “Veselības aprūpes pakalpojumu organizēšanas un samaksas kārtība”” 10.pielikumā, ieviešot piezīmi Garastāvokļa traucējumu kabineta fiksētajam kabineta maksājumam: "Ja slodžu skaits uz 1 kabinetu pārsniedz 1, tad fiksēto kabineta maksājumu slodžu skaita vietā aprēķina uz kabinetu skaitu". Piemēram, uz 2 kabinetiem tiek norādītas 3 slodzes, tad fiksētā kabineta maksājuma aprēķinos tiek izmantotas nevis 3 slodzes (3 x 3 673=11 019 euro), bet 2 kabineti (2 x 3 673=7 346 euro).</t>
  </si>
  <si>
    <t>Kabineta nodrošinājuma maksājums 2022.g. 1.pusgadā, euro**</t>
  </si>
  <si>
    <t>2.pielikums Informatīvajam ziņojumam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</si>
</sst>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00_-;\-* #,##0.0000_-;_-* &quot;-&quot;??_-;_-@_-"/>
    <numFmt numFmtId="165" formatCode="#,##0.0000"/>
  </numFmts>
  <fonts count="35" x14ac:knownFonts="1">
    <font>
      <sz val="11"/>
      <color theme="1"/>
      <name val="Calibri"/>
      <family val="2"/>
      <charset val="186"/>
      <scheme val="minor"/>
    </font>
    <font>
      <sz val="11"/>
      <color theme="1"/>
      <name val="Calibri"/>
      <family val="2"/>
      <charset val="186"/>
      <scheme val="minor"/>
    </font>
    <font>
      <sz val="10"/>
      <color theme="1"/>
      <name val="Times New Roman"/>
      <family val="1"/>
    </font>
    <font>
      <sz val="9"/>
      <color theme="1"/>
      <name val="Times New Roman"/>
      <family val="1"/>
    </font>
    <font>
      <b/>
      <sz val="12"/>
      <color theme="1"/>
      <name val="Times New Roman"/>
      <family val="1"/>
    </font>
    <font>
      <b/>
      <sz val="10"/>
      <color theme="1"/>
      <name val="Times New Roman"/>
      <family val="1"/>
    </font>
    <font>
      <sz val="10"/>
      <name val="Times New Roman"/>
      <family val="1"/>
    </font>
    <font>
      <b/>
      <sz val="10"/>
      <name val="Times New Roman"/>
      <family val="1"/>
    </font>
    <font>
      <sz val="10"/>
      <color rgb="FF000000"/>
      <name val="Times New Roman"/>
      <family val="1"/>
    </font>
    <font>
      <b/>
      <sz val="10"/>
      <color rgb="FF7030A0"/>
      <name val="Times New Roman"/>
      <family val="1"/>
    </font>
    <font>
      <i/>
      <sz val="10"/>
      <name val="Times New Roman"/>
      <family val="1"/>
    </font>
    <font>
      <i/>
      <sz val="10"/>
      <color theme="1"/>
      <name val="Times New Roman"/>
      <family val="1"/>
    </font>
    <font>
      <sz val="10"/>
      <color rgb="FF7030A0"/>
      <name val="Times New Roman"/>
      <family val="1"/>
    </font>
    <font>
      <sz val="9"/>
      <name val="Times New Roman"/>
      <family val="1"/>
    </font>
    <font>
      <vertAlign val="superscript"/>
      <sz val="9"/>
      <name val="Times New Roman"/>
      <family val="1"/>
    </font>
    <font>
      <sz val="11"/>
      <color theme="1"/>
      <name val="Calibri"/>
      <family val="2"/>
      <charset val="204"/>
      <scheme val="minor"/>
    </font>
    <font>
      <sz val="11"/>
      <color theme="1"/>
      <name val="Times New Roman"/>
      <family val="1"/>
    </font>
    <font>
      <b/>
      <sz val="14"/>
      <name val="Times New Roman"/>
      <family val="1"/>
    </font>
    <font>
      <b/>
      <sz val="11"/>
      <color rgb="FFFF0000"/>
      <name val="Times New Roman"/>
      <family val="1"/>
    </font>
    <font>
      <sz val="11"/>
      <name val="Times New Roman"/>
      <family val="1"/>
    </font>
    <font>
      <b/>
      <i/>
      <sz val="11"/>
      <name val="Times New Roman"/>
      <family val="1"/>
    </font>
    <font>
      <b/>
      <sz val="11"/>
      <color theme="1"/>
      <name val="Times New Roman"/>
      <family val="1"/>
    </font>
    <font>
      <sz val="11"/>
      <color theme="1"/>
      <name val="Calibri"/>
      <family val="2"/>
      <scheme val="minor"/>
    </font>
    <font>
      <b/>
      <sz val="12"/>
      <name val="Times New Roman"/>
      <family val="1"/>
    </font>
    <font>
      <sz val="11"/>
      <color theme="2" tint="-0.499984740745262"/>
      <name val="Times New Roman"/>
      <family val="1"/>
    </font>
    <font>
      <b/>
      <sz val="13"/>
      <name val="Times New Roman"/>
      <family val="1"/>
    </font>
    <font>
      <b/>
      <sz val="11"/>
      <name val="Times New Roman"/>
      <family val="1"/>
    </font>
    <font>
      <sz val="10"/>
      <name val="Arial"/>
      <family val="2"/>
      <charset val="186"/>
    </font>
    <font>
      <sz val="11"/>
      <name val="Times New Roman"/>
      <family val="1"/>
      <charset val="186"/>
    </font>
    <font>
      <b/>
      <sz val="12"/>
      <name val="Times New Roman"/>
      <family val="1"/>
      <charset val="186"/>
    </font>
    <font>
      <b/>
      <sz val="14"/>
      <name val="Times New Roman"/>
      <family val="1"/>
      <charset val="186"/>
    </font>
    <font>
      <b/>
      <sz val="11"/>
      <color theme="1"/>
      <name val="Times New Roman"/>
      <family val="1"/>
      <charset val="186"/>
    </font>
    <font>
      <b/>
      <sz val="11"/>
      <name val="Times New Roman"/>
      <family val="1"/>
      <charset val="186"/>
    </font>
    <font>
      <b/>
      <sz val="11"/>
      <color rgb="FFFF0000"/>
      <name val="Times New Roman"/>
      <family val="1"/>
      <charset val="186"/>
    </font>
    <font>
      <sz val="12"/>
      <name val="Times New Roman"/>
      <family val="1"/>
    </font>
  </fonts>
  <fills count="9">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0"/>
        <bgColor indexed="64"/>
      </patternFill>
    </fill>
    <fill>
      <patternFill patternType="solid">
        <fgColor theme="4" tint="0.79998168889431442"/>
        <bgColor indexed="64"/>
      </patternFill>
    </fill>
  </fills>
  <borders count="3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10">
    <xf numFmtId="0" fontId="0" fillId="0" borderId="0"/>
    <xf numFmtId="43" fontId="1" fillId="0" borderId="0" applyFont="0" applyFill="0" applyBorder="0" applyAlignment="0" applyProtection="0"/>
    <xf numFmtId="0" fontId="15" fillId="0" borderId="0"/>
    <xf numFmtId="0" fontId="22" fillId="0" borderId="0"/>
    <xf numFmtId="0" fontId="22" fillId="0" borderId="0"/>
    <xf numFmtId="0" fontId="27" fillId="0" borderId="0"/>
    <xf numFmtId="0" fontId="15" fillId="0" borderId="0"/>
    <xf numFmtId="0" fontId="22" fillId="0" borderId="0"/>
    <xf numFmtId="9" fontId="1" fillId="0" borderId="0" applyFont="0" applyFill="0" applyBorder="0" applyAlignment="0" applyProtection="0"/>
    <xf numFmtId="0" fontId="22" fillId="0" borderId="0"/>
  </cellStyleXfs>
  <cellXfs count="458">
    <xf numFmtId="0" fontId="0" fillId="0" borderId="0" xfId="0"/>
    <xf numFmtId="0" fontId="3" fillId="0" borderId="0" xfId="0" applyFont="1" applyAlignment="1">
      <alignment vertical="center" wrapText="1"/>
    </xf>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5" fillId="0" borderId="0" xfId="0" applyFont="1"/>
    <xf numFmtId="0" fontId="2" fillId="0" borderId="0" xfId="0" applyFont="1"/>
    <xf numFmtId="0" fontId="2" fillId="0" borderId="0" xfId="0" applyFont="1" applyAlignment="1">
      <alignment horizontal="right"/>
    </xf>
    <xf numFmtId="0" fontId="2" fillId="0" borderId="0" xfId="0" applyFont="1" applyAlignment="1">
      <alignment horizontal="center" vertical="center"/>
    </xf>
    <xf numFmtId="0" fontId="6" fillId="0" borderId="0" xfId="0" applyFont="1" applyAlignment="1">
      <alignment vertical="center"/>
    </xf>
    <xf numFmtId="0" fontId="6" fillId="0" borderId="3" xfId="0" applyFont="1" applyBorder="1" applyAlignment="1">
      <alignment vertical="center"/>
    </xf>
    <xf numFmtId="4" fontId="2" fillId="0" borderId="0" xfId="0" applyNumberFormat="1" applyFont="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7" fillId="0" borderId="2" xfId="0" applyFont="1" applyBorder="1" applyAlignment="1">
      <alignment horizontal="center" vertical="center"/>
    </xf>
    <xf numFmtId="0" fontId="6" fillId="2"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8" fillId="0" borderId="2" xfId="0" applyFont="1" applyBorder="1" applyAlignment="1">
      <alignment horizontal="left" vertical="center" wrapText="1"/>
    </xf>
    <xf numFmtId="3" fontId="2" fillId="0" borderId="2" xfId="0" applyNumberFormat="1" applyFont="1" applyBorder="1" applyAlignment="1">
      <alignment horizontal="center" vertical="center"/>
    </xf>
    <xf numFmtId="3" fontId="2" fillId="0" borderId="4" xfId="0" applyNumberFormat="1" applyFont="1" applyBorder="1" applyAlignment="1">
      <alignment horizontal="center" vertical="center"/>
    </xf>
    <xf numFmtId="1" fontId="2" fillId="0" borderId="0" xfId="0" applyNumberFormat="1" applyFont="1" applyAlignment="1">
      <alignment horizontal="center" vertical="center"/>
    </xf>
    <xf numFmtId="0" fontId="6" fillId="0" borderId="2" xfId="0" applyFont="1" applyBorder="1" applyAlignment="1">
      <alignment horizontal="left" vertical="center" wrapText="1"/>
    </xf>
    <xf numFmtId="3" fontId="6" fillId="2" borderId="2" xfId="0" applyNumberFormat="1" applyFont="1" applyFill="1" applyBorder="1" applyAlignment="1">
      <alignment horizontal="center" vertical="center"/>
    </xf>
    <xf numFmtId="3" fontId="6" fillId="0" borderId="2" xfId="0" applyNumberFormat="1" applyFont="1" applyBorder="1" applyAlignment="1">
      <alignment horizontal="center" vertical="center"/>
    </xf>
    <xf numFmtId="3" fontId="7" fillId="0" borderId="2" xfId="0" applyNumberFormat="1" applyFont="1" applyBorder="1" applyAlignment="1">
      <alignment horizontal="center" vertical="center"/>
    </xf>
    <xf numFmtId="0" fontId="2" fillId="0" borderId="2" xfId="0" applyFont="1" applyBorder="1" applyAlignment="1">
      <alignment horizontal="left" vertical="center"/>
    </xf>
    <xf numFmtId="3" fontId="2" fillId="0" borderId="2" xfId="0" applyNumberFormat="1" applyFont="1" applyBorder="1" applyAlignment="1">
      <alignment horizontal="center" vertical="center" wrapText="1"/>
    </xf>
    <xf numFmtId="1" fontId="2" fillId="0" borderId="0" xfId="0" applyNumberFormat="1" applyFont="1" applyAlignment="1">
      <alignment horizontal="center" vertical="center" wrapText="1"/>
    </xf>
    <xf numFmtId="0" fontId="6" fillId="0" borderId="2" xfId="0" applyFont="1" applyBorder="1" applyAlignment="1">
      <alignment horizontal="left" vertical="center"/>
    </xf>
    <xf numFmtId="3" fontId="6" fillId="2" borderId="2" xfId="0" applyNumberFormat="1" applyFont="1" applyFill="1" applyBorder="1" applyAlignment="1">
      <alignment horizontal="center" vertical="center" wrapText="1"/>
    </xf>
    <xf numFmtId="0" fontId="2" fillId="0" borderId="1" xfId="0" applyFont="1" applyBorder="1" applyAlignment="1">
      <alignment horizontal="left" vertical="center"/>
    </xf>
    <xf numFmtId="3" fontId="2" fillId="0" borderId="1" xfId="0" applyNumberFormat="1" applyFont="1" applyBorder="1" applyAlignment="1">
      <alignment horizontal="center" vertical="center" wrapText="1"/>
    </xf>
    <xf numFmtId="0" fontId="6" fillId="0" borderId="2" xfId="0" applyFont="1" applyBorder="1" applyAlignment="1">
      <alignment vertical="center" wrapText="1"/>
    </xf>
    <xf numFmtId="0" fontId="9" fillId="0" borderId="0" xfId="0" applyFont="1" applyAlignment="1">
      <alignment vertical="center"/>
    </xf>
    <xf numFmtId="3" fontId="5" fillId="0" borderId="2" xfId="0" applyNumberFormat="1" applyFont="1" applyBorder="1" applyAlignment="1">
      <alignment horizontal="center" vertical="center" wrapText="1"/>
    </xf>
    <xf numFmtId="0" fontId="2" fillId="0" borderId="0" xfId="0" applyFont="1" applyAlignment="1">
      <alignment horizontal="left" vertical="center" wrapText="1"/>
    </xf>
    <xf numFmtId="0" fontId="10" fillId="0" borderId="2" xfId="0" applyFont="1" applyBorder="1" applyAlignment="1">
      <alignment horizontal="right" vertical="center" wrapText="1"/>
    </xf>
    <xf numFmtId="3" fontId="10" fillId="2" borderId="2" xfId="0" applyNumberFormat="1" applyFont="1" applyFill="1" applyBorder="1" applyAlignment="1">
      <alignment horizontal="center" vertical="center"/>
    </xf>
    <xf numFmtId="3" fontId="10" fillId="0" borderId="2" xfId="0" applyNumberFormat="1" applyFont="1" applyBorder="1" applyAlignment="1">
      <alignment horizontal="center" vertical="center"/>
    </xf>
    <xf numFmtId="0" fontId="6" fillId="0" borderId="0" xfId="0" applyFont="1" applyAlignment="1">
      <alignment horizontal="center" vertical="center"/>
    </xf>
    <xf numFmtId="0" fontId="7" fillId="0" borderId="2" xfId="0" applyFont="1" applyBorder="1" applyAlignment="1">
      <alignment horizontal="left" vertical="center" wrapText="1"/>
    </xf>
    <xf numFmtId="3" fontId="7" fillId="2" borderId="2" xfId="0" applyNumberFormat="1" applyFont="1" applyFill="1" applyBorder="1" applyAlignment="1">
      <alignment horizontal="center" vertical="center"/>
    </xf>
    <xf numFmtId="0" fontId="7" fillId="0" borderId="0" xfId="0" applyFont="1" applyAlignment="1">
      <alignment vertical="center"/>
    </xf>
    <xf numFmtId="0" fontId="7" fillId="0" borderId="0" xfId="0" applyFont="1" applyAlignment="1">
      <alignment horizontal="left" vertical="center" wrapText="1"/>
    </xf>
    <xf numFmtId="3" fontId="7" fillId="0" borderId="2" xfId="0" applyNumberFormat="1" applyFont="1" applyBorder="1" applyAlignment="1">
      <alignment horizontal="right" vertical="center"/>
    </xf>
    <xf numFmtId="3" fontId="7" fillId="3" borderId="2" xfId="0" applyNumberFormat="1" applyFont="1" applyFill="1" applyBorder="1" applyAlignment="1">
      <alignment horizontal="center" vertical="center"/>
    </xf>
    <xf numFmtId="4" fontId="7" fillId="0" borderId="0" xfId="0" applyNumberFormat="1" applyFont="1" applyAlignment="1">
      <alignment horizontal="center" vertical="center"/>
    </xf>
    <xf numFmtId="0" fontId="11" fillId="0" borderId="0" xfId="0" applyFont="1" applyAlignment="1">
      <alignment vertical="center"/>
    </xf>
    <xf numFmtId="4" fontId="6" fillId="0" borderId="0" xfId="0" applyNumberFormat="1" applyFont="1" applyAlignment="1">
      <alignment horizontal="center" vertical="center"/>
    </xf>
    <xf numFmtId="3" fontId="2" fillId="0" borderId="0" xfId="0" applyNumberFormat="1" applyFont="1" applyAlignment="1">
      <alignment horizontal="center" vertical="center"/>
    </xf>
    <xf numFmtId="3" fontId="6" fillId="0" borderId="2" xfId="0" applyNumberFormat="1" applyFont="1" applyBorder="1" applyAlignment="1">
      <alignment horizontal="center" vertical="center" wrapText="1"/>
    </xf>
    <xf numFmtId="164" fontId="6" fillId="0" borderId="0" xfId="1" applyNumberFormat="1" applyFont="1" applyAlignment="1">
      <alignment vertical="center"/>
    </xf>
    <xf numFmtId="0" fontId="10" fillId="0" borderId="0" xfId="0" applyFont="1" applyAlignment="1">
      <alignment vertical="center"/>
    </xf>
    <xf numFmtId="0" fontId="11" fillId="0" borderId="2" xfId="0" applyFont="1" applyBorder="1" applyAlignment="1">
      <alignment horizontal="right" vertical="center"/>
    </xf>
    <xf numFmtId="3" fontId="11" fillId="0" borderId="2" xfId="0" applyNumberFormat="1" applyFont="1" applyBorder="1" applyAlignment="1">
      <alignment horizontal="center" vertical="center"/>
    </xf>
    <xf numFmtId="0" fontId="5" fillId="0" borderId="2" xfId="0" applyFont="1" applyBorder="1" applyAlignment="1">
      <alignment horizontal="left" vertical="center" wrapText="1"/>
    </xf>
    <xf numFmtId="3" fontId="5" fillId="0" borderId="2" xfId="0" applyNumberFormat="1" applyFont="1" applyBorder="1" applyAlignment="1">
      <alignment horizontal="center" vertical="center"/>
    </xf>
    <xf numFmtId="0" fontId="5" fillId="0" borderId="0" xfId="0" applyFont="1" applyAlignment="1">
      <alignment vertical="center"/>
    </xf>
    <xf numFmtId="0" fontId="5" fillId="0" borderId="0" xfId="0" applyFont="1" applyAlignment="1">
      <alignment horizontal="left" vertical="center" wrapText="1"/>
    </xf>
    <xf numFmtId="3" fontId="5" fillId="0" borderId="0" xfId="0" applyNumberFormat="1" applyFont="1" applyAlignment="1">
      <alignment horizontal="center" vertical="center"/>
    </xf>
    <xf numFmtId="0" fontId="12" fillId="0" borderId="0" xfId="0" applyFont="1" applyAlignment="1">
      <alignment horizontal="center" vertical="center"/>
    </xf>
    <xf numFmtId="3" fontId="5" fillId="4" borderId="2" xfId="0" applyNumberFormat="1" applyFont="1" applyFill="1" applyBorder="1" applyAlignment="1">
      <alignment horizontal="center" vertical="center"/>
    </xf>
    <xf numFmtId="3" fontId="7" fillId="4" borderId="2" xfId="1" applyNumberFormat="1" applyFont="1" applyFill="1" applyBorder="1" applyAlignment="1">
      <alignment horizontal="center" vertical="center"/>
    </xf>
    <xf numFmtId="0" fontId="12" fillId="0" borderId="0" xfId="0" applyFont="1" applyAlignment="1">
      <alignment horizontal="right" vertical="center"/>
    </xf>
    <xf numFmtId="3" fontId="12" fillId="0" borderId="0" xfId="0" applyNumberFormat="1" applyFont="1" applyAlignment="1">
      <alignment horizontal="center" vertical="center"/>
    </xf>
    <xf numFmtId="0" fontId="12" fillId="0" borderId="0" xfId="0" applyFont="1" applyAlignment="1">
      <alignment vertical="center"/>
    </xf>
    <xf numFmtId="0" fontId="16" fillId="0" borderId="0" xfId="2" applyFont="1" applyAlignment="1">
      <alignment horizontal="center"/>
    </xf>
    <xf numFmtId="0" fontId="16" fillId="0" borderId="0" xfId="2" applyFont="1"/>
    <xf numFmtId="0" fontId="16" fillId="0" borderId="0" xfId="2" applyFont="1" applyAlignment="1">
      <alignment horizontal="center" vertical="center"/>
    </xf>
    <xf numFmtId="0" fontId="18" fillId="0" borderId="0" xfId="2" applyFont="1"/>
    <xf numFmtId="0" fontId="19" fillId="0" borderId="0" xfId="2" applyFont="1" applyAlignment="1">
      <alignment horizontal="center" vertical="center"/>
    </xf>
    <xf numFmtId="0" fontId="19" fillId="0" borderId="0" xfId="2" applyFont="1"/>
    <xf numFmtId="0" fontId="19" fillId="0" borderId="0" xfId="2" applyFont="1" applyAlignment="1">
      <alignment horizontal="center"/>
    </xf>
    <xf numFmtId="0" fontId="20" fillId="0" borderId="0" xfId="2" applyFont="1" applyAlignment="1">
      <alignment vertical="center" wrapText="1"/>
    </xf>
    <xf numFmtId="0" fontId="20" fillId="0" borderId="0" xfId="2" applyFont="1" applyAlignment="1">
      <alignment horizontal="center" vertical="center" wrapText="1"/>
    </xf>
    <xf numFmtId="0" fontId="16" fillId="0" borderId="0" xfId="0" applyFont="1"/>
    <xf numFmtId="0" fontId="19" fillId="0" borderId="0" xfId="3" applyFont="1" applyAlignment="1">
      <alignment horizontal="center"/>
    </xf>
    <xf numFmtId="0" fontId="19" fillId="0" borderId="0" xfId="3" applyFont="1"/>
    <xf numFmtId="0" fontId="18" fillId="0" borderId="0" xfId="3" applyFont="1"/>
    <xf numFmtId="0" fontId="19" fillId="0" borderId="0" xfId="3" applyFont="1" applyAlignment="1">
      <alignment horizontal="center" vertical="center"/>
    </xf>
    <xf numFmtId="3" fontId="19" fillId="0" borderId="2" xfId="4" applyNumberFormat="1" applyFont="1" applyBorder="1" applyAlignment="1">
      <alignment horizontal="center" vertical="top"/>
    </xf>
    <xf numFmtId="3" fontId="19" fillId="5" borderId="2" xfId="4" applyNumberFormat="1" applyFont="1" applyFill="1" applyBorder="1" applyAlignment="1">
      <alignment horizontal="center" vertical="top"/>
    </xf>
    <xf numFmtId="0" fontId="16" fillId="0" borderId="2" xfId="2" applyFont="1" applyBorder="1" applyAlignment="1">
      <alignment horizontal="center" vertical="top"/>
    </xf>
    <xf numFmtId="165" fontId="19" fillId="0" borderId="2" xfId="4" applyNumberFormat="1" applyFont="1" applyBorder="1" applyAlignment="1">
      <alignment horizontal="center" vertical="top"/>
    </xf>
    <xf numFmtId="0" fontId="16" fillId="0" borderId="0" xfId="2" applyFont="1" applyAlignment="1">
      <alignment horizontal="center" vertical="top"/>
    </xf>
    <xf numFmtId="4" fontId="19" fillId="0" borderId="0" xfId="4" applyNumberFormat="1" applyFont="1" applyAlignment="1">
      <alignment horizontal="center" vertical="top"/>
    </xf>
    <xf numFmtId="3" fontId="19" fillId="0" borderId="0" xfId="4" applyNumberFormat="1" applyFont="1" applyAlignment="1">
      <alignment horizontal="center" vertical="top"/>
    </xf>
    <xf numFmtId="3" fontId="18" fillId="0" borderId="0" xfId="4" applyNumberFormat="1" applyFont="1" applyAlignment="1">
      <alignment horizontal="left" vertical="top"/>
    </xf>
    <xf numFmtId="0" fontId="16" fillId="0" borderId="0" xfId="2" applyFont="1" applyAlignment="1">
      <alignment horizontal="left" vertical="top"/>
    </xf>
    <xf numFmtId="0" fontId="19" fillId="6" borderId="1" xfId="4" applyFont="1" applyFill="1" applyBorder="1" applyAlignment="1">
      <alignment horizontal="center" vertical="center" wrapText="1"/>
    </xf>
    <xf numFmtId="4" fontId="19" fillId="6" borderId="1" xfId="4" applyNumberFormat="1" applyFont="1" applyFill="1" applyBorder="1" applyAlignment="1">
      <alignment horizontal="center" vertical="center" wrapText="1"/>
    </xf>
    <xf numFmtId="3" fontId="19" fillId="6" borderId="1" xfId="4" applyNumberFormat="1" applyFont="1" applyFill="1" applyBorder="1" applyAlignment="1">
      <alignment horizontal="center" vertical="center" wrapText="1"/>
    </xf>
    <xf numFmtId="0" fontId="16" fillId="6" borderId="1" xfId="2" applyFont="1" applyFill="1" applyBorder="1" applyAlignment="1">
      <alignment horizontal="center" vertical="center" wrapText="1"/>
    </xf>
    <xf numFmtId="0" fontId="18" fillId="0" borderId="0" xfId="2" applyFont="1" applyAlignment="1">
      <alignment horizontal="center" vertical="center"/>
    </xf>
    <xf numFmtId="0" fontId="19" fillId="0" borderId="7" xfId="4" applyFont="1" applyBorder="1" applyAlignment="1">
      <alignment horizontal="center" vertical="top"/>
    </xf>
    <xf numFmtId="0" fontId="19" fillId="0" borderId="8" xfId="4" applyFont="1" applyBorder="1" applyAlignment="1">
      <alignment horizontal="left" vertical="top"/>
    </xf>
    <xf numFmtId="0" fontId="19" fillId="0" borderId="8" xfId="4" applyFont="1" applyBorder="1" applyAlignment="1">
      <alignment horizontal="center" vertical="top"/>
    </xf>
    <xf numFmtId="4" fontId="19" fillId="0" borderId="8" xfId="4" applyNumberFormat="1" applyFont="1" applyBorder="1" applyAlignment="1">
      <alignment horizontal="center" vertical="top"/>
    </xf>
    <xf numFmtId="3" fontId="19" fillId="0" borderId="8" xfId="4" applyNumberFormat="1" applyFont="1" applyBorder="1" applyAlignment="1">
      <alignment horizontal="center" vertical="top"/>
    </xf>
    <xf numFmtId="3" fontId="19" fillId="0" borderId="9" xfId="4" applyNumberFormat="1" applyFont="1" applyBorder="1" applyAlignment="1">
      <alignment horizontal="center" vertical="top"/>
    </xf>
    <xf numFmtId="3" fontId="16" fillId="0" borderId="10" xfId="2" applyNumberFormat="1" applyFont="1" applyBorder="1" applyAlignment="1">
      <alignment horizontal="center" vertical="top"/>
    </xf>
    <xf numFmtId="0" fontId="18" fillId="0" borderId="0" xfId="2" applyFont="1" applyAlignment="1">
      <alignment horizontal="left" vertical="top"/>
    </xf>
    <xf numFmtId="0" fontId="19" fillId="0" borderId="11" xfId="4" applyFont="1" applyBorder="1" applyAlignment="1">
      <alignment horizontal="center" vertical="top"/>
    </xf>
    <xf numFmtId="0" fontId="19" fillId="0" borderId="2" xfId="4" applyFont="1" applyBorder="1" applyAlignment="1">
      <alignment horizontal="left" vertical="top"/>
    </xf>
    <xf numFmtId="0" fontId="19" fillId="0" borderId="2" xfId="4" applyFont="1" applyBorder="1" applyAlignment="1">
      <alignment horizontal="center" vertical="top"/>
    </xf>
    <xf numFmtId="4" fontId="19" fillId="0" borderId="2" xfId="4" applyNumberFormat="1" applyFont="1" applyBorder="1" applyAlignment="1">
      <alignment horizontal="center" vertical="top"/>
    </xf>
    <xf numFmtId="3" fontId="16" fillId="0" borderId="12" xfId="2" applyNumberFormat="1" applyFont="1" applyBorder="1" applyAlignment="1">
      <alignment horizontal="center" vertical="top"/>
    </xf>
    <xf numFmtId="0" fontId="16" fillId="0" borderId="11" xfId="2" applyFont="1" applyBorder="1" applyAlignment="1">
      <alignment horizontal="center" vertical="top"/>
    </xf>
    <xf numFmtId="0" fontId="16" fillId="0" borderId="2" xfId="2" applyFont="1" applyBorder="1" applyAlignment="1">
      <alignment horizontal="left" vertical="top"/>
    </xf>
    <xf numFmtId="4" fontId="16" fillId="0" borderId="2" xfId="2" applyNumberFormat="1" applyFont="1" applyBorder="1" applyAlignment="1">
      <alignment horizontal="center" vertical="top"/>
    </xf>
    <xf numFmtId="3" fontId="16" fillId="0" borderId="2" xfId="2" applyNumberFormat="1" applyFont="1" applyBorder="1" applyAlignment="1">
      <alignment horizontal="center" vertical="top"/>
    </xf>
    <xf numFmtId="3" fontId="19" fillId="0" borderId="6" xfId="4" applyNumberFormat="1" applyFont="1" applyBorder="1" applyAlignment="1">
      <alignment horizontal="center" vertical="top"/>
    </xf>
    <xf numFmtId="4" fontId="18" fillId="0" borderId="0" xfId="2" applyNumberFormat="1" applyFont="1" applyAlignment="1">
      <alignment horizontal="left" vertical="top"/>
    </xf>
    <xf numFmtId="0" fontId="16" fillId="0" borderId="13" xfId="2" applyFont="1" applyBorder="1" applyAlignment="1">
      <alignment horizontal="center" vertical="top"/>
    </xf>
    <xf numFmtId="0" fontId="16" fillId="0" borderId="14" xfId="2" applyFont="1" applyBorder="1" applyAlignment="1">
      <alignment horizontal="left" vertical="top"/>
    </xf>
    <xf numFmtId="0" fontId="19" fillId="0" borderId="14" xfId="4" applyFont="1" applyBorder="1" applyAlignment="1">
      <alignment horizontal="center" vertical="top"/>
    </xf>
    <xf numFmtId="0" fontId="16" fillId="0" borderId="14" xfId="2" applyFont="1" applyBorder="1" applyAlignment="1">
      <alignment horizontal="center" vertical="top"/>
    </xf>
    <xf numFmtId="4" fontId="16" fillId="0" borderId="14" xfId="2" applyNumberFormat="1" applyFont="1" applyBorder="1" applyAlignment="1">
      <alignment horizontal="center" vertical="top"/>
    </xf>
    <xf numFmtId="3" fontId="19" fillId="0" borderId="14" xfId="4" applyNumberFormat="1" applyFont="1" applyBorder="1" applyAlignment="1">
      <alignment horizontal="center" vertical="top"/>
    </xf>
    <xf numFmtId="3" fontId="16" fillId="0" borderId="14" xfId="2" applyNumberFormat="1" applyFont="1" applyBorder="1" applyAlignment="1">
      <alignment horizontal="center" vertical="top"/>
    </xf>
    <xf numFmtId="3" fontId="16" fillId="0" borderId="15" xfId="2" applyNumberFormat="1" applyFont="1" applyBorder="1" applyAlignment="1">
      <alignment horizontal="center" vertical="top"/>
    </xf>
    <xf numFmtId="0" fontId="16" fillId="0" borderId="7" xfId="2" applyFont="1" applyBorder="1" applyAlignment="1">
      <alignment horizontal="center" vertical="top"/>
    </xf>
    <xf numFmtId="0" fontId="16" fillId="0" borderId="8" xfId="2" applyFont="1" applyBorder="1" applyAlignment="1">
      <alignment horizontal="center" vertical="top"/>
    </xf>
    <xf numFmtId="4" fontId="16" fillId="0" borderId="8" xfId="2" applyNumberFormat="1" applyFont="1" applyBorder="1" applyAlignment="1">
      <alignment horizontal="center" vertical="top"/>
    </xf>
    <xf numFmtId="3" fontId="16" fillId="0" borderId="8" xfId="2" applyNumberFormat="1" applyFont="1" applyBorder="1" applyAlignment="1">
      <alignment horizontal="center"/>
    </xf>
    <xf numFmtId="3" fontId="16" fillId="0" borderId="8" xfId="2" applyNumberFormat="1" applyFont="1" applyBorder="1" applyAlignment="1">
      <alignment horizontal="center" vertical="top"/>
    </xf>
    <xf numFmtId="3" fontId="16" fillId="0" borderId="2" xfId="2" applyNumberFormat="1" applyFont="1" applyBorder="1" applyAlignment="1">
      <alignment horizontal="center"/>
    </xf>
    <xf numFmtId="4" fontId="18" fillId="0" borderId="0" xfId="2" applyNumberFormat="1" applyFont="1"/>
    <xf numFmtId="3" fontId="16" fillId="0" borderId="14" xfId="2" applyNumberFormat="1" applyFont="1" applyBorder="1" applyAlignment="1">
      <alignment horizontal="center"/>
    </xf>
    <xf numFmtId="4" fontId="16" fillId="0" borderId="8" xfId="2" applyNumberFormat="1" applyFont="1" applyBorder="1" applyAlignment="1">
      <alignment horizontal="center"/>
    </xf>
    <xf numFmtId="4" fontId="16" fillId="0" borderId="2" xfId="2" applyNumberFormat="1" applyFont="1" applyBorder="1" applyAlignment="1">
      <alignment horizontal="center"/>
    </xf>
    <xf numFmtId="4" fontId="16" fillId="0" borderId="14" xfId="2" applyNumberFormat="1" applyFont="1" applyBorder="1" applyAlignment="1">
      <alignment horizontal="center"/>
    </xf>
    <xf numFmtId="0" fontId="16" fillId="0" borderId="16" xfId="2" applyFont="1" applyBorder="1" applyAlignment="1">
      <alignment horizontal="center" vertical="top"/>
    </xf>
    <xf numFmtId="0" fontId="19" fillId="0" borderId="6" xfId="4" applyFont="1" applyBorder="1" applyAlignment="1">
      <alignment horizontal="left" vertical="top"/>
    </xf>
    <xf numFmtId="0" fontId="19" fillId="0" borderId="6" xfId="4" applyFont="1" applyBorder="1" applyAlignment="1">
      <alignment horizontal="center" vertical="top"/>
    </xf>
    <xf numFmtId="0" fontId="16" fillId="0" borderId="6" xfId="2" applyFont="1" applyBorder="1" applyAlignment="1">
      <alignment horizontal="center" vertical="top"/>
    </xf>
    <xf numFmtId="4" fontId="16" fillId="0" borderId="6" xfId="2" applyNumberFormat="1" applyFont="1" applyBorder="1" applyAlignment="1">
      <alignment horizontal="center"/>
    </xf>
    <xf numFmtId="4" fontId="16" fillId="0" borderId="6" xfId="2" applyNumberFormat="1" applyFont="1" applyBorder="1" applyAlignment="1">
      <alignment horizontal="center" vertical="top"/>
    </xf>
    <xf numFmtId="3" fontId="16" fillId="0" borderId="6" xfId="2" applyNumberFormat="1" applyFont="1" applyBorder="1" applyAlignment="1">
      <alignment horizontal="center"/>
    </xf>
    <xf numFmtId="3" fontId="16" fillId="0" borderId="6" xfId="2" applyNumberFormat="1" applyFont="1" applyBorder="1" applyAlignment="1">
      <alignment horizontal="center" vertical="top"/>
    </xf>
    <xf numFmtId="3" fontId="16" fillId="0" borderId="17" xfId="2" applyNumberFormat="1" applyFont="1" applyBorder="1" applyAlignment="1">
      <alignment horizontal="center" vertical="top"/>
    </xf>
    <xf numFmtId="3" fontId="16" fillId="0" borderId="18" xfId="2" applyNumberFormat="1" applyFont="1" applyBorder="1" applyAlignment="1">
      <alignment horizontal="center" vertical="top"/>
    </xf>
    <xf numFmtId="3" fontId="16" fillId="0" borderId="4" xfId="2" applyNumberFormat="1" applyFont="1" applyBorder="1" applyAlignment="1">
      <alignment horizontal="center" vertical="top"/>
    </xf>
    <xf numFmtId="0" fontId="16" fillId="0" borderId="19" xfId="2" applyFont="1" applyBorder="1" applyAlignment="1">
      <alignment horizontal="center" vertical="top"/>
    </xf>
    <xf numFmtId="0" fontId="16" fillId="0" borderId="1" xfId="2" applyFont="1" applyBorder="1" applyAlignment="1">
      <alignment horizontal="left" vertical="top"/>
    </xf>
    <xf numFmtId="0" fontId="19" fillId="0" borderId="1" xfId="4" applyFont="1" applyBorder="1" applyAlignment="1">
      <alignment horizontal="center" vertical="top"/>
    </xf>
    <xf numFmtId="0" fontId="16" fillId="0" borderId="1" xfId="2" applyFont="1" applyBorder="1" applyAlignment="1">
      <alignment horizontal="center" vertical="top"/>
    </xf>
    <xf numFmtId="4" fontId="16" fillId="0" borderId="1" xfId="2" applyNumberFormat="1" applyFont="1" applyBorder="1" applyAlignment="1">
      <alignment horizontal="center" vertical="top"/>
    </xf>
    <xf numFmtId="4" fontId="16" fillId="0" borderId="1" xfId="2" applyNumberFormat="1" applyFont="1" applyBorder="1" applyAlignment="1">
      <alignment horizontal="center"/>
    </xf>
    <xf numFmtId="3" fontId="19" fillId="0" borderId="1" xfId="4" applyNumberFormat="1" applyFont="1" applyBorder="1" applyAlignment="1">
      <alignment horizontal="center" vertical="top"/>
    </xf>
    <xf numFmtId="3" fontId="16" fillId="0" borderId="1" xfId="2" applyNumberFormat="1" applyFont="1" applyBorder="1" applyAlignment="1">
      <alignment horizontal="center"/>
    </xf>
    <xf numFmtId="3" fontId="16" fillId="0" borderId="1" xfId="2" applyNumberFormat="1" applyFont="1" applyBorder="1" applyAlignment="1">
      <alignment horizontal="center" vertical="top"/>
    </xf>
    <xf numFmtId="3" fontId="16" fillId="0" borderId="20" xfId="2" applyNumberFormat="1" applyFont="1" applyBorder="1" applyAlignment="1">
      <alignment horizontal="center" vertical="top"/>
    </xf>
    <xf numFmtId="3" fontId="16" fillId="0" borderId="21" xfId="2" applyNumberFormat="1" applyFont="1" applyBorder="1" applyAlignment="1">
      <alignment horizontal="center" vertical="top"/>
    </xf>
    <xf numFmtId="0" fontId="16" fillId="0" borderId="7" xfId="2" applyFont="1" applyBorder="1" applyAlignment="1">
      <alignment horizontal="center"/>
    </xf>
    <xf numFmtId="3" fontId="16" fillId="0" borderId="22" xfId="2" applyNumberFormat="1" applyFont="1" applyBorder="1" applyAlignment="1">
      <alignment horizontal="center" vertical="top"/>
    </xf>
    <xf numFmtId="0" fontId="16" fillId="0" borderId="11" xfId="2" applyFont="1" applyBorder="1" applyAlignment="1">
      <alignment horizontal="center"/>
    </xf>
    <xf numFmtId="0" fontId="16" fillId="0" borderId="13" xfId="2" applyFont="1" applyBorder="1" applyAlignment="1">
      <alignment horizontal="center"/>
    </xf>
    <xf numFmtId="3" fontId="16" fillId="0" borderId="23" xfId="2" applyNumberFormat="1" applyFont="1" applyBorder="1" applyAlignment="1">
      <alignment horizontal="center" vertical="top"/>
    </xf>
    <xf numFmtId="4" fontId="16" fillId="0" borderId="0" xfId="2" applyNumberFormat="1" applyFont="1" applyAlignment="1">
      <alignment horizontal="center"/>
    </xf>
    <xf numFmtId="3" fontId="21" fillId="3" borderId="6" xfId="2" applyNumberFormat="1" applyFont="1" applyFill="1" applyBorder="1" applyAlignment="1">
      <alignment horizontal="center"/>
    </xf>
    <xf numFmtId="3" fontId="21" fillId="3" borderId="2" xfId="2" applyNumberFormat="1" applyFont="1" applyFill="1" applyBorder="1" applyAlignment="1">
      <alignment horizontal="center"/>
    </xf>
    <xf numFmtId="4" fontId="24" fillId="0" borderId="0" xfId="2" applyNumberFormat="1" applyFont="1" applyAlignment="1">
      <alignment horizontal="center"/>
    </xf>
    <xf numFmtId="0" fontId="25" fillId="0" borderId="3" xfId="2" applyFont="1" applyBorder="1"/>
    <xf numFmtId="0" fontId="18" fillId="0" borderId="0" xfId="2" applyFont="1" applyAlignment="1">
      <alignment horizontal="center" wrapText="1"/>
    </xf>
    <xf numFmtId="0" fontId="16" fillId="0" borderId="0" xfId="2" applyFont="1" applyAlignment="1">
      <alignment horizontal="center" vertical="center" wrapText="1"/>
    </xf>
    <xf numFmtId="0" fontId="16" fillId="0" borderId="0" xfId="2" applyFont="1" applyAlignment="1">
      <alignment horizontal="center" wrapText="1"/>
    </xf>
    <xf numFmtId="3" fontId="19" fillId="0" borderId="27" xfId="4" applyNumberFormat="1" applyFont="1" applyBorder="1" applyAlignment="1">
      <alignment horizontal="center" vertical="top"/>
    </xf>
    <xf numFmtId="0" fontId="16" fillId="0" borderId="8" xfId="2" applyFont="1" applyBorder="1" applyAlignment="1">
      <alignment horizontal="center"/>
    </xf>
    <xf numFmtId="0" fontId="16" fillId="0" borderId="2" xfId="2" applyFont="1" applyBorder="1" applyAlignment="1">
      <alignment horizontal="center"/>
    </xf>
    <xf numFmtId="0" fontId="16" fillId="0" borderId="1" xfId="2" applyFont="1" applyBorder="1" applyAlignment="1">
      <alignment horizontal="center"/>
    </xf>
    <xf numFmtId="0" fontId="19" fillId="0" borderId="1" xfId="4" applyFont="1" applyBorder="1" applyAlignment="1">
      <alignment horizontal="left" vertical="top"/>
    </xf>
    <xf numFmtId="0" fontId="16" fillId="0" borderId="14" xfId="2" applyFont="1" applyBorder="1" applyAlignment="1">
      <alignment horizontal="center"/>
    </xf>
    <xf numFmtId="0" fontId="16" fillId="0" borderId="6" xfId="2" applyFont="1" applyBorder="1" applyAlignment="1">
      <alignment horizontal="center"/>
    </xf>
    <xf numFmtId="0" fontId="16" fillId="0" borderId="19" xfId="2" applyFont="1" applyBorder="1" applyAlignment="1">
      <alignment horizontal="center"/>
    </xf>
    <xf numFmtId="0" fontId="18" fillId="0" borderId="0" xfId="2" applyFont="1" applyAlignment="1">
      <alignment horizontal="left" vertical="center"/>
    </xf>
    <xf numFmtId="0" fontId="18" fillId="0" borderId="0" xfId="4" applyFont="1" applyAlignment="1">
      <alignment horizontal="center" vertical="center"/>
    </xf>
    <xf numFmtId="4" fontId="18" fillId="0" borderId="0" xfId="2" applyNumberFormat="1" applyFont="1" applyAlignment="1">
      <alignment horizontal="center" vertical="center"/>
    </xf>
    <xf numFmtId="4" fontId="19" fillId="0" borderId="0" xfId="2" applyNumberFormat="1" applyFont="1" applyAlignment="1">
      <alignment horizontal="center" vertical="center"/>
    </xf>
    <xf numFmtId="4" fontId="18" fillId="0" borderId="0" xfId="4" applyNumberFormat="1" applyFont="1" applyAlignment="1">
      <alignment horizontal="center" vertical="center"/>
    </xf>
    <xf numFmtId="3" fontId="26" fillId="3" borderId="6" xfId="2" applyNumberFormat="1" applyFont="1" applyFill="1" applyBorder="1" applyAlignment="1">
      <alignment horizontal="center" vertical="center"/>
    </xf>
    <xf numFmtId="4" fontId="18" fillId="0" borderId="0" xfId="2" applyNumberFormat="1" applyFont="1" applyAlignment="1">
      <alignment vertical="center"/>
    </xf>
    <xf numFmtId="4" fontId="16" fillId="0" borderId="0" xfId="2" applyNumberFormat="1" applyFont="1" applyAlignment="1">
      <alignment horizontal="center" vertical="center"/>
    </xf>
    <xf numFmtId="0" fontId="16" fillId="0" borderId="0" xfId="2" applyFont="1" applyAlignment="1">
      <alignment vertical="center"/>
    </xf>
    <xf numFmtId="0" fontId="18" fillId="0" borderId="0" xfId="4" applyFont="1" applyAlignment="1">
      <alignment horizontal="center" vertical="top"/>
    </xf>
    <xf numFmtId="4" fontId="18" fillId="0" borderId="0" xfId="2" applyNumberFormat="1" applyFont="1" applyAlignment="1">
      <alignment horizontal="center" vertical="top"/>
    </xf>
    <xf numFmtId="4" fontId="19" fillId="0" borderId="0" xfId="2" applyNumberFormat="1" applyFont="1" applyAlignment="1">
      <alignment horizontal="center" vertical="top"/>
    </xf>
    <xf numFmtId="4" fontId="18" fillId="0" borderId="0" xfId="4" applyNumberFormat="1" applyFont="1" applyAlignment="1">
      <alignment horizontal="center" vertical="top"/>
    </xf>
    <xf numFmtId="4" fontId="18" fillId="0" borderId="0" xfId="2" applyNumberFormat="1" applyFont="1" applyAlignment="1">
      <alignment horizontal="center"/>
    </xf>
    <xf numFmtId="4" fontId="18" fillId="6" borderId="0" xfId="2" applyNumberFormat="1" applyFont="1" applyFill="1" applyAlignment="1">
      <alignment horizontal="center" vertical="top"/>
    </xf>
    <xf numFmtId="0" fontId="18" fillId="0" borderId="0" xfId="2" applyFont="1" applyAlignment="1">
      <alignment horizontal="center"/>
    </xf>
    <xf numFmtId="4" fontId="19" fillId="0" borderId="0" xfId="2" applyNumberFormat="1" applyFont="1" applyAlignment="1">
      <alignment horizontal="right" vertical="top"/>
    </xf>
    <xf numFmtId="0" fontId="21" fillId="6" borderId="1" xfId="2" applyFont="1" applyFill="1" applyBorder="1" applyAlignment="1">
      <alignment horizontal="center" vertical="center" wrapText="1"/>
    </xf>
    <xf numFmtId="0" fontId="25" fillId="0" borderId="0" xfId="2" applyFont="1"/>
    <xf numFmtId="0" fontId="16" fillId="0" borderId="8" xfId="2" applyFont="1" applyBorder="1" applyAlignment="1">
      <alignment horizontal="left" vertical="top"/>
    </xf>
    <xf numFmtId="3" fontId="21" fillId="0" borderId="0" xfId="2" applyNumberFormat="1" applyFont="1" applyAlignment="1">
      <alignment horizontal="center" vertical="center"/>
    </xf>
    <xf numFmtId="3" fontId="26" fillId="0" borderId="0" xfId="2" applyNumberFormat="1" applyFont="1" applyAlignment="1">
      <alignment horizontal="center" vertical="center"/>
    </xf>
    <xf numFmtId="0" fontId="28" fillId="7" borderId="2" xfId="5" applyFont="1" applyFill="1" applyBorder="1" applyAlignment="1">
      <alignment horizontal="center" vertical="center" wrapText="1"/>
    </xf>
    <xf numFmtId="4" fontId="29" fillId="0" borderId="0" xfId="5" applyNumberFormat="1" applyFont="1" applyAlignment="1">
      <alignment horizontal="center" vertical="center" wrapText="1"/>
    </xf>
    <xf numFmtId="3" fontId="29" fillId="0" borderId="0" xfId="5" applyNumberFormat="1" applyFont="1" applyAlignment="1">
      <alignment horizontal="center" vertical="center" wrapText="1"/>
    </xf>
    <xf numFmtId="3" fontId="30" fillId="0" borderId="0" xfId="5" applyNumberFormat="1" applyFont="1" applyAlignment="1">
      <alignment horizontal="center" vertical="center" wrapText="1"/>
    </xf>
    <xf numFmtId="0" fontId="28" fillId="7" borderId="1" xfId="5" applyFont="1" applyFill="1" applyBorder="1" applyAlignment="1">
      <alignment horizontal="center" vertical="center" wrapText="1"/>
    </xf>
    <xf numFmtId="0" fontId="21" fillId="0" borderId="2" xfId="0" applyFont="1" applyBorder="1" applyAlignment="1">
      <alignment horizontal="center" vertical="center"/>
    </xf>
    <xf numFmtId="0" fontId="21" fillId="0" borderId="2" xfId="0" applyFont="1" applyBorder="1" applyAlignment="1">
      <alignment horizontal="center" vertical="center" wrapText="1"/>
    </xf>
    <xf numFmtId="0" fontId="16" fillId="0" borderId="2" xfId="0" applyFont="1" applyBorder="1"/>
    <xf numFmtId="3" fontId="16" fillId="0" borderId="2" xfId="0" applyNumberFormat="1" applyFont="1" applyBorder="1" applyAlignment="1">
      <alignment horizontal="center" vertical="center"/>
    </xf>
    <xf numFmtId="0" fontId="21" fillId="0" borderId="2" xfId="0" applyFont="1" applyBorder="1" applyAlignment="1">
      <alignment horizontal="right"/>
    </xf>
    <xf numFmtId="3" fontId="21" fillId="0" borderId="2" xfId="0" applyNumberFormat="1" applyFont="1" applyBorder="1" applyAlignment="1">
      <alignment horizontal="center" vertical="center"/>
    </xf>
    <xf numFmtId="3" fontId="16" fillId="0" borderId="0" xfId="2" applyNumberFormat="1" applyFont="1" applyAlignment="1">
      <alignment horizontal="center"/>
    </xf>
    <xf numFmtId="3" fontId="18" fillId="0" borderId="0" xfId="2" applyNumberFormat="1" applyFont="1"/>
    <xf numFmtId="0" fontId="19" fillId="0" borderId="0" xfId="6" applyFont="1"/>
    <xf numFmtId="0" fontId="16" fillId="0" borderId="0" xfId="6" applyFont="1"/>
    <xf numFmtId="0" fontId="16" fillId="0" borderId="0" xfId="6" applyFont="1" applyAlignment="1">
      <alignment horizontal="center"/>
    </xf>
    <xf numFmtId="0" fontId="16" fillId="0" borderId="0" xfId="6" applyFont="1" applyAlignment="1">
      <alignment horizontal="center" vertical="center"/>
    </xf>
    <xf numFmtId="3" fontId="19" fillId="0" borderId="2" xfId="7" applyNumberFormat="1" applyFont="1" applyBorder="1" applyAlignment="1">
      <alignment horizontal="center" vertical="top"/>
    </xf>
    <xf numFmtId="0" fontId="16" fillId="0" borderId="2" xfId="6" applyFont="1" applyBorder="1" applyAlignment="1">
      <alignment horizontal="center" vertical="top"/>
    </xf>
    <xf numFmtId="0" fontId="16" fillId="0" borderId="0" xfId="6" applyFont="1" applyAlignment="1">
      <alignment horizontal="center" vertical="top"/>
    </xf>
    <xf numFmtId="4" fontId="19" fillId="0" borderId="0" xfId="7" applyNumberFormat="1" applyFont="1" applyAlignment="1">
      <alignment horizontal="center" vertical="top"/>
    </xf>
    <xf numFmtId="3" fontId="19" fillId="0" borderId="0" xfId="7" applyNumberFormat="1" applyFont="1" applyAlignment="1">
      <alignment horizontal="center" vertical="top"/>
    </xf>
    <xf numFmtId="0" fontId="16" fillId="0" borderId="0" xfId="6" applyFont="1" applyAlignment="1">
      <alignment horizontal="left" vertical="top"/>
    </xf>
    <xf numFmtId="0" fontId="16" fillId="0" borderId="0" xfId="6" applyFont="1" applyAlignment="1">
      <alignment horizontal="center" vertical="center" wrapText="1"/>
    </xf>
    <xf numFmtId="0" fontId="16" fillId="0" borderId="0" xfId="6" applyFont="1" applyAlignment="1">
      <alignment horizontal="center" wrapText="1"/>
    </xf>
    <xf numFmtId="0" fontId="19" fillId="0" borderId="7" xfId="7" applyFont="1" applyBorder="1" applyAlignment="1">
      <alignment horizontal="center" vertical="top"/>
    </xf>
    <xf numFmtId="0" fontId="19" fillId="0" borderId="8" xfId="7" applyFont="1" applyBorder="1" applyAlignment="1">
      <alignment horizontal="left" vertical="top"/>
    </xf>
    <xf numFmtId="0" fontId="19" fillId="0" borderId="8" xfId="7" applyFont="1" applyBorder="1" applyAlignment="1">
      <alignment horizontal="center" vertical="top"/>
    </xf>
    <xf numFmtId="4" fontId="19" fillId="0" borderId="8" xfId="7" applyNumberFormat="1" applyFont="1" applyBorder="1" applyAlignment="1">
      <alignment horizontal="center" vertical="top"/>
    </xf>
    <xf numFmtId="3" fontId="19" fillId="0" borderId="8" xfId="7" applyNumberFormat="1" applyFont="1" applyBorder="1" applyAlignment="1">
      <alignment horizontal="center" vertical="top"/>
    </xf>
    <xf numFmtId="3" fontId="19" fillId="0" borderId="9" xfId="7" applyNumberFormat="1" applyFont="1" applyBorder="1" applyAlignment="1">
      <alignment horizontal="center" vertical="top"/>
    </xf>
    <xf numFmtId="0" fontId="19" fillId="0" borderId="11" xfId="7" applyFont="1" applyBorder="1" applyAlignment="1">
      <alignment horizontal="center" vertical="top"/>
    </xf>
    <xf numFmtId="0" fontId="19" fillId="0" borderId="2" xfId="7" applyFont="1" applyBorder="1" applyAlignment="1">
      <alignment horizontal="left" vertical="top"/>
    </xf>
    <xf numFmtId="0" fontId="19" fillId="0" borderId="2" xfId="7" applyFont="1" applyBorder="1" applyAlignment="1">
      <alignment horizontal="center" vertical="top"/>
    </xf>
    <xf numFmtId="4" fontId="19" fillId="0" borderId="2" xfId="7" applyNumberFormat="1" applyFont="1" applyBorder="1" applyAlignment="1">
      <alignment horizontal="center" vertical="top"/>
    </xf>
    <xf numFmtId="3" fontId="16" fillId="0" borderId="12" xfId="6" applyNumberFormat="1" applyFont="1" applyBorder="1" applyAlignment="1">
      <alignment horizontal="center" vertical="top"/>
    </xf>
    <xf numFmtId="0" fontId="16" fillId="0" borderId="11" xfId="6" applyFont="1" applyBorder="1" applyAlignment="1">
      <alignment horizontal="center" vertical="top"/>
    </xf>
    <xf numFmtId="0" fontId="16" fillId="0" borderId="2" xfId="6" applyFont="1" applyBorder="1" applyAlignment="1">
      <alignment horizontal="left" vertical="top"/>
    </xf>
    <xf numFmtId="4" fontId="16" fillId="0" borderId="2" xfId="6" applyNumberFormat="1" applyFont="1" applyBorder="1" applyAlignment="1">
      <alignment horizontal="center" vertical="top"/>
    </xf>
    <xf numFmtId="3" fontId="16" fillId="0" borderId="2" xfId="6" applyNumberFormat="1" applyFont="1" applyBorder="1" applyAlignment="1">
      <alignment horizontal="center" vertical="top"/>
    </xf>
    <xf numFmtId="0" fontId="16" fillId="0" borderId="19" xfId="6" applyFont="1" applyBorder="1" applyAlignment="1">
      <alignment horizontal="center" vertical="top"/>
    </xf>
    <xf numFmtId="0" fontId="16" fillId="0" borderId="1" xfId="6" applyFont="1" applyBorder="1" applyAlignment="1">
      <alignment horizontal="left" vertical="top"/>
    </xf>
    <xf numFmtId="0" fontId="19" fillId="0" borderId="1" xfId="7" applyFont="1" applyBorder="1" applyAlignment="1">
      <alignment horizontal="center" vertical="top"/>
    </xf>
    <xf numFmtId="0" fontId="16" fillId="0" borderId="1" xfId="6" applyFont="1" applyBorder="1" applyAlignment="1">
      <alignment horizontal="center" vertical="top"/>
    </xf>
    <xf numFmtId="4" fontId="16" fillId="0" borderId="1" xfId="6" applyNumberFormat="1" applyFont="1" applyBorder="1" applyAlignment="1">
      <alignment horizontal="center" vertical="top"/>
    </xf>
    <xf numFmtId="3" fontId="19" fillId="0" borderId="1" xfId="7" applyNumberFormat="1" applyFont="1" applyBorder="1" applyAlignment="1">
      <alignment horizontal="center" vertical="top"/>
    </xf>
    <xf numFmtId="3" fontId="16" fillId="0" borderId="1" xfId="6" applyNumberFormat="1" applyFont="1" applyBorder="1" applyAlignment="1">
      <alignment horizontal="center" vertical="top"/>
    </xf>
    <xf numFmtId="3" fontId="16" fillId="0" borderId="21" xfId="6" applyNumberFormat="1" applyFont="1" applyBorder="1" applyAlignment="1">
      <alignment horizontal="center" vertical="top"/>
    </xf>
    <xf numFmtId="0" fontId="16" fillId="0" borderId="13" xfId="6" applyFont="1" applyBorder="1" applyAlignment="1">
      <alignment horizontal="center"/>
    </xf>
    <xf numFmtId="0" fontId="16" fillId="0" borderId="14" xfId="6" applyFont="1" applyBorder="1" applyAlignment="1">
      <alignment horizontal="left" vertical="top"/>
    </xf>
    <xf numFmtId="0" fontId="16" fillId="0" borderId="14" xfId="6" applyFont="1" applyBorder="1" applyAlignment="1">
      <alignment horizontal="center" vertical="top"/>
    </xf>
    <xf numFmtId="4" fontId="16" fillId="0" borderId="14" xfId="6" applyNumberFormat="1" applyFont="1" applyBorder="1" applyAlignment="1">
      <alignment horizontal="center" vertical="top"/>
    </xf>
    <xf numFmtId="4" fontId="16" fillId="0" borderId="14" xfId="6" applyNumberFormat="1" applyFont="1" applyBorder="1" applyAlignment="1">
      <alignment horizontal="center"/>
    </xf>
    <xf numFmtId="3" fontId="19" fillId="0" borderId="14" xfId="7" applyNumberFormat="1" applyFont="1" applyBorder="1" applyAlignment="1">
      <alignment horizontal="center" vertical="top"/>
    </xf>
    <xf numFmtId="3" fontId="16" fillId="0" borderId="14" xfId="6" applyNumberFormat="1" applyFont="1" applyBorder="1" applyAlignment="1">
      <alignment horizontal="center"/>
    </xf>
    <xf numFmtId="3" fontId="16" fillId="0" borderId="14" xfId="6" applyNumberFormat="1" applyFont="1" applyBorder="1" applyAlignment="1">
      <alignment horizontal="center" vertical="top"/>
    </xf>
    <xf numFmtId="0" fontId="16" fillId="0" borderId="13" xfId="6" applyFont="1" applyBorder="1" applyAlignment="1">
      <alignment horizontal="center" vertical="top"/>
    </xf>
    <xf numFmtId="0" fontId="19" fillId="0" borderId="14" xfId="7" applyFont="1" applyBorder="1" applyAlignment="1">
      <alignment horizontal="center" vertical="top"/>
    </xf>
    <xf numFmtId="3" fontId="19" fillId="0" borderId="27" xfId="7" applyNumberFormat="1" applyFont="1" applyBorder="1" applyAlignment="1">
      <alignment horizontal="center" vertical="top"/>
    </xf>
    <xf numFmtId="3" fontId="16" fillId="0" borderId="15" xfId="6" applyNumberFormat="1" applyFont="1" applyBorder="1" applyAlignment="1">
      <alignment horizontal="center" vertical="top"/>
    </xf>
    <xf numFmtId="0" fontId="16" fillId="0" borderId="8" xfId="6" applyFont="1" applyBorder="1" applyAlignment="1">
      <alignment horizontal="center" vertical="top"/>
    </xf>
    <xf numFmtId="4" fontId="16" fillId="0" borderId="8" xfId="6" applyNumberFormat="1" applyFont="1" applyBorder="1" applyAlignment="1">
      <alignment horizontal="center" vertical="top"/>
    </xf>
    <xf numFmtId="3" fontId="16" fillId="0" borderId="8" xfId="6" applyNumberFormat="1" applyFont="1" applyBorder="1" applyAlignment="1">
      <alignment horizontal="center"/>
    </xf>
    <xf numFmtId="3" fontId="16" fillId="0" borderId="8" xfId="6" applyNumberFormat="1" applyFont="1" applyBorder="1" applyAlignment="1">
      <alignment horizontal="center" vertical="top"/>
    </xf>
    <xf numFmtId="3" fontId="16" fillId="0" borderId="2" xfId="6" applyNumberFormat="1" applyFont="1" applyBorder="1" applyAlignment="1">
      <alignment horizontal="center"/>
    </xf>
    <xf numFmtId="4" fontId="16" fillId="0" borderId="8" xfId="6" applyNumberFormat="1" applyFont="1" applyBorder="1" applyAlignment="1">
      <alignment horizontal="center"/>
    </xf>
    <xf numFmtId="4" fontId="16" fillId="0" borderId="2" xfId="6" applyNumberFormat="1" applyFont="1" applyBorder="1" applyAlignment="1">
      <alignment horizontal="center"/>
    </xf>
    <xf numFmtId="0" fontId="19" fillId="0" borderId="1" xfId="7" applyFont="1" applyBorder="1" applyAlignment="1">
      <alignment horizontal="left" vertical="top"/>
    </xf>
    <xf numFmtId="4" fontId="16" fillId="0" borderId="1" xfId="6" applyNumberFormat="1" applyFont="1" applyBorder="1" applyAlignment="1">
      <alignment horizontal="center"/>
    </xf>
    <xf numFmtId="3" fontId="16" fillId="0" borderId="1" xfId="6" applyNumberFormat="1" applyFont="1" applyBorder="1" applyAlignment="1">
      <alignment horizontal="center"/>
    </xf>
    <xf numFmtId="0" fontId="19" fillId="0" borderId="6" xfId="7" applyFont="1" applyBorder="1" applyAlignment="1">
      <alignment horizontal="left" vertical="top"/>
    </xf>
    <xf numFmtId="0" fontId="19" fillId="0" borderId="6" xfId="7" applyFont="1" applyBorder="1" applyAlignment="1">
      <alignment horizontal="center" vertical="top"/>
    </xf>
    <xf numFmtId="4" fontId="16" fillId="0" borderId="6" xfId="6" applyNumberFormat="1" applyFont="1" applyBorder="1" applyAlignment="1">
      <alignment horizontal="center"/>
    </xf>
    <xf numFmtId="4" fontId="16" fillId="0" borderId="6" xfId="6" applyNumberFormat="1" applyFont="1" applyBorder="1" applyAlignment="1">
      <alignment horizontal="center" vertical="top"/>
    </xf>
    <xf numFmtId="3" fontId="19" fillId="0" borderId="6" xfId="7" applyNumberFormat="1" applyFont="1" applyBorder="1" applyAlignment="1">
      <alignment horizontal="center" vertical="top"/>
    </xf>
    <xf numFmtId="3" fontId="16" fillId="0" borderId="6" xfId="6" applyNumberFormat="1" applyFont="1" applyBorder="1" applyAlignment="1">
      <alignment horizontal="center"/>
    </xf>
    <xf numFmtId="3" fontId="16" fillId="0" borderId="6" xfId="6" applyNumberFormat="1" applyFont="1" applyBorder="1" applyAlignment="1">
      <alignment horizontal="center" vertical="top"/>
    </xf>
    <xf numFmtId="3" fontId="16" fillId="0" borderId="17" xfId="6" applyNumberFormat="1" applyFont="1" applyBorder="1" applyAlignment="1">
      <alignment horizontal="center" vertical="top"/>
    </xf>
    <xf numFmtId="3" fontId="16" fillId="0" borderId="4" xfId="6" applyNumberFormat="1" applyFont="1" applyBorder="1" applyAlignment="1">
      <alignment horizontal="center" vertical="top"/>
    </xf>
    <xf numFmtId="3" fontId="16" fillId="0" borderId="23" xfId="6" applyNumberFormat="1" applyFont="1" applyBorder="1" applyAlignment="1">
      <alignment horizontal="center" vertical="top"/>
    </xf>
    <xf numFmtId="0" fontId="16" fillId="0" borderId="7" xfId="6" applyFont="1" applyBorder="1" applyAlignment="1">
      <alignment horizontal="center"/>
    </xf>
    <xf numFmtId="3" fontId="16" fillId="0" borderId="22" xfId="6" applyNumberFormat="1" applyFont="1" applyBorder="1" applyAlignment="1">
      <alignment horizontal="center" vertical="top"/>
    </xf>
    <xf numFmtId="0" fontId="16" fillId="0" borderId="19" xfId="6" applyFont="1" applyBorder="1" applyAlignment="1">
      <alignment horizontal="center"/>
    </xf>
    <xf numFmtId="3" fontId="16" fillId="0" borderId="20" xfId="6" applyNumberFormat="1" applyFont="1" applyBorder="1" applyAlignment="1">
      <alignment horizontal="center" vertical="top"/>
    </xf>
    <xf numFmtId="0" fontId="16" fillId="0" borderId="8" xfId="6" applyFont="1" applyBorder="1" applyAlignment="1">
      <alignment horizontal="left" vertical="top"/>
    </xf>
    <xf numFmtId="0" fontId="16" fillId="0" borderId="11" xfId="6" applyFont="1" applyBorder="1" applyAlignment="1">
      <alignment horizontal="center"/>
    </xf>
    <xf numFmtId="0" fontId="16" fillId="0" borderId="0" xfId="6" applyFont="1" applyAlignment="1">
      <alignment vertical="center"/>
    </xf>
    <xf numFmtId="4" fontId="16" fillId="0" borderId="0" xfId="6" applyNumberFormat="1" applyFont="1" applyAlignment="1">
      <alignment horizontal="center" vertical="center"/>
    </xf>
    <xf numFmtId="0" fontId="31" fillId="0" borderId="0" xfId="6" applyFont="1" applyAlignment="1">
      <alignment horizontal="right"/>
    </xf>
    <xf numFmtId="3" fontId="31" fillId="0" borderId="0" xfId="6" applyNumberFormat="1" applyFont="1" applyAlignment="1">
      <alignment horizontal="center"/>
    </xf>
    <xf numFmtId="0" fontId="16" fillId="0" borderId="0" xfId="6" applyFont="1" applyAlignment="1">
      <alignment horizontal="right"/>
    </xf>
    <xf numFmtId="3" fontId="16" fillId="0" borderId="0" xfId="6" applyNumberFormat="1" applyFont="1" applyAlignment="1">
      <alignment horizontal="center"/>
    </xf>
    <xf numFmtId="3" fontId="33" fillId="0" borderId="0" xfId="6" applyNumberFormat="1" applyFont="1" applyAlignment="1">
      <alignment horizontal="center"/>
    </xf>
    <xf numFmtId="3" fontId="16" fillId="0" borderId="0" xfId="6" applyNumberFormat="1" applyFont="1" applyAlignment="1">
      <alignment horizontal="center" vertical="center"/>
    </xf>
    <xf numFmtId="3" fontId="32" fillId="0" borderId="0" xfId="6" applyNumberFormat="1" applyFont="1" applyFill="1" applyAlignment="1">
      <alignment horizontal="center"/>
    </xf>
    <xf numFmtId="0" fontId="16" fillId="0" borderId="0" xfId="6" applyFont="1" applyFill="1" applyAlignment="1">
      <alignment horizontal="center"/>
    </xf>
    <xf numFmtId="0" fontId="32" fillId="0" borderId="0" xfId="6" applyFont="1" applyFill="1" applyAlignment="1">
      <alignment horizontal="right"/>
    </xf>
    <xf numFmtId="3" fontId="16" fillId="0" borderId="0" xfId="6" applyNumberFormat="1" applyFont="1" applyFill="1" applyAlignment="1">
      <alignment horizontal="center"/>
    </xf>
    <xf numFmtId="0" fontId="19" fillId="6" borderId="1" xfId="2" applyFont="1" applyFill="1" applyBorder="1" applyAlignment="1">
      <alignment horizontal="center" vertical="center" wrapText="1"/>
    </xf>
    <xf numFmtId="0" fontId="26" fillId="6" borderId="1" xfId="2" applyFont="1" applyFill="1" applyBorder="1" applyAlignment="1">
      <alignment horizontal="center" vertical="center" wrapText="1"/>
    </xf>
    <xf numFmtId="3" fontId="19" fillId="5" borderId="1" xfId="7" applyNumberFormat="1" applyFont="1" applyFill="1" applyBorder="1" applyAlignment="1">
      <alignment horizontal="center" vertical="top"/>
    </xf>
    <xf numFmtId="165" fontId="19" fillId="0" borderId="1" xfId="7" applyNumberFormat="1" applyFont="1" applyBorder="1" applyAlignment="1">
      <alignment horizontal="center" vertical="top"/>
    </xf>
    <xf numFmtId="0" fontId="19" fillId="6" borderId="29" xfId="7" applyFont="1" applyFill="1" applyBorder="1" applyAlignment="1">
      <alignment horizontal="center" vertical="center" wrapText="1"/>
    </xf>
    <xf numFmtId="0" fontId="19" fillId="6" borderId="9" xfId="7" applyFont="1" applyFill="1" applyBorder="1" applyAlignment="1">
      <alignment horizontal="center" vertical="center" wrapText="1"/>
    </xf>
    <xf numFmtId="4" fontId="19" fillId="6" borderId="9" xfId="7" applyNumberFormat="1" applyFont="1" applyFill="1" applyBorder="1" applyAlignment="1">
      <alignment horizontal="center" vertical="center" wrapText="1"/>
    </xf>
    <xf numFmtId="3" fontId="19" fillId="6" borderId="9" xfId="7" applyNumberFormat="1" applyFont="1" applyFill="1" applyBorder="1" applyAlignment="1">
      <alignment horizontal="center" vertical="center" wrapText="1"/>
    </xf>
    <xf numFmtId="0" fontId="16" fillId="6" borderId="9" xfId="6" applyFont="1" applyFill="1" applyBorder="1" applyAlignment="1">
      <alignment horizontal="center" vertical="center" wrapText="1"/>
    </xf>
    <xf numFmtId="0" fontId="16" fillId="6" borderId="30" xfId="6" applyFont="1" applyFill="1" applyBorder="1" applyAlignment="1">
      <alignment horizontal="center" vertical="center" wrapText="1"/>
    </xf>
    <xf numFmtId="0" fontId="16" fillId="0" borderId="16" xfId="6" applyFont="1" applyBorder="1" applyAlignment="1">
      <alignment horizontal="center"/>
    </xf>
    <xf numFmtId="3" fontId="26" fillId="3" borderId="33" xfId="6" applyNumberFormat="1" applyFont="1" applyFill="1" applyBorder="1" applyAlignment="1">
      <alignment horizontal="center" vertical="center"/>
    </xf>
    <xf numFmtId="0" fontId="17" fillId="0" borderId="0" xfId="2" applyFont="1" applyAlignment="1">
      <alignment horizontal="center" vertical="center" wrapText="1"/>
    </xf>
    <xf numFmtId="0" fontId="4" fillId="0" borderId="0" xfId="0" applyFont="1" applyAlignment="1">
      <alignment horizontal="center" vertical="center"/>
    </xf>
    <xf numFmtId="0" fontId="19" fillId="0" borderId="0" xfId="9" applyFont="1"/>
    <xf numFmtId="0" fontId="6" fillId="0" borderId="0" xfId="0" applyFont="1"/>
    <xf numFmtId="0" fontId="34" fillId="0" borderId="0" xfId="0" applyFont="1"/>
    <xf numFmtId="0" fontId="6" fillId="0" borderId="0" xfId="9" applyFont="1"/>
    <xf numFmtId="0" fontId="6" fillId="0" borderId="0" xfId="0" applyFont="1" applyAlignment="1">
      <alignment horizontal="left"/>
    </xf>
    <xf numFmtId="0" fontId="34" fillId="0" borderId="0" xfId="0" applyFont="1" applyAlignment="1">
      <alignment horizontal="left"/>
    </xf>
    <xf numFmtId="0" fontId="19" fillId="0" borderId="0" xfId="2" applyFont="1" applyAlignment="1">
      <alignment horizontal="left"/>
    </xf>
    <xf numFmtId="0" fontId="16" fillId="0" borderId="0" xfId="0" applyFont="1" applyAlignment="1">
      <alignment horizontal="right"/>
    </xf>
    <xf numFmtId="4" fontId="16" fillId="0" borderId="0" xfId="0" applyNumberFormat="1" applyFont="1"/>
    <xf numFmtId="0" fontId="19" fillId="0" borderId="2" xfId="0" applyFont="1" applyBorder="1" applyAlignment="1">
      <alignment horizontal="center" vertical="center" wrapText="1"/>
    </xf>
    <xf numFmtId="0" fontId="19" fillId="0" borderId="2" xfId="0" applyFont="1" applyBorder="1" applyAlignment="1">
      <alignment horizontal="center"/>
    </xf>
    <xf numFmtId="0" fontId="19" fillId="0" borderId="2" xfId="0" applyFont="1" applyBorder="1"/>
    <xf numFmtId="9" fontId="19" fillId="0" borderId="2" xfId="8" applyFont="1" applyBorder="1" applyAlignment="1">
      <alignment horizontal="center"/>
    </xf>
    <xf numFmtId="0" fontId="26" fillId="0" borderId="2" xfId="0" applyFont="1" applyBorder="1" applyAlignment="1">
      <alignment horizontal="right"/>
    </xf>
    <xf numFmtId="4" fontId="19" fillId="0" borderId="0" xfId="0" applyNumberFormat="1" applyFont="1"/>
    <xf numFmtId="0" fontId="19" fillId="0" borderId="0" xfId="0" applyFont="1" applyAlignment="1">
      <alignment horizontal="center"/>
    </xf>
    <xf numFmtId="4" fontId="26" fillId="0" borderId="0" xfId="0" applyNumberFormat="1" applyFont="1" applyAlignment="1">
      <alignment horizontal="right"/>
    </xf>
    <xf numFmtId="4" fontId="19" fillId="0" borderId="0" xfId="0" applyNumberFormat="1" applyFont="1" applyAlignment="1">
      <alignment horizontal="right"/>
    </xf>
    <xf numFmtId="3" fontId="19" fillId="0" borderId="2" xfId="0" applyNumberFormat="1" applyFont="1" applyBorder="1" applyAlignment="1">
      <alignment horizontal="center" vertical="center"/>
    </xf>
    <xf numFmtId="3" fontId="26" fillId="0" borderId="2" xfId="0" applyNumberFormat="1" applyFont="1" applyBorder="1" applyAlignment="1">
      <alignment horizontal="center"/>
    </xf>
    <xf numFmtId="3" fontId="26" fillId="4" borderId="2" xfId="2" applyNumberFormat="1" applyFont="1" applyFill="1" applyBorder="1" applyAlignment="1">
      <alignment horizontal="center" vertical="center"/>
    </xf>
    <xf numFmtId="3" fontId="16" fillId="0" borderId="0" xfId="0" applyNumberFormat="1" applyFont="1"/>
    <xf numFmtId="4" fontId="16" fillId="0" borderId="0" xfId="6" applyNumberFormat="1" applyFont="1" applyAlignment="1">
      <alignment horizontal="center"/>
    </xf>
    <xf numFmtId="0" fontId="16" fillId="0" borderId="31" xfId="6" applyFont="1" applyBorder="1" applyAlignment="1">
      <alignment horizontal="center" vertical="top"/>
    </xf>
    <xf numFmtId="0" fontId="16" fillId="0" borderId="32" xfId="6" applyFont="1" applyBorder="1" applyAlignment="1">
      <alignment horizontal="left" vertical="top"/>
    </xf>
    <xf numFmtId="0" fontId="19" fillId="0" borderId="32" xfId="7" applyFont="1" applyBorder="1" applyAlignment="1">
      <alignment horizontal="center" vertical="top"/>
    </xf>
    <xf numFmtId="0" fontId="16" fillId="0" borderId="32" xfId="6" applyFont="1" applyBorder="1" applyAlignment="1">
      <alignment horizontal="center" vertical="top"/>
    </xf>
    <xf numFmtId="4" fontId="16" fillId="0" borderId="32" xfId="6" applyNumberFormat="1" applyFont="1" applyBorder="1" applyAlignment="1">
      <alignment horizontal="center" vertical="top"/>
    </xf>
    <xf numFmtId="3" fontId="19" fillId="0" borderId="32" xfId="7" applyNumberFormat="1" applyFont="1" applyBorder="1" applyAlignment="1">
      <alignment horizontal="center" vertical="top"/>
    </xf>
    <xf numFmtId="3" fontId="16" fillId="0" borderId="32" xfId="6" applyNumberFormat="1" applyFont="1" applyBorder="1" applyAlignment="1">
      <alignment horizontal="center" vertical="top"/>
    </xf>
    <xf numFmtId="3" fontId="16" fillId="0" borderId="33" xfId="6" applyNumberFormat="1" applyFont="1" applyBorder="1" applyAlignment="1">
      <alignment horizontal="center" vertical="top"/>
    </xf>
    <xf numFmtId="4" fontId="16" fillId="0" borderId="8" xfId="6" applyNumberFormat="1" applyFont="1" applyBorder="1" applyAlignment="1">
      <alignment horizontal="center" vertical="center"/>
    </xf>
    <xf numFmtId="4" fontId="16" fillId="0" borderId="2" xfId="6" applyNumberFormat="1" applyFont="1" applyBorder="1" applyAlignment="1">
      <alignment horizontal="center" vertical="center"/>
    </xf>
    <xf numFmtId="4" fontId="16" fillId="0" borderId="1" xfId="6" applyNumberFormat="1" applyFont="1" applyBorder="1" applyAlignment="1">
      <alignment horizontal="center" vertical="center"/>
    </xf>
    <xf numFmtId="4" fontId="16" fillId="0" borderId="14" xfId="6" applyNumberFormat="1" applyFont="1" applyBorder="1" applyAlignment="1">
      <alignment horizontal="center" vertical="center"/>
    </xf>
    <xf numFmtId="0" fontId="33" fillId="0" borderId="0" xfId="6" applyFont="1" applyAlignment="1">
      <alignment horizontal="left" vertical="center"/>
    </xf>
    <xf numFmtId="4" fontId="19" fillId="0" borderId="8" xfId="7" applyNumberFormat="1" applyFont="1" applyBorder="1" applyAlignment="1">
      <alignment horizontal="center" vertical="center"/>
    </xf>
    <xf numFmtId="4" fontId="19" fillId="0" borderId="2" xfId="7" applyNumberFormat="1" applyFont="1" applyBorder="1" applyAlignment="1">
      <alignment horizontal="center" vertical="center"/>
    </xf>
    <xf numFmtId="4" fontId="19" fillId="0" borderId="8" xfId="4" applyNumberFormat="1" applyFont="1" applyBorder="1" applyAlignment="1">
      <alignment horizontal="center" vertical="center"/>
    </xf>
    <xf numFmtId="4" fontId="19" fillId="0" borderId="2" xfId="4" applyNumberFormat="1" applyFont="1" applyBorder="1" applyAlignment="1">
      <alignment horizontal="center" vertical="center"/>
    </xf>
    <xf numFmtId="4" fontId="16" fillId="0" borderId="8" xfId="2" applyNumberFormat="1" applyFont="1" applyBorder="1" applyAlignment="1">
      <alignment horizontal="center" vertical="center"/>
    </xf>
    <xf numFmtId="4" fontId="16" fillId="0" borderId="2" xfId="2" applyNumberFormat="1" applyFont="1" applyBorder="1" applyAlignment="1">
      <alignment horizontal="center" vertical="center"/>
    </xf>
    <xf numFmtId="3" fontId="19" fillId="0" borderId="8" xfId="4" applyNumberFormat="1" applyFont="1" applyBorder="1" applyAlignment="1">
      <alignment horizontal="center" vertical="center"/>
    </xf>
    <xf numFmtId="3" fontId="19" fillId="0" borderId="2" xfId="4" applyNumberFormat="1" applyFont="1" applyBorder="1" applyAlignment="1">
      <alignment horizontal="center" vertical="center"/>
    </xf>
    <xf numFmtId="4" fontId="16" fillId="0" borderId="14" xfId="2" applyNumberFormat="1" applyFont="1" applyBorder="1" applyAlignment="1">
      <alignment horizontal="center" vertical="center"/>
    </xf>
    <xf numFmtId="3" fontId="19" fillId="0" borderId="14" xfId="4" applyNumberFormat="1" applyFont="1" applyBorder="1" applyAlignment="1">
      <alignment horizontal="center" vertical="center"/>
    </xf>
    <xf numFmtId="3" fontId="31" fillId="8" borderId="5" xfId="6" applyNumberFormat="1" applyFont="1" applyFill="1" applyBorder="1" applyAlignment="1">
      <alignment horizontal="center" vertical="center"/>
    </xf>
    <xf numFmtId="0" fontId="16" fillId="0" borderId="0" xfId="6" applyFont="1" applyAlignment="1">
      <alignment horizontal="left"/>
    </xf>
    <xf numFmtId="0" fontId="32" fillId="0" borderId="0" xfId="6" applyFont="1" applyAlignment="1">
      <alignment horizontal="left" vertical="center"/>
    </xf>
    <xf numFmtId="3" fontId="19" fillId="0" borderId="0" xfId="0" applyNumberFormat="1" applyFont="1" applyAlignment="1">
      <alignment horizontal="center" vertical="center"/>
    </xf>
    <xf numFmtId="3" fontId="26" fillId="0" borderId="0" xfId="0" applyNumberFormat="1" applyFont="1" applyAlignment="1">
      <alignment horizontal="center" vertical="center"/>
    </xf>
    <xf numFmtId="3" fontId="19" fillId="0" borderId="0" xfId="0" applyNumberFormat="1" applyFont="1" applyAlignment="1">
      <alignment vertical="center"/>
    </xf>
    <xf numFmtId="3" fontId="21" fillId="3" borderId="6" xfId="2" applyNumberFormat="1" applyFont="1" applyFill="1" applyBorder="1" applyAlignment="1">
      <alignment horizontal="center" vertical="center"/>
    </xf>
    <xf numFmtId="0" fontId="3" fillId="0" borderId="0" xfId="0" applyFont="1" applyAlignment="1">
      <alignment horizontal="right" vertical="center" wrapText="1"/>
    </xf>
    <xf numFmtId="0" fontId="17" fillId="0" borderId="0" xfId="2" applyFont="1" applyAlignment="1">
      <alignment horizontal="center" vertical="center" wrapText="1"/>
    </xf>
    <xf numFmtId="0" fontId="23" fillId="0" borderId="2" xfId="4" applyFont="1" applyBorder="1" applyAlignment="1">
      <alignment horizontal="center" vertical="center"/>
    </xf>
    <xf numFmtId="0" fontId="16" fillId="0" borderId="2" xfId="2" applyFont="1" applyBorder="1" applyAlignment="1">
      <alignment horizontal="center"/>
    </xf>
    <xf numFmtId="3" fontId="21" fillId="3" borderId="6" xfId="2" applyNumberFormat="1" applyFont="1" applyFill="1" applyBorder="1" applyAlignment="1">
      <alignment horizontal="center"/>
    </xf>
    <xf numFmtId="3" fontId="21" fillId="3" borderId="2" xfId="2" applyNumberFormat="1" applyFont="1" applyFill="1" applyBorder="1" applyAlignment="1">
      <alignment horizontal="center"/>
    </xf>
    <xf numFmtId="0" fontId="23" fillId="0" borderId="20" xfId="2" applyFont="1" applyBorder="1" applyAlignment="1">
      <alignment horizontal="center" vertical="center" wrapText="1"/>
    </xf>
    <xf numFmtId="0" fontId="23" fillId="0" borderId="24" xfId="2" applyFont="1" applyBorder="1" applyAlignment="1">
      <alignment horizontal="center" vertical="center" wrapText="1"/>
    </xf>
    <xf numFmtId="0" fontId="23" fillId="0" borderId="25" xfId="2" applyFont="1" applyBorder="1" applyAlignment="1">
      <alignment horizontal="center" vertical="center" wrapText="1"/>
    </xf>
    <xf numFmtId="0" fontId="23" fillId="0" borderId="17" xfId="2" applyFont="1" applyBorder="1" applyAlignment="1">
      <alignment horizontal="center" vertical="center" wrapText="1"/>
    </xf>
    <xf numFmtId="0" fontId="23" fillId="0" borderId="3" xfId="2" applyFont="1" applyBorder="1" applyAlignment="1">
      <alignment horizontal="center" vertical="center" wrapText="1"/>
    </xf>
    <xf numFmtId="0" fontId="23" fillId="0" borderId="26" xfId="2" applyFont="1" applyBorder="1" applyAlignment="1">
      <alignment horizontal="center" vertical="center" wrapText="1"/>
    </xf>
    <xf numFmtId="0" fontId="23" fillId="0" borderId="2" xfId="2" applyFont="1" applyBorder="1" applyAlignment="1">
      <alignment horizontal="center" vertical="center"/>
    </xf>
    <xf numFmtId="0" fontId="23" fillId="0" borderId="2" xfId="2" applyFont="1" applyBorder="1" applyAlignment="1">
      <alignment horizontal="center" vertical="center" wrapText="1"/>
    </xf>
    <xf numFmtId="0" fontId="19" fillId="0" borderId="9" xfId="4" applyFont="1" applyBorder="1" applyAlignment="1">
      <alignment horizontal="center" vertical="center"/>
    </xf>
    <xf numFmtId="0" fontId="19" fillId="0" borderId="6" xfId="4" applyFont="1" applyBorder="1" applyAlignment="1">
      <alignment horizontal="center" vertical="center"/>
    </xf>
    <xf numFmtId="3" fontId="19" fillId="0" borderId="9" xfId="4" applyNumberFormat="1" applyFont="1" applyBorder="1" applyAlignment="1">
      <alignment horizontal="center" vertical="center"/>
    </xf>
    <xf numFmtId="3" fontId="19" fillId="0" borderId="6" xfId="4" applyNumberFormat="1" applyFont="1" applyBorder="1" applyAlignment="1">
      <alignment horizontal="center" vertical="center"/>
    </xf>
    <xf numFmtId="4" fontId="19" fillId="0" borderId="9" xfId="4" applyNumberFormat="1" applyFont="1" applyBorder="1" applyAlignment="1">
      <alignment horizontal="center" vertical="center"/>
    </xf>
    <xf numFmtId="4" fontId="19" fillId="0" borderId="6" xfId="4" applyNumberFormat="1" applyFont="1" applyBorder="1" applyAlignment="1">
      <alignment horizontal="center" vertical="center"/>
    </xf>
    <xf numFmtId="0" fontId="19" fillId="6" borderId="2" xfId="4" applyFont="1" applyFill="1" applyBorder="1" applyAlignment="1">
      <alignment horizontal="center" vertical="center" wrapText="1"/>
    </xf>
    <xf numFmtId="0" fontId="26" fillId="6" borderId="2" xfId="4" applyFont="1" applyFill="1" applyBorder="1" applyAlignment="1">
      <alignment horizontal="center" vertical="center" wrapText="1"/>
    </xf>
    <xf numFmtId="0" fontId="28" fillId="7" borderId="2" xfId="5" applyFont="1" applyFill="1" applyBorder="1" applyAlignment="1">
      <alignment horizontal="left" vertical="center" wrapText="1"/>
    </xf>
    <xf numFmtId="3" fontId="28" fillId="0" borderId="2" xfId="5" applyNumberFormat="1" applyFont="1" applyBorder="1" applyAlignment="1">
      <alignment horizontal="center" vertical="center" wrapText="1"/>
    </xf>
    <xf numFmtId="0" fontId="21" fillId="4" borderId="2" xfId="2" applyFont="1" applyFill="1" applyBorder="1" applyAlignment="1">
      <alignment horizontal="center" vertical="center"/>
    </xf>
    <xf numFmtId="0" fontId="16" fillId="0" borderId="24" xfId="2" applyFont="1" applyBorder="1" applyAlignment="1">
      <alignment horizontal="left" wrapText="1"/>
    </xf>
    <xf numFmtId="0" fontId="21" fillId="6" borderId="2" xfId="2" applyFont="1" applyFill="1" applyBorder="1" applyAlignment="1">
      <alignment horizontal="center" wrapText="1"/>
    </xf>
    <xf numFmtId="3" fontId="21" fillId="6" borderId="2" xfId="2" applyNumberFormat="1" applyFont="1" applyFill="1" applyBorder="1" applyAlignment="1">
      <alignment horizontal="center" vertical="center"/>
    </xf>
    <xf numFmtId="0" fontId="21" fillId="0" borderId="4" xfId="2" applyFont="1" applyBorder="1" applyAlignment="1">
      <alignment horizontal="left"/>
    </xf>
    <xf numFmtId="0" fontId="21" fillId="0" borderId="5" xfId="2" applyFont="1" applyBorder="1" applyAlignment="1">
      <alignment horizontal="left"/>
    </xf>
    <xf numFmtId="3" fontId="16" fillId="0" borderId="30" xfId="2" applyNumberFormat="1" applyFont="1" applyBorder="1" applyAlignment="1">
      <alignment horizontal="center" vertical="center"/>
    </xf>
    <xf numFmtId="3" fontId="16" fillId="0" borderId="18" xfId="2" applyNumberFormat="1" applyFont="1" applyBorder="1" applyAlignment="1">
      <alignment horizontal="center" vertical="center"/>
    </xf>
    <xf numFmtId="0" fontId="16" fillId="0" borderId="9" xfId="2" applyFont="1" applyBorder="1" applyAlignment="1">
      <alignment horizontal="center" vertical="center"/>
    </xf>
    <xf numFmtId="0" fontId="16" fillId="0" borderId="34" xfId="2" applyFont="1" applyBorder="1" applyAlignment="1">
      <alignment horizontal="center" vertical="center"/>
    </xf>
    <xf numFmtId="0" fontId="16" fillId="0" borderId="27" xfId="2" applyFont="1" applyBorder="1" applyAlignment="1">
      <alignment horizontal="center" vertical="center"/>
    </xf>
    <xf numFmtId="3" fontId="19" fillId="0" borderId="34" xfId="4" applyNumberFormat="1" applyFont="1" applyBorder="1" applyAlignment="1">
      <alignment horizontal="center" vertical="center"/>
    </xf>
    <xf numFmtId="3" fontId="19" fillId="0" borderId="27" xfId="4" applyNumberFormat="1" applyFont="1" applyBorder="1" applyAlignment="1">
      <alignment horizontal="center" vertical="center"/>
    </xf>
    <xf numFmtId="3" fontId="16" fillId="0" borderId="9" xfId="2" applyNumberFormat="1" applyFont="1" applyBorder="1" applyAlignment="1">
      <alignment horizontal="center" vertical="center"/>
    </xf>
    <xf numFmtId="3" fontId="16" fillId="0" borderId="34" xfId="2" applyNumberFormat="1" applyFont="1" applyBorder="1" applyAlignment="1">
      <alignment horizontal="center" vertical="center"/>
    </xf>
    <xf numFmtId="3" fontId="16" fillId="0" borderId="27" xfId="2" applyNumberFormat="1" applyFont="1" applyBorder="1" applyAlignment="1">
      <alignment horizontal="center" vertical="center"/>
    </xf>
    <xf numFmtId="4" fontId="16" fillId="0" borderId="9" xfId="2" applyNumberFormat="1" applyFont="1" applyBorder="1" applyAlignment="1">
      <alignment horizontal="center" vertical="center"/>
    </xf>
    <xf numFmtId="4" fontId="16" fillId="0" borderId="34" xfId="2" applyNumberFormat="1" applyFont="1" applyBorder="1" applyAlignment="1">
      <alignment horizontal="center" vertical="center"/>
    </xf>
    <xf numFmtId="4" fontId="16" fillId="0" borderId="27" xfId="2" applyNumberFormat="1" applyFont="1" applyBorder="1" applyAlignment="1">
      <alignment horizontal="center" vertical="center"/>
    </xf>
    <xf numFmtId="3" fontId="16" fillId="0" borderId="35" xfId="2" applyNumberFormat="1" applyFont="1" applyBorder="1" applyAlignment="1">
      <alignment horizontal="center" vertical="center"/>
    </xf>
    <xf numFmtId="3" fontId="16" fillId="0" borderId="36" xfId="2" applyNumberFormat="1" applyFont="1" applyBorder="1" applyAlignment="1">
      <alignment horizontal="center" vertical="center"/>
    </xf>
    <xf numFmtId="0" fontId="16" fillId="0" borderId="0" xfId="2" applyFont="1" applyAlignment="1">
      <alignment horizontal="left" wrapText="1"/>
    </xf>
    <xf numFmtId="0" fontId="31" fillId="8" borderId="4" xfId="6" applyFont="1" applyFill="1" applyBorder="1" applyAlignment="1">
      <alignment horizontal="center" vertical="center"/>
    </xf>
    <xf numFmtId="0" fontId="31" fillId="8" borderId="28" xfId="6" applyFont="1" applyFill="1" applyBorder="1" applyAlignment="1">
      <alignment horizontal="center" vertical="center"/>
    </xf>
    <xf numFmtId="0" fontId="31" fillId="8" borderId="5" xfId="6" applyFont="1" applyFill="1" applyBorder="1" applyAlignment="1">
      <alignment horizontal="center" vertical="center"/>
    </xf>
    <xf numFmtId="0" fontId="19" fillId="0" borderId="9" xfId="7" applyFont="1" applyBorder="1" applyAlignment="1">
      <alignment horizontal="center" vertical="center"/>
    </xf>
    <xf numFmtId="0" fontId="19" fillId="0" borderId="6" xfId="7" applyFont="1" applyBorder="1" applyAlignment="1">
      <alignment horizontal="center" vertical="center"/>
    </xf>
    <xf numFmtId="3" fontId="19" fillId="0" borderId="9" xfId="7" applyNumberFormat="1" applyFont="1" applyBorder="1" applyAlignment="1">
      <alignment horizontal="center" vertical="center"/>
    </xf>
    <xf numFmtId="3" fontId="19" fillId="0" borderId="6" xfId="7" applyNumberFormat="1" applyFont="1" applyBorder="1" applyAlignment="1">
      <alignment horizontal="center" vertical="center"/>
    </xf>
    <xf numFmtId="4" fontId="19" fillId="0" borderId="9" xfId="7" applyNumberFormat="1" applyFont="1" applyBorder="1" applyAlignment="1">
      <alignment horizontal="center" vertical="center"/>
    </xf>
    <xf numFmtId="4" fontId="19" fillId="0" borderId="6" xfId="7" applyNumberFormat="1" applyFont="1" applyBorder="1" applyAlignment="1">
      <alignment horizontal="center" vertical="center"/>
    </xf>
    <xf numFmtId="3" fontId="19" fillId="0" borderId="34" xfId="7" applyNumberFormat="1" applyFont="1" applyBorder="1" applyAlignment="1">
      <alignment horizontal="center" vertical="center"/>
    </xf>
    <xf numFmtId="3" fontId="19" fillId="0" borderId="27" xfId="7" applyNumberFormat="1" applyFont="1" applyBorder="1" applyAlignment="1">
      <alignment horizontal="center" vertical="center"/>
    </xf>
    <xf numFmtId="3" fontId="16" fillId="0" borderId="9" xfId="6" applyNumberFormat="1" applyFont="1" applyBorder="1" applyAlignment="1">
      <alignment horizontal="center" vertical="center"/>
    </xf>
    <xf numFmtId="3" fontId="16" fillId="0" borderId="34" xfId="6" applyNumberFormat="1" applyFont="1" applyBorder="1" applyAlignment="1">
      <alignment horizontal="center" vertical="center"/>
    </xf>
    <xf numFmtId="3" fontId="16" fillId="0" borderId="27" xfId="6" applyNumberFormat="1" applyFont="1" applyBorder="1" applyAlignment="1">
      <alignment horizontal="center" vertical="center"/>
    </xf>
    <xf numFmtId="4" fontId="16" fillId="0" borderId="9" xfId="6" applyNumberFormat="1" applyFont="1" applyBorder="1" applyAlignment="1">
      <alignment horizontal="center" vertical="center"/>
    </xf>
    <xf numFmtId="4" fontId="16" fillId="0" borderId="34" xfId="6" applyNumberFormat="1" applyFont="1" applyBorder="1" applyAlignment="1">
      <alignment horizontal="center" vertical="center"/>
    </xf>
    <xf numFmtId="4" fontId="16" fillId="0" borderId="27" xfId="6" applyNumberFormat="1" applyFont="1" applyBorder="1" applyAlignment="1">
      <alignment horizontal="center" vertical="center"/>
    </xf>
    <xf numFmtId="3" fontId="16" fillId="0" borderId="30" xfId="6" applyNumberFormat="1" applyFont="1" applyBorder="1" applyAlignment="1">
      <alignment horizontal="center" vertical="center"/>
    </xf>
    <xf numFmtId="3" fontId="16" fillId="0" borderId="18" xfId="6" applyNumberFormat="1" applyFont="1" applyBorder="1" applyAlignment="1">
      <alignment horizontal="center" vertical="center"/>
    </xf>
    <xf numFmtId="0" fontId="23" fillId="0" borderId="2" xfId="6" applyFont="1" applyBorder="1" applyAlignment="1">
      <alignment horizontal="center" vertical="center" wrapText="1"/>
    </xf>
    <xf numFmtId="0" fontId="23" fillId="0" borderId="1" xfId="6" applyFont="1" applyBorder="1" applyAlignment="1">
      <alignment horizontal="center" vertical="center" wrapText="1"/>
    </xf>
    <xf numFmtId="0" fontId="16" fillId="0" borderId="4" xfId="6" applyFont="1" applyBorder="1" applyAlignment="1">
      <alignment horizontal="center"/>
    </xf>
    <xf numFmtId="0" fontId="16" fillId="0" borderId="28" xfId="6" applyFont="1" applyBorder="1" applyAlignment="1">
      <alignment horizontal="center"/>
    </xf>
    <xf numFmtId="0" fontId="16" fillId="0" borderId="5" xfId="6" applyFont="1" applyBorder="1" applyAlignment="1">
      <alignment horizontal="center"/>
    </xf>
    <xf numFmtId="3" fontId="21" fillId="3" borderId="31" xfId="6" applyNumberFormat="1" applyFont="1" applyFill="1" applyBorder="1" applyAlignment="1">
      <alignment horizontal="right" vertical="center"/>
    </xf>
    <xf numFmtId="3" fontId="21" fillId="3" borderId="32" xfId="6" applyNumberFormat="1" applyFont="1" applyFill="1" applyBorder="1" applyAlignment="1">
      <alignment horizontal="right" vertical="center"/>
    </xf>
    <xf numFmtId="0" fontId="17" fillId="0" borderId="0" xfId="6" applyFont="1" applyAlignment="1">
      <alignment horizontal="center"/>
    </xf>
    <xf numFmtId="0" fontId="16" fillId="0" borderId="9" xfId="6" applyFont="1" applyBorder="1" applyAlignment="1">
      <alignment horizontal="center" vertical="center"/>
    </xf>
    <xf numFmtId="0" fontId="16" fillId="0" borderId="34" xfId="6" applyFont="1" applyBorder="1" applyAlignment="1">
      <alignment horizontal="center" vertical="center"/>
    </xf>
    <xf numFmtId="0" fontId="16" fillId="0" borderId="27" xfId="6" applyFont="1" applyBorder="1" applyAlignment="1">
      <alignment horizontal="center" vertical="center"/>
    </xf>
    <xf numFmtId="3" fontId="16" fillId="0" borderId="35" xfId="6" applyNumberFormat="1" applyFont="1" applyBorder="1" applyAlignment="1">
      <alignment horizontal="center" vertical="center"/>
    </xf>
    <xf numFmtId="3" fontId="16" fillId="0" borderId="36" xfId="6" applyNumberFormat="1" applyFont="1" applyBorder="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5" fillId="4" borderId="2" xfId="0" applyFont="1" applyFill="1" applyBorder="1" applyAlignment="1">
      <alignment horizontal="right" vertical="center" wrapText="1"/>
    </xf>
    <xf numFmtId="0" fontId="13" fillId="0" borderId="0" xfId="0" applyFont="1" applyAlignment="1">
      <alignment horizontal="left" vertical="center" wrapText="1"/>
    </xf>
    <xf numFmtId="0" fontId="5" fillId="0" borderId="2" xfId="0" applyFont="1" applyBorder="1" applyAlignment="1">
      <alignment horizontal="right" vertical="center"/>
    </xf>
    <xf numFmtId="3" fontId="7" fillId="0" borderId="2" xfId="0" applyNumberFormat="1" applyFont="1" applyBorder="1" applyAlignment="1">
      <alignment horizontal="right" vertical="center"/>
    </xf>
    <xf numFmtId="0" fontId="7" fillId="3" borderId="2" xfId="0" applyFont="1" applyFill="1" applyBorder="1" applyAlignment="1">
      <alignment horizontal="right" vertical="center"/>
    </xf>
    <xf numFmtId="0" fontId="6" fillId="0" borderId="2" xfId="0" applyFont="1" applyBorder="1" applyAlignment="1">
      <alignment horizontal="center" vertical="center"/>
    </xf>
    <xf numFmtId="0" fontId="5" fillId="3" borderId="2" xfId="0" applyFont="1" applyFill="1" applyBorder="1" applyAlignment="1">
      <alignment horizontal="right" vertical="center"/>
    </xf>
    <xf numFmtId="0" fontId="21" fillId="0" borderId="0" xfId="0" applyFont="1" applyAlignment="1">
      <alignment horizontal="left"/>
    </xf>
    <xf numFmtId="0" fontId="4" fillId="0" borderId="0" xfId="0" applyFont="1" applyAlignment="1">
      <alignment horizontal="center" wrapText="1"/>
    </xf>
    <xf numFmtId="0" fontId="16" fillId="0" borderId="0" xfId="0" applyFont="1" applyAlignment="1">
      <alignment horizontal="center" wrapText="1"/>
    </xf>
    <xf numFmtId="0" fontId="16" fillId="0" borderId="0" xfId="6" applyFont="1" applyAlignment="1">
      <alignment horizontal="right" vertical="center" wrapText="1"/>
    </xf>
  </cellXfs>
  <cellStyles count="10">
    <cellStyle name="Comma" xfId="1" builtinId="3"/>
    <cellStyle name="Normal" xfId="0" builtinId="0"/>
    <cellStyle name="Normal 2" xfId="2" xr:uid="{2835F3E4-2C4B-41BB-AA93-608E850A9936}"/>
    <cellStyle name="Normal 2 2 2 2" xfId="5" xr:uid="{3890ACAC-5E69-4890-BD5D-BF55FDE55299}"/>
    <cellStyle name="Normal 2 5" xfId="6" xr:uid="{965DE172-3E00-44EB-868E-3A34470D8A2D}"/>
    <cellStyle name="Normal 5" xfId="4" xr:uid="{53B0D21B-5268-426E-9AE4-0966A5B68FE2}"/>
    <cellStyle name="Normal 5 3" xfId="7" xr:uid="{B37AE697-CF55-4650-8BF1-1A3A443C6ACE}"/>
    <cellStyle name="Normal 6" xfId="3" xr:uid="{0431F2AB-E86D-4587-ADEF-0B96F397C92B}"/>
    <cellStyle name="Normal 6 11" xfId="9" xr:uid="{8C890E3F-6C95-45D2-BD3A-2B90CC40FF9D}"/>
    <cellStyle name="Percent"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styles" Target="styles.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FFE1C-0331-475E-A737-C52BD1A47C8D}">
  <dimension ref="A1:X159"/>
  <sheetViews>
    <sheetView zoomScale="80" zoomScaleNormal="80" workbookViewId="0">
      <selection activeCell="R134" sqref="R134:R137"/>
    </sheetView>
  </sheetViews>
  <sheetFormatPr defaultColWidth="9.140625" defaultRowHeight="15" x14ac:dyDescent="0.25"/>
  <cols>
    <col min="1" max="1" width="13.7109375" style="66" customWidth="1"/>
    <col min="2" max="2" width="42.5703125" style="67" customWidth="1"/>
    <col min="3" max="3" width="15.140625" style="66" customWidth="1"/>
    <col min="4" max="4" width="11.85546875" style="66" customWidth="1"/>
    <col min="5" max="5" width="12.140625" style="66" customWidth="1"/>
    <col min="6" max="6" width="12" style="66" customWidth="1"/>
    <col min="7" max="7" width="15.5703125" style="66" customWidth="1"/>
    <col min="8" max="8" width="16.140625" style="66" customWidth="1"/>
    <col min="9" max="9" width="12.7109375" style="66" hidden="1" customWidth="1"/>
    <col min="10" max="10" width="14.85546875" style="66" customWidth="1"/>
    <col min="11" max="11" width="12.7109375" style="66" hidden="1" customWidth="1"/>
    <col min="12" max="13" width="12.7109375" style="66" customWidth="1"/>
    <col min="14" max="14" width="16.28515625" style="66" customWidth="1"/>
    <col min="15" max="15" width="16.5703125" style="66" customWidth="1"/>
    <col min="16" max="16" width="11.5703125" style="66" hidden="1" customWidth="1"/>
    <col min="17" max="17" width="13.85546875" style="66" hidden="1" customWidth="1"/>
    <col min="18" max="18" width="18.140625" style="66" customWidth="1"/>
    <col min="19" max="19" width="16.42578125" style="66" customWidth="1"/>
    <col min="20" max="20" width="16.5703125" style="66" customWidth="1"/>
    <col min="21" max="21" width="17.7109375" style="66" customWidth="1"/>
    <col min="22" max="22" width="14.28515625" style="69" customWidth="1"/>
    <col min="23" max="23" width="15.140625" style="68" customWidth="1"/>
    <col min="24" max="24" width="10.5703125" style="68" bestFit="1" customWidth="1"/>
    <col min="25" max="16384" width="9.140625" style="67"/>
  </cols>
  <sheetData>
    <row r="1" spans="1:24" x14ac:dyDescent="0.25">
      <c r="O1" s="362" t="s">
        <v>118</v>
      </c>
      <c r="P1" s="362"/>
      <c r="Q1" s="362"/>
      <c r="R1" s="362"/>
      <c r="S1" s="362"/>
      <c r="T1" s="362"/>
      <c r="U1" s="362"/>
      <c r="V1" s="1"/>
    </row>
    <row r="2" spans="1:24" s="71" customFormat="1" ht="18.75" x14ac:dyDescent="0.25">
      <c r="A2" s="363" t="s">
        <v>117</v>
      </c>
      <c r="B2" s="363"/>
      <c r="C2" s="363"/>
      <c r="D2" s="363"/>
      <c r="E2" s="363"/>
      <c r="F2" s="363"/>
      <c r="G2" s="363"/>
      <c r="H2" s="363"/>
      <c r="I2" s="363"/>
      <c r="J2" s="363"/>
      <c r="K2" s="363"/>
      <c r="L2" s="363"/>
      <c r="M2" s="363"/>
      <c r="N2" s="363"/>
      <c r="O2" s="363"/>
      <c r="P2" s="363"/>
      <c r="Q2" s="363"/>
      <c r="R2" s="363"/>
      <c r="S2" s="363"/>
      <c r="T2" s="363"/>
      <c r="U2" s="363"/>
      <c r="V2" s="69"/>
      <c r="W2" s="70"/>
      <c r="X2" s="70"/>
    </row>
    <row r="3" spans="1:24" s="71" customFormat="1" ht="18.75" x14ac:dyDescent="0.25">
      <c r="A3" s="307"/>
      <c r="B3" s="307"/>
      <c r="C3" s="307"/>
      <c r="D3" s="307"/>
      <c r="E3" s="307"/>
      <c r="F3" s="307"/>
      <c r="G3" s="307"/>
      <c r="H3" s="307"/>
      <c r="I3" s="307"/>
      <c r="J3" s="307"/>
      <c r="K3" s="307"/>
      <c r="L3" s="307"/>
      <c r="M3" s="307"/>
      <c r="N3" s="307"/>
      <c r="O3" s="307"/>
      <c r="P3" s="307"/>
      <c r="Q3" s="307"/>
      <c r="R3" s="307"/>
      <c r="S3" s="307"/>
      <c r="T3" s="307"/>
      <c r="U3" s="307"/>
      <c r="V3" s="69"/>
      <c r="W3" s="70"/>
      <c r="X3" s="70"/>
    </row>
    <row r="4" spans="1:24" s="71" customFormat="1" ht="15" customHeight="1" x14ac:dyDescent="0.25">
      <c r="A4" s="315" t="s">
        <v>147</v>
      </c>
      <c r="B4" s="73"/>
      <c r="C4" s="74"/>
      <c r="D4" s="74"/>
      <c r="E4" s="74"/>
      <c r="F4" s="74"/>
      <c r="G4" s="74"/>
      <c r="H4" s="74"/>
      <c r="I4" s="74"/>
      <c r="J4" s="74"/>
      <c r="K4" s="72"/>
      <c r="M4" s="72"/>
      <c r="N4" s="72"/>
      <c r="O4" s="72"/>
      <c r="S4" s="72"/>
      <c r="T4" s="72"/>
      <c r="U4" s="72"/>
      <c r="V4" s="69"/>
      <c r="W4" s="70"/>
      <c r="X4" s="70"/>
    </row>
    <row r="5" spans="1:24" s="309" customFormat="1" ht="15.75" x14ac:dyDescent="0.25">
      <c r="A5" s="310" t="s">
        <v>145</v>
      </c>
      <c r="C5" s="311"/>
      <c r="D5" s="311"/>
      <c r="E5" s="311"/>
      <c r="F5" s="311"/>
      <c r="G5" s="312"/>
      <c r="H5" s="312"/>
      <c r="I5" s="312"/>
    </row>
    <row r="6" spans="1:24" s="309" customFormat="1" ht="15.75" x14ac:dyDescent="0.25">
      <c r="A6" s="313" t="s">
        <v>146</v>
      </c>
      <c r="C6" s="314"/>
      <c r="D6" s="314"/>
      <c r="E6" s="314"/>
      <c r="F6" s="314"/>
      <c r="G6" s="312"/>
      <c r="H6" s="312"/>
      <c r="I6" s="312"/>
    </row>
    <row r="7" spans="1:24" s="6" customFormat="1" ht="12.75" x14ac:dyDescent="0.2">
      <c r="E7" s="7"/>
    </row>
    <row r="8" spans="1:24" s="77" customFormat="1" x14ac:dyDescent="0.25">
      <c r="A8" s="71" t="s">
        <v>38</v>
      </c>
      <c r="B8" s="71"/>
      <c r="C8" s="72"/>
      <c r="D8" s="72"/>
      <c r="E8" s="72"/>
      <c r="F8" s="76"/>
      <c r="G8" s="76"/>
      <c r="H8" s="76"/>
      <c r="I8" s="76"/>
      <c r="J8" s="76"/>
      <c r="K8" s="76"/>
      <c r="M8" s="76"/>
      <c r="N8" s="76"/>
      <c r="O8" s="76"/>
      <c r="S8" s="76"/>
      <c r="T8" s="76"/>
      <c r="U8" s="76"/>
      <c r="V8" s="78"/>
      <c r="W8" s="79"/>
      <c r="X8" s="79"/>
    </row>
    <row r="9" spans="1:24" x14ac:dyDescent="0.25">
      <c r="A9" s="71" t="s">
        <v>39</v>
      </c>
    </row>
    <row r="10" spans="1:24" x14ac:dyDescent="0.25">
      <c r="A10" s="71" t="s">
        <v>40</v>
      </c>
    </row>
    <row r="11" spans="1:24" x14ac:dyDescent="0.25">
      <c r="A11" s="71" t="s">
        <v>41</v>
      </c>
    </row>
    <row r="12" spans="1:24" x14ac:dyDescent="0.25">
      <c r="A12" s="71"/>
    </row>
    <row r="13" spans="1:24" x14ac:dyDescent="0.25">
      <c r="A13" s="364" t="s">
        <v>42</v>
      </c>
      <c r="B13" s="364"/>
      <c r="C13" s="364"/>
      <c r="D13" s="364"/>
      <c r="E13" s="364"/>
      <c r="F13" s="364"/>
      <c r="G13" s="365" t="s">
        <v>43</v>
      </c>
      <c r="H13" s="365"/>
      <c r="I13" s="365"/>
      <c r="J13" s="365"/>
      <c r="K13" s="365"/>
      <c r="L13" s="365"/>
      <c r="M13" s="365"/>
    </row>
    <row r="14" spans="1:24" s="88" customFormat="1" x14ac:dyDescent="0.25">
      <c r="A14" s="364"/>
      <c r="B14" s="364"/>
      <c r="C14" s="364"/>
      <c r="D14" s="364"/>
      <c r="E14" s="364"/>
      <c r="F14" s="364"/>
      <c r="G14" s="80">
        <v>1963</v>
      </c>
      <c r="H14" s="80"/>
      <c r="I14" s="81">
        <v>405</v>
      </c>
      <c r="J14" s="80">
        <v>1183</v>
      </c>
      <c r="K14" s="81">
        <v>243</v>
      </c>
      <c r="L14" s="82"/>
      <c r="M14" s="83">
        <v>0.2359</v>
      </c>
      <c r="N14" s="84"/>
      <c r="O14" s="85"/>
      <c r="P14" s="85"/>
      <c r="Q14" s="85"/>
      <c r="R14" s="85"/>
      <c r="S14" s="85"/>
      <c r="T14" s="85"/>
      <c r="U14" s="86"/>
      <c r="V14" s="87"/>
      <c r="W14" s="68"/>
      <c r="X14" s="68"/>
    </row>
    <row r="15" spans="1:24" s="68" customFormat="1" ht="75" customHeight="1" thickBot="1" x14ac:dyDescent="0.3">
      <c r="A15" s="89" t="s">
        <v>44</v>
      </c>
      <c r="B15" s="89" t="s">
        <v>45</v>
      </c>
      <c r="C15" s="89" t="s">
        <v>46</v>
      </c>
      <c r="D15" s="89" t="s">
        <v>47</v>
      </c>
      <c r="E15" s="89" t="s">
        <v>48</v>
      </c>
      <c r="F15" s="90" t="s">
        <v>49</v>
      </c>
      <c r="G15" s="90" t="s">
        <v>50</v>
      </c>
      <c r="H15" s="89" t="s">
        <v>51</v>
      </c>
      <c r="I15" s="89" t="s">
        <v>52</v>
      </c>
      <c r="J15" s="89" t="s">
        <v>53</v>
      </c>
      <c r="K15" s="91" t="s">
        <v>54</v>
      </c>
      <c r="L15" s="90" t="s">
        <v>55</v>
      </c>
      <c r="M15" s="91" t="s">
        <v>56</v>
      </c>
      <c r="N15" s="90" t="s">
        <v>57</v>
      </c>
      <c r="O15" s="90" t="s">
        <v>58</v>
      </c>
      <c r="P15" s="90" t="s">
        <v>59</v>
      </c>
      <c r="Q15" s="90" t="s">
        <v>60</v>
      </c>
      <c r="R15" s="91" t="s">
        <v>61</v>
      </c>
      <c r="S15" s="92" t="s">
        <v>62</v>
      </c>
      <c r="T15" s="92" t="s">
        <v>63</v>
      </c>
      <c r="U15" s="92" t="s">
        <v>64</v>
      </c>
      <c r="V15" s="93"/>
    </row>
    <row r="16" spans="1:24" s="88" customFormat="1" x14ac:dyDescent="0.25">
      <c r="A16" s="94" t="s">
        <v>65</v>
      </c>
      <c r="B16" s="95" t="s">
        <v>66</v>
      </c>
      <c r="C16" s="96">
        <v>12</v>
      </c>
      <c r="D16" s="96">
        <v>1</v>
      </c>
      <c r="E16" s="97"/>
      <c r="F16" s="97">
        <v>1</v>
      </c>
      <c r="G16" s="98">
        <f>ROUND(C16*E16*$G$14,2)</f>
        <v>0</v>
      </c>
      <c r="H16" s="98"/>
      <c r="I16" s="98"/>
      <c r="J16" s="98">
        <f>ROUND(C16*F16*$J$14,2)</f>
        <v>14196</v>
      </c>
      <c r="K16" s="98"/>
      <c r="L16" s="98">
        <f>G16+H16+I16+J16+K16</f>
        <v>14196</v>
      </c>
      <c r="M16" s="98">
        <f>ROUND(L16*$M$14,2)</f>
        <v>3348.84</v>
      </c>
      <c r="N16" s="98">
        <v>3673</v>
      </c>
      <c r="O16" s="97">
        <v>306.08</v>
      </c>
      <c r="P16" s="97"/>
      <c r="Q16" s="97"/>
      <c r="R16" s="98">
        <f>ROUND(C16*F16*O16,2)</f>
        <v>3672.96</v>
      </c>
      <c r="S16" s="99">
        <f>L16+M16</f>
        <v>17544.84</v>
      </c>
      <c r="T16" s="98"/>
      <c r="U16" s="100">
        <f>S16+R16</f>
        <v>21217.8</v>
      </c>
      <c r="V16" s="101"/>
      <c r="W16" s="68"/>
      <c r="X16" s="68"/>
    </row>
    <row r="17" spans="1:24" s="88" customFormat="1" x14ac:dyDescent="0.25">
      <c r="A17" s="102" t="s">
        <v>65</v>
      </c>
      <c r="B17" s="103" t="s">
        <v>67</v>
      </c>
      <c r="C17" s="104">
        <v>12</v>
      </c>
      <c r="D17" s="104">
        <v>1</v>
      </c>
      <c r="E17" s="105">
        <v>2.7</v>
      </c>
      <c r="F17" s="105"/>
      <c r="G17" s="80">
        <f>ROUND(C17*E17*$G$14,2)</f>
        <v>63601.2</v>
      </c>
      <c r="H17" s="80"/>
      <c r="I17" s="80"/>
      <c r="J17" s="80">
        <f>ROUND(C17*F17*$J$14,2)</f>
        <v>0</v>
      </c>
      <c r="K17" s="80"/>
      <c r="L17" s="80">
        <f>G17+H17+I17+J17+K17</f>
        <v>63601.2</v>
      </c>
      <c r="M17" s="80">
        <f>ROUND(L17*$M$14,2)</f>
        <v>15003.52</v>
      </c>
      <c r="N17" s="80">
        <v>3673</v>
      </c>
      <c r="O17" s="105">
        <v>306.08</v>
      </c>
      <c r="P17" s="105"/>
      <c r="Q17" s="105"/>
      <c r="R17" s="80">
        <f>ROUND(C17*E17*O17,2)</f>
        <v>9916.99</v>
      </c>
      <c r="S17" s="80">
        <f>L17+M17</f>
        <v>78604.72</v>
      </c>
      <c r="T17" s="80"/>
      <c r="U17" s="106">
        <f>S17+R17</f>
        <v>88521.71</v>
      </c>
      <c r="V17" s="101"/>
      <c r="W17" s="68"/>
      <c r="X17" s="68"/>
    </row>
    <row r="18" spans="1:24" s="88" customFormat="1" x14ac:dyDescent="0.25">
      <c r="A18" s="107" t="s">
        <v>65</v>
      </c>
      <c r="B18" s="108" t="s">
        <v>68</v>
      </c>
      <c r="C18" s="104">
        <v>12</v>
      </c>
      <c r="D18" s="82">
        <v>1</v>
      </c>
      <c r="E18" s="109">
        <v>5.5</v>
      </c>
      <c r="F18" s="109"/>
      <c r="G18" s="80">
        <f>ROUND(C18*E18*$G$14,2)</f>
        <v>129558</v>
      </c>
      <c r="H18" s="110">
        <f>ROUND(C18*E18*540,2)</f>
        <v>35640</v>
      </c>
      <c r="I18" s="110"/>
      <c r="J18" s="80">
        <f>ROUND(C18*F18*$J$14,2)</f>
        <v>0</v>
      </c>
      <c r="K18" s="110"/>
      <c r="L18" s="110">
        <f>G18+H18+I18+J18+K18</f>
        <v>165198</v>
      </c>
      <c r="M18" s="80">
        <f>ROUND(L18*$M$14,2)</f>
        <v>38970.21</v>
      </c>
      <c r="N18" s="110">
        <v>3673</v>
      </c>
      <c r="O18" s="109">
        <v>306.08</v>
      </c>
      <c r="P18" s="109"/>
      <c r="Q18" s="109"/>
      <c r="R18" s="80">
        <f>ROUND(C18*E18*O18,2)</f>
        <v>20201.28</v>
      </c>
      <c r="S18" s="80">
        <f>L18+M18</f>
        <v>204168.21</v>
      </c>
      <c r="T18" s="110"/>
      <c r="U18" s="106">
        <f>S18+R18</f>
        <v>224369.49</v>
      </c>
      <c r="V18" s="101"/>
      <c r="W18" s="68"/>
      <c r="X18" s="68"/>
    </row>
    <row r="19" spans="1:24" s="88" customFormat="1" x14ac:dyDescent="0.25">
      <c r="A19" s="107" t="s">
        <v>65</v>
      </c>
      <c r="B19" s="108" t="s">
        <v>69</v>
      </c>
      <c r="C19" s="104">
        <v>12</v>
      </c>
      <c r="D19" s="82">
        <v>1</v>
      </c>
      <c r="E19" s="109">
        <v>0.35</v>
      </c>
      <c r="F19" s="109"/>
      <c r="G19" s="80">
        <f>ROUND(C19*E19*$G$14,2)</f>
        <v>8244.6</v>
      </c>
      <c r="H19" s="110"/>
      <c r="I19" s="110"/>
      <c r="J19" s="80">
        <f>ROUND(C19*F19*$J$14,2)</f>
        <v>0</v>
      </c>
      <c r="K19" s="110"/>
      <c r="L19" s="110">
        <f>ROUNDDOWN(G19+H19+I19+J19+K19,0)</f>
        <v>8244</v>
      </c>
      <c r="M19" s="80">
        <f>ROUND(L19*$M$14,2)</f>
        <v>1944.76</v>
      </c>
      <c r="N19" s="110">
        <v>3673</v>
      </c>
      <c r="O19" s="109">
        <v>306.08</v>
      </c>
      <c r="P19" s="109"/>
      <c r="Q19" s="109"/>
      <c r="R19" s="80">
        <f>ROUND(C19*E19*O19,2)</f>
        <v>1285.54</v>
      </c>
      <c r="S19" s="80">
        <f>L19+M19</f>
        <v>10188.76</v>
      </c>
      <c r="T19" s="110"/>
      <c r="U19" s="106">
        <f>S19+R19</f>
        <v>11474.3</v>
      </c>
      <c r="V19" s="101"/>
      <c r="W19" s="68"/>
      <c r="X19" s="68"/>
    </row>
    <row r="20" spans="1:24" s="88" customFormat="1" ht="15.75" customHeight="1" x14ac:dyDescent="0.25">
      <c r="A20" s="107" t="s">
        <v>65</v>
      </c>
      <c r="B20" s="108" t="s">
        <v>70</v>
      </c>
      <c r="C20" s="104">
        <v>12</v>
      </c>
      <c r="D20" s="82">
        <v>1</v>
      </c>
      <c r="E20" s="109">
        <v>0.65</v>
      </c>
      <c r="F20" s="109"/>
      <c r="G20" s="80">
        <f>ROUND(C20*E20*$G$14,2)</f>
        <v>15311.4</v>
      </c>
      <c r="H20" s="110">
        <f>ROUND(C20*E20*540,2)</f>
        <v>4212</v>
      </c>
      <c r="I20" s="110"/>
      <c r="J20" s="80">
        <f>ROUND(C20*F20*$J$14,2)</f>
        <v>0</v>
      </c>
      <c r="K20" s="110"/>
      <c r="L20" s="110">
        <f>ROUNDDOWN(G20+H20+I20+J20+K20,0)</f>
        <v>19523</v>
      </c>
      <c r="M20" s="80">
        <f>ROUND(L20*$M$14,2)</f>
        <v>4605.4799999999996</v>
      </c>
      <c r="N20" s="110">
        <v>3673</v>
      </c>
      <c r="O20" s="109">
        <v>306.08</v>
      </c>
      <c r="P20" s="109"/>
      <c r="Q20" s="109"/>
      <c r="R20" s="80">
        <f>ROUND(C20*E20*O20,2)</f>
        <v>2387.42</v>
      </c>
      <c r="S20" s="111">
        <f>L20+M20</f>
        <v>24128.48</v>
      </c>
      <c r="T20" s="110"/>
      <c r="U20" s="106">
        <f>S20+R20</f>
        <v>26515.9</v>
      </c>
      <c r="V20" s="112"/>
      <c r="W20" s="68"/>
      <c r="X20" s="68"/>
    </row>
    <row r="21" spans="1:24" s="88" customFormat="1" ht="15.75" customHeight="1" thickBot="1" x14ac:dyDescent="0.3">
      <c r="A21" s="113" t="s">
        <v>65</v>
      </c>
      <c r="B21" s="114" t="s">
        <v>71</v>
      </c>
      <c r="C21" s="115"/>
      <c r="D21" s="116"/>
      <c r="E21" s="117"/>
      <c r="F21" s="117"/>
      <c r="G21" s="118"/>
      <c r="H21" s="119"/>
      <c r="I21" s="119"/>
      <c r="J21" s="118"/>
      <c r="K21" s="119"/>
      <c r="L21" s="119"/>
      <c r="M21" s="118"/>
      <c r="N21" s="119"/>
      <c r="O21" s="117"/>
      <c r="P21" s="117"/>
      <c r="Q21" s="117"/>
      <c r="R21" s="118"/>
      <c r="S21" s="119"/>
      <c r="T21" s="119">
        <v>17280</v>
      </c>
      <c r="U21" s="120">
        <f>T21</f>
        <v>17280</v>
      </c>
      <c r="V21" s="101"/>
      <c r="W21" s="68"/>
      <c r="X21" s="68"/>
    </row>
    <row r="22" spans="1:24" x14ac:dyDescent="0.25">
      <c r="A22" s="121" t="s">
        <v>72</v>
      </c>
      <c r="B22" s="95" t="s">
        <v>66</v>
      </c>
      <c r="C22" s="96">
        <v>12</v>
      </c>
      <c r="D22" s="122">
        <v>1</v>
      </c>
      <c r="E22" s="123"/>
      <c r="F22" s="123">
        <v>0.5</v>
      </c>
      <c r="G22" s="98">
        <f>ROUND(C22*E22*$G$14,2)</f>
        <v>0</v>
      </c>
      <c r="H22" s="124"/>
      <c r="I22" s="124"/>
      <c r="J22" s="98">
        <f>ROUND(C22*F22*$J$14,2)</f>
        <v>7098</v>
      </c>
      <c r="K22" s="124"/>
      <c r="L22" s="125">
        <f>ROUNDDOWN(G22+H22+I22+J22+K22,0)</f>
        <v>7098</v>
      </c>
      <c r="M22" s="98">
        <f>ROUND(L22*$M$14,2)</f>
        <v>1674.42</v>
      </c>
      <c r="N22" s="125">
        <v>3673</v>
      </c>
      <c r="O22" s="123">
        <v>306.08</v>
      </c>
      <c r="P22" s="123"/>
      <c r="Q22" s="123"/>
      <c r="R22" s="98">
        <f>ROUND(C22*F22*O22,2)</f>
        <v>1836.48</v>
      </c>
      <c r="S22" s="125">
        <f>L22+M22</f>
        <v>8772.42</v>
      </c>
      <c r="T22" s="125"/>
      <c r="U22" s="100">
        <f>S22+R22</f>
        <v>10608.9</v>
      </c>
    </row>
    <row r="23" spans="1:24" x14ac:dyDescent="0.25">
      <c r="A23" s="107" t="s">
        <v>72</v>
      </c>
      <c r="B23" s="103" t="s">
        <v>67</v>
      </c>
      <c r="C23" s="104">
        <v>12</v>
      </c>
      <c r="D23" s="82">
        <v>1</v>
      </c>
      <c r="E23" s="109">
        <v>0.75</v>
      </c>
      <c r="F23" s="109"/>
      <c r="G23" s="80">
        <f>ROUND(C23*E23*$G$14,2)</f>
        <v>17667</v>
      </c>
      <c r="H23" s="126"/>
      <c r="I23" s="126"/>
      <c r="J23" s="80">
        <f>ROUND(C23*F23*$J$14,2)</f>
        <v>0</v>
      </c>
      <c r="K23" s="126"/>
      <c r="L23" s="110">
        <f>ROUNDDOWN(G23+H23+I23+J23+K23,0)</f>
        <v>17667</v>
      </c>
      <c r="M23" s="80">
        <f>ROUND(L23*$M$14,2)</f>
        <v>4167.6499999999996</v>
      </c>
      <c r="N23" s="110">
        <v>3673</v>
      </c>
      <c r="O23" s="109">
        <v>306.08</v>
      </c>
      <c r="P23" s="109"/>
      <c r="Q23" s="109"/>
      <c r="R23" s="80">
        <f>ROUND(C23*E23*O23,2)</f>
        <v>2754.72</v>
      </c>
      <c r="S23" s="110">
        <f>L23+M23</f>
        <v>21834.65</v>
      </c>
      <c r="T23" s="110"/>
      <c r="U23" s="106">
        <f>S23+R23</f>
        <v>24589.370000000003</v>
      </c>
    </row>
    <row r="24" spans="1:24" x14ac:dyDescent="0.25">
      <c r="A24" s="107" t="s">
        <v>72</v>
      </c>
      <c r="B24" s="108" t="s">
        <v>68</v>
      </c>
      <c r="C24" s="104">
        <v>12</v>
      </c>
      <c r="D24" s="82">
        <v>1</v>
      </c>
      <c r="E24" s="109">
        <v>2</v>
      </c>
      <c r="F24" s="109"/>
      <c r="G24" s="80">
        <f>ROUND(C24*E24*$G$14,2)</f>
        <v>47112</v>
      </c>
      <c r="H24" s="110">
        <f>ROUND(C24*E24*540,2)</f>
        <v>12960</v>
      </c>
      <c r="I24" s="126"/>
      <c r="J24" s="80">
        <f>ROUND(C24*F24*$J$14,2)</f>
        <v>0</v>
      </c>
      <c r="K24" s="126"/>
      <c r="L24" s="110">
        <f>ROUNDDOWN(G24+H24+I24+J24+K24,0)</f>
        <v>60072</v>
      </c>
      <c r="M24" s="80">
        <f>ROUND(L24*$M$14,2)</f>
        <v>14170.98</v>
      </c>
      <c r="N24" s="110">
        <v>3673</v>
      </c>
      <c r="O24" s="109">
        <v>306.08</v>
      </c>
      <c r="P24" s="109"/>
      <c r="Q24" s="109"/>
      <c r="R24" s="80">
        <f>ROUND(C24*E24*O24,2)</f>
        <v>7345.92</v>
      </c>
      <c r="S24" s="110">
        <f>L24+M24</f>
        <v>74242.98</v>
      </c>
      <c r="T24" s="110"/>
      <c r="U24" s="106">
        <f>S24+R24</f>
        <v>81588.899999999994</v>
      </c>
      <c r="V24" s="127"/>
    </row>
    <row r="25" spans="1:24" ht="15.75" thickBot="1" x14ac:dyDescent="0.3">
      <c r="A25" s="113" t="s">
        <v>72</v>
      </c>
      <c r="B25" s="114" t="s">
        <v>71</v>
      </c>
      <c r="C25" s="115"/>
      <c r="D25" s="116"/>
      <c r="E25" s="117"/>
      <c r="F25" s="117"/>
      <c r="G25" s="118"/>
      <c r="H25" s="128"/>
      <c r="I25" s="128"/>
      <c r="J25" s="118"/>
      <c r="K25" s="128"/>
      <c r="L25" s="119"/>
      <c r="M25" s="118"/>
      <c r="N25" s="119"/>
      <c r="O25" s="117"/>
      <c r="P25" s="117"/>
      <c r="Q25" s="117"/>
      <c r="R25" s="118"/>
      <c r="S25" s="119"/>
      <c r="T25" s="119">
        <f>6600+755.58</f>
        <v>7355.58</v>
      </c>
      <c r="U25" s="120">
        <f>T25</f>
        <v>7355.58</v>
      </c>
      <c r="V25" s="127"/>
    </row>
    <row r="26" spans="1:24" x14ac:dyDescent="0.25">
      <c r="A26" s="121" t="s">
        <v>73</v>
      </c>
      <c r="B26" s="95" t="s">
        <v>66</v>
      </c>
      <c r="C26" s="96">
        <v>12</v>
      </c>
      <c r="D26" s="122">
        <v>1</v>
      </c>
      <c r="E26" s="129"/>
      <c r="F26" s="123">
        <v>0.5</v>
      </c>
      <c r="G26" s="98">
        <f>ROUND(C26*E26*$G$14,2)</f>
        <v>0</v>
      </c>
      <c r="H26" s="124"/>
      <c r="I26" s="124"/>
      <c r="J26" s="98">
        <f>ROUND(C26*F26*$J$14,2)</f>
        <v>7098</v>
      </c>
      <c r="K26" s="124"/>
      <c r="L26" s="125">
        <f>ROUNDDOWN(G26+H26+I26+J26+K26,0)</f>
        <v>7098</v>
      </c>
      <c r="M26" s="98">
        <f>ROUND(L26*$M$14,2)</f>
        <v>1674.42</v>
      </c>
      <c r="N26" s="125">
        <v>3673</v>
      </c>
      <c r="O26" s="123">
        <v>306.08</v>
      </c>
      <c r="P26" s="123"/>
      <c r="Q26" s="123"/>
      <c r="R26" s="98">
        <f>ROUND(C26*F26*O26,2)</f>
        <v>1836.48</v>
      </c>
      <c r="S26" s="125">
        <f>L26+M26</f>
        <v>8772.42</v>
      </c>
      <c r="T26" s="125"/>
      <c r="U26" s="100">
        <f>S26+R26</f>
        <v>10608.9</v>
      </c>
    </row>
    <row r="27" spans="1:24" x14ac:dyDescent="0.25">
      <c r="A27" s="107" t="s">
        <v>73</v>
      </c>
      <c r="B27" s="103" t="s">
        <v>67</v>
      </c>
      <c r="C27" s="104">
        <v>12</v>
      </c>
      <c r="D27" s="82">
        <v>1</v>
      </c>
      <c r="E27" s="109">
        <v>0.75</v>
      </c>
      <c r="F27" s="130"/>
      <c r="G27" s="80">
        <f>ROUND(C27*E27*$G$14,2)</f>
        <v>17667</v>
      </c>
      <c r="H27" s="126"/>
      <c r="I27" s="126"/>
      <c r="J27" s="80">
        <f>ROUND(C27*F27*$J$14,2)</f>
        <v>0</v>
      </c>
      <c r="K27" s="126"/>
      <c r="L27" s="110">
        <f>ROUNDDOWN(G27+H27+I27+J27+K27,0)</f>
        <v>17667</v>
      </c>
      <c r="M27" s="80">
        <f>ROUND(L27*$M$14,2)</f>
        <v>4167.6499999999996</v>
      </c>
      <c r="N27" s="110">
        <v>3673</v>
      </c>
      <c r="O27" s="109">
        <v>306.08</v>
      </c>
      <c r="P27" s="109"/>
      <c r="Q27" s="109"/>
      <c r="R27" s="80">
        <f>ROUND(C27*E27*O27,2)</f>
        <v>2754.72</v>
      </c>
      <c r="S27" s="110">
        <f>L27+M27</f>
        <v>21834.65</v>
      </c>
      <c r="T27" s="110"/>
      <c r="U27" s="106">
        <f>S27+R27</f>
        <v>24589.370000000003</v>
      </c>
    </row>
    <row r="28" spans="1:24" x14ac:dyDescent="0.25">
      <c r="A28" s="107" t="s">
        <v>73</v>
      </c>
      <c r="B28" s="108" t="s">
        <v>68</v>
      </c>
      <c r="C28" s="104">
        <v>12</v>
      </c>
      <c r="D28" s="82">
        <v>1</v>
      </c>
      <c r="E28" s="109">
        <v>2</v>
      </c>
      <c r="F28" s="130"/>
      <c r="G28" s="80">
        <f>ROUND(C28*E28*$G$14,2)</f>
        <v>47112</v>
      </c>
      <c r="H28" s="110">
        <f>ROUND(C28*E28*540,2)</f>
        <v>12960</v>
      </c>
      <c r="I28" s="126"/>
      <c r="J28" s="80">
        <f>ROUND(C28*F28*$J$14,2)</f>
        <v>0</v>
      </c>
      <c r="K28" s="126"/>
      <c r="L28" s="110">
        <f>ROUNDDOWN(G28+H28+I28+J28+K28,0)</f>
        <v>60072</v>
      </c>
      <c r="M28" s="80">
        <f>ROUND(L28*$M$14,2)</f>
        <v>14170.98</v>
      </c>
      <c r="N28" s="110">
        <v>3673</v>
      </c>
      <c r="O28" s="109">
        <v>306.08</v>
      </c>
      <c r="P28" s="109"/>
      <c r="Q28" s="109"/>
      <c r="R28" s="80">
        <f>ROUND(C28*E28*O28,2)</f>
        <v>7345.92</v>
      </c>
      <c r="S28" s="110">
        <f>L28+M28</f>
        <v>74242.98</v>
      </c>
      <c r="T28" s="110"/>
      <c r="U28" s="106">
        <f>S28+R28</f>
        <v>81588.899999999994</v>
      </c>
      <c r="V28" s="127"/>
    </row>
    <row r="29" spans="1:24" ht="15.75" thickBot="1" x14ac:dyDescent="0.3">
      <c r="A29" s="113" t="s">
        <v>73</v>
      </c>
      <c r="B29" s="114" t="s">
        <v>71</v>
      </c>
      <c r="C29" s="115"/>
      <c r="D29" s="116"/>
      <c r="E29" s="117"/>
      <c r="F29" s="131"/>
      <c r="G29" s="118"/>
      <c r="H29" s="128"/>
      <c r="I29" s="128"/>
      <c r="J29" s="118"/>
      <c r="K29" s="128"/>
      <c r="L29" s="119"/>
      <c r="M29" s="118"/>
      <c r="N29" s="119"/>
      <c r="O29" s="117"/>
      <c r="P29" s="117"/>
      <c r="Q29" s="117"/>
      <c r="R29" s="118"/>
      <c r="S29" s="119"/>
      <c r="T29" s="119">
        <f>4440-(-1026.496)</f>
        <v>5466.4960000000001</v>
      </c>
      <c r="U29" s="120">
        <f>T29</f>
        <v>5466.4960000000001</v>
      </c>
    </row>
    <row r="30" spans="1:24" x14ac:dyDescent="0.25">
      <c r="A30" s="132" t="s">
        <v>74</v>
      </c>
      <c r="B30" s="133" t="s">
        <v>66</v>
      </c>
      <c r="C30" s="134">
        <v>12</v>
      </c>
      <c r="D30" s="135">
        <v>1</v>
      </c>
      <c r="E30" s="136"/>
      <c r="F30" s="137">
        <v>0.5</v>
      </c>
      <c r="G30" s="111">
        <f t="shared" ref="G30:G35" si="0">ROUND(C30*E30*$G$14,2)</f>
        <v>0</v>
      </c>
      <c r="H30" s="138"/>
      <c r="I30" s="138"/>
      <c r="J30" s="111">
        <f t="shared" ref="J30:J35" si="1">ROUND(C30*F30*$J$14,2)</f>
        <v>7098</v>
      </c>
      <c r="K30" s="138"/>
      <c r="L30" s="139">
        <f t="shared" ref="L30:L35" si="2">ROUNDDOWN(G30+H30+I30+J30+K30,0)</f>
        <v>7098</v>
      </c>
      <c r="M30" s="111">
        <f t="shared" ref="M30:M35" si="3">ROUND(L30*$M$14,2)</f>
        <v>1674.42</v>
      </c>
      <c r="N30" s="139">
        <v>3673</v>
      </c>
      <c r="O30" s="137">
        <v>306.08</v>
      </c>
      <c r="P30" s="137"/>
      <c r="Q30" s="137"/>
      <c r="R30" s="98">
        <f>ROUND(C30*F30*O30,2)</f>
        <v>1836.48</v>
      </c>
      <c r="S30" s="139">
        <f t="shared" ref="S30:S35" si="4">L30+M30</f>
        <v>8772.42</v>
      </c>
      <c r="T30" s="140"/>
      <c r="U30" s="141">
        <f t="shared" ref="U30:U35" si="5">S30+R30</f>
        <v>10608.9</v>
      </c>
    </row>
    <row r="31" spans="1:24" x14ac:dyDescent="0.25">
      <c r="A31" s="107" t="s">
        <v>74</v>
      </c>
      <c r="B31" s="103" t="s">
        <v>67</v>
      </c>
      <c r="C31" s="104">
        <v>12</v>
      </c>
      <c r="D31" s="82">
        <v>1</v>
      </c>
      <c r="E31" s="109">
        <v>0.75</v>
      </c>
      <c r="F31" s="130"/>
      <c r="G31" s="80">
        <f t="shared" si="0"/>
        <v>17667</v>
      </c>
      <c r="H31" s="126"/>
      <c r="I31" s="126"/>
      <c r="J31" s="80">
        <f t="shared" si="1"/>
        <v>0</v>
      </c>
      <c r="K31" s="126"/>
      <c r="L31" s="110">
        <f t="shared" si="2"/>
        <v>17667</v>
      </c>
      <c r="M31" s="80">
        <f t="shared" si="3"/>
        <v>4167.6499999999996</v>
      </c>
      <c r="N31" s="110">
        <v>3673</v>
      </c>
      <c r="O31" s="109">
        <v>306.08</v>
      </c>
      <c r="P31" s="109"/>
      <c r="Q31" s="109"/>
      <c r="R31" s="80">
        <f>ROUND(C31*E31*O31,2)</f>
        <v>2754.72</v>
      </c>
      <c r="S31" s="110">
        <f t="shared" si="4"/>
        <v>21834.65</v>
      </c>
      <c r="T31" s="142"/>
      <c r="U31" s="106">
        <f t="shared" si="5"/>
        <v>24589.370000000003</v>
      </c>
    </row>
    <row r="32" spans="1:24" ht="15.75" thickBot="1" x14ac:dyDescent="0.3">
      <c r="A32" s="143" t="s">
        <v>74</v>
      </c>
      <c r="B32" s="144" t="s">
        <v>68</v>
      </c>
      <c r="C32" s="145">
        <v>12</v>
      </c>
      <c r="D32" s="146">
        <v>1</v>
      </c>
      <c r="E32" s="147">
        <v>2</v>
      </c>
      <c r="F32" s="148"/>
      <c r="G32" s="149">
        <f t="shared" si="0"/>
        <v>47112</v>
      </c>
      <c r="H32" s="110">
        <f>ROUND(C32*E32*540,2)</f>
        <v>12960</v>
      </c>
      <c r="I32" s="150"/>
      <c r="J32" s="149">
        <f t="shared" si="1"/>
        <v>0</v>
      </c>
      <c r="K32" s="150"/>
      <c r="L32" s="151">
        <f t="shared" si="2"/>
        <v>60072</v>
      </c>
      <c r="M32" s="149">
        <f t="shared" si="3"/>
        <v>14170.98</v>
      </c>
      <c r="N32" s="151">
        <v>3673</v>
      </c>
      <c r="O32" s="147">
        <v>306.08</v>
      </c>
      <c r="P32" s="147"/>
      <c r="Q32" s="147"/>
      <c r="R32" s="149">
        <f>ROUND(C32*E32*O32,2)</f>
        <v>7345.92</v>
      </c>
      <c r="S32" s="151">
        <f t="shared" si="4"/>
        <v>74242.98</v>
      </c>
      <c r="T32" s="152"/>
      <c r="U32" s="153">
        <f t="shared" si="5"/>
        <v>81588.899999999994</v>
      </c>
      <c r="V32" s="127"/>
    </row>
    <row r="33" spans="1:24" x14ac:dyDescent="0.25">
      <c r="A33" s="154" t="s">
        <v>75</v>
      </c>
      <c r="B33" s="95" t="s">
        <v>66</v>
      </c>
      <c r="C33" s="96">
        <v>12</v>
      </c>
      <c r="D33" s="122">
        <v>1</v>
      </c>
      <c r="E33" s="129"/>
      <c r="F33" s="123">
        <v>0.5</v>
      </c>
      <c r="G33" s="98">
        <f t="shared" si="0"/>
        <v>0</v>
      </c>
      <c r="H33" s="124"/>
      <c r="I33" s="124"/>
      <c r="J33" s="98">
        <f t="shared" si="1"/>
        <v>7098</v>
      </c>
      <c r="K33" s="124"/>
      <c r="L33" s="125">
        <f t="shared" si="2"/>
        <v>7098</v>
      </c>
      <c r="M33" s="98">
        <f t="shared" si="3"/>
        <v>1674.42</v>
      </c>
      <c r="N33" s="125">
        <v>3673</v>
      </c>
      <c r="O33" s="123">
        <v>306.08</v>
      </c>
      <c r="P33" s="123"/>
      <c r="Q33" s="123"/>
      <c r="R33" s="98">
        <f>ROUND(C33*F33*O33,2)</f>
        <v>1836.48</v>
      </c>
      <c r="S33" s="125">
        <f t="shared" si="4"/>
        <v>8772.42</v>
      </c>
      <c r="T33" s="155"/>
      <c r="U33" s="100">
        <f t="shared" si="5"/>
        <v>10608.9</v>
      </c>
    </row>
    <row r="34" spans="1:24" x14ac:dyDescent="0.25">
      <c r="A34" s="156" t="s">
        <v>75</v>
      </c>
      <c r="B34" s="103" t="s">
        <v>67</v>
      </c>
      <c r="C34" s="104">
        <v>12</v>
      </c>
      <c r="D34" s="82">
        <v>1</v>
      </c>
      <c r="E34" s="109">
        <v>0.75</v>
      </c>
      <c r="F34" s="130"/>
      <c r="G34" s="80">
        <f t="shared" si="0"/>
        <v>17667</v>
      </c>
      <c r="H34" s="126"/>
      <c r="I34" s="126"/>
      <c r="J34" s="80">
        <f t="shared" si="1"/>
        <v>0</v>
      </c>
      <c r="K34" s="126"/>
      <c r="L34" s="110">
        <f t="shared" si="2"/>
        <v>17667</v>
      </c>
      <c r="M34" s="80">
        <f t="shared" si="3"/>
        <v>4167.6499999999996</v>
      </c>
      <c r="N34" s="110">
        <v>3673</v>
      </c>
      <c r="O34" s="109">
        <v>306.08</v>
      </c>
      <c r="P34" s="109"/>
      <c r="Q34" s="109"/>
      <c r="R34" s="80">
        <f>ROUND(C34*E34*O34,2)</f>
        <v>2754.72</v>
      </c>
      <c r="S34" s="110">
        <f t="shared" si="4"/>
        <v>21834.65</v>
      </c>
      <c r="T34" s="142"/>
      <c r="U34" s="106">
        <f t="shared" si="5"/>
        <v>24589.370000000003</v>
      </c>
    </row>
    <row r="35" spans="1:24" ht="15.75" thickBot="1" x14ac:dyDescent="0.3">
      <c r="A35" s="157" t="s">
        <v>75</v>
      </c>
      <c r="B35" s="114" t="s">
        <v>68</v>
      </c>
      <c r="C35" s="115">
        <v>12</v>
      </c>
      <c r="D35" s="116">
        <v>1</v>
      </c>
      <c r="E35" s="117">
        <v>2</v>
      </c>
      <c r="F35" s="131"/>
      <c r="G35" s="118">
        <f t="shared" si="0"/>
        <v>47112</v>
      </c>
      <c r="H35" s="119">
        <f>ROUND(C35*E35*540,2)</f>
        <v>12960</v>
      </c>
      <c r="I35" s="128"/>
      <c r="J35" s="118">
        <f t="shared" si="1"/>
        <v>0</v>
      </c>
      <c r="K35" s="128"/>
      <c r="L35" s="119">
        <f t="shared" si="2"/>
        <v>60072</v>
      </c>
      <c r="M35" s="118">
        <f t="shared" si="3"/>
        <v>14170.98</v>
      </c>
      <c r="N35" s="119">
        <v>3673</v>
      </c>
      <c r="O35" s="117">
        <v>306.08</v>
      </c>
      <c r="P35" s="117"/>
      <c r="Q35" s="117"/>
      <c r="R35" s="118">
        <f>ROUND(C35*E35*O35,2)</f>
        <v>7345.92</v>
      </c>
      <c r="S35" s="119">
        <f t="shared" si="4"/>
        <v>74242.98</v>
      </c>
      <c r="T35" s="158"/>
      <c r="U35" s="120">
        <f t="shared" si="5"/>
        <v>81588.899999999994</v>
      </c>
      <c r="V35" s="127"/>
    </row>
    <row r="36" spans="1:24" x14ac:dyDescent="0.25">
      <c r="D36" s="159"/>
      <c r="E36" s="159">
        <f>SUM(E16:E35)</f>
        <v>20.2</v>
      </c>
      <c r="F36" s="159">
        <f>SUM(F16:F35)</f>
        <v>3</v>
      </c>
      <c r="R36" s="366" t="s">
        <v>76</v>
      </c>
      <c r="S36" s="366"/>
      <c r="T36" s="366"/>
      <c r="U36" s="160">
        <f>ROUND(SUM(U16:U35),0)</f>
        <v>869350</v>
      </c>
      <c r="V36" s="127"/>
    </row>
    <row r="37" spans="1:24" x14ac:dyDescent="0.25">
      <c r="D37" s="159"/>
      <c r="E37" s="159"/>
      <c r="F37" s="159"/>
      <c r="R37" s="367" t="s">
        <v>77</v>
      </c>
      <c r="S37" s="367"/>
      <c r="T37" s="367"/>
      <c r="U37" s="161">
        <f>U36-T21-T25-T29</f>
        <v>839247.924</v>
      </c>
      <c r="V37" s="127"/>
    </row>
    <row r="38" spans="1:24" x14ac:dyDescent="0.25">
      <c r="U38" s="162"/>
    </row>
    <row r="39" spans="1:24" ht="15" customHeight="1" x14ac:dyDescent="0.25">
      <c r="A39" s="368" t="s">
        <v>78</v>
      </c>
      <c r="B39" s="369"/>
      <c r="C39" s="369"/>
      <c r="D39" s="369"/>
      <c r="E39" s="369"/>
      <c r="F39" s="370"/>
      <c r="U39" s="162"/>
    </row>
    <row r="40" spans="1:24" ht="16.5" x14ac:dyDescent="0.25">
      <c r="A40" s="371"/>
      <c r="B40" s="372"/>
      <c r="C40" s="372"/>
      <c r="D40" s="372"/>
      <c r="E40" s="372"/>
      <c r="F40" s="373"/>
      <c r="G40" s="163"/>
      <c r="H40" s="163"/>
      <c r="I40" s="163"/>
      <c r="J40" s="163"/>
      <c r="K40" s="163"/>
      <c r="L40" s="163"/>
      <c r="M40" s="163"/>
      <c r="N40" s="163"/>
      <c r="O40" s="163"/>
      <c r="P40" s="163"/>
      <c r="Q40" s="163"/>
      <c r="R40" s="163"/>
      <c r="S40" s="163"/>
      <c r="T40" s="163"/>
      <c r="U40" s="162"/>
    </row>
    <row r="41" spans="1:24" s="166" customFormat="1" ht="72" customHeight="1" thickBot="1" x14ac:dyDescent="0.3">
      <c r="A41" s="89" t="s">
        <v>44</v>
      </c>
      <c r="B41" s="89" t="s">
        <v>45</v>
      </c>
      <c r="C41" s="89" t="s">
        <v>46</v>
      </c>
      <c r="D41" s="89" t="s">
        <v>47</v>
      </c>
      <c r="E41" s="89" t="s">
        <v>48</v>
      </c>
      <c r="F41" s="90" t="s">
        <v>49</v>
      </c>
      <c r="G41" s="90" t="s">
        <v>79</v>
      </c>
      <c r="H41" s="89" t="s">
        <v>80</v>
      </c>
      <c r="I41" s="89" t="s">
        <v>52</v>
      </c>
      <c r="J41" s="89" t="s">
        <v>81</v>
      </c>
      <c r="K41" s="91" t="s">
        <v>54</v>
      </c>
      <c r="L41" s="90" t="s">
        <v>55</v>
      </c>
      <c r="M41" s="91" t="s">
        <v>56</v>
      </c>
      <c r="N41" s="90" t="s">
        <v>57</v>
      </c>
      <c r="O41" s="90" t="s">
        <v>58</v>
      </c>
      <c r="P41" s="90" t="s">
        <v>59</v>
      </c>
      <c r="Q41" s="90" t="s">
        <v>60</v>
      </c>
      <c r="R41" s="91" t="s">
        <v>169</v>
      </c>
      <c r="S41" s="92" t="s">
        <v>82</v>
      </c>
      <c r="T41" s="92" t="s">
        <v>83</v>
      </c>
      <c r="U41" s="92" t="s">
        <v>84</v>
      </c>
      <c r="V41" s="164"/>
      <c r="W41" s="165"/>
      <c r="X41" s="165"/>
    </row>
    <row r="42" spans="1:24" x14ac:dyDescent="0.25">
      <c r="A42" s="94" t="s">
        <v>65</v>
      </c>
      <c r="B42" s="95" t="s">
        <v>66</v>
      </c>
      <c r="C42" s="96">
        <v>6</v>
      </c>
      <c r="D42" s="96"/>
      <c r="E42" s="97"/>
      <c r="F42" s="97">
        <v>2.5</v>
      </c>
      <c r="G42" s="98">
        <f t="shared" ref="G42:G67" si="6">ROUND(C42*E42*$G$14,2)</f>
        <v>0</v>
      </c>
      <c r="H42" s="98"/>
      <c r="I42" s="98"/>
      <c r="J42" s="98">
        <f t="shared" ref="J42:J67" si="7">ROUND(C42*F42*$J$14,2)</f>
        <v>17745</v>
      </c>
      <c r="K42" s="98"/>
      <c r="L42" s="98">
        <f>G42+H42+I42+J42+K42</f>
        <v>17745</v>
      </c>
      <c r="M42" s="98">
        <f t="shared" ref="M42:M67" si="8">ROUND(L42*$M$14,2)</f>
        <v>4186.05</v>
      </c>
      <c r="N42" s="98">
        <v>3673</v>
      </c>
      <c r="O42" s="97">
        <v>306.08</v>
      </c>
      <c r="P42" s="97"/>
      <c r="Q42" s="97"/>
      <c r="R42" s="98">
        <f t="shared" ref="R42:R67" si="9">ROUND(C42*D42*O42,2)</f>
        <v>0</v>
      </c>
      <c r="S42" s="99">
        <f t="shared" ref="S42:S67" si="10">L42+M42</f>
        <v>21931.05</v>
      </c>
      <c r="T42" s="98"/>
      <c r="U42" s="100">
        <f t="shared" ref="U42:U67" si="11">S42+R42</f>
        <v>21931.05</v>
      </c>
    </row>
    <row r="43" spans="1:24" x14ac:dyDescent="0.25">
      <c r="A43" s="102" t="s">
        <v>65</v>
      </c>
      <c r="B43" s="103" t="s">
        <v>67</v>
      </c>
      <c r="C43" s="104">
        <v>6</v>
      </c>
      <c r="D43" s="104">
        <v>1</v>
      </c>
      <c r="E43" s="105">
        <v>4.75</v>
      </c>
      <c r="F43" s="105"/>
      <c r="G43" s="80">
        <f t="shared" si="6"/>
        <v>55945.5</v>
      </c>
      <c r="H43" s="80"/>
      <c r="I43" s="80"/>
      <c r="J43" s="80">
        <f t="shared" si="7"/>
        <v>0</v>
      </c>
      <c r="K43" s="80"/>
      <c r="L43" s="80">
        <f>G43+H43+I43+J43+K43</f>
        <v>55945.5</v>
      </c>
      <c r="M43" s="80">
        <f t="shared" si="8"/>
        <v>13197.54</v>
      </c>
      <c r="N43" s="80">
        <v>3673</v>
      </c>
      <c r="O43" s="105">
        <v>306.08</v>
      </c>
      <c r="P43" s="105"/>
      <c r="Q43" s="105"/>
      <c r="R43" s="80">
        <f t="shared" si="9"/>
        <v>1836.48</v>
      </c>
      <c r="S43" s="80">
        <f t="shared" si="10"/>
        <v>69143.040000000008</v>
      </c>
      <c r="T43" s="80"/>
      <c r="U43" s="106">
        <f t="shared" si="11"/>
        <v>70979.520000000004</v>
      </c>
    </row>
    <row r="44" spans="1:24" x14ac:dyDescent="0.25">
      <c r="A44" s="107" t="s">
        <v>65</v>
      </c>
      <c r="B44" s="108" t="s">
        <v>68</v>
      </c>
      <c r="C44" s="104">
        <v>6</v>
      </c>
      <c r="D44" s="82">
        <v>2</v>
      </c>
      <c r="E44" s="109">
        <v>9</v>
      </c>
      <c r="F44" s="109"/>
      <c r="G44" s="80">
        <f t="shared" si="6"/>
        <v>106002</v>
      </c>
      <c r="H44" s="110">
        <f>ROUND(C44*E44*540,2)</f>
        <v>29160</v>
      </c>
      <c r="I44" s="110"/>
      <c r="J44" s="80">
        <f t="shared" si="7"/>
        <v>0</v>
      </c>
      <c r="K44" s="110"/>
      <c r="L44" s="110">
        <f>G44+H44+I44+J44+K44</f>
        <v>135162</v>
      </c>
      <c r="M44" s="80">
        <f t="shared" si="8"/>
        <v>31884.720000000001</v>
      </c>
      <c r="N44" s="110">
        <v>3673</v>
      </c>
      <c r="O44" s="109">
        <v>306.08</v>
      </c>
      <c r="P44" s="109"/>
      <c r="Q44" s="109"/>
      <c r="R44" s="80">
        <f>ROUND(C44*D44*O44,2)</f>
        <v>3672.96</v>
      </c>
      <c r="S44" s="80">
        <f t="shared" si="10"/>
        <v>167046.72</v>
      </c>
      <c r="T44" s="110"/>
      <c r="U44" s="106">
        <f t="shared" si="11"/>
        <v>170719.68</v>
      </c>
    </row>
    <row r="45" spans="1:24" x14ac:dyDescent="0.25">
      <c r="A45" s="107" t="s">
        <v>65</v>
      </c>
      <c r="B45" s="108" t="s">
        <v>69</v>
      </c>
      <c r="C45" s="104">
        <v>6</v>
      </c>
      <c r="D45" s="82">
        <v>1</v>
      </c>
      <c r="E45" s="109">
        <v>0.25</v>
      </c>
      <c r="F45" s="109"/>
      <c r="G45" s="80">
        <f t="shared" si="6"/>
        <v>2944.5</v>
      </c>
      <c r="H45" s="110"/>
      <c r="I45" s="110"/>
      <c r="J45" s="80">
        <f t="shared" si="7"/>
        <v>0</v>
      </c>
      <c r="K45" s="110"/>
      <c r="L45" s="110">
        <f t="shared" ref="L45:L57" si="12">ROUNDDOWN(G45+H45+I45+J45+K45,0)</f>
        <v>2944</v>
      </c>
      <c r="M45" s="80">
        <f t="shared" si="8"/>
        <v>694.49</v>
      </c>
      <c r="N45" s="110">
        <v>3673</v>
      </c>
      <c r="O45" s="109">
        <v>306.08</v>
      </c>
      <c r="P45" s="109"/>
      <c r="Q45" s="109"/>
      <c r="R45" s="80">
        <f t="shared" si="9"/>
        <v>1836.48</v>
      </c>
      <c r="S45" s="80">
        <f t="shared" si="10"/>
        <v>3638.49</v>
      </c>
      <c r="T45" s="110"/>
      <c r="U45" s="106">
        <f t="shared" si="11"/>
        <v>5474.9699999999993</v>
      </c>
    </row>
    <row r="46" spans="1:24" x14ac:dyDescent="0.25">
      <c r="A46" s="143" t="s">
        <v>65</v>
      </c>
      <c r="B46" s="144" t="s">
        <v>70</v>
      </c>
      <c r="C46" s="145">
        <v>6</v>
      </c>
      <c r="D46" s="146">
        <v>1</v>
      </c>
      <c r="E46" s="147">
        <v>0.75</v>
      </c>
      <c r="F46" s="147"/>
      <c r="G46" s="149">
        <f t="shared" si="6"/>
        <v>8833.5</v>
      </c>
      <c r="H46" s="151">
        <f>ROUND(C46*E46*540,2)</f>
        <v>2430</v>
      </c>
      <c r="I46" s="151"/>
      <c r="J46" s="149">
        <f t="shared" si="7"/>
        <v>0</v>
      </c>
      <c r="K46" s="151"/>
      <c r="L46" s="151">
        <f t="shared" si="12"/>
        <v>11263</v>
      </c>
      <c r="M46" s="149">
        <f t="shared" si="8"/>
        <v>2656.94</v>
      </c>
      <c r="N46" s="151">
        <v>3673</v>
      </c>
      <c r="O46" s="147">
        <v>306.08</v>
      </c>
      <c r="P46" s="147"/>
      <c r="Q46" s="147"/>
      <c r="R46" s="149">
        <f t="shared" si="9"/>
        <v>1836.48</v>
      </c>
      <c r="S46" s="80">
        <f t="shared" si="10"/>
        <v>13919.94</v>
      </c>
      <c r="T46" s="151"/>
      <c r="U46" s="153">
        <f t="shared" si="11"/>
        <v>15756.42</v>
      </c>
      <c r="W46" s="67"/>
    </row>
    <row r="47" spans="1:24" ht="15.75" thickBot="1" x14ac:dyDescent="0.3">
      <c r="A47" s="113" t="s">
        <v>65</v>
      </c>
      <c r="B47" s="114" t="s">
        <v>71</v>
      </c>
      <c r="C47" s="115"/>
      <c r="D47" s="116"/>
      <c r="E47" s="117"/>
      <c r="F47" s="117"/>
      <c r="G47" s="118"/>
      <c r="H47" s="119"/>
      <c r="I47" s="119"/>
      <c r="J47" s="118"/>
      <c r="K47" s="119"/>
      <c r="L47" s="119"/>
      <c r="M47" s="118"/>
      <c r="N47" s="119"/>
      <c r="O47" s="117"/>
      <c r="P47" s="117"/>
      <c r="Q47" s="117"/>
      <c r="R47" s="118"/>
      <c r="S47" s="167"/>
      <c r="T47" s="119">
        <v>8640</v>
      </c>
      <c r="U47" s="120">
        <f>T47</f>
        <v>8640</v>
      </c>
      <c r="V47" s="127"/>
    </row>
    <row r="48" spans="1:24" x14ac:dyDescent="0.25">
      <c r="A48" s="168" t="s">
        <v>72</v>
      </c>
      <c r="B48" s="95" t="s">
        <v>66</v>
      </c>
      <c r="C48" s="96">
        <v>6</v>
      </c>
      <c r="D48" s="122"/>
      <c r="E48" s="123"/>
      <c r="F48" s="123">
        <v>1</v>
      </c>
      <c r="G48" s="98">
        <f t="shared" si="6"/>
        <v>0</v>
      </c>
      <c r="H48" s="124"/>
      <c r="I48" s="124"/>
      <c r="J48" s="98">
        <f t="shared" si="7"/>
        <v>7098</v>
      </c>
      <c r="K48" s="124"/>
      <c r="L48" s="125">
        <f t="shared" si="12"/>
        <v>7098</v>
      </c>
      <c r="M48" s="98">
        <f t="shared" si="8"/>
        <v>1674.42</v>
      </c>
      <c r="N48" s="125">
        <v>3673</v>
      </c>
      <c r="O48" s="123">
        <v>306.08</v>
      </c>
      <c r="P48" s="123"/>
      <c r="Q48" s="123"/>
      <c r="R48" s="98">
        <f t="shared" si="9"/>
        <v>0</v>
      </c>
      <c r="S48" s="125">
        <f t="shared" si="10"/>
        <v>8772.42</v>
      </c>
      <c r="T48" s="125"/>
      <c r="U48" s="100">
        <f t="shared" si="11"/>
        <v>8772.42</v>
      </c>
    </row>
    <row r="49" spans="1:22" x14ac:dyDescent="0.25">
      <c r="A49" s="169" t="s">
        <v>72</v>
      </c>
      <c r="B49" s="103" t="s">
        <v>67</v>
      </c>
      <c r="C49" s="104">
        <v>6</v>
      </c>
      <c r="D49" s="82"/>
      <c r="E49" s="109">
        <v>1</v>
      </c>
      <c r="F49" s="109"/>
      <c r="G49" s="80">
        <f t="shared" si="6"/>
        <v>11778</v>
      </c>
      <c r="H49" s="126"/>
      <c r="I49" s="126"/>
      <c r="J49" s="80">
        <f t="shared" si="7"/>
        <v>0</v>
      </c>
      <c r="K49" s="126"/>
      <c r="L49" s="110">
        <f t="shared" si="12"/>
        <v>11778</v>
      </c>
      <c r="M49" s="80">
        <f t="shared" si="8"/>
        <v>2778.43</v>
      </c>
      <c r="N49" s="110">
        <v>3673</v>
      </c>
      <c r="O49" s="109">
        <v>306.08</v>
      </c>
      <c r="P49" s="109"/>
      <c r="Q49" s="109"/>
      <c r="R49" s="80">
        <f t="shared" si="9"/>
        <v>0</v>
      </c>
      <c r="S49" s="110">
        <f t="shared" si="10"/>
        <v>14556.43</v>
      </c>
      <c r="T49" s="110"/>
      <c r="U49" s="106">
        <f t="shared" si="11"/>
        <v>14556.43</v>
      </c>
    </row>
    <row r="50" spans="1:22" x14ac:dyDescent="0.25">
      <c r="A50" s="169" t="s">
        <v>72</v>
      </c>
      <c r="B50" s="103" t="s">
        <v>68</v>
      </c>
      <c r="C50" s="104">
        <v>6</v>
      </c>
      <c r="D50" s="82">
        <v>1</v>
      </c>
      <c r="E50" s="109">
        <v>1</v>
      </c>
      <c r="F50" s="109"/>
      <c r="G50" s="80">
        <f t="shared" si="6"/>
        <v>11778</v>
      </c>
      <c r="H50" s="126">
        <f>ROUND(C50*E50*540,2)</f>
        <v>3240</v>
      </c>
      <c r="I50" s="126"/>
      <c r="J50" s="80">
        <f t="shared" si="7"/>
        <v>0</v>
      </c>
      <c r="K50" s="126"/>
      <c r="L50" s="110">
        <f t="shared" si="12"/>
        <v>15018</v>
      </c>
      <c r="M50" s="80">
        <f t="shared" si="8"/>
        <v>3542.75</v>
      </c>
      <c r="N50" s="110">
        <v>3673</v>
      </c>
      <c r="O50" s="109">
        <v>306.08</v>
      </c>
      <c r="P50" s="109"/>
      <c r="Q50" s="109"/>
      <c r="R50" s="80">
        <f t="shared" si="9"/>
        <v>1836.48</v>
      </c>
      <c r="S50" s="110">
        <f t="shared" si="10"/>
        <v>18560.75</v>
      </c>
      <c r="T50" s="110"/>
      <c r="U50" s="106">
        <f t="shared" si="11"/>
        <v>20397.23</v>
      </c>
    </row>
    <row r="51" spans="1:22" ht="15.75" thickBot="1" x14ac:dyDescent="0.3">
      <c r="A51" s="169" t="s">
        <v>72</v>
      </c>
      <c r="B51" s="108" t="s">
        <v>71</v>
      </c>
      <c r="C51" s="104"/>
      <c r="D51" s="82"/>
      <c r="E51" s="109"/>
      <c r="F51" s="109"/>
      <c r="G51" s="80"/>
      <c r="H51" s="110"/>
      <c r="I51" s="126"/>
      <c r="J51" s="80"/>
      <c r="K51" s="126"/>
      <c r="L51" s="110"/>
      <c r="M51" s="80"/>
      <c r="N51" s="110"/>
      <c r="O51" s="109"/>
      <c r="P51" s="109"/>
      <c r="Q51" s="109"/>
      <c r="R51" s="80"/>
      <c r="S51" s="110"/>
      <c r="T51" s="110">
        <v>3678</v>
      </c>
      <c r="U51" s="106">
        <f>T51</f>
        <v>3678</v>
      </c>
      <c r="V51" s="127"/>
    </row>
    <row r="52" spans="1:22" x14ac:dyDescent="0.25">
      <c r="A52" s="168" t="s">
        <v>73</v>
      </c>
      <c r="B52" s="95" t="s">
        <v>66</v>
      </c>
      <c r="C52" s="96">
        <v>6</v>
      </c>
      <c r="D52" s="122"/>
      <c r="E52" s="129"/>
      <c r="F52" s="123">
        <v>1</v>
      </c>
      <c r="G52" s="98">
        <f t="shared" si="6"/>
        <v>0</v>
      </c>
      <c r="H52" s="124"/>
      <c r="I52" s="124"/>
      <c r="J52" s="98">
        <f t="shared" si="7"/>
        <v>7098</v>
      </c>
      <c r="K52" s="124"/>
      <c r="L52" s="125">
        <f t="shared" si="12"/>
        <v>7098</v>
      </c>
      <c r="M52" s="98">
        <f t="shared" si="8"/>
        <v>1674.42</v>
      </c>
      <c r="N52" s="125">
        <v>3673</v>
      </c>
      <c r="O52" s="123">
        <v>306.08</v>
      </c>
      <c r="P52" s="123"/>
      <c r="Q52" s="123"/>
      <c r="R52" s="98">
        <f t="shared" si="9"/>
        <v>0</v>
      </c>
      <c r="S52" s="125">
        <f t="shared" si="10"/>
        <v>8772.42</v>
      </c>
      <c r="T52" s="125"/>
      <c r="U52" s="100">
        <f t="shared" si="11"/>
        <v>8772.42</v>
      </c>
    </row>
    <row r="53" spans="1:22" x14ac:dyDescent="0.25">
      <c r="A53" s="169" t="s">
        <v>73</v>
      </c>
      <c r="B53" s="103" t="s">
        <v>67</v>
      </c>
      <c r="C53" s="104">
        <v>6</v>
      </c>
      <c r="D53" s="82"/>
      <c r="E53" s="109">
        <v>1.25</v>
      </c>
      <c r="F53" s="130"/>
      <c r="G53" s="80">
        <f t="shared" si="6"/>
        <v>14722.5</v>
      </c>
      <c r="H53" s="126"/>
      <c r="I53" s="126"/>
      <c r="J53" s="80">
        <f t="shared" si="7"/>
        <v>0</v>
      </c>
      <c r="K53" s="126"/>
      <c r="L53" s="110">
        <f t="shared" si="12"/>
        <v>14722</v>
      </c>
      <c r="M53" s="80">
        <f t="shared" si="8"/>
        <v>3472.92</v>
      </c>
      <c r="N53" s="110">
        <v>3673</v>
      </c>
      <c r="O53" s="109">
        <v>306.08</v>
      </c>
      <c r="P53" s="109"/>
      <c r="Q53" s="109"/>
      <c r="R53" s="80">
        <f t="shared" si="9"/>
        <v>0</v>
      </c>
      <c r="S53" s="110">
        <f t="shared" si="10"/>
        <v>18194.919999999998</v>
      </c>
      <c r="T53" s="110"/>
      <c r="U53" s="106">
        <f t="shared" si="11"/>
        <v>18194.919999999998</v>
      </c>
    </row>
    <row r="54" spans="1:22" x14ac:dyDescent="0.25">
      <c r="A54" s="170" t="s">
        <v>73</v>
      </c>
      <c r="B54" s="171" t="s">
        <v>68</v>
      </c>
      <c r="C54" s="145">
        <v>6</v>
      </c>
      <c r="D54" s="146">
        <v>1</v>
      </c>
      <c r="E54" s="147">
        <v>2</v>
      </c>
      <c r="F54" s="148"/>
      <c r="G54" s="149">
        <f t="shared" si="6"/>
        <v>23556</v>
      </c>
      <c r="H54" s="150">
        <f>ROUND(C54*E54*540,2)</f>
        <v>6480</v>
      </c>
      <c r="I54" s="150"/>
      <c r="J54" s="149">
        <f t="shared" si="7"/>
        <v>0</v>
      </c>
      <c r="K54" s="150"/>
      <c r="L54" s="151">
        <f t="shared" si="12"/>
        <v>30036</v>
      </c>
      <c r="M54" s="149">
        <f t="shared" si="8"/>
        <v>7085.49</v>
      </c>
      <c r="N54" s="151">
        <v>3673</v>
      </c>
      <c r="O54" s="147">
        <v>306.08</v>
      </c>
      <c r="P54" s="147"/>
      <c r="Q54" s="147"/>
      <c r="R54" s="149">
        <f t="shared" si="9"/>
        <v>1836.48</v>
      </c>
      <c r="S54" s="151">
        <f t="shared" si="10"/>
        <v>37121.49</v>
      </c>
      <c r="T54" s="151"/>
      <c r="U54" s="153">
        <f t="shared" si="11"/>
        <v>38957.97</v>
      </c>
    </row>
    <row r="55" spans="1:22" ht="15.75" thickBot="1" x14ac:dyDescent="0.3">
      <c r="A55" s="172" t="s">
        <v>73</v>
      </c>
      <c r="B55" s="114" t="s">
        <v>71</v>
      </c>
      <c r="C55" s="115"/>
      <c r="D55" s="116"/>
      <c r="E55" s="117"/>
      <c r="F55" s="131"/>
      <c r="G55" s="118"/>
      <c r="H55" s="119"/>
      <c r="I55" s="128"/>
      <c r="J55" s="118"/>
      <c r="K55" s="128"/>
      <c r="L55" s="119"/>
      <c r="M55" s="118"/>
      <c r="N55" s="119"/>
      <c r="O55" s="117"/>
      <c r="P55" s="117"/>
      <c r="Q55" s="117"/>
      <c r="R55" s="118"/>
      <c r="S55" s="119"/>
      <c r="T55" s="119">
        <v>2733</v>
      </c>
      <c r="U55" s="120">
        <f>T55</f>
        <v>2733</v>
      </c>
      <c r="V55" s="127"/>
    </row>
    <row r="56" spans="1:22" x14ac:dyDescent="0.25">
      <c r="A56" s="168" t="s">
        <v>85</v>
      </c>
      <c r="B56" s="95" t="s">
        <v>66</v>
      </c>
      <c r="C56" s="96">
        <v>6</v>
      </c>
      <c r="D56" s="122"/>
      <c r="E56" s="123"/>
      <c r="F56" s="123">
        <v>1</v>
      </c>
      <c r="G56" s="98">
        <f t="shared" si="6"/>
        <v>0</v>
      </c>
      <c r="H56" s="124"/>
      <c r="I56" s="124"/>
      <c r="J56" s="98">
        <f t="shared" si="7"/>
        <v>7098</v>
      </c>
      <c r="K56" s="124"/>
      <c r="L56" s="125">
        <f t="shared" si="12"/>
        <v>7098</v>
      </c>
      <c r="M56" s="98">
        <f t="shared" si="8"/>
        <v>1674.42</v>
      </c>
      <c r="N56" s="125">
        <v>3673</v>
      </c>
      <c r="O56" s="123">
        <v>306.08</v>
      </c>
      <c r="P56" s="123"/>
      <c r="Q56" s="123"/>
      <c r="R56" s="98">
        <f t="shared" si="9"/>
        <v>0</v>
      </c>
      <c r="S56" s="125">
        <f t="shared" si="10"/>
        <v>8772.42</v>
      </c>
      <c r="T56" s="125"/>
      <c r="U56" s="100">
        <f t="shared" si="11"/>
        <v>8772.42</v>
      </c>
    </row>
    <row r="57" spans="1:22" x14ac:dyDescent="0.25">
      <c r="A57" s="169" t="s">
        <v>85</v>
      </c>
      <c r="B57" s="103" t="s">
        <v>67</v>
      </c>
      <c r="C57" s="104">
        <v>6</v>
      </c>
      <c r="D57" s="82"/>
      <c r="E57" s="109">
        <v>1.5</v>
      </c>
      <c r="F57" s="109"/>
      <c r="G57" s="80">
        <f t="shared" si="6"/>
        <v>17667</v>
      </c>
      <c r="H57" s="126"/>
      <c r="I57" s="126"/>
      <c r="J57" s="80">
        <f t="shared" si="7"/>
        <v>0</v>
      </c>
      <c r="K57" s="126"/>
      <c r="L57" s="110">
        <f t="shared" si="12"/>
        <v>17667</v>
      </c>
      <c r="M57" s="80">
        <f t="shared" si="8"/>
        <v>4167.6499999999996</v>
      </c>
      <c r="N57" s="110">
        <v>3673</v>
      </c>
      <c r="O57" s="109">
        <v>306.08</v>
      </c>
      <c r="P57" s="109"/>
      <c r="Q57" s="109"/>
      <c r="R57" s="80">
        <f t="shared" si="9"/>
        <v>0</v>
      </c>
      <c r="S57" s="110">
        <f t="shared" si="10"/>
        <v>21834.65</v>
      </c>
      <c r="T57" s="110"/>
      <c r="U57" s="106">
        <f t="shared" si="11"/>
        <v>21834.65</v>
      </c>
    </row>
    <row r="58" spans="1:22" ht="15.75" thickBot="1" x14ac:dyDescent="0.3">
      <c r="A58" s="82" t="s">
        <v>85</v>
      </c>
      <c r="B58" s="108" t="s">
        <v>68</v>
      </c>
      <c r="C58" s="104">
        <v>6</v>
      </c>
      <c r="D58" s="82">
        <v>1</v>
      </c>
      <c r="E58" s="109">
        <v>2.25</v>
      </c>
      <c r="F58" s="109"/>
      <c r="G58" s="80">
        <f t="shared" si="6"/>
        <v>26500.5</v>
      </c>
      <c r="H58" s="110">
        <f>ROUND(C58*E58*540,2)</f>
        <v>7290</v>
      </c>
      <c r="I58" s="110"/>
      <c r="J58" s="80">
        <f t="shared" si="7"/>
        <v>0</v>
      </c>
      <c r="K58" s="110"/>
      <c r="L58" s="110">
        <f>G58+H58+I58+J58+K58</f>
        <v>33790.5</v>
      </c>
      <c r="M58" s="80">
        <f t="shared" si="8"/>
        <v>7971.18</v>
      </c>
      <c r="N58" s="110">
        <v>3673</v>
      </c>
      <c r="O58" s="109">
        <v>306.08</v>
      </c>
      <c r="P58" s="109"/>
      <c r="Q58" s="109"/>
      <c r="R58" s="80">
        <f t="shared" si="9"/>
        <v>1836.48</v>
      </c>
      <c r="S58" s="80">
        <f t="shared" si="10"/>
        <v>41761.68</v>
      </c>
      <c r="T58" s="110"/>
      <c r="U58" s="106">
        <f t="shared" si="11"/>
        <v>43598.16</v>
      </c>
      <c r="V58" s="127"/>
    </row>
    <row r="59" spans="1:22" x14ac:dyDescent="0.25">
      <c r="A59" s="168" t="s">
        <v>86</v>
      </c>
      <c r="B59" s="95" t="s">
        <v>66</v>
      </c>
      <c r="C59" s="96">
        <v>6</v>
      </c>
      <c r="D59" s="122"/>
      <c r="E59" s="123"/>
      <c r="F59" s="123">
        <v>1</v>
      </c>
      <c r="G59" s="98">
        <f t="shared" si="6"/>
        <v>0</v>
      </c>
      <c r="H59" s="124"/>
      <c r="I59" s="124"/>
      <c r="J59" s="98">
        <f t="shared" si="7"/>
        <v>7098</v>
      </c>
      <c r="K59" s="124"/>
      <c r="L59" s="125">
        <f>ROUNDDOWN(G59+H59+I59+J59+K59,0)</f>
        <v>7098</v>
      </c>
      <c r="M59" s="98">
        <f t="shared" si="8"/>
        <v>1674.42</v>
      </c>
      <c r="N59" s="125">
        <v>3673</v>
      </c>
      <c r="O59" s="123">
        <v>306.08</v>
      </c>
      <c r="P59" s="123"/>
      <c r="Q59" s="123"/>
      <c r="R59" s="98">
        <f t="shared" si="9"/>
        <v>0</v>
      </c>
      <c r="S59" s="125">
        <f t="shared" si="10"/>
        <v>8772.42</v>
      </c>
      <c r="T59" s="125"/>
      <c r="U59" s="100">
        <f t="shared" si="11"/>
        <v>8772.42</v>
      </c>
    </row>
    <row r="60" spans="1:22" x14ac:dyDescent="0.25">
      <c r="A60" s="169" t="s">
        <v>86</v>
      </c>
      <c r="B60" s="103" t="s">
        <v>67</v>
      </c>
      <c r="C60" s="104">
        <v>6</v>
      </c>
      <c r="D60" s="82"/>
      <c r="E60" s="109">
        <v>1.75</v>
      </c>
      <c r="F60" s="109"/>
      <c r="G60" s="80">
        <f t="shared" si="6"/>
        <v>20611.5</v>
      </c>
      <c r="H60" s="126"/>
      <c r="I60" s="126"/>
      <c r="J60" s="80">
        <f t="shared" si="7"/>
        <v>0</v>
      </c>
      <c r="K60" s="126"/>
      <c r="L60" s="110">
        <f>ROUNDDOWN(G60+H60+I60+J60+K60,0)</f>
        <v>20611</v>
      </c>
      <c r="M60" s="80">
        <f t="shared" si="8"/>
        <v>4862.13</v>
      </c>
      <c r="N60" s="110">
        <v>3673</v>
      </c>
      <c r="O60" s="109">
        <v>306.08</v>
      </c>
      <c r="P60" s="109"/>
      <c r="Q60" s="109"/>
      <c r="R60" s="80">
        <f t="shared" si="9"/>
        <v>0</v>
      </c>
      <c r="S60" s="110">
        <f t="shared" si="10"/>
        <v>25473.13</v>
      </c>
      <c r="T60" s="110"/>
      <c r="U60" s="106">
        <f t="shared" si="11"/>
        <v>25473.13</v>
      </c>
    </row>
    <row r="61" spans="1:22" ht="15.75" thickBot="1" x14ac:dyDescent="0.3">
      <c r="A61" s="116" t="s">
        <v>86</v>
      </c>
      <c r="B61" s="114" t="s">
        <v>68</v>
      </c>
      <c r="C61" s="115">
        <v>6</v>
      </c>
      <c r="D61" s="116">
        <v>1</v>
      </c>
      <c r="E61" s="117">
        <v>1.5</v>
      </c>
      <c r="F61" s="117"/>
      <c r="G61" s="118">
        <f t="shared" si="6"/>
        <v>17667</v>
      </c>
      <c r="H61" s="119">
        <f>ROUND(C61*E61*540,2)</f>
        <v>4860</v>
      </c>
      <c r="I61" s="119"/>
      <c r="J61" s="118">
        <f t="shared" si="7"/>
        <v>0</v>
      </c>
      <c r="K61" s="119"/>
      <c r="L61" s="119">
        <f>G61+H61+I61+J61+K61</f>
        <v>22527</v>
      </c>
      <c r="M61" s="118">
        <f t="shared" si="8"/>
        <v>5314.12</v>
      </c>
      <c r="N61" s="119">
        <v>3673</v>
      </c>
      <c r="O61" s="117">
        <v>306.08</v>
      </c>
      <c r="P61" s="117"/>
      <c r="Q61" s="117"/>
      <c r="R61" s="118">
        <f t="shared" si="9"/>
        <v>1836.48</v>
      </c>
      <c r="S61" s="118">
        <f t="shared" si="10"/>
        <v>27841.119999999999</v>
      </c>
      <c r="T61" s="119"/>
      <c r="U61" s="120">
        <f t="shared" si="11"/>
        <v>29677.599999999999</v>
      </c>
      <c r="V61" s="127"/>
    </row>
    <row r="62" spans="1:22" x14ac:dyDescent="0.25">
      <c r="A62" s="173" t="s">
        <v>74</v>
      </c>
      <c r="B62" s="133" t="s">
        <v>66</v>
      </c>
      <c r="C62" s="134">
        <v>6</v>
      </c>
      <c r="D62" s="135"/>
      <c r="E62" s="136"/>
      <c r="F62" s="137">
        <v>1</v>
      </c>
      <c r="G62" s="111">
        <f t="shared" si="6"/>
        <v>0</v>
      </c>
      <c r="H62" s="138"/>
      <c r="I62" s="138"/>
      <c r="J62" s="111">
        <f t="shared" si="7"/>
        <v>7098</v>
      </c>
      <c r="K62" s="138"/>
      <c r="L62" s="139">
        <f t="shared" ref="L62:L67" si="13">ROUNDDOWN(G62+H62+I62+J62+K62,0)</f>
        <v>7098</v>
      </c>
      <c r="M62" s="111">
        <f t="shared" si="8"/>
        <v>1674.42</v>
      </c>
      <c r="N62" s="139">
        <v>3673</v>
      </c>
      <c r="O62" s="137">
        <v>306.08</v>
      </c>
      <c r="P62" s="137"/>
      <c r="Q62" s="137"/>
      <c r="R62" s="111">
        <f t="shared" si="9"/>
        <v>0</v>
      </c>
      <c r="S62" s="139">
        <f t="shared" si="10"/>
        <v>8772.42</v>
      </c>
      <c r="T62" s="140"/>
      <c r="U62" s="141">
        <f t="shared" si="11"/>
        <v>8772.42</v>
      </c>
    </row>
    <row r="63" spans="1:22" x14ac:dyDescent="0.25">
      <c r="A63" s="169" t="s">
        <v>74</v>
      </c>
      <c r="B63" s="103" t="s">
        <v>67</v>
      </c>
      <c r="C63" s="104">
        <v>6</v>
      </c>
      <c r="D63" s="82"/>
      <c r="E63" s="109">
        <v>1</v>
      </c>
      <c r="F63" s="130"/>
      <c r="G63" s="80">
        <f t="shared" si="6"/>
        <v>11778</v>
      </c>
      <c r="H63" s="126"/>
      <c r="I63" s="126"/>
      <c r="J63" s="80">
        <f t="shared" si="7"/>
        <v>0</v>
      </c>
      <c r="K63" s="126"/>
      <c r="L63" s="110">
        <f t="shared" si="13"/>
        <v>11778</v>
      </c>
      <c r="M63" s="80">
        <f t="shared" si="8"/>
        <v>2778.43</v>
      </c>
      <c r="N63" s="110">
        <v>3673</v>
      </c>
      <c r="O63" s="109">
        <v>306.08</v>
      </c>
      <c r="P63" s="109"/>
      <c r="Q63" s="109"/>
      <c r="R63" s="80">
        <f t="shared" si="9"/>
        <v>0</v>
      </c>
      <c r="S63" s="110">
        <f t="shared" si="10"/>
        <v>14556.43</v>
      </c>
      <c r="T63" s="142"/>
      <c r="U63" s="106">
        <f t="shared" si="11"/>
        <v>14556.43</v>
      </c>
    </row>
    <row r="64" spans="1:22" ht="15.75" thickBot="1" x14ac:dyDescent="0.3">
      <c r="A64" s="172" t="s">
        <v>74</v>
      </c>
      <c r="B64" s="114" t="s">
        <v>68</v>
      </c>
      <c r="C64" s="115">
        <v>6</v>
      </c>
      <c r="D64" s="116">
        <v>1</v>
      </c>
      <c r="E64" s="117">
        <v>1.5</v>
      </c>
      <c r="F64" s="131"/>
      <c r="G64" s="118">
        <f t="shared" si="6"/>
        <v>17667</v>
      </c>
      <c r="H64" s="119">
        <f>ROUND(C64*E64*540,2)</f>
        <v>4860</v>
      </c>
      <c r="I64" s="128"/>
      <c r="J64" s="118">
        <f t="shared" si="7"/>
        <v>0</v>
      </c>
      <c r="K64" s="128"/>
      <c r="L64" s="119">
        <f t="shared" si="13"/>
        <v>22527</v>
      </c>
      <c r="M64" s="118">
        <f t="shared" si="8"/>
        <v>5314.12</v>
      </c>
      <c r="N64" s="119">
        <v>3673</v>
      </c>
      <c r="O64" s="117">
        <v>306.08</v>
      </c>
      <c r="P64" s="117"/>
      <c r="Q64" s="117"/>
      <c r="R64" s="118">
        <f t="shared" si="9"/>
        <v>1836.48</v>
      </c>
      <c r="S64" s="119">
        <f t="shared" si="10"/>
        <v>27841.119999999999</v>
      </c>
      <c r="T64" s="158"/>
      <c r="U64" s="120">
        <f t="shared" si="11"/>
        <v>29677.599999999999</v>
      </c>
      <c r="V64" s="127"/>
    </row>
    <row r="65" spans="1:24" x14ac:dyDescent="0.25">
      <c r="A65" s="154" t="s">
        <v>75</v>
      </c>
      <c r="B65" s="95" t="s">
        <v>67</v>
      </c>
      <c r="C65" s="96">
        <v>6</v>
      </c>
      <c r="D65" s="122"/>
      <c r="E65" s="123">
        <v>1</v>
      </c>
      <c r="F65" s="129"/>
      <c r="G65" s="98">
        <f t="shared" si="6"/>
        <v>11778</v>
      </c>
      <c r="H65" s="124"/>
      <c r="I65" s="124"/>
      <c r="J65" s="98">
        <f t="shared" si="7"/>
        <v>0</v>
      </c>
      <c r="K65" s="124"/>
      <c r="L65" s="125">
        <f t="shared" si="13"/>
        <v>11778</v>
      </c>
      <c r="M65" s="98">
        <f t="shared" si="8"/>
        <v>2778.43</v>
      </c>
      <c r="N65" s="125">
        <v>3673</v>
      </c>
      <c r="O65" s="123">
        <v>306.08</v>
      </c>
      <c r="P65" s="123"/>
      <c r="Q65" s="123"/>
      <c r="R65" s="98">
        <f t="shared" si="9"/>
        <v>0</v>
      </c>
      <c r="S65" s="125">
        <f t="shared" si="10"/>
        <v>14556.43</v>
      </c>
      <c r="T65" s="155"/>
      <c r="U65" s="100">
        <f t="shared" si="11"/>
        <v>14556.43</v>
      </c>
    </row>
    <row r="66" spans="1:24" x14ac:dyDescent="0.25">
      <c r="A66" s="174" t="s">
        <v>75</v>
      </c>
      <c r="B66" s="144" t="s">
        <v>68</v>
      </c>
      <c r="C66" s="145">
        <v>6</v>
      </c>
      <c r="D66" s="146">
        <v>1</v>
      </c>
      <c r="E66" s="147">
        <v>1.75</v>
      </c>
      <c r="F66" s="148"/>
      <c r="G66" s="149">
        <f t="shared" si="6"/>
        <v>20611.5</v>
      </c>
      <c r="H66" s="149">
        <f>ROUND(C66*E66*540,2)</f>
        <v>5670</v>
      </c>
      <c r="I66" s="150"/>
      <c r="J66" s="149">
        <f t="shared" si="7"/>
        <v>0</v>
      </c>
      <c r="K66" s="150"/>
      <c r="L66" s="151">
        <f t="shared" si="13"/>
        <v>26281</v>
      </c>
      <c r="M66" s="149">
        <f t="shared" si="8"/>
        <v>6199.69</v>
      </c>
      <c r="N66" s="151">
        <v>3673</v>
      </c>
      <c r="O66" s="147">
        <v>306.08</v>
      </c>
      <c r="P66" s="147"/>
      <c r="Q66" s="147"/>
      <c r="R66" s="149">
        <f t="shared" si="9"/>
        <v>1836.48</v>
      </c>
      <c r="S66" s="110">
        <f t="shared" si="10"/>
        <v>32480.69</v>
      </c>
      <c r="T66" s="152"/>
      <c r="U66" s="153">
        <f t="shared" si="11"/>
        <v>34317.17</v>
      </c>
      <c r="V66" s="127"/>
    </row>
    <row r="67" spans="1:24" ht="15.75" thickBot="1" x14ac:dyDescent="0.3">
      <c r="A67" s="157" t="s">
        <v>75</v>
      </c>
      <c r="B67" s="114" t="s">
        <v>70</v>
      </c>
      <c r="C67" s="115">
        <v>6</v>
      </c>
      <c r="D67" s="116"/>
      <c r="E67" s="117">
        <v>0.25</v>
      </c>
      <c r="F67" s="117"/>
      <c r="G67" s="118">
        <f t="shared" si="6"/>
        <v>2944.5</v>
      </c>
      <c r="H67" s="119">
        <f>ROUND(C67*E67*540,2)</f>
        <v>810</v>
      </c>
      <c r="I67" s="119"/>
      <c r="J67" s="118">
        <f t="shared" si="7"/>
        <v>0</v>
      </c>
      <c r="K67" s="119"/>
      <c r="L67" s="119">
        <f t="shared" si="13"/>
        <v>3754</v>
      </c>
      <c r="M67" s="118">
        <f t="shared" si="8"/>
        <v>885.57</v>
      </c>
      <c r="N67" s="119">
        <v>3673</v>
      </c>
      <c r="O67" s="117">
        <v>306.08</v>
      </c>
      <c r="P67" s="117"/>
      <c r="Q67" s="117"/>
      <c r="R67" s="118">
        <f t="shared" si="9"/>
        <v>0</v>
      </c>
      <c r="S67" s="167">
        <f t="shared" si="10"/>
        <v>4639.57</v>
      </c>
      <c r="T67" s="119"/>
      <c r="U67" s="120">
        <f t="shared" si="11"/>
        <v>4639.57</v>
      </c>
      <c r="V67" s="127"/>
    </row>
    <row r="68" spans="1:24" s="183" customFormat="1" x14ac:dyDescent="0.25">
      <c r="A68" s="68"/>
      <c r="B68" s="175"/>
      <c r="C68" s="176"/>
      <c r="D68" s="177"/>
      <c r="E68" s="178">
        <f>SUM(E42:E67)</f>
        <v>32.5</v>
      </c>
      <c r="F68" s="178">
        <f>SUM(F42:F67)</f>
        <v>7.5</v>
      </c>
      <c r="G68" s="179"/>
      <c r="H68" s="177"/>
      <c r="I68" s="177"/>
      <c r="J68" s="179"/>
      <c r="K68" s="177"/>
      <c r="L68" s="177"/>
      <c r="M68" s="179"/>
      <c r="N68" s="177"/>
      <c r="O68" s="361" t="s">
        <v>87</v>
      </c>
      <c r="P68" s="361"/>
      <c r="Q68" s="361"/>
      <c r="R68" s="361"/>
      <c r="S68" s="361"/>
      <c r="T68" s="361"/>
      <c r="U68" s="180">
        <f>SUM(U42:U67)</f>
        <v>654212.03</v>
      </c>
      <c r="V68" s="181"/>
      <c r="W68" s="182"/>
      <c r="X68" s="182"/>
    </row>
    <row r="69" spans="1:24" x14ac:dyDescent="0.25">
      <c r="B69" s="101"/>
      <c r="C69" s="184"/>
      <c r="D69" s="185"/>
      <c r="E69" s="186"/>
      <c r="F69" s="186"/>
      <c r="G69" s="187"/>
      <c r="H69" s="185"/>
      <c r="I69" s="185"/>
      <c r="J69" s="187"/>
      <c r="K69" s="188"/>
      <c r="L69" s="185"/>
      <c r="M69" s="187"/>
      <c r="N69" s="185"/>
      <c r="O69" s="185"/>
      <c r="P69" s="189"/>
      <c r="Q69" s="189"/>
      <c r="R69" s="187"/>
      <c r="S69" s="185"/>
      <c r="T69" s="185"/>
      <c r="U69" s="185"/>
      <c r="V69" s="127"/>
      <c r="W69" s="182"/>
      <c r="X69" s="182"/>
    </row>
    <row r="70" spans="1:24" x14ac:dyDescent="0.25">
      <c r="A70" s="374" t="s">
        <v>88</v>
      </c>
      <c r="B70" s="374"/>
      <c r="C70" s="374"/>
      <c r="D70" s="374"/>
      <c r="E70" s="374"/>
      <c r="F70" s="374"/>
      <c r="G70" s="187"/>
      <c r="H70" s="185"/>
      <c r="I70" s="185"/>
      <c r="J70" s="187"/>
      <c r="K70" s="188"/>
      <c r="L70" s="185"/>
      <c r="M70" s="187"/>
      <c r="N70" s="185"/>
      <c r="O70" s="185"/>
      <c r="P70" s="185"/>
      <c r="Q70" s="185"/>
      <c r="R70" s="187"/>
      <c r="S70" s="185"/>
      <c r="T70" s="185"/>
      <c r="U70" s="185"/>
      <c r="V70" s="127"/>
      <c r="W70" s="182"/>
      <c r="X70" s="182"/>
    </row>
    <row r="71" spans="1:24" ht="16.5" x14ac:dyDescent="0.25">
      <c r="A71" s="374"/>
      <c r="B71" s="374"/>
      <c r="C71" s="374"/>
      <c r="D71" s="374"/>
      <c r="E71" s="374"/>
      <c r="F71" s="374"/>
      <c r="G71" s="163"/>
      <c r="H71" s="163"/>
      <c r="I71" s="163"/>
      <c r="J71" s="163"/>
      <c r="K71" s="163"/>
      <c r="L71" s="163"/>
      <c r="M71" s="163"/>
      <c r="N71" s="163"/>
      <c r="O71" s="163"/>
      <c r="P71" s="163"/>
      <c r="Q71" s="163"/>
      <c r="R71" s="163"/>
      <c r="S71" s="163"/>
      <c r="T71" s="163"/>
      <c r="U71" s="185"/>
      <c r="V71" s="127"/>
      <c r="W71" s="182"/>
      <c r="X71" s="182"/>
    </row>
    <row r="72" spans="1:24" s="166" customFormat="1" ht="90.75" thickBot="1" x14ac:dyDescent="0.3">
      <c r="A72" s="89" t="s">
        <v>44</v>
      </c>
      <c r="B72" s="89" t="s">
        <v>45</v>
      </c>
      <c r="C72" s="89" t="s">
        <v>46</v>
      </c>
      <c r="D72" s="89" t="s">
        <v>47</v>
      </c>
      <c r="E72" s="89" t="s">
        <v>48</v>
      </c>
      <c r="F72" s="90" t="s">
        <v>49</v>
      </c>
      <c r="G72" s="90" t="s">
        <v>89</v>
      </c>
      <c r="H72" s="89" t="s">
        <v>90</v>
      </c>
      <c r="I72" s="89" t="s">
        <v>52</v>
      </c>
      <c r="J72" s="89" t="s">
        <v>91</v>
      </c>
      <c r="K72" s="91" t="s">
        <v>54</v>
      </c>
      <c r="L72" s="90" t="s">
        <v>55</v>
      </c>
      <c r="M72" s="91" t="s">
        <v>56</v>
      </c>
      <c r="N72" s="90" t="s">
        <v>57</v>
      </c>
      <c r="O72" s="90" t="s">
        <v>58</v>
      </c>
      <c r="P72" s="90" t="s">
        <v>59</v>
      </c>
      <c r="Q72" s="90" t="s">
        <v>60</v>
      </c>
      <c r="R72" s="91" t="s">
        <v>165</v>
      </c>
      <c r="S72" s="92" t="s">
        <v>92</v>
      </c>
      <c r="T72" s="92" t="s">
        <v>93</v>
      </c>
      <c r="U72" s="92" t="s">
        <v>94</v>
      </c>
      <c r="V72" s="164"/>
      <c r="W72" s="165"/>
      <c r="X72" s="165"/>
    </row>
    <row r="73" spans="1:24" x14ac:dyDescent="0.25">
      <c r="A73" s="94" t="s">
        <v>65</v>
      </c>
      <c r="B73" s="95" t="s">
        <v>66</v>
      </c>
      <c r="C73" s="96">
        <v>6</v>
      </c>
      <c r="D73" s="96"/>
      <c r="E73" s="96"/>
      <c r="F73" s="96">
        <v>1.5</v>
      </c>
      <c r="G73" s="98">
        <f t="shared" ref="G73:G98" si="14">ROUND(C73*E73*$G$14,2)</f>
        <v>0</v>
      </c>
      <c r="H73" s="98"/>
      <c r="I73" s="98"/>
      <c r="J73" s="98">
        <f t="shared" ref="J73:J98" si="15">ROUND(C73*F73*$J$14,2)</f>
        <v>10647</v>
      </c>
      <c r="K73" s="98"/>
      <c r="L73" s="98">
        <f>G73+H73+I73+J73+K73</f>
        <v>10647</v>
      </c>
      <c r="M73" s="98">
        <f t="shared" ref="M73:M98" si="16">ROUND(L73*$M$14,2)</f>
        <v>2511.63</v>
      </c>
      <c r="N73" s="98">
        <v>3673</v>
      </c>
      <c r="O73" s="97">
        <v>306.08</v>
      </c>
      <c r="P73" s="97"/>
      <c r="Q73" s="97"/>
      <c r="R73" s="98">
        <f t="shared" ref="R73:R98" si="17">ROUND(C73*D73*O73,2)</f>
        <v>0</v>
      </c>
      <c r="S73" s="99">
        <f t="shared" ref="S73:S98" si="18">L73+M73</f>
        <v>13158.630000000001</v>
      </c>
      <c r="T73" s="98"/>
      <c r="U73" s="100">
        <f t="shared" ref="U73:U98" si="19">S73+R73</f>
        <v>13158.630000000001</v>
      </c>
    </row>
    <row r="74" spans="1:24" x14ac:dyDescent="0.25">
      <c r="A74" s="102" t="s">
        <v>65</v>
      </c>
      <c r="B74" s="103" t="s">
        <v>67</v>
      </c>
      <c r="C74" s="104">
        <v>6</v>
      </c>
      <c r="D74" s="104"/>
      <c r="E74" s="105">
        <v>4</v>
      </c>
      <c r="F74" s="105"/>
      <c r="G74" s="80">
        <f t="shared" si="14"/>
        <v>47112</v>
      </c>
      <c r="H74" s="80"/>
      <c r="I74" s="80"/>
      <c r="J74" s="80">
        <f t="shared" si="15"/>
        <v>0</v>
      </c>
      <c r="K74" s="80"/>
      <c r="L74" s="80">
        <f>G74+H74+I74+J74+K74</f>
        <v>47112</v>
      </c>
      <c r="M74" s="80">
        <f t="shared" si="16"/>
        <v>11113.72</v>
      </c>
      <c r="N74" s="80">
        <v>3673</v>
      </c>
      <c r="O74" s="105">
        <v>306.08</v>
      </c>
      <c r="P74" s="105"/>
      <c r="Q74" s="105"/>
      <c r="R74" s="80">
        <f t="shared" si="17"/>
        <v>0</v>
      </c>
      <c r="S74" s="80">
        <f t="shared" si="18"/>
        <v>58225.72</v>
      </c>
      <c r="T74" s="80"/>
      <c r="U74" s="106">
        <f t="shared" si="19"/>
        <v>58225.72</v>
      </c>
    </row>
    <row r="75" spans="1:24" x14ac:dyDescent="0.25">
      <c r="A75" s="107" t="s">
        <v>65</v>
      </c>
      <c r="B75" s="108" t="s">
        <v>68</v>
      </c>
      <c r="C75" s="104">
        <v>6</v>
      </c>
      <c r="D75" s="82">
        <f>D44-D106</f>
        <v>1</v>
      </c>
      <c r="E75" s="109">
        <v>5.5</v>
      </c>
      <c r="F75" s="109"/>
      <c r="G75" s="80">
        <f t="shared" si="14"/>
        <v>64779</v>
      </c>
      <c r="H75" s="110">
        <f>ROUND(C75*E75*540,2)</f>
        <v>17820</v>
      </c>
      <c r="I75" s="110"/>
      <c r="J75" s="80">
        <f t="shared" si="15"/>
        <v>0</v>
      </c>
      <c r="K75" s="110"/>
      <c r="L75" s="110">
        <f>G75+H75+I75+J75+K75</f>
        <v>82599</v>
      </c>
      <c r="M75" s="80">
        <f t="shared" si="16"/>
        <v>19485.099999999999</v>
      </c>
      <c r="N75" s="110">
        <v>3673</v>
      </c>
      <c r="O75" s="109">
        <v>306.08</v>
      </c>
      <c r="P75" s="109"/>
      <c r="Q75" s="109"/>
      <c r="R75" s="80">
        <f>ROUND(C75*D75*O75,2)</f>
        <v>1836.48</v>
      </c>
      <c r="S75" s="80">
        <f t="shared" si="18"/>
        <v>102084.1</v>
      </c>
      <c r="T75" s="110"/>
      <c r="U75" s="106">
        <f t="shared" si="19"/>
        <v>103920.58</v>
      </c>
    </row>
    <row r="76" spans="1:24" x14ac:dyDescent="0.25">
      <c r="A76" s="107" t="s">
        <v>65</v>
      </c>
      <c r="B76" s="108" t="s">
        <v>69</v>
      </c>
      <c r="C76" s="104">
        <v>6</v>
      </c>
      <c r="D76" s="82"/>
      <c r="E76" s="109">
        <v>0</v>
      </c>
      <c r="F76" s="109"/>
      <c r="G76" s="80">
        <f t="shared" si="14"/>
        <v>0</v>
      </c>
      <c r="H76" s="110"/>
      <c r="I76" s="110"/>
      <c r="J76" s="80">
        <f t="shared" si="15"/>
        <v>0</v>
      </c>
      <c r="K76" s="110"/>
      <c r="L76" s="110">
        <f t="shared" ref="L76:L88" si="20">ROUNDDOWN(G76+H76+I76+J76+K76,0)</f>
        <v>0</v>
      </c>
      <c r="M76" s="80">
        <f t="shared" si="16"/>
        <v>0</v>
      </c>
      <c r="N76" s="110">
        <v>3673</v>
      </c>
      <c r="O76" s="109">
        <v>306.08</v>
      </c>
      <c r="P76" s="109"/>
      <c r="Q76" s="109"/>
      <c r="R76" s="80">
        <f t="shared" si="17"/>
        <v>0</v>
      </c>
      <c r="S76" s="80">
        <f t="shared" si="18"/>
        <v>0</v>
      </c>
      <c r="T76" s="110"/>
      <c r="U76" s="106">
        <f t="shared" si="19"/>
        <v>0</v>
      </c>
    </row>
    <row r="77" spans="1:24" x14ac:dyDescent="0.25">
      <c r="A77" s="143" t="s">
        <v>65</v>
      </c>
      <c r="B77" s="144" t="s">
        <v>70</v>
      </c>
      <c r="C77" s="145">
        <v>6</v>
      </c>
      <c r="D77" s="146"/>
      <c r="E77" s="147">
        <v>0</v>
      </c>
      <c r="F77" s="147"/>
      <c r="G77" s="149">
        <f t="shared" si="14"/>
        <v>0</v>
      </c>
      <c r="H77" s="151">
        <f>ROUND(C77*E77*540,2)</f>
        <v>0</v>
      </c>
      <c r="I77" s="151"/>
      <c r="J77" s="149">
        <f t="shared" si="15"/>
        <v>0</v>
      </c>
      <c r="K77" s="151"/>
      <c r="L77" s="151">
        <f t="shared" si="20"/>
        <v>0</v>
      </c>
      <c r="M77" s="149">
        <f t="shared" si="16"/>
        <v>0</v>
      </c>
      <c r="N77" s="151">
        <v>3673</v>
      </c>
      <c r="O77" s="147">
        <v>306.08</v>
      </c>
      <c r="P77" s="147"/>
      <c r="Q77" s="147"/>
      <c r="R77" s="149">
        <f t="shared" si="17"/>
        <v>0</v>
      </c>
      <c r="S77" s="80">
        <f t="shared" si="18"/>
        <v>0</v>
      </c>
      <c r="T77" s="151"/>
      <c r="U77" s="153">
        <f t="shared" si="19"/>
        <v>0</v>
      </c>
    </row>
    <row r="78" spans="1:24" ht="15.75" thickBot="1" x14ac:dyDescent="0.3">
      <c r="A78" s="113" t="s">
        <v>65</v>
      </c>
      <c r="B78" s="114" t="s">
        <v>71</v>
      </c>
      <c r="C78" s="115"/>
      <c r="D78" s="116"/>
      <c r="E78" s="117"/>
      <c r="F78" s="117"/>
      <c r="G78" s="118"/>
      <c r="H78" s="119"/>
      <c r="I78" s="119"/>
      <c r="J78" s="118"/>
      <c r="K78" s="119"/>
      <c r="L78" s="119"/>
      <c r="M78" s="118"/>
      <c r="N78" s="119"/>
      <c r="O78" s="117"/>
      <c r="P78" s="117"/>
      <c r="Q78" s="117"/>
      <c r="R78" s="118"/>
      <c r="S78" s="167"/>
      <c r="T78" s="119">
        <f>T21-T47</f>
        <v>8640</v>
      </c>
      <c r="U78" s="120">
        <f>T78</f>
        <v>8640</v>
      </c>
      <c r="V78" s="127"/>
    </row>
    <row r="79" spans="1:24" x14ac:dyDescent="0.25">
      <c r="A79" s="168" t="s">
        <v>72</v>
      </c>
      <c r="B79" s="95" t="s">
        <v>66</v>
      </c>
      <c r="C79" s="96">
        <v>6</v>
      </c>
      <c r="D79" s="122"/>
      <c r="E79" s="123"/>
      <c r="F79" s="123">
        <v>0.5</v>
      </c>
      <c r="G79" s="98">
        <f t="shared" si="14"/>
        <v>0</v>
      </c>
      <c r="H79" s="124"/>
      <c r="I79" s="124"/>
      <c r="J79" s="98">
        <f t="shared" si="15"/>
        <v>3549</v>
      </c>
      <c r="K79" s="124"/>
      <c r="L79" s="125">
        <f t="shared" si="20"/>
        <v>3549</v>
      </c>
      <c r="M79" s="98">
        <f t="shared" si="16"/>
        <v>837.21</v>
      </c>
      <c r="N79" s="125">
        <v>3673</v>
      </c>
      <c r="O79" s="123">
        <v>306.08</v>
      </c>
      <c r="P79" s="123"/>
      <c r="Q79" s="123"/>
      <c r="R79" s="98">
        <f t="shared" si="17"/>
        <v>0</v>
      </c>
      <c r="S79" s="125">
        <f t="shared" si="18"/>
        <v>4386.21</v>
      </c>
      <c r="T79" s="125"/>
      <c r="U79" s="100">
        <f t="shared" si="19"/>
        <v>4386.21</v>
      </c>
    </row>
    <row r="80" spans="1:24" x14ac:dyDescent="0.25">
      <c r="A80" s="169" t="s">
        <v>72</v>
      </c>
      <c r="B80" s="103" t="s">
        <v>67</v>
      </c>
      <c r="C80" s="104">
        <v>6</v>
      </c>
      <c r="D80" s="82"/>
      <c r="E80" s="109">
        <v>0.5</v>
      </c>
      <c r="F80" s="109"/>
      <c r="G80" s="80">
        <f t="shared" si="14"/>
        <v>5889</v>
      </c>
      <c r="H80" s="126"/>
      <c r="I80" s="126"/>
      <c r="J80" s="80">
        <f t="shared" si="15"/>
        <v>0</v>
      </c>
      <c r="K80" s="126"/>
      <c r="L80" s="110">
        <f t="shared" si="20"/>
        <v>5889</v>
      </c>
      <c r="M80" s="80">
        <f t="shared" si="16"/>
        <v>1389.22</v>
      </c>
      <c r="N80" s="110">
        <v>3673</v>
      </c>
      <c r="O80" s="109">
        <v>306.08</v>
      </c>
      <c r="P80" s="109"/>
      <c r="Q80" s="109"/>
      <c r="R80" s="80">
        <f t="shared" si="17"/>
        <v>0</v>
      </c>
      <c r="S80" s="110">
        <f t="shared" si="18"/>
        <v>7278.22</v>
      </c>
      <c r="T80" s="110"/>
      <c r="U80" s="106">
        <f t="shared" si="19"/>
        <v>7278.22</v>
      </c>
    </row>
    <row r="81" spans="1:22" x14ac:dyDescent="0.25">
      <c r="A81" s="169" t="s">
        <v>72</v>
      </c>
      <c r="B81" s="103" t="s">
        <v>68</v>
      </c>
      <c r="C81" s="104">
        <v>6</v>
      </c>
      <c r="D81" s="82"/>
      <c r="E81" s="109">
        <v>0.5</v>
      </c>
      <c r="F81" s="109"/>
      <c r="G81" s="80">
        <f t="shared" si="14"/>
        <v>5889</v>
      </c>
      <c r="H81" s="126">
        <f>ROUND(C81*E81*540,2)</f>
        <v>1620</v>
      </c>
      <c r="I81" s="126"/>
      <c r="J81" s="80">
        <f t="shared" si="15"/>
        <v>0</v>
      </c>
      <c r="K81" s="126"/>
      <c r="L81" s="110">
        <f t="shared" si="20"/>
        <v>7509</v>
      </c>
      <c r="M81" s="80">
        <f t="shared" si="16"/>
        <v>1771.37</v>
      </c>
      <c r="N81" s="110">
        <v>3673</v>
      </c>
      <c r="O81" s="109">
        <v>306.08</v>
      </c>
      <c r="P81" s="109"/>
      <c r="Q81" s="109"/>
      <c r="R81" s="80">
        <f t="shared" si="17"/>
        <v>0</v>
      </c>
      <c r="S81" s="110">
        <f t="shared" si="18"/>
        <v>9280.369999999999</v>
      </c>
      <c r="T81" s="110"/>
      <c r="U81" s="106">
        <f t="shared" si="19"/>
        <v>9280.369999999999</v>
      </c>
    </row>
    <row r="82" spans="1:22" ht="15.75" thickBot="1" x14ac:dyDescent="0.3">
      <c r="A82" s="169" t="s">
        <v>72</v>
      </c>
      <c r="B82" s="108" t="s">
        <v>71</v>
      </c>
      <c r="C82" s="104"/>
      <c r="D82" s="82"/>
      <c r="E82" s="109"/>
      <c r="F82" s="109"/>
      <c r="G82" s="80"/>
      <c r="H82" s="110"/>
      <c r="I82" s="126"/>
      <c r="J82" s="80"/>
      <c r="K82" s="126"/>
      <c r="L82" s="110"/>
      <c r="M82" s="80"/>
      <c r="N82" s="110"/>
      <c r="O82" s="109"/>
      <c r="P82" s="109"/>
      <c r="Q82" s="109"/>
      <c r="R82" s="80"/>
      <c r="S82" s="110"/>
      <c r="T82" s="110">
        <f>T25-T51</f>
        <v>3677.58</v>
      </c>
      <c r="U82" s="106">
        <f>T82</f>
        <v>3677.58</v>
      </c>
      <c r="V82" s="127"/>
    </row>
    <row r="83" spans="1:22" x14ac:dyDescent="0.25">
      <c r="A83" s="168" t="s">
        <v>73</v>
      </c>
      <c r="B83" s="95" t="s">
        <v>66</v>
      </c>
      <c r="C83" s="96">
        <v>6</v>
      </c>
      <c r="D83" s="122"/>
      <c r="E83" s="129"/>
      <c r="F83" s="123">
        <v>0.5</v>
      </c>
      <c r="G83" s="98">
        <f t="shared" si="14"/>
        <v>0</v>
      </c>
      <c r="H83" s="124"/>
      <c r="I83" s="124"/>
      <c r="J83" s="98">
        <f t="shared" si="15"/>
        <v>3549</v>
      </c>
      <c r="K83" s="124"/>
      <c r="L83" s="125">
        <f t="shared" si="20"/>
        <v>3549</v>
      </c>
      <c r="M83" s="98">
        <f t="shared" si="16"/>
        <v>837.21</v>
      </c>
      <c r="N83" s="125">
        <v>3673</v>
      </c>
      <c r="O83" s="123">
        <v>306.08</v>
      </c>
      <c r="P83" s="123"/>
      <c r="Q83" s="123"/>
      <c r="R83" s="98">
        <f t="shared" si="17"/>
        <v>0</v>
      </c>
      <c r="S83" s="125">
        <f t="shared" si="18"/>
        <v>4386.21</v>
      </c>
      <c r="T83" s="125"/>
      <c r="U83" s="100">
        <f t="shared" si="19"/>
        <v>4386.21</v>
      </c>
    </row>
    <row r="84" spans="1:22" x14ac:dyDescent="0.25">
      <c r="A84" s="169" t="s">
        <v>73</v>
      </c>
      <c r="B84" s="103" t="s">
        <v>67</v>
      </c>
      <c r="C84" s="104">
        <v>6</v>
      </c>
      <c r="D84" s="82"/>
      <c r="E84" s="109"/>
      <c r="F84" s="130"/>
      <c r="G84" s="80">
        <f t="shared" si="14"/>
        <v>0</v>
      </c>
      <c r="H84" s="126"/>
      <c r="I84" s="126"/>
      <c r="J84" s="80">
        <f t="shared" si="15"/>
        <v>0</v>
      </c>
      <c r="K84" s="126"/>
      <c r="L84" s="110">
        <f t="shared" si="20"/>
        <v>0</v>
      </c>
      <c r="M84" s="80">
        <f t="shared" si="16"/>
        <v>0</v>
      </c>
      <c r="N84" s="110">
        <v>3673</v>
      </c>
      <c r="O84" s="109">
        <v>306.08</v>
      </c>
      <c r="P84" s="109"/>
      <c r="Q84" s="109"/>
      <c r="R84" s="80">
        <f t="shared" si="17"/>
        <v>0</v>
      </c>
      <c r="S84" s="110">
        <f t="shared" si="18"/>
        <v>0</v>
      </c>
      <c r="T84" s="110"/>
      <c r="U84" s="106">
        <f t="shared" si="19"/>
        <v>0</v>
      </c>
    </row>
    <row r="85" spans="1:22" x14ac:dyDescent="0.25">
      <c r="A85" s="170" t="s">
        <v>73</v>
      </c>
      <c r="B85" s="171" t="s">
        <v>68</v>
      </c>
      <c r="C85" s="145">
        <v>6</v>
      </c>
      <c r="D85" s="146"/>
      <c r="E85" s="147"/>
      <c r="F85" s="148"/>
      <c r="G85" s="149">
        <f t="shared" si="14"/>
        <v>0</v>
      </c>
      <c r="H85" s="150">
        <f>ROUND(C85*E85*540,2)</f>
        <v>0</v>
      </c>
      <c r="I85" s="150"/>
      <c r="J85" s="149">
        <f t="shared" si="15"/>
        <v>0</v>
      </c>
      <c r="K85" s="150"/>
      <c r="L85" s="151">
        <f t="shared" si="20"/>
        <v>0</v>
      </c>
      <c r="M85" s="149">
        <f t="shared" si="16"/>
        <v>0</v>
      </c>
      <c r="N85" s="151">
        <v>3673</v>
      </c>
      <c r="O85" s="147">
        <v>306.08</v>
      </c>
      <c r="P85" s="147"/>
      <c r="Q85" s="147"/>
      <c r="R85" s="149">
        <f t="shared" si="17"/>
        <v>0</v>
      </c>
      <c r="S85" s="151">
        <f t="shared" si="18"/>
        <v>0</v>
      </c>
      <c r="T85" s="151"/>
      <c r="U85" s="153">
        <f t="shared" si="19"/>
        <v>0</v>
      </c>
    </row>
    <row r="86" spans="1:22" ht="15.75" thickBot="1" x14ac:dyDescent="0.3">
      <c r="A86" s="172" t="s">
        <v>73</v>
      </c>
      <c r="B86" s="114" t="s">
        <v>71</v>
      </c>
      <c r="C86" s="115"/>
      <c r="D86" s="116"/>
      <c r="E86" s="117"/>
      <c r="F86" s="131"/>
      <c r="G86" s="118"/>
      <c r="H86" s="119"/>
      <c r="I86" s="128"/>
      <c r="J86" s="118"/>
      <c r="K86" s="128"/>
      <c r="L86" s="119"/>
      <c r="M86" s="118"/>
      <c r="N86" s="119"/>
      <c r="O86" s="117"/>
      <c r="P86" s="117"/>
      <c r="Q86" s="117"/>
      <c r="R86" s="118"/>
      <c r="S86" s="119"/>
      <c r="T86" s="119">
        <f>T29-T55</f>
        <v>2733.4960000000001</v>
      </c>
      <c r="U86" s="120">
        <f>T86</f>
        <v>2733.4960000000001</v>
      </c>
      <c r="V86" s="127"/>
    </row>
    <row r="87" spans="1:22" x14ac:dyDescent="0.25">
      <c r="A87" s="168" t="s">
        <v>85</v>
      </c>
      <c r="B87" s="95" t="s">
        <v>66</v>
      </c>
      <c r="C87" s="96">
        <v>6</v>
      </c>
      <c r="D87" s="122"/>
      <c r="E87" s="123"/>
      <c r="F87" s="123"/>
      <c r="G87" s="98">
        <f t="shared" si="14"/>
        <v>0</v>
      </c>
      <c r="H87" s="124"/>
      <c r="I87" s="124"/>
      <c r="J87" s="98">
        <f t="shared" si="15"/>
        <v>0</v>
      </c>
      <c r="K87" s="124"/>
      <c r="L87" s="125">
        <f t="shared" si="20"/>
        <v>0</v>
      </c>
      <c r="M87" s="98">
        <f t="shared" si="16"/>
        <v>0</v>
      </c>
      <c r="N87" s="125">
        <v>3673</v>
      </c>
      <c r="O87" s="123">
        <v>306.08</v>
      </c>
      <c r="P87" s="123"/>
      <c r="Q87" s="123"/>
      <c r="R87" s="98">
        <f t="shared" si="17"/>
        <v>0</v>
      </c>
      <c r="S87" s="125">
        <f t="shared" si="18"/>
        <v>0</v>
      </c>
      <c r="T87" s="125"/>
      <c r="U87" s="100">
        <f t="shared" si="19"/>
        <v>0</v>
      </c>
    </row>
    <row r="88" spans="1:22" x14ac:dyDescent="0.25">
      <c r="A88" s="169" t="s">
        <v>85</v>
      </c>
      <c r="B88" s="103" t="s">
        <v>67</v>
      </c>
      <c r="C88" s="104">
        <v>6</v>
      </c>
      <c r="D88" s="82"/>
      <c r="E88" s="109"/>
      <c r="F88" s="109"/>
      <c r="G88" s="80">
        <f t="shared" si="14"/>
        <v>0</v>
      </c>
      <c r="H88" s="126"/>
      <c r="I88" s="126"/>
      <c r="J88" s="80">
        <f t="shared" si="15"/>
        <v>0</v>
      </c>
      <c r="K88" s="126"/>
      <c r="L88" s="110">
        <f t="shared" si="20"/>
        <v>0</v>
      </c>
      <c r="M88" s="80">
        <f t="shared" si="16"/>
        <v>0</v>
      </c>
      <c r="N88" s="110">
        <v>3673</v>
      </c>
      <c r="O88" s="109">
        <v>306.08</v>
      </c>
      <c r="P88" s="109"/>
      <c r="Q88" s="109"/>
      <c r="R88" s="80">
        <f t="shared" si="17"/>
        <v>0</v>
      </c>
      <c r="S88" s="110">
        <f t="shared" si="18"/>
        <v>0</v>
      </c>
      <c r="T88" s="110"/>
      <c r="U88" s="106">
        <f t="shared" si="19"/>
        <v>0</v>
      </c>
    </row>
    <row r="89" spans="1:22" ht="15.75" thickBot="1" x14ac:dyDescent="0.3">
      <c r="A89" s="82" t="s">
        <v>85</v>
      </c>
      <c r="B89" s="108" t="s">
        <v>68</v>
      </c>
      <c r="C89" s="104">
        <v>6</v>
      </c>
      <c r="D89" s="82"/>
      <c r="E89" s="109"/>
      <c r="F89" s="109"/>
      <c r="G89" s="80">
        <f t="shared" si="14"/>
        <v>0</v>
      </c>
      <c r="H89" s="110">
        <f>ROUND(C89*E89*540,2)</f>
        <v>0</v>
      </c>
      <c r="I89" s="110"/>
      <c r="J89" s="80">
        <f t="shared" si="15"/>
        <v>0</v>
      </c>
      <c r="K89" s="110"/>
      <c r="L89" s="110">
        <f>G89+H89+I89+J89+K89</f>
        <v>0</v>
      </c>
      <c r="M89" s="80">
        <f t="shared" si="16"/>
        <v>0</v>
      </c>
      <c r="N89" s="110">
        <v>3673</v>
      </c>
      <c r="O89" s="109">
        <v>306.08</v>
      </c>
      <c r="P89" s="109"/>
      <c r="Q89" s="109"/>
      <c r="R89" s="80">
        <f t="shared" si="17"/>
        <v>0</v>
      </c>
      <c r="S89" s="80">
        <f t="shared" si="18"/>
        <v>0</v>
      </c>
      <c r="T89" s="110"/>
      <c r="U89" s="106">
        <f t="shared" si="19"/>
        <v>0</v>
      </c>
      <c r="V89" s="127"/>
    </row>
    <row r="90" spans="1:22" x14ac:dyDescent="0.25">
      <c r="A90" s="168" t="s">
        <v>86</v>
      </c>
      <c r="B90" s="95" t="s">
        <v>66</v>
      </c>
      <c r="C90" s="96">
        <v>6</v>
      </c>
      <c r="D90" s="122"/>
      <c r="E90" s="123"/>
      <c r="F90" s="123"/>
      <c r="G90" s="98">
        <f t="shared" si="14"/>
        <v>0</v>
      </c>
      <c r="H90" s="124"/>
      <c r="I90" s="124"/>
      <c r="J90" s="98">
        <f t="shared" si="15"/>
        <v>0</v>
      </c>
      <c r="K90" s="124"/>
      <c r="L90" s="125">
        <f>ROUNDDOWN(G90+H90+I90+J90+K90,0)</f>
        <v>0</v>
      </c>
      <c r="M90" s="98">
        <f t="shared" si="16"/>
        <v>0</v>
      </c>
      <c r="N90" s="125">
        <v>3673</v>
      </c>
      <c r="O90" s="123">
        <v>306.08</v>
      </c>
      <c r="P90" s="123"/>
      <c r="Q90" s="123"/>
      <c r="R90" s="98">
        <f t="shared" si="17"/>
        <v>0</v>
      </c>
      <c r="S90" s="125">
        <f t="shared" si="18"/>
        <v>0</v>
      </c>
      <c r="T90" s="125"/>
      <c r="U90" s="100">
        <f t="shared" si="19"/>
        <v>0</v>
      </c>
    </row>
    <row r="91" spans="1:22" x14ac:dyDescent="0.25">
      <c r="A91" s="169" t="s">
        <v>86</v>
      </c>
      <c r="B91" s="103" t="s">
        <v>67</v>
      </c>
      <c r="C91" s="104">
        <v>6</v>
      </c>
      <c r="D91" s="82"/>
      <c r="E91" s="109"/>
      <c r="F91" s="109"/>
      <c r="G91" s="80">
        <f t="shared" si="14"/>
        <v>0</v>
      </c>
      <c r="H91" s="126"/>
      <c r="I91" s="126"/>
      <c r="J91" s="80">
        <f t="shared" si="15"/>
        <v>0</v>
      </c>
      <c r="K91" s="126"/>
      <c r="L91" s="110">
        <f>ROUNDDOWN(G91+H91+I91+J91+K91,0)</f>
        <v>0</v>
      </c>
      <c r="M91" s="80">
        <f t="shared" si="16"/>
        <v>0</v>
      </c>
      <c r="N91" s="110">
        <v>3673</v>
      </c>
      <c r="O91" s="109">
        <v>306.08</v>
      </c>
      <c r="P91" s="109"/>
      <c r="Q91" s="109"/>
      <c r="R91" s="80">
        <f t="shared" si="17"/>
        <v>0</v>
      </c>
      <c r="S91" s="110">
        <f t="shared" si="18"/>
        <v>0</v>
      </c>
      <c r="T91" s="110"/>
      <c r="U91" s="106">
        <f t="shared" si="19"/>
        <v>0</v>
      </c>
    </row>
    <row r="92" spans="1:22" ht="15.75" thickBot="1" x14ac:dyDescent="0.3">
      <c r="A92" s="116" t="s">
        <v>86</v>
      </c>
      <c r="B92" s="114" t="s">
        <v>68</v>
      </c>
      <c r="C92" s="115">
        <v>6</v>
      </c>
      <c r="D92" s="116"/>
      <c r="E92" s="117"/>
      <c r="F92" s="117"/>
      <c r="G92" s="118">
        <f t="shared" si="14"/>
        <v>0</v>
      </c>
      <c r="H92" s="119">
        <f>ROUND(C92*E92*540,2)</f>
        <v>0</v>
      </c>
      <c r="I92" s="119"/>
      <c r="J92" s="118">
        <f t="shared" si="15"/>
        <v>0</v>
      </c>
      <c r="K92" s="119"/>
      <c r="L92" s="119">
        <f>G92+H92+I92+J92+K92</f>
        <v>0</v>
      </c>
      <c r="M92" s="118">
        <f t="shared" si="16"/>
        <v>0</v>
      </c>
      <c r="N92" s="119">
        <v>3673</v>
      </c>
      <c r="O92" s="117">
        <v>306.08</v>
      </c>
      <c r="P92" s="117"/>
      <c r="Q92" s="117"/>
      <c r="R92" s="118">
        <f t="shared" si="17"/>
        <v>0</v>
      </c>
      <c r="S92" s="118">
        <f t="shared" si="18"/>
        <v>0</v>
      </c>
      <c r="T92" s="119"/>
      <c r="U92" s="120">
        <f t="shared" si="19"/>
        <v>0</v>
      </c>
      <c r="V92" s="127"/>
    </row>
    <row r="93" spans="1:22" x14ac:dyDescent="0.25">
      <c r="A93" s="173" t="s">
        <v>74</v>
      </c>
      <c r="B93" s="133" t="s">
        <v>66</v>
      </c>
      <c r="C93" s="134">
        <v>6</v>
      </c>
      <c r="D93" s="135"/>
      <c r="E93" s="136"/>
      <c r="F93" s="137"/>
      <c r="G93" s="111">
        <f t="shared" si="14"/>
        <v>0</v>
      </c>
      <c r="H93" s="138"/>
      <c r="I93" s="138"/>
      <c r="J93" s="111">
        <f t="shared" si="15"/>
        <v>0</v>
      </c>
      <c r="K93" s="138"/>
      <c r="L93" s="139">
        <f t="shared" ref="L93:L98" si="21">ROUNDDOWN(G93+H93+I93+J93+K93,0)</f>
        <v>0</v>
      </c>
      <c r="M93" s="111">
        <f t="shared" si="16"/>
        <v>0</v>
      </c>
      <c r="N93" s="139">
        <v>3673</v>
      </c>
      <c r="O93" s="137">
        <v>306.08</v>
      </c>
      <c r="P93" s="137"/>
      <c r="Q93" s="137"/>
      <c r="R93" s="111">
        <f t="shared" si="17"/>
        <v>0</v>
      </c>
      <c r="S93" s="139">
        <f t="shared" si="18"/>
        <v>0</v>
      </c>
      <c r="T93" s="140"/>
      <c r="U93" s="141">
        <f t="shared" si="19"/>
        <v>0</v>
      </c>
    </row>
    <row r="94" spans="1:22" x14ac:dyDescent="0.25">
      <c r="A94" s="169" t="s">
        <v>74</v>
      </c>
      <c r="B94" s="103" t="s">
        <v>67</v>
      </c>
      <c r="C94" s="104">
        <v>6</v>
      </c>
      <c r="D94" s="82"/>
      <c r="E94" s="109"/>
      <c r="F94" s="130"/>
      <c r="G94" s="80">
        <f t="shared" si="14"/>
        <v>0</v>
      </c>
      <c r="H94" s="126"/>
      <c r="I94" s="126"/>
      <c r="J94" s="80">
        <f t="shared" si="15"/>
        <v>0</v>
      </c>
      <c r="K94" s="126"/>
      <c r="L94" s="110">
        <f t="shared" si="21"/>
        <v>0</v>
      </c>
      <c r="M94" s="80">
        <f t="shared" si="16"/>
        <v>0</v>
      </c>
      <c r="N94" s="110">
        <v>3673</v>
      </c>
      <c r="O94" s="109">
        <v>306.08</v>
      </c>
      <c r="P94" s="109"/>
      <c r="Q94" s="109"/>
      <c r="R94" s="80">
        <f t="shared" si="17"/>
        <v>0</v>
      </c>
      <c r="S94" s="110">
        <f t="shared" si="18"/>
        <v>0</v>
      </c>
      <c r="T94" s="142"/>
      <c r="U94" s="106">
        <f t="shared" si="19"/>
        <v>0</v>
      </c>
    </row>
    <row r="95" spans="1:22" ht="15.75" thickBot="1" x14ac:dyDescent="0.3">
      <c r="A95" s="170" t="s">
        <v>74</v>
      </c>
      <c r="B95" s="144" t="s">
        <v>68</v>
      </c>
      <c r="C95" s="145">
        <v>6</v>
      </c>
      <c r="D95" s="146"/>
      <c r="E95" s="147"/>
      <c r="F95" s="148"/>
      <c r="G95" s="149">
        <f t="shared" si="14"/>
        <v>0</v>
      </c>
      <c r="H95" s="151">
        <f>ROUND(C95*E95*540,2)</f>
        <v>0</v>
      </c>
      <c r="I95" s="150"/>
      <c r="J95" s="149">
        <f t="shared" si="15"/>
        <v>0</v>
      </c>
      <c r="K95" s="150"/>
      <c r="L95" s="151">
        <f t="shared" si="21"/>
        <v>0</v>
      </c>
      <c r="M95" s="149">
        <f t="shared" si="16"/>
        <v>0</v>
      </c>
      <c r="N95" s="151">
        <v>3673</v>
      </c>
      <c r="O95" s="147">
        <v>306.08</v>
      </c>
      <c r="P95" s="147"/>
      <c r="Q95" s="147"/>
      <c r="R95" s="149">
        <f>ROUND(C95*D95*O95,2)</f>
        <v>0</v>
      </c>
      <c r="S95" s="151">
        <f t="shared" si="18"/>
        <v>0</v>
      </c>
      <c r="T95" s="152"/>
      <c r="U95" s="153">
        <f t="shared" si="19"/>
        <v>0</v>
      </c>
      <c r="V95" s="127"/>
    </row>
    <row r="96" spans="1:22" x14ac:dyDescent="0.25">
      <c r="A96" s="154" t="s">
        <v>75</v>
      </c>
      <c r="B96" s="95" t="s">
        <v>67</v>
      </c>
      <c r="C96" s="96">
        <v>6</v>
      </c>
      <c r="D96" s="122"/>
      <c r="E96" s="123"/>
      <c r="F96" s="129"/>
      <c r="G96" s="98">
        <f t="shared" si="14"/>
        <v>0</v>
      </c>
      <c r="H96" s="124"/>
      <c r="I96" s="124"/>
      <c r="J96" s="98">
        <f t="shared" si="15"/>
        <v>0</v>
      </c>
      <c r="K96" s="124"/>
      <c r="L96" s="125">
        <f t="shared" si="21"/>
        <v>0</v>
      </c>
      <c r="M96" s="98">
        <f t="shared" si="16"/>
        <v>0</v>
      </c>
      <c r="N96" s="125">
        <v>3673</v>
      </c>
      <c r="O96" s="123">
        <v>306.08</v>
      </c>
      <c r="P96" s="123"/>
      <c r="Q96" s="123"/>
      <c r="R96" s="98">
        <f t="shared" si="17"/>
        <v>0</v>
      </c>
      <c r="S96" s="125">
        <f t="shared" si="18"/>
        <v>0</v>
      </c>
      <c r="T96" s="125"/>
      <c r="U96" s="100">
        <f t="shared" si="19"/>
        <v>0</v>
      </c>
    </row>
    <row r="97" spans="1:24" x14ac:dyDescent="0.25">
      <c r="A97" s="156" t="s">
        <v>75</v>
      </c>
      <c r="B97" s="108" t="s">
        <v>68</v>
      </c>
      <c r="C97" s="104">
        <v>6</v>
      </c>
      <c r="D97" s="82"/>
      <c r="E97" s="109"/>
      <c r="F97" s="130"/>
      <c r="G97" s="80">
        <f t="shared" si="14"/>
        <v>0</v>
      </c>
      <c r="H97" s="80">
        <f>ROUND(C97*E97*540,2)</f>
        <v>0</v>
      </c>
      <c r="I97" s="126"/>
      <c r="J97" s="80">
        <f t="shared" si="15"/>
        <v>0</v>
      </c>
      <c r="K97" s="126"/>
      <c r="L97" s="110">
        <f t="shared" si="21"/>
        <v>0</v>
      </c>
      <c r="M97" s="80">
        <f t="shared" si="16"/>
        <v>0</v>
      </c>
      <c r="N97" s="110">
        <v>3673</v>
      </c>
      <c r="O97" s="109">
        <v>306.08</v>
      </c>
      <c r="P97" s="109"/>
      <c r="Q97" s="109"/>
      <c r="R97" s="80">
        <f t="shared" si="17"/>
        <v>0</v>
      </c>
      <c r="S97" s="110">
        <f t="shared" si="18"/>
        <v>0</v>
      </c>
      <c r="T97" s="110"/>
      <c r="U97" s="106">
        <f t="shared" si="19"/>
        <v>0</v>
      </c>
      <c r="V97" s="127"/>
    </row>
    <row r="98" spans="1:24" ht="15.75" thickBot="1" x14ac:dyDescent="0.3">
      <c r="A98" s="157" t="s">
        <v>75</v>
      </c>
      <c r="B98" s="114" t="s">
        <v>70</v>
      </c>
      <c r="C98" s="115">
        <v>6</v>
      </c>
      <c r="D98" s="116"/>
      <c r="E98" s="117"/>
      <c r="F98" s="117"/>
      <c r="G98" s="118">
        <f t="shared" si="14"/>
        <v>0</v>
      </c>
      <c r="H98" s="119">
        <f>ROUND(C98*E98*540,2)</f>
        <v>0</v>
      </c>
      <c r="I98" s="119"/>
      <c r="J98" s="118">
        <f t="shared" si="15"/>
        <v>0</v>
      </c>
      <c r="K98" s="119"/>
      <c r="L98" s="119">
        <f t="shared" si="21"/>
        <v>0</v>
      </c>
      <c r="M98" s="118">
        <f t="shared" si="16"/>
        <v>0</v>
      </c>
      <c r="N98" s="119">
        <v>3673</v>
      </c>
      <c r="O98" s="117">
        <v>306.08</v>
      </c>
      <c r="P98" s="117"/>
      <c r="Q98" s="117"/>
      <c r="R98" s="118">
        <f t="shared" si="17"/>
        <v>0</v>
      </c>
      <c r="S98" s="118">
        <f t="shared" si="18"/>
        <v>0</v>
      </c>
      <c r="T98" s="119"/>
      <c r="U98" s="120">
        <f t="shared" si="19"/>
        <v>0</v>
      </c>
      <c r="V98" s="127"/>
    </row>
    <row r="99" spans="1:24" s="183" customFormat="1" x14ac:dyDescent="0.25">
      <c r="A99" s="93"/>
      <c r="B99" s="175"/>
      <c r="C99" s="179"/>
      <c r="D99" s="177"/>
      <c r="E99" s="178">
        <f>SUM(E73:E98)</f>
        <v>10.5</v>
      </c>
      <c r="F99" s="178">
        <f>SUM(F73:F98)</f>
        <v>2.5</v>
      </c>
      <c r="G99" s="179"/>
      <c r="H99" s="177"/>
      <c r="I99" s="177"/>
      <c r="J99" s="179"/>
      <c r="K99" s="177"/>
      <c r="L99" s="177"/>
      <c r="M99" s="179"/>
      <c r="N99" s="177"/>
      <c r="O99" s="361" t="s">
        <v>95</v>
      </c>
      <c r="P99" s="361"/>
      <c r="Q99" s="361"/>
      <c r="R99" s="361"/>
      <c r="S99" s="361"/>
      <c r="T99" s="361"/>
      <c r="U99" s="180">
        <f>SUM(U73:U98)</f>
        <v>215687.01599999997</v>
      </c>
      <c r="V99" s="181"/>
      <c r="W99" s="182"/>
      <c r="X99" s="182"/>
    </row>
    <row r="100" spans="1:24" x14ac:dyDescent="0.25">
      <c r="A100" s="190"/>
      <c r="B100" s="101"/>
      <c r="C100" s="187"/>
      <c r="D100" s="185"/>
      <c r="E100" s="185"/>
      <c r="F100" s="185"/>
      <c r="G100" s="187"/>
      <c r="H100" s="185"/>
      <c r="I100" s="188"/>
      <c r="J100" s="187"/>
      <c r="K100" s="188"/>
      <c r="L100" s="185"/>
      <c r="M100" s="187"/>
      <c r="N100" s="185"/>
      <c r="O100" s="185"/>
      <c r="P100" s="185"/>
      <c r="Q100" s="185"/>
      <c r="R100" s="187"/>
      <c r="S100" s="185"/>
      <c r="T100" s="191" t="s">
        <v>96</v>
      </c>
      <c r="U100" s="186">
        <f>U99+U68-U36</f>
        <v>549.04599999997299</v>
      </c>
      <c r="V100" s="127"/>
      <c r="W100" s="182"/>
      <c r="X100" s="182"/>
    </row>
    <row r="101" spans="1:24" x14ac:dyDescent="0.25">
      <c r="A101" s="375" t="s">
        <v>97</v>
      </c>
      <c r="B101" s="375"/>
      <c r="C101" s="375"/>
      <c r="D101" s="375"/>
      <c r="E101" s="375"/>
      <c r="F101" s="375"/>
      <c r="G101" s="187"/>
      <c r="H101" s="185"/>
      <c r="I101" s="188"/>
      <c r="J101" s="187"/>
      <c r="K101" s="188"/>
      <c r="L101" s="185"/>
      <c r="M101" s="187"/>
      <c r="N101" s="185"/>
      <c r="O101" s="185"/>
      <c r="P101" s="185"/>
      <c r="Q101" s="185"/>
      <c r="R101" s="187"/>
      <c r="S101" s="185"/>
      <c r="T101" s="185"/>
      <c r="U101" s="185"/>
      <c r="V101" s="127"/>
      <c r="W101" s="182"/>
      <c r="X101" s="182"/>
    </row>
    <row r="102" spans="1:24" ht="16.5" x14ac:dyDescent="0.25">
      <c r="A102" s="375"/>
      <c r="B102" s="375"/>
      <c r="C102" s="375"/>
      <c r="D102" s="375"/>
      <c r="E102" s="375"/>
      <c r="F102" s="375"/>
      <c r="G102" s="163"/>
      <c r="H102" s="163"/>
      <c r="I102" s="163"/>
      <c r="J102" s="163"/>
      <c r="K102" s="163"/>
      <c r="L102" s="163"/>
      <c r="M102" s="163"/>
      <c r="N102" s="163"/>
      <c r="O102" s="163"/>
      <c r="P102" s="163"/>
      <c r="Q102" s="163"/>
      <c r="R102" s="163"/>
      <c r="S102" s="163"/>
      <c r="T102" s="163"/>
      <c r="U102" s="185"/>
      <c r="V102" s="127"/>
      <c r="W102" s="182"/>
      <c r="X102" s="182"/>
    </row>
    <row r="103" spans="1:24" s="166" customFormat="1" ht="90.75" thickBot="1" x14ac:dyDescent="0.3">
      <c r="A103" s="89" t="s">
        <v>44</v>
      </c>
      <c r="B103" s="89" t="s">
        <v>45</v>
      </c>
      <c r="C103" s="89" t="s">
        <v>46</v>
      </c>
      <c r="D103" s="89" t="s">
        <v>47</v>
      </c>
      <c r="E103" s="89" t="s">
        <v>48</v>
      </c>
      <c r="F103" s="90" t="s">
        <v>49</v>
      </c>
      <c r="G103" s="90" t="s">
        <v>89</v>
      </c>
      <c r="H103" s="89" t="s">
        <v>90</v>
      </c>
      <c r="I103" s="89" t="s">
        <v>52</v>
      </c>
      <c r="J103" s="89" t="s">
        <v>91</v>
      </c>
      <c r="K103" s="91" t="s">
        <v>54</v>
      </c>
      <c r="L103" s="90" t="s">
        <v>55</v>
      </c>
      <c r="M103" s="91" t="s">
        <v>56</v>
      </c>
      <c r="N103" s="90" t="s">
        <v>57</v>
      </c>
      <c r="O103" s="90" t="s">
        <v>58</v>
      </c>
      <c r="P103" s="90" t="s">
        <v>59</v>
      </c>
      <c r="Q103" s="90" t="s">
        <v>60</v>
      </c>
      <c r="R103" s="91" t="s">
        <v>166</v>
      </c>
      <c r="S103" s="92" t="s">
        <v>98</v>
      </c>
      <c r="T103" s="92" t="s">
        <v>93</v>
      </c>
      <c r="U103" s="192" t="s">
        <v>120</v>
      </c>
      <c r="V103" s="164"/>
      <c r="W103" s="165"/>
      <c r="X103" s="165"/>
    </row>
    <row r="104" spans="1:24" x14ac:dyDescent="0.25">
      <c r="A104" s="94" t="s">
        <v>65</v>
      </c>
      <c r="B104" s="95" t="s">
        <v>66</v>
      </c>
      <c r="C104" s="96">
        <v>6</v>
      </c>
      <c r="D104" s="376">
        <v>1</v>
      </c>
      <c r="E104" s="97"/>
      <c r="F104" s="97">
        <v>1</v>
      </c>
      <c r="G104" s="98">
        <f t="shared" ref="G104:G126" si="22">ROUND(C104*E104*$G$14,2)</f>
        <v>0</v>
      </c>
      <c r="H104" s="98"/>
      <c r="I104" s="98"/>
      <c r="J104" s="98">
        <f t="shared" ref="J104:J126" si="23">ROUND(C104*F104*$J$14,2)</f>
        <v>7098</v>
      </c>
      <c r="K104" s="98"/>
      <c r="L104" s="98">
        <f>G104+H104+I104+J104+K104</f>
        <v>7098</v>
      </c>
      <c r="M104" s="98">
        <f t="shared" ref="M104:M126" si="24">ROUND(L104*$M$14,2)</f>
        <v>1674.42</v>
      </c>
      <c r="N104" s="378">
        <v>3673</v>
      </c>
      <c r="O104" s="380">
        <v>306.08</v>
      </c>
      <c r="P104" s="347"/>
      <c r="Q104" s="347"/>
      <c r="R104" s="378">
        <f>ROUND(C104*D104*O104,2)</f>
        <v>1836.48</v>
      </c>
      <c r="S104" s="99">
        <f>L104+M104</f>
        <v>8772.42</v>
      </c>
      <c r="T104" s="98"/>
      <c r="U104" s="392">
        <f>S104+R104+S105</f>
        <v>21526.22</v>
      </c>
      <c r="V104" s="127"/>
    </row>
    <row r="105" spans="1:24" x14ac:dyDescent="0.25">
      <c r="A105" s="102" t="s">
        <v>65</v>
      </c>
      <c r="B105" s="103" t="s">
        <v>67</v>
      </c>
      <c r="C105" s="104">
        <v>6</v>
      </c>
      <c r="D105" s="377"/>
      <c r="E105" s="105">
        <v>0.75</v>
      </c>
      <c r="F105" s="105"/>
      <c r="G105" s="80">
        <f t="shared" si="22"/>
        <v>8833.5</v>
      </c>
      <c r="H105" s="80"/>
      <c r="I105" s="80"/>
      <c r="J105" s="80">
        <f t="shared" si="23"/>
        <v>0</v>
      </c>
      <c r="K105" s="80"/>
      <c r="L105" s="80">
        <f>G105+H105+I105+J105+K105</f>
        <v>8833.5</v>
      </c>
      <c r="M105" s="80">
        <f t="shared" si="24"/>
        <v>2083.8200000000002</v>
      </c>
      <c r="N105" s="379"/>
      <c r="O105" s="381"/>
      <c r="P105" s="348"/>
      <c r="Q105" s="348"/>
      <c r="R105" s="379"/>
      <c r="S105" s="80">
        <f t="shared" ref="S105:S126" si="25">L105+M105</f>
        <v>10917.32</v>
      </c>
      <c r="T105" s="80"/>
      <c r="U105" s="393"/>
      <c r="V105" s="127"/>
    </row>
    <row r="106" spans="1:24" x14ac:dyDescent="0.25">
      <c r="A106" s="107" t="s">
        <v>65</v>
      </c>
      <c r="B106" s="108" t="s">
        <v>68</v>
      </c>
      <c r="C106" s="104">
        <v>6</v>
      </c>
      <c r="D106" s="82">
        <v>1</v>
      </c>
      <c r="E106" s="109">
        <v>3.5</v>
      </c>
      <c r="F106" s="109"/>
      <c r="G106" s="80">
        <f t="shared" si="22"/>
        <v>41223</v>
      </c>
      <c r="H106" s="110">
        <f>ROUND(C106*E106*540,2)</f>
        <v>11340</v>
      </c>
      <c r="I106" s="110"/>
      <c r="J106" s="80">
        <f t="shared" si="23"/>
        <v>0</v>
      </c>
      <c r="K106" s="110"/>
      <c r="L106" s="110">
        <f>G106+H106+I106+J106+K106</f>
        <v>52563</v>
      </c>
      <c r="M106" s="80">
        <f t="shared" si="24"/>
        <v>12399.61</v>
      </c>
      <c r="N106" s="110">
        <v>3673</v>
      </c>
      <c r="O106" s="109">
        <v>306.08</v>
      </c>
      <c r="P106" s="109"/>
      <c r="Q106" s="109"/>
      <c r="R106" s="80">
        <f>ROUND(C106*D106*O106,2)</f>
        <v>1836.48</v>
      </c>
      <c r="S106" s="80">
        <f t="shared" si="25"/>
        <v>64962.61</v>
      </c>
      <c r="T106" s="110"/>
      <c r="U106" s="106">
        <f>S106+R106</f>
        <v>66799.09</v>
      </c>
      <c r="V106" s="127"/>
    </row>
    <row r="107" spans="1:24" x14ac:dyDescent="0.25">
      <c r="A107" s="107" t="s">
        <v>65</v>
      </c>
      <c r="B107" s="108" t="s">
        <v>69</v>
      </c>
      <c r="C107" s="104">
        <v>6</v>
      </c>
      <c r="D107" s="82">
        <v>1</v>
      </c>
      <c r="E107" s="109">
        <v>0.25</v>
      </c>
      <c r="F107" s="109"/>
      <c r="G107" s="80">
        <f t="shared" si="22"/>
        <v>2944.5</v>
      </c>
      <c r="H107" s="110"/>
      <c r="I107" s="110"/>
      <c r="J107" s="80">
        <f t="shared" si="23"/>
        <v>0</v>
      </c>
      <c r="K107" s="110"/>
      <c r="L107" s="110">
        <f t="shared" ref="L107:L116" si="26">ROUNDDOWN(G107+H107+I107+J107+K107,0)</f>
        <v>2944</v>
      </c>
      <c r="M107" s="80">
        <f t="shared" si="24"/>
        <v>694.49</v>
      </c>
      <c r="N107" s="110">
        <v>3673</v>
      </c>
      <c r="O107" s="109">
        <v>306.08</v>
      </c>
      <c r="P107" s="109"/>
      <c r="Q107" s="109"/>
      <c r="R107" s="80">
        <f>ROUND(C107*E107*O107,2)</f>
        <v>459.12</v>
      </c>
      <c r="S107" s="80">
        <f t="shared" si="25"/>
        <v>3638.49</v>
      </c>
      <c r="T107" s="110"/>
      <c r="U107" s="106">
        <f t="shared" ref="U107:U108" si="27">S107+R107</f>
        <v>4097.6099999999997</v>
      </c>
      <c r="V107" s="127"/>
    </row>
    <row r="108" spans="1:24" ht="15.75" thickBot="1" x14ac:dyDescent="0.3">
      <c r="A108" s="113" t="s">
        <v>65</v>
      </c>
      <c r="B108" s="114" t="s">
        <v>70</v>
      </c>
      <c r="C108" s="115">
        <v>6</v>
      </c>
      <c r="D108" s="116">
        <v>1</v>
      </c>
      <c r="E108" s="117">
        <v>0.75</v>
      </c>
      <c r="F108" s="117"/>
      <c r="G108" s="118">
        <f t="shared" si="22"/>
        <v>8833.5</v>
      </c>
      <c r="H108" s="119">
        <f>ROUND(C108*E108*540,2)</f>
        <v>2430</v>
      </c>
      <c r="I108" s="119"/>
      <c r="J108" s="118">
        <f t="shared" si="23"/>
        <v>0</v>
      </c>
      <c r="K108" s="119"/>
      <c r="L108" s="119">
        <f t="shared" si="26"/>
        <v>11263</v>
      </c>
      <c r="M108" s="118">
        <f t="shared" si="24"/>
        <v>2656.94</v>
      </c>
      <c r="N108" s="119">
        <v>3673</v>
      </c>
      <c r="O108" s="117">
        <v>306.08</v>
      </c>
      <c r="P108" s="117"/>
      <c r="Q108" s="117"/>
      <c r="R108" s="118">
        <f>ROUND(C108*E108*O108,2)</f>
        <v>1377.36</v>
      </c>
      <c r="S108" s="167">
        <f t="shared" si="25"/>
        <v>13919.94</v>
      </c>
      <c r="T108" s="119"/>
      <c r="U108" s="120">
        <f t="shared" si="27"/>
        <v>15297.300000000001</v>
      </c>
      <c r="V108" s="127"/>
    </row>
    <row r="109" spans="1:24" x14ac:dyDescent="0.25">
      <c r="A109" s="168" t="s">
        <v>72</v>
      </c>
      <c r="B109" s="95" t="s">
        <v>66</v>
      </c>
      <c r="C109" s="96">
        <v>6</v>
      </c>
      <c r="D109" s="394">
        <v>1</v>
      </c>
      <c r="E109" s="123"/>
      <c r="F109" s="123">
        <v>0.5</v>
      </c>
      <c r="G109" s="98">
        <f t="shared" si="22"/>
        <v>0</v>
      </c>
      <c r="H109" s="124"/>
      <c r="I109" s="124"/>
      <c r="J109" s="98">
        <f t="shared" si="23"/>
        <v>3549</v>
      </c>
      <c r="K109" s="124"/>
      <c r="L109" s="125">
        <f t="shared" si="26"/>
        <v>3549</v>
      </c>
      <c r="M109" s="98">
        <f t="shared" si="24"/>
        <v>837.21</v>
      </c>
      <c r="N109" s="399">
        <v>3673</v>
      </c>
      <c r="O109" s="402">
        <v>306.08</v>
      </c>
      <c r="P109" s="349"/>
      <c r="Q109" s="349"/>
      <c r="R109" s="378">
        <f>ROUND(C109*D109*O109,2)</f>
        <v>1836.48</v>
      </c>
      <c r="S109" s="125">
        <f t="shared" si="25"/>
        <v>4386.21</v>
      </c>
      <c r="T109" s="125"/>
      <c r="U109" s="392">
        <f>S109+R109+S110+S111</f>
        <v>22781.279999999999</v>
      </c>
      <c r="V109" s="127"/>
    </row>
    <row r="110" spans="1:24" x14ac:dyDescent="0.25">
      <c r="A110" s="169" t="s">
        <v>72</v>
      </c>
      <c r="B110" s="103" t="s">
        <v>67</v>
      </c>
      <c r="C110" s="104">
        <v>6</v>
      </c>
      <c r="D110" s="395"/>
      <c r="E110" s="109">
        <v>0.5</v>
      </c>
      <c r="F110" s="109"/>
      <c r="G110" s="80">
        <f t="shared" si="22"/>
        <v>5889</v>
      </c>
      <c r="H110" s="126"/>
      <c r="I110" s="126"/>
      <c r="J110" s="80">
        <f t="shared" si="23"/>
        <v>0</v>
      </c>
      <c r="K110" s="126"/>
      <c r="L110" s="110">
        <f t="shared" si="26"/>
        <v>5889</v>
      </c>
      <c r="M110" s="80">
        <f t="shared" si="24"/>
        <v>1389.22</v>
      </c>
      <c r="N110" s="400"/>
      <c r="O110" s="403"/>
      <c r="P110" s="350"/>
      <c r="Q110" s="350"/>
      <c r="R110" s="397"/>
      <c r="S110" s="110">
        <f t="shared" si="25"/>
        <v>7278.22</v>
      </c>
      <c r="T110" s="110"/>
      <c r="U110" s="405"/>
      <c r="V110" s="127"/>
    </row>
    <row r="111" spans="1:24" ht="15.75" thickBot="1" x14ac:dyDescent="0.3">
      <c r="A111" s="169" t="s">
        <v>72</v>
      </c>
      <c r="B111" s="108" t="s">
        <v>68</v>
      </c>
      <c r="C111" s="104">
        <v>6</v>
      </c>
      <c r="D111" s="396"/>
      <c r="E111" s="109">
        <v>0.5</v>
      </c>
      <c r="F111" s="109"/>
      <c r="G111" s="80">
        <f t="shared" si="22"/>
        <v>5889</v>
      </c>
      <c r="H111" s="110">
        <f>ROUND(C111*E111*540,2)</f>
        <v>1620</v>
      </c>
      <c r="I111" s="126"/>
      <c r="J111" s="80">
        <f t="shared" si="23"/>
        <v>0</v>
      </c>
      <c r="K111" s="126"/>
      <c r="L111" s="110">
        <f t="shared" si="26"/>
        <v>7509</v>
      </c>
      <c r="M111" s="80">
        <f t="shared" si="24"/>
        <v>1771.37</v>
      </c>
      <c r="N111" s="401"/>
      <c r="O111" s="404"/>
      <c r="P111" s="350"/>
      <c r="Q111" s="350"/>
      <c r="R111" s="398"/>
      <c r="S111" s="110">
        <f t="shared" si="25"/>
        <v>9280.369999999999</v>
      </c>
      <c r="T111" s="110"/>
      <c r="U111" s="406"/>
      <c r="V111" s="127"/>
    </row>
    <row r="112" spans="1:24" x14ac:dyDescent="0.25">
      <c r="A112" s="168" t="s">
        <v>73</v>
      </c>
      <c r="B112" s="95" t="s">
        <v>66</v>
      </c>
      <c r="C112" s="96">
        <v>6</v>
      </c>
      <c r="D112" s="394">
        <v>1</v>
      </c>
      <c r="E112" s="129"/>
      <c r="F112" s="123">
        <v>0.5</v>
      </c>
      <c r="G112" s="98">
        <f t="shared" si="22"/>
        <v>0</v>
      </c>
      <c r="H112" s="124"/>
      <c r="I112" s="124"/>
      <c r="J112" s="98">
        <f t="shared" si="23"/>
        <v>3549</v>
      </c>
      <c r="K112" s="124"/>
      <c r="L112" s="125">
        <f t="shared" si="26"/>
        <v>3549</v>
      </c>
      <c r="M112" s="98">
        <f t="shared" si="24"/>
        <v>837.21</v>
      </c>
      <c r="N112" s="399">
        <v>3673</v>
      </c>
      <c r="O112" s="402">
        <v>306.08</v>
      </c>
      <c r="P112" s="349"/>
      <c r="Q112" s="349"/>
      <c r="R112" s="378">
        <f>ROUND(C112*D112*O112,2)</f>
        <v>1836.48</v>
      </c>
      <c r="S112" s="125">
        <f t="shared" si="25"/>
        <v>4386.21</v>
      </c>
      <c r="T112" s="125"/>
      <c r="U112" s="392">
        <f>S112+R112+S113+S114</f>
        <v>61539.1</v>
      </c>
      <c r="V112" s="127"/>
    </row>
    <row r="113" spans="1:24" x14ac:dyDescent="0.25">
      <c r="A113" s="169" t="s">
        <v>73</v>
      </c>
      <c r="B113" s="103" t="s">
        <v>67</v>
      </c>
      <c r="C113" s="104">
        <v>6</v>
      </c>
      <c r="D113" s="395"/>
      <c r="E113" s="109">
        <v>1.25</v>
      </c>
      <c r="F113" s="130"/>
      <c r="G113" s="80">
        <f t="shared" si="22"/>
        <v>14722.5</v>
      </c>
      <c r="H113" s="126"/>
      <c r="I113" s="126"/>
      <c r="J113" s="80">
        <f t="shared" si="23"/>
        <v>0</v>
      </c>
      <c r="K113" s="126"/>
      <c r="L113" s="110">
        <f t="shared" si="26"/>
        <v>14722</v>
      </c>
      <c r="M113" s="80">
        <f t="shared" si="24"/>
        <v>3472.92</v>
      </c>
      <c r="N113" s="400"/>
      <c r="O113" s="403"/>
      <c r="P113" s="350"/>
      <c r="Q113" s="350"/>
      <c r="R113" s="397"/>
      <c r="S113" s="110">
        <f t="shared" si="25"/>
        <v>18194.919999999998</v>
      </c>
      <c r="T113" s="110"/>
      <c r="U113" s="405"/>
      <c r="V113" s="127"/>
    </row>
    <row r="114" spans="1:24" ht="15.75" thickBot="1" x14ac:dyDescent="0.3">
      <c r="A114" s="172" t="s">
        <v>73</v>
      </c>
      <c r="B114" s="114" t="s">
        <v>68</v>
      </c>
      <c r="C114" s="115">
        <v>6</v>
      </c>
      <c r="D114" s="396"/>
      <c r="E114" s="117">
        <v>2</v>
      </c>
      <c r="F114" s="131"/>
      <c r="G114" s="118">
        <f t="shared" si="22"/>
        <v>23556</v>
      </c>
      <c r="H114" s="119">
        <f>ROUND(C114*E114*540,2)</f>
        <v>6480</v>
      </c>
      <c r="I114" s="128"/>
      <c r="J114" s="118">
        <f t="shared" si="23"/>
        <v>0</v>
      </c>
      <c r="K114" s="128"/>
      <c r="L114" s="119">
        <f t="shared" si="26"/>
        <v>30036</v>
      </c>
      <c r="M114" s="118">
        <f t="shared" si="24"/>
        <v>7085.49</v>
      </c>
      <c r="N114" s="401"/>
      <c r="O114" s="404"/>
      <c r="P114" s="350"/>
      <c r="Q114" s="350"/>
      <c r="R114" s="398"/>
      <c r="S114" s="119">
        <f t="shared" si="25"/>
        <v>37121.49</v>
      </c>
      <c r="T114" s="119"/>
      <c r="U114" s="406"/>
      <c r="V114" s="127"/>
    </row>
    <row r="115" spans="1:24" x14ac:dyDescent="0.25">
      <c r="A115" s="168" t="s">
        <v>85</v>
      </c>
      <c r="B115" s="95" t="s">
        <v>66</v>
      </c>
      <c r="C115" s="96">
        <v>6</v>
      </c>
      <c r="D115" s="394">
        <v>1</v>
      </c>
      <c r="E115" s="123"/>
      <c r="F115" s="123">
        <v>1</v>
      </c>
      <c r="G115" s="98">
        <f t="shared" si="22"/>
        <v>0</v>
      </c>
      <c r="H115" s="124"/>
      <c r="I115" s="124"/>
      <c r="J115" s="98">
        <f t="shared" si="23"/>
        <v>7098</v>
      </c>
      <c r="K115" s="124"/>
      <c r="L115" s="125">
        <f t="shared" si="26"/>
        <v>7098</v>
      </c>
      <c r="M115" s="98">
        <f t="shared" si="24"/>
        <v>1674.42</v>
      </c>
      <c r="N115" s="399">
        <v>3673</v>
      </c>
      <c r="O115" s="402">
        <v>306.08</v>
      </c>
      <c r="P115" s="349"/>
      <c r="Q115" s="349"/>
      <c r="R115" s="378">
        <f>ROUND(C115*D115*O115,2)</f>
        <v>1836.48</v>
      </c>
      <c r="S115" s="125">
        <f t="shared" si="25"/>
        <v>8772.42</v>
      </c>
      <c r="T115" s="125"/>
      <c r="U115" s="392">
        <f>S115+R115+S116+S117</f>
        <v>74205.23000000001</v>
      </c>
    </row>
    <row r="116" spans="1:24" x14ac:dyDescent="0.25">
      <c r="A116" s="169" t="s">
        <v>85</v>
      </c>
      <c r="B116" s="103" t="s">
        <v>67</v>
      </c>
      <c r="C116" s="104">
        <v>6</v>
      </c>
      <c r="D116" s="395"/>
      <c r="E116" s="109">
        <v>1.5</v>
      </c>
      <c r="F116" s="109"/>
      <c r="G116" s="80">
        <f t="shared" si="22"/>
        <v>17667</v>
      </c>
      <c r="H116" s="126"/>
      <c r="I116" s="126"/>
      <c r="J116" s="80">
        <f t="shared" si="23"/>
        <v>0</v>
      </c>
      <c r="K116" s="126"/>
      <c r="L116" s="110">
        <f t="shared" si="26"/>
        <v>17667</v>
      </c>
      <c r="M116" s="80">
        <f t="shared" si="24"/>
        <v>4167.6499999999996</v>
      </c>
      <c r="N116" s="400"/>
      <c r="O116" s="403"/>
      <c r="P116" s="350"/>
      <c r="Q116" s="350"/>
      <c r="R116" s="397"/>
      <c r="S116" s="110">
        <f t="shared" si="25"/>
        <v>21834.65</v>
      </c>
      <c r="T116" s="110"/>
      <c r="U116" s="405"/>
    </row>
    <row r="117" spans="1:24" ht="15.75" thickBot="1" x14ac:dyDescent="0.3">
      <c r="A117" s="82" t="s">
        <v>85</v>
      </c>
      <c r="B117" s="108" t="s">
        <v>68</v>
      </c>
      <c r="C117" s="104">
        <v>6</v>
      </c>
      <c r="D117" s="396"/>
      <c r="E117" s="117">
        <v>2.25</v>
      </c>
      <c r="F117" s="109"/>
      <c r="G117" s="80">
        <f t="shared" si="22"/>
        <v>26500.5</v>
      </c>
      <c r="H117" s="110">
        <f>ROUND(C117*E117*540,2)</f>
        <v>7290</v>
      </c>
      <c r="I117" s="110"/>
      <c r="J117" s="80">
        <f t="shared" si="23"/>
        <v>0</v>
      </c>
      <c r="K117" s="110"/>
      <c r="L117" s="110">
        <f>G117+H117+I117+J117+K117</f>
        <v>33790.5</v>
      </c>
      <c r="M117" s="80">
        <f t="shared" si="24"/>
        <v>7971.18</v>
      </c>
      <c r="N117" s="401"/>
      <c r="O117" s="404"/>
      <c r="P117" s="350"/>
      <c r="Q117" s="350"/>
      <c r="R117" s="398"/>
      <c r="S117" s="80">
        <f t="shared" si="25"/>
        <v>41761.68</v>
      </c>
      <c r="T117" s="110"/>
      <c r="U117" s="406"/>
      <c r="V117" s="127"/>
    </row>
    <row r="118" spans="1:24" x14ac:dyDescent="0.25">
      <c r="A118" s="168" t="s">
        <v>86</v>
      </c>
      <c r="B118" s="95" t="s">
        <v>66</v>
      </c>
      <c r="C118" s="96">
        <v>6</v>
      </c>
      <c r="D118" s="394">
        <v>1</v>
      </c>
      <c r="E118" s="123"/>
      <c r="F118" s="123">
        <v>1</v>
      </c>
      <c r="G118" s="98">
        <f t="shared" si="22"/>
        <v>0</v>
      </c>
      <c r="H118" s="124"/>
      <c r="I118" s="124"/>
      <c r="J118" s="98">
        <f t="shared" si="23"/>
        <v>7098</v>
      </c>
      <c r="K118" s="124"/>
      <c r="L118" s="125">
        <f>ROUNDDOWN(G118+H118+I118+J118+K118,0)</f>
        <v>7098</v>
      </c>
      <c r="M118" s="98">
        <f t="shared" si="24"/>
        <v>1674.42</v>
      </c>
      <c r="N118" s="399">
        <v>3673</v>
      </c>
      <c r="O118" s="402">
        <v>306.08</v>
      </c>
      <c r="P118" s="349"/>
      <c r="Q118" s="349"/>
      <c r="R118" s="378">
        <f>ROUND(C118*D118*O118,2)</f>
        <v>1836.48</v>
      </c>
      <c r="S118" s="125">
        <f t="shared" si="25"/>
        <v>8772.42</v>
      </c>
      <c r="T118" s="125"/>
      <c r="U118" s="392">
        <f>S118+R118+S119+S120</f>
        <v>63923.149999999994</v>
      </c>
    </row>
    <row r="119" spans="1:24" x14ac:dyDescent="0.25">
      <c r="A119" s="169" t="s">
        <v>86</v>
      </c>
      <c r="B119" s="103" t="s">
        <v>67</v>
      </c>
      <c r="C119" s="104">
        <v>6</v>
      </c>
      <c r="D119" s="395"/>
      <c r="E119" s="109">
        <v>1.75</v>
      </c>
      <c r="F119" s="109"/>
      <c r="G119" s="80">
        <f t="shared" si="22"/>
        <v>20611.5</v>
      </c>
      <c r="H119" s="126"/>
      <c r="I119" s="126"/>
      <c r="J119" s="80">
        <f t="shared" si="23"/>
        <v>0</v>
      </c>
      <c r="K119" s="126"/>
      <c r="L119" s="110">
        <f>ROUNDDOWN(G119+H119+I119+J119+K119,0)</f>
        <v>20611</v>
      </c>
      <c r="M119" s="80">
        <f t="shared" si="24"/>
        <v>4862.13</v>
      </c>
      <c r="N119" s="400"/>
      <c r="O119" s="403"/>
      <c r="P119" s="350"/>
      <c r="Q119" s="350"/>
      <c r="R119" s="397"/>
      <c r="S119" s="110">
        <f t="shared" si="25"/>
        <v>25473.13</v>
      </c>
      <c r="T119" s="110"/>
      <c r="U119" s="405"/>
    </row>
    <row r="120" spans="1:24" ht="15.75" thickBot="1" x14ac:dyDescent="0.3">
      <c r="A120" s="116" t="s">
        <v>86</v>
      </c>
      <c r="B120" s="114" t="s">
        <v>68</v>
      </c>
      <c r="C120" s="115">
        <v>6</v>
      </c>
      <c r="D120" s="396"/>
      <c r="E120" s="117">
        <v>1.5</v>
      </c>
      <c r="F120" s="117"/>
      <c r="G120" s="118">
        <f t="shared" si="22"/>
        <v>17667</v>
      </c>
      <c r="H120" s="119">
        <f>ROUND(C120*E120*540,2)</f>
        <v>4860</v>
      </c>
      <c r="I120" s="119"/>
      <c r="J120" s="118">
        <f t="shared" si="23"/>
        <v>0</v>
      </c>
      <c r="K120" s="119"/>
      <c r="L120" s="119">
        <f>G120+H120+I120+J120+K120</f>
        <v>22527</v>
      </c>
      <c r="M120" s="118">
        <f t="shared" si="24"/>
        <v>5314.12</v>
      </c>
      <c r="N120" s="401"/>
      <c r="O120" s="404"/>
      <c r="P120" s="350"/>
      <c r="Q120" s="350"/>
      <c r="R120" s="398"/>
      <c r="S120" s="118">
        <f t="shared" si="25"/>
        <v>27841.119999999999</v>
      </c>
      <c r="T120" s="119"/>
      <c r="U120" s="406"/>
      <c r="V120" s="127"/>
    </row>
    <row r="121" spans="1:24" x14ac:dyDescent="0.25">
      <c r="A121" s="173" t="s">
        <v>74</v>
      </c>
      <c r="B121" s="133" t="s">
        <v>66</v>
      </c>
      <c r="C121" s="134">
        <v>6</v>
      </c>
      <c r="D121" s="394">
        <v>1</v>
      </c>
      <c r="E121" s="136"/>
      <c r="F121" s="137">
        <v>1</v>
      </c>
      <c r="G121" s="111">
        <f t="shared" si="22"/>
        <v>0</v>
      </c>
      <c r="H121" s="138"/>
      <c r="I121" s="138"/>
      <c r="J121" s="111">
        <f t="shared" si="23"/>
        <v>7098</v>
      </c>
      <c r="K121" s="138"/>
      <c r="L121" s="139">
        <f t="shared" ref="L121:L126" si="28">ROUNDDOWN(G121+H121+I121+J121+K121,0)</f>
        <v>7098</v>
      </c>
      <c r="M121" s="111">
        <f t="shared" si="24"/>
        <v>1674.42</v>
      </c>
      <c r="N121" s="399">
        <v>3673</v>
      </c>
      <c r="O121" s="402">
        <v>306.08</v>
      </c>
      <c r="P121" s="349"/>
      <c r="Q121" s="349"/>
      <c r="R121" s="378">
        <f>ROUND(C121*D121*O121,2)</f>
        <v>1836.48</v>
      </c>
      <c r="S121" s="139">
        <f t="shared" si="25"/>
        <v>8772.42</v>
      </c>
      <c r="T121" s="140"/>
      <c r="U121" s="392">
        <f>S121+R121+S122+S123</f>
        <v>53006.45</v>
      </c>
      <c r="V121" s="127"/>
    </row>
    <row r="122" spans="1:24" x14ac:dyDescent="0.25">
      <c r="A122" s="169" t="s">
        <v>74</v>
      </c>
      <c r="B122" s="103" t="s">
        <v>67</v>
      </c>
      <c r="C122" s="104">
        <v>6</v>
      </c>
      <c r="D122" s="395"/>
      <c r="E122" s="109">
        <v>1</v>
      </c>
      <c r="F122" s="130"/>
      <c r="G122" s="80">
        <f t="shared" si="22"/>
        <v>11778</v>
      </c>
      <c r="H122" s="126"/>
      <c r="I122" s="126"/>
      <c r="J122" s="80">
        <f t="shared" si="23"/>
        <v>0</v>
      </c>
      <c r="K122" s="126"/>
      <c r="L122" s="110">
        <f t="shared" si="28"/>
        <v>11778</v>
      </c>
      <c r="M122" s="80">
        <f t="shared" si="24"/>
        <v>2778.43</v>
      </c>
      <c r="N122" s="400"/>
      <c r="O122" s="403"/>
      <c r="P122" s="350"/>
      <c r="Q122" s="350"/>
      <c r="R122" s="397"/>
      <c r="S122" s="110">
        <f t="shared" si="25"/>
        <v>14556.43</v>
      </c>
      <c r="T122" s="142"/>
      <c r="U122" s="405"/>
      <c r="V122" s="127"/>
    </row>
    <row r="123" spans="1:24" ht="15.75" thickBot="1" x14ac:dyDescent="0.3">
      <c r="A123" s="170" t="s">
        <v>74</v>
      </c>
      <c r="B123" s="144" t="s">
        <v>68</v>
      </c>
      <c r="C123" s="145">
        <v>6</v>
      </c>
      <c r="D123" s="396"/>
      <c r="E123" s="147">
        <v>1.5</v>
      </c>
      <c r="F123" s="148"/>
      <c r="G123" s="149">
        <f t="shared" si="22"/>
        <v>17667</v>
      </c>
      <c r="H123" s="151">
        <f>ROUND(C123*E123*540,2)</f>
        <v>4860</v>
      </c>
      <c r="I123" s="150"/>
      <c r="J123" s="149">
        <f t="shared" si="23"/>
        <v>0</v>
      </c>
      <c r="K123" s="150"/>
      <c r="L123" s="151">
        <f t="shared" si="28"/>
        <v>22527</v>
      </c>
      <c r="M123" s="149">
        <f t="shared" si="24"/>
        <v>5314.12</v>
      </c>
      <c r="N123" s="401"/>
      <c r="O123" s="404"/>
      <c r="P123" s="350"/>
      <c r="Q123" s="350"/>
      <c r="R123" s="398"/>
      <c r="S123" s="151">
        <f t="shared" si="25"/>
        <v>27841.119999999999</v>
      </c>
      <c r="T123" s="152"/>
      <c r="U123" s="406"/>
      <c r="V123" s="127"/>
    </row>
    <row r="124" spans="1:24" x14ac:dyDescent="0.25">
      <c r="A124" s="154" t="s">
        <v>75</v>
      </c>
      <c r="B124" s="95" t="s">
        <v>67</v>
      </c>
      <c r="C124" s="96">
        <v>6</v>
      </c>
      <c r="D124" s="394">
        <v>1</v>
      </c>
      <c r="E124" s="123">
        <v>1</v>
      </c>
      <c r="F124" s="129"/>
      <c r="G124" s="98">
        <f t="shared" si="22"/>
        <v>11778</v>
      </c>
      <c r="H124" s="124"/>
      <c r="I124" s="124"/>
      <c r="J124" s="98">
        <f t="shared" si="23"/>
        <v>0</v>
      </c>
      <c r="K124" s="124"/>
      <c r="L124" s="125">
        <f t="shared" si="28"/>
        <v>11778</v>
      </c>
      <c r="M124" s="98">
        <f t="shared" si="24"/>
        <v>2778.43</v>
      </c>
      <c r="N124" s="399">
        <v>3673</v>
      </c>
      <c r="O124" s="402">
        <v>306.08</v>
      </c>
      <c r="P124" s="349"/>
      <c r="Q124" s="349"/>
      <c r="R124" s="378">
        <f>ROUND(C124*D124*O124,2)</f>
        <v>1836.48</v>
      </c>
      <c r="S124" s="125">
        <f t="shared" si="25"/>
        <v>14556.43</v>
      </c>
      <c r="T124" s="125"/>
      <c r="U124" s="392">
        <f>S124+R124+S125+S126</f>
        <v>53513.17</v>
      </c>
      <c r="V124" s="127"/>
    </row>
    <row r="125" spans="1:24" x14ac:dyDescent="0.25">
      <c r="A125" s="156" t="s">
        <v>75</v>
      </c>
      <c r="B125" s="108" t="s">
        <v>68</v>
      </c>
      <c r="C125" s="104">
        <v>6</v>
      </c>
      <c r="D125" s="395"/>
      <c r="E125" s="109">
        <v>1.75</v>
      </c>
      <c r="F125" s="130"/>
      <c r="G125" s="80">
        <f t="shared" si="22"/>
        <v>20611.5</v>
      </c>
      <c r="H125" s="80">
        <f>ROUND(C125*E125*540,2)</f>
        <v>5670</v>
      </c>
      <c r="I125" s="126"/>
      <c r="J125" s="80">
        <f t="shared" si="23"/>
        <v>0</v>
      </c>
      <c r="K125" s="126"/>
      <c r="L125" s="110">
        <f t="shared" si="28"/>
        <v>26281</v>
      </c>
      <c r="M125" s="80">
        <f t="shared" si="24"/>
        <v>6199.69</v>
      </c>
      <c r="N125" s="400"/>
      <c r="O125" s="403"/>
      <c r="P125" s="350"/>
      <c r="Q125" s="350"/>
      <c r="R125" s="397"/>
      <c r="S125" s="80">
        <f t="shared" si="25"/>
        <v>32480.69</v>
      </c>
      <c r="T125" s="80"/>
      <c r="U125" s="405"/>
      <c r="V125" s="127"/>
    </row>
    <row r="126" spans="1:24" ht="15.75" thickBot="1" x14ac:dyDescent="0.3">
      <c r="A126" s="157" t="s">
        <v>75</v>
      </c>
      <c r="B126" s="114" t="s">
        <v>70</v>
      </c>
      <c r="C126" s="115">
        <v>6</v>
      </c>
      <c r="D126" s="396"/>
      <c r="E126" s="117">
        <v>0.25</v>
      </c>
      <c r="F126" s="117"/>
      <c r="G126" s="118">
        <f t="shared" si="22"/>
        <v>2944.5</v>
      </c>
      <c r="H126" s="119">
        <f>ROUND(C126*E126*540,2)</f>
        <v>810</v>
      </c>
      <c r="I126" s="119"/>
      <c r="J126" s="118">
        <f t="shared" si="23"/>
        <v>0</v>
      </c>
      <c r="K126" s="119"/>
      <c r="L126" s="119">
        <f t="shared" si="28"/>
        <v>3754</v>
      </c>
      <c r="M126" s="118">
        <f t="shared" si="24"/>
        <v>885.57</v>
      </c>
      <c r="N126" s="401"/>
      <c r="O126" s="404"/>
      <c r="P126" s="350"/>
      <c r="Q126" s="350"/>
      <c r="R126" s="398"/>
      <c r="S126" s="118">
        <f t="shared" si="25"/>
        <v>4639.57</v>
      </c>
      <c r="T126" s="119"/>
      <c r="U126" s="406"/>
      <c r="V126" s="127"/>
    </row>
    <row r="127" spans="1:24" s="183" customFormat="1" ht="17.25" customHeight="1" x14ac:dyDescent="0.25">
      <c r="A127" s="93"/>
      <c r="B127" s="175"/>
      <c r="C127" s="179"/>
      <c r="D127" s="177"/>
      <c r="E127" s="178">
        <f>SUM(E104:E126)</f>
        <v>22</v>
      </c>
      <c r="F127" s="178">
        <f>SUM(F104:F126)</f>
        <v>5</v>
      </c>
      <c r="G127" s="179"/>
      <c r="H127" s="177"/>
      <c r="I127" s="177"/>
      <c r="J127" s="179"/>
      <c r="K127" s="177"/>
      <c r="L127" s="361" t="s">
        <v>130</v>
      </c>
      <c r="M127" s="361"/>
      <c r="N127" s="361"/>
      <c r="O127" s="361"/>
      <c r="P127" s="361"/>
      <c r="Q127" s="361"/>
      <c r="R127" s="361"/>
      <c r="S127" s="361"/>
      <c r="T127" s="361"/>
      <c r="U127" s="180">
        <f>SUM(U104:U126)</f>
        <v>436688.6</v>
      </c>
      <c r="V127" s="182"/>
      <c r="W127" s="182"/>
      <c r="X127" s="68"/>
    </row>
    <row r="128" spans="1:24" x14ac:dyDescent="0.25">
      <c r="A128" s="190"/>
      <c r="B128" s="101"/>
      <c r="C128" s="187"/>
      <c r="D128" s="185"/>
      <c r="E128" s="186">
        <f>E127+E99</f>
        <v>32.5</v>
      </c>
      <c r="F128" s="186">
        <f>F127+F99</f>
        <v>7.5</v>
      </c>
      <c r="G128" s="187"/>
      <c r="H128" s="185"/>
      <c r="I128" s="188"/>
      <c r="J128" s="187"/>
      <c r="K128" s="188"/>
      <c r="L128" s="185"/>
      <c r="M128" s="187"/>
      <c r="N128" s="185"/>
      <c r="O128" s="185"/>
      <c r="P128" s="185"/>
      <c r="Q128" s="185"/>
      <c r="R128" s="187"/>
      <c r="S128" s="185"/>
      <c r="T128" s="185"/>
      <c r="U128" s="185"/>
      <c r="V128" s="127"/>
      <c r="W128" s="182"/>
    </row>
    <row r="129" spans="1:24" ht="15.75" customHeight="1" x14ac:dyDescent="0.25">
      <c r="A129" s="375" t="s">
        <v>137</v>
      </c>
      <c r="B129" s="375"/>
      <c r="C129" s="375"/>
      <c r="D129" s="375"/>
      <c r="E129" s="375"/>
      <c r="F129" s="375"/>
      <c r="G129" s="187"/>
      <c r="H129" s="185"/>
      <c r="I129" s="188"/>
      <c r="J129" s="187"/>
      <c r="K129" s="188"/>
      <c r="L129" s="185"/>
      <c r="M129" s="187"/>
      <c r="N129" s="185"/>
      <c r="O129" s="185"/>
      <c r="P129" s="185"/>
      <c r="Q129" s="185"/>
      <c r="R129" s="187"/>
      <c r="S129" s="185"/>
      <c r="T129" s="185"/>
      <c r="U129" s="185"/>
      <c r="V129" s="127"/>
      <c r="W129" s="182"/>
    </row>
    <row r="130" spans="1:24" ht="16.5" customHeight="1" x14ac:dyDescent="0.25">
      <c r="A130" s="375"/>
      <c r="B130" s="375"/>
      <c r="C130" s="375"/>
      <c r="D130" s="375"/>
      <c r="E130" s="375"/>
      <c r="F130" s="375"/>
      <c r="G130" s="193"/>
      <c r="H130" s="193"/>
      <c r="I130" s="193"/>
      <c r="J130" s="193"/>
      <c r="K130" s="193"/>
      <c r="L130" s="193"/>
      <c r="M130" s="193"/>
      <c r="N130" s="193"/>
      <c r="O130" s="193"/>
      <c r="P130" s="193"/>
      <c r="Q130" s="193"/>
      <c r="R130" s="193"/>
      <c r="S130" s="193"/>
      <c r="T130" s="193"/>
      <c r="U130" s="185"/>
      <c r="V130" s="182"/>
      <c r="X130" s="67"/>
    </row>
    <row r="131" spans="1:24" s="166" customFormat="1" ht="72" customHeight="1" thickBot="1" x14ac:dyDescent="0.3">
      <c r="A131" s="89" t="s">
        <v>44</v>
      </c>
      <c r="B131" s="89" t="s">
        <v>45</v>
      </c>
      <c r="C131" s="89" t="s">
        <v>136</v>
      </c>
      <c r="D131" s="89" t="s">
        <v>47</v>
      </c>
      <c r="E131" s="89" t="s">
        <v>48</v>
      </c>
      <c r="F131" s="90" t="s">
        <v>49</v>
      </c>
      <c r="G131" s="90" t="s">
        <v>132</v>
      </c>
      <c r="H131" s="89" t="s">
        <v>133</v>
      </c>
      <c r="I131" s="89" t="s">
        <v>52</v>
      </c>
      <c r="J131" s="89" t="s">
        <v>134</v>
      </c>
      <c r="K131" s="91" t="s">
        <v>54</v>
      </c>
      <c r="L131" s="90" t="s">
        <v>55</v>
      </c>
      <c r="M131" s="91" t="s">
        <v>56</v>
      </c>
      <c r="N131" s="90" t="s">
        <v>57</v>
      </c>
      <c r="O131" s="90" t="s">
        <v>58</v>
      </c>
      <c r="P131" s="90" t="s">
        <v>59</v>
      </c>
      <c r="Q131" s="90" t="s">
        <v>60</v>
      </c>
      <c r="R131" s="91" t="s">
        <v>167</v>
      </c>
      <c r="S131" s="295" t="s">
        <v>135</v>
      </c>
      <c r="T131" s="295" t="s">
        <v>63</v>
      </c>
      <c r="U131" s="296" t="s">
        <v>99</v>
      </c>
      <c r="V131" s="165"/>
      <c r="W131" s="165"/>
    </row>
    <row r="132" spans="1:24" x14ac:dyDescent="0.25">
      <c r="A132" s="154" t="s">
        <v>65</v>
      </c>
      <c r="B132" s="194" t="s">
        <v>100</v>
      </c>
      <c r="C132" s="96">
        <v>6.5</v>
      </c>
      <c r="D132" s="122">
        <v>3</v>
      </c>
      <c r="E132" s="123">
        <v>7</v>
      </c>
      <c r="F132" s="129"/>
      <c r="G132" s="98">
        <f t="shared" ref="G132:G141" si="29">ROUND(C132*E132*$G$14,2)</f>
        <v>89316.5</v>
      </c>
      <c r="H132" s="98">
        <f>ROUND(C132*E132*540,2)</f>
        <v>24570</v>
      </c>
      <c r="I132" s="124"/>
      <c r="J132" s="98">
        <f t="shared" ref="J132:J141" si="30">ROUND(C132*F132*$J$14,2)</f>
        <v>0</v>
      </c>
      <c r="K132" s="124"/>
      <c r="L132" s="125">
        <f>G132+H132+I132+J132+K132</f>
        <v>113886.5</v>
      </c>
      <c r="M132" s="98">
        <f t="shared" ref="M132:M141" si="31">ROUND(L132*$M$14,2)</f>
        <v>26865.83</v>
      </c>
      <c r="N132" s="125">
        <v>3673</v>
      </c>
      <c r="O132" s="123">
        <v>306.08</v>
      </c>
      <c r="P132" s="123"/>
      <c r="Q132" s="123"/>
      <c r="R132" s="98">
        <f>ROUND(C132*D132*O132,2)</f>
        <v>5968.56</v>
      </c>
      <c r="S132" s="98">
        <f t="shared" ref="S132:S141" si="32">L132+M132</f>
        <v>140752.33000000002</v>
      </c>
      <c r="T132" s="98"/>
      <c r="U132" s="125">
        <f t="shared" ref="U132:U133" si="33">S132+R132</f>
        <v>146720.89000000001</v>
      </c>
      <c r="V132" s="182"/>
      <c r="X132" s="67"/>
    </row>
    <row r="133" spans="1:24" ht="15.75" thickBot="1" x14ac:dyDescent="0.3">
      <c r="A133" s="174" t="s">
        <v>65</v>
      </c>
      <c r="B133" s="144" t="s">
        <v>101</v>
      </c>
      <c r="C133" s="145">
        <v>6.5</v>
      </c>
      <c r="D133" s="146">
        <v>2</v>
      </c>
      <c r="E133" s="147">
        <v>3</v>
      </c>
      <c r="F133" s="148"/>
      <c r="G133" s="149">
        <f t="shared" si="29"/>
        <v>38278.5</v>
      </c>
      <c r="H133" s="149"/>
      <c r="I133" s="150"/>
      <c r="J133" s="149">
        <f t="shared" si="30"/>
        <v>0</v>
      </c>
      <c r="K133" s="150"/>
      <c r="L133" s="151">
        <f>G133+H133+I133+J133+K133</f>
        <v>38278.5</v>
      </c>
      <c r="M133" s="149">
        <f t="shared" si="31"/>
        <v>9029.9</v>
      </c>
      <c r="N133" s="151">
        <v>3673</v>
      </c>
      <c r="O133" s="147">
        <v>306.08</v>
      </c>
      <c r="P133" s="147"/>
      <c r="Q133" s="147"/>
      <c r="R133" s="149">
        <f>ROUND(C133*D133*O133,2)</f>
        <v>3979.04</v>
      </c>
      <c r="S133" s="149">
        <f t="shared" si="32"/>
        <v>47308.4</v>
      </c>
      <c r="T133" s="149"/>
      <c r="U133" s="151">
        <f t="shared" si="33"/>
        <v>51287.44</v>
      </c>
      <c r="V133" s="68"/>
      <c r="X133" s="67"/>
    </row>
    <row r="134" spans="1:24" x14ac:dyDescent="0.25">
      <c r="A134" s="154" t="s">
        <v>102</v>
      </c>
      <c r="B134" s="194" t="s">
        <v>103</v>
      </c>
      <c r="C134" s="96">
        <v>6</v>
      </c>
      <c r="D134" s="394">
        <v>3</v>
      </c>
      <c r="E134" s="123"/>
      <c r="F134" s="129">
        <v>1</v>
      </c>
      <c r="G134" s="98">
        <f t="shared" si="29"/>
        <v>0</v>
      </c>
      <c r="H134" s="98"/>
      <c r="I134" s="124"/>
      <c r="J134" s="98">
        <f t="shared" si="30"/>
        <v>7098</v>
      </c>
      <c r="K134" s="124"/>
      <c r="L134" s="125">
        <f>ROUNDDOWN(G134+H134+I134+J134+K134,0)</f>
        <v>7098</v>
      </c>
      <c r="M134" s="98">
        <f t="shared" si="31"/>
        <v>1674.42</v>
      </c>
      <c r="N134" s="399">
        <v>3673</v>
      </c>
      <c r="O134" s="402">
        <v>306.08</v>
      </c>
      <c r="P134" s="349"/>
      <c r="Q134" s="349"/>
      <c r="R134" s="378">
        <f>ROUND(C134*D134*O134,2)</f>
        <v>5509.44</v>
      </c>
      <c r="S134" s="351">
        <f t="shared" si="32"/>
        <v>8772.42</v>
      </c>
      <c r="T134" s="351"/>
      <c r="U134" s="399">
        <f>S134+R134+S135+S136+S137</f>
        <v>99076.959999999992</v>
      </c>
      <c r="V134" s="68"/>
      <c r="X134" s="67"/>
    </row>
    <row r="135" spans="1:24" x14ac:dyDescent="0.25">
      <c r="A135" s="156" t="s">
        <v>102</v>
      </c>
      <c r="B135" s="108" t="s">
        <v>67</v>
      </c>
      <c r="C135" s="104">
        <v>6</v>
      </c>
      <c r="D135" s="395"/>
      <c r="E135" s="109">
        <v>1</v>
      </c>
      <c r="F135" s="130"/>
      <c r="G135" s="80">
        <f t="shared" si="29"/>
        <v>11778</v>
      </c>
      <c r="H135" s="80"/>
      <c r="I135" s="126"/>
      <c r="J135" s="80">
        <f t="shared" si="30"/>
        <v>0</v>
      </c>
      <c r="K135" s="126"/>
      <c r="L135" s="110">
        <f>ROUNDDOWN(G135+H135+I135+J135+K135,0)</f>
        <v>11778</v>
      </c>
      <c r="M135" s="80">
        <f t="shared" si="31"/>
        <v>2778.43</v>
      </c>
      <c r="N135" s="400"/>
      <c r="O135" s="403"/>
      <c r="P135" s="350"/>
      <c r="Q135" s="350"/>
      <c r="R135" s="397"/>
      <c r="S135" s="352">
        <f t="shared" si="32"/>
        <v>14556.43</v>
      </c>
      <c r="T135" s="352"/>
      <c r="U135" s="400"/>
      <c r="V135" s="68"/>
      <c r="X135" s="67"/>
    </row>
    <row r="136" spans="1:24" x14ac:dyDescent="0.25">
      <c r="A136" s="156" t="s">
        <v>102</v>
      </c>
      <c r="B136" s="108" t="s">
        <v>100</v>
      </c>
      <c r="C136" s="104">
        <v>6</v>
      </c>
      <c r="D136" s="395"/>
      <c r="E136" s="109">
        <v>3</v>
      </c>
      <c r="F136" s="130"/>
      <c r="G136" s="80">
        <f t="shared" si="29"/>
        <v>35334</v>
      </c>
      <c r="H136" s="80">
        <f>ROUND(C136*E136*540,2)</f>
        <v>9720</v>
      </c>
      <c r="I136" s="126"/>
      <c r="J136" s="80">
        <f t="shared" si="30"/>
        <v>0</v>
      </c>
      <c r="K136" s="126"/>
      <c r="L136" s="110">
        <f>G136+H136+I136+J136+K136</f>
        <v>45054</v>
      </c>
      <c r="M136" s="80">
        <f t="shared" si="31"/>
        <v>10628.24</v>
      </c>
      <c r="N136" s="400"/>
      <c r="O136" s="403"/>
      <c r="P136" s="350"/>
      <c r="Q136" s="350"/>
      <c r="R136" s="397"/>
      <c r="S136" s="352">
        <f t="shared" si="32"/>
        <v>55682.239999999998</v>
      </c>
      <c r="T136" s="352"/>
      <c r="U136" s="400"/>
      <c r="V136" s="68"/>
      <c r="X136" s="67"/>
    </row>
    <row r="137" spans="1:24" ht="15.75" thickBot="1" x14ac:dyDescent="0.3">
      <c r="A137" s="157" t="s">
        <v>102</v>
      </c>
      <c r="B137" s="114" t="s">
        <v>101</v>
      </c>
      <c r="C137" s="115">
        <v>6</v>
      </c>
      <c r="D137" s="396"/>
      <c r="E137" s="117">
        <v>1</v>
      </c>
      <c r="F137" s="131"/>
      <c r="G137" s="118">
        <f t="shared" si="29"/>
        <v>11778</v>
      </c>
      <c r="H137" s="118"/>
      <c r="I137" s="128"/>
      <c r="J137" s="118">
        <f t="shared" si="30"/>
        <v>0</v>
      </c>
      <c r="K137" s="128"/>
      <c r="L137" s="119">
        <f>G137+H137+I137+J137+K137</f>
        <v>11778</v>
      </c>
      <c r="M137" s="118">
        <f t="shared" si="31"/>
        <v>2778.43</v>
      </c>
      <c r="N137" s="401"/>
      <c r="O137" s="404"/>
      <c r="P137" s="353"/>
      <c r="Q137" s="353"/>
      <c r="R137" s="398"/>
      <c r="S137" s="354">
        <f t="shared" si="32"/>
        <v>14556.43</v>
      </c>
      <c r="T137" s="354"/>
      <c r="U137" s="401"/>
      <c r="V137" s="68"/>
      <c r="X137" s="67"/>
    </row>
    <row r="138" spans="1:24" x14ac:dyDescent="0.25">
      <c r="A138" s="154" t="s">
        <v>104</v>
      </c>
      <c r="B138" s="194" t="s">
        <v>103</v>
      </c>
      <c r="C138" s="96">
        <v>6</v>
      </c>
      <c r="D138" s="394">
        <v>3</v>
      </c>
      <c r="E138" s="123"/>
      <c r="F138" s="129">
        <v>1</v>
      </c>
      <c r="G138" s="98">
        <f t="shared" si="29"/>
        <v>0</v>
      </c>
      <c r="H138" s="98"/>
      <c r="I138" s="124"/>
      <c r="J138" s="98">
        <f t="shared" si="30"/>
        <v>7098</v>
      </c>
      <c r="K138" s="124"/>
      <c r="L138" s="125">
        <f>ROUNDDOWN(G138+H138+I138+J138+K138,0)</f>
        <v>7098</v>
      </c>
      <c r="M138" s="98">
        <f t="shared" si="31"/>
        <v>1674.42</v>
      </c>
      <c r="N138" s="399">
        <v>3673</v>
      </c>
      <c r="O138" s="402">
        <v>306.08</v>
      </c>
      <c r="P138" s="349"/>
      <c r="Q138" s="349"/>
      <c r="R138" s="378">
        <f>ROUND(C138*D138*O138,2)</f>
        <v>5509.44</v>
      </c>
      <c r="S138" s="98">
        <f t="shared" si="32"/>
        <v>8772.42</v>
      </c>
      <c r="T138" s="98"/>
      <c r="U138" s="399">
        <f>S138+R138+S139+S140+S141</f>
        <v>99076.959999999992</v>
      </c>
      <c r="V138" s="68"/>
      <c r="X138" s="67"/>
    </row>
    <row r="139" spans="1:24" x14ac:dyDescent="0.25">
      <c r="A139" s="156" t="s">
        <v>104</v>
      </c>
      <c r="B139" s="108" t="s">
        <v>67</v>
      </c>
      <c r="C139" s="104">
        <v>6</v>
      </c>
      <c r="D139" s="395"/>
      <c r="E139" s="109">
        <v>1</v>
      </c>
      <c r="F139" s="130"/>
      <c r="G139" s="80">
        <f t="shared" si="29"/>
        <v>11778</v>
      </c>
      <c r="H139" s="80"/>
      <c r="I139" s="126"/>
      <c r="J139" s="80">
        <f t="shared" si="30"/>
        <v>0</v>
      </c>
      <c r="K139" s="126"/>
      <c r="L139" s="110">
        <f>ROUNDDOWN(G139+H139+I139+J139+K139,0)</f>
        <v>11778</v>
      </c>
      <c r="M139" s="80">
        <f t="shared" si="31"/>
        <v>2778.43</v>
      </c>
      <c r="N139" s="400"/>
      <c r="O139" s="403"/>
      <c r="P139" s="350"/>
      <c r="Q139" s="350"/>
      <c r="R139" s="397"/>
      <c r="S139" s="80">
        <f t="shared" si="32"/>
        <v>14556.43</v>
      </c>
      <c r="T139" s="80"/>
      <c r="U139" s="400"/>
      <c r="V139" s="68"/>
      <c r="X139" s="67"/>
    </row>
    <row r="140" spans="1:24" x14ac:dyDescent="0.25">
      <c r="A140" s="156" t="s">
        <v>104</v>
      </c>
      <c r="B140" s="108" t="s">
        <v>100</v>
      </c>
      <c r="C140" s="104">
        <v>6</v>
      </c>
      <c r="D140" s="395"/>
      <c r="E140" s="109">
        <v>3</v>
      </c>
      <c r="F140" s="130"/>
      <c r="G140" s="80">
        <f t="shared" si="29"/>
        <v>35334</v>
      </c>
      <c r="H140" s="80">
        <f>ROUND(C140*E140*540,2)</f>
        <v>9720</v>
      </c>
      <c r="I140" s="126"/>
      <c r="J140" s="80">
        <f t="shared" si="30"/>
        <v>0</v>
      </c>
      <c r="K140" s="126"/>
      <c r="L140" s="110">
        <f>G140+H140+I140+J140+K140</f>
        <v>45054</v>
      </c>
      <c r="M140" s="80">
        <f t="shared" si="31"/>
        <v>10628.24</v>
      </c>
      <c r="N140" s="400"/>
      <c r="O140" s="403"/>
      <c r="P140" s="350"/>
      <c r="Q140" s="350"/>
      <c r="R140" s="397"/>
      <c r="S140" s="80">
        <f t="shared" si="32"/>
        <v>55682.239999999998</v>
      </c>
      <c r="T140" s="80"/>
      <c r="U140" s="400"/>
      <c r="V140" s="68"/>
      <c r="X140" s="67"/>
    </row>
    <row r="141" spans="1:24" ht="15.75" thickBot="1" x14ac:dyDescent="0.3">
      <c r="A141" s="157" t="s">
        <v>104</v>
      </c>
      <c r="B141" s="114" t="s">
        <v>101</v>
      </c>
      <c r="C141" s="115">
        <v>6</v>
      </c>
      <c r="D141" s="396"/>
      <c r="E141" s="117">
        <v>1</v>
      </c>
      <c r="F141" s="131"/>
      <c r="G141" s="118">
        <f t="shared" si="29"/>
        <v>11778</v>
      </c>
      <c r="H141" s="118"/>
      <c r="I141" s="128"/>
      <c r="J141" s="118">
        <f t="shared" si="30"/>
        <v>0</v>
      </c>
      <c r="K141" s="128"/>
      <c r="L141" s="119">
        <f>G141+H141+I141+J141+K141</f>
        <v>11778</v>
      </c>
      <c r="M141" s="118">
        <f t="shared" si="31"/>
        <v>2778.43</v>
      </c>
      <c r="N141" s="401"/>
      <c r="O141" s="404"/>
      <c r="P141" s="353"/>
      <c r="Q141" s="353"/>
      <c r="R141" s="398"/>
      <c r="S141" s="118">
        <f t="shared" si="32"/>
        <v>14556.43</v>
      </c>
      <c r="T141" s="118"/>
      <c r="U141" s="401"/>
      <c r="V141" s="68"/>
      <c r="X141" s="67"/>
    </row>
    <row r="142" spans="1:24" s="183" customFormat="1" ht="18" customHeight="1" x14ac:dyDescent="0.25">
      <c r="A142" s="183" t="s">
        <v>151</v>
      </c>
      <c r="C142" s="70"/>
      <c r="D142" s="68"/>
      <c r="E142" s="182">
        <f>SUM(E132:E141)</f>
        <v>20</v>
      </c>
      <c r="F142" s="182">
        <f>SUM(F132:F141)</f>
        <v>2</v>
      </c>
      <c r="G142" s="68"/>
      <c r="H142" s="68"/>
      <c r="I142" s="68"/>
      <c r="J142" s="68"/>
      <c r="K142" s="68"/>
      <c r="L142" s="361" t="s">
        <v>131</v>
      </c>
      <c r="M142" s="361"/>
      <c r="N142" s="361"/>
      <c r="O142" s="361"/>
      <c r="P142" s="361"/>
      <c r="Q142" s="361"/>
      <c r="R142" s="361"/>
      <c r="S142" s="361"/>
      <c r="T142" s="361"/>
      <c r="U142" s="180">
        <f>SUM(U132:U141)</f>
        <v>396162.25</v>
      </c>
      <c r="V142" s="182"/>
      <c r="W142" s="182"/>
    </row>
    <row r="143" spans="1:24" ht="30.75" customHeight="1" x14ac:dyDescent="0.25">
      <c r="A143" s="407" t="s">
        <v>168</v>
      </c>
      <c r="B143" s="407"/>
      <c r="C143" s="407"/>
      <c r="D143" s="407"/>
      <c r="E143" s="407"/>
      <c r="F143" s="407"/>
      <c r="G143" s="407"/>
      <c r="H143" s="407"/>
      <c r="I143" s="407"/>
      <c r="J143" s="407"/>
      <c r="K143" s="407"/>
      <c r="L143" s="407"/>
      <c r="M143" s="407"/>
      <c r="N143" s="407"/>
      <c r="O143" s="407"/>
      <c r="P143" s="407"/>
      <c r="Q143" s="407"/>
      <c r="R143" s="407"/>
      <c r="S143" s="407"/>
      <c r="T143" s="407"/>
      <c r="U143" s="407"/>
      <c r="V143" s="209"/>
    </row>
    <row r="144" spans="1:24" s="183" customFormat="1" ht="18" customHeight="1" x14ac:dyDescent="0.25">
      <c r="A144" s="68"/>
      <c r="C144" s="68"/>
      <c r="D144" s="68"/>
      <c r="E144" s="182">
        <f>E99+E127+E142</f>
        <v>52.5</v>
      </c>
      <c r="F144" s="182">
        <f>F99+F127+F142</f>
        <v>9.5</v>
      </c>
      <c r="G144" s="68"/>
      <c r="H144" s="68"/>
      <c r="I144" s="68"/>
      <c r="J144" s="68"/>
      <c r="K144" s="68"/>
      <c r="L144" s="68"/>
      <c r="M144" s="68"/>
      <c r="N144" s="195"/>
      <c r="O144" s="195"/>
      <c r="P144" s="195"/>
      <c r="Q144" s="195"/>
      <c r="R144" s="195"/>
      <c r="S144" s="195"/>
      <c r="T144" s="195"/>
      <c r="U144" s="196"/>
      <c r="V144" s="182"/>
      <c r="W144" s="182"/>
    </row>
    <row r="145" spans="1:24" ht="42" customHeight="1" x14ac:dyDescent="0.25">
      <c r="A145" s="89" t="s">
        <v>44</v>
      </c>
      <c r="B145" s="382" t="s">
        <v>105</v>
      </c>
      <c r="C145" s="382"/>
      <c r="D145" s="383" t="s">
        <v>106</v>
      </c>
      <c r="E145" s="383"/>
      <c r="V145" s="127"/>
    </row>
    <row r="146" spans="1:24" ht="29.25" customHeight="1" x14ac:dyDescent="0.25">
      <c r="A146" s="197" t="s">
        <v>102</v>
      </c>
      <c r="B146" s="384" t="s">
        <v>107</v>
      </c>
      <c r="C146" s="384"/>
      <c r="D146" s="385">
        <v>15000</v>
      </c>
      <c r="E146" s="385"/>
      <c r="F146" s="198"/>
      <c r="G146" s="199"/>
      <c r="H146" s="199"/>
      <c r="I146" s="199"/>
      <c r="J146" s="200"/>
      <c r="K146" s="200"/>
      <c r="L146" s="386" t="s">
        <v>108</v>
      </c>
      <c r="M146" s="386"/>
      <c r="N146" s="386"/>
      <c r="O146" s="386"/>
      <c r="P146" s="386"/>
      <c r="Q146" s="386"/>
      <c r="R146" s="386"/>
      <c r="S146" s="386"/>
      <c r="T146" s="386"/>
      <c r="U146" s="329">
        <f>U127+U142+D148</f>
        <v>862850.85</v>
      </c>
      <c r="V146" s="68"/>
      <c r="X146" s="67"/>
    </row>
    <row r="147" spans="1:24" ht="30" customHeight="1" x14ac:dyDescent="0.25">
      <c r="A147" s="201" t="s">
        <v>104</v>
      </c>
      <c r="B147" s="384" t="s">
        <v>107</v>
      </c>
      <c r="C147" s="384"/>
      <c r="D147" s="385">
        <v>15000</v>
      </c>
      <c r="E147" s="385"/>
      <c r="F147" s="198"/>
      <c r="G147" s="199"/>
      <c r="H147" s="199"/>
      <c r="I147" s="199"/>
      <c r="J147" s="200"/>
      <c r="K147" s="200"/>
      <c r="M147" s="68"/>
      <c r="N147" s="68"/>
      <c r="O147" s="67"/>
      <c r="P147" s="67"/>
      <c r="Q147" s="67"/>
      <c r="R147" s="67"/>
      <c r="S147" s="67"/>
      <c r="T147" s="67"/>
      <c r="U147" s="67"/>
      <c r="V147" s="67"/>
      <c r="W147" s="67"/>
      <c r="X147" s="67"/>
    </row>
    <row r="148" spans="1:24" ht="30.75" customHeight="1" x14ac:dyDescent="0.25">
      <c r="A148" s="388" t="s">
        <v>109</v>
      </c>
      <c r="B148" s="388"/>
      <c r="C148" s="388"/>
      <c r="D148" s="389">
        <f>D146+D147</f>
        <v>30000</v>
      </c>
      <c r="E148" s="389"/>
      <c r="T148" s="208"/>
      <c r="U148" s="208"/>
      <c r="V148" s="127"/>
    </row>
    <row r="149" spans="1:24" x14ac:dyDescent="0.25">
      <c r="V149" s="127"/>
    </row>
    <row r="150" spans="1:24" x14ac:dyDescent="0.25">
      <c r="B150" s="390" t="s">
        <v>110</v>
      </c>
      <c r="C150" s="391"/>
      <c r="V150" s="127"/>
    </row>
    <row r="151" spans="1:24" s="66" customFormat="1" ht="55.5" customHeight="1" x14ac:dyDescent="0.25">
      <c r="B151" s="202" t="s">
        <v>111</v>
      </c>
      <c r="C151" s="203" t="s">
        <v>163</v>
      </c>
      <c r="V151" s="188"/>
      <c r="W151" s="68"/>
      <c r="X151" s="68"/>
    </row>
    <row r="152" spans="1:24" x14ac:dyDescent="0.25">
      <c r="B152" s="204" t="s">
        <v>112</v>
      </c>
      <c r="C152" s="205">
        <v>5300</v>
      </c>
      <c r="V152" s="127"/>
    </row>
    <row r="153" spans="1:24" x14ac:dyDescent="0.25">
      <c r="B153" s="204" t="s">
        <v>113</v>
      </c>
      <c r="C153" s="205">
        <v>2550</v>
      </c>
      <c r="V153" s="127"/>
    </row>
    <row r="154" spans="1:24" x14ac:dyDescent="0.25">
      <c r="B154" s="204" t="s">
        <v>114</v>
      </c>
      <c r="C154" s="205">
        <v>1150</v>
      </c>
      <c r="V154" s="127"/>
    </row>
    <row r="155" spans="1:24" x14ac:dyDescent="0.25">
      <c r="B155" s="204" t="s">
        <v>115</v>
      </c>
      <c r="C155" s="205">
        <v>6000</v>
      </c>
      <c r="V155" s="127"/>
    </row>
    <row r="156" spans="1:24" x14ac:dyDescent="0.25">
      <c r="B156" s="206" t="s">
        <v>116</v>
      </c>
      <c r="C156" s="207">
        <f>SUM(C152:C155)</f>
        <v>15000</v>
      </c>
      <c r="M156" s="67"/>
      <c r="N156" s="67"/>
      <c r="O156" s="67"/>
      <c r="P156" s="67"/>
      <c r="Q156" s="67"/>
      <c r="R156" s="67"/>
      <c r="S156" s="67"/>
      <c r="T156" s="67"/>
      <c r="U156" s="67"/>
      <c r="V156" s="67"/>
    </row>
    <row r="157" spans="1:24" ht="30" customHeight="1" x14ac:dyDescent="0.25">
      <c r="B157" s="387" t="s">
        <v>164</v>
      </c>
      <c r="C157" s="387"/>
      <c r="M157" s="67"/>
      <c r="N157" s="67"/>
      <c r="O157" s="67"/>
      <c r="P157" s="67"/>
      <c r="Q157" s="67"/>
      <c r="R157" s="67"/>
      <c r="S157" s="67"/>
      <c r="T157" s="67"/>
      <c r="U157" s="67"/>
      <c r="V157" s="67"/>
    </row>
    <row r="159" spans="1:24" x14ac:dyDescent="0.25">
      <c r="V159" s="209"/>
    </row>
  </sheetData>
  <mergeCells count="71">
    <mergeCell ref="U121:U123"/>
    <mergeCell ref="U124:U126"/>
    <mergeCell ref="D138:D141"/>
    <mergeCell ref="D134:D137"/>
    <mergeCell ref="N134:N137"/>
    <mergeCell ref="O134:O137"/>
    <mergeCell ref="R134:R137"/>
    <mergeCell ref="U134:U137"/>
    <mergeCell ref="N138:N141"/>
    <mergeCell ref="O138:O141"/>
    <mergeCell ref="R138:R141"/>
    <mergeCell ref="U138:U141"/>
    <mergeCell ref="D121:D123"/>
    <mergeCell ref="D124:D126"/>
    <mergeCell ref="N121:N123"/>
    <mergeCell ref="O121:O123"/>
    <mergeCell ref="R121:R123"/>
    <mergeCell ref="N124:N126"/>
    <mergeCell ref="O124:O126"/>
    <mergeCell ref="R124:R126"/>
    <mergeCell ref="O118:O120"/>
    <mergeCell ref="R118:R120"/>
    <mergeCell ref="U112:U114"/>
    <mergeCell ref="U115:U117"/>
    <mergeCell ref="U118:U120"/>
    <mergeCell ref="U104:U105"/>
    <mergeCell ref="D109:D111"/>
    <mergeCell ref="D112:D114"/>
    <mergeCell ref="D115:D117"/>
    <mergeCell ref="D118:D120"/>
    <mergeCell ref="R109:R111"/>
    <mergeCell ref="N109:N111"/>
    <mergeCell ref="O109:O111"/>
    <mergeCell ref="U109:U111"/>
    <mergeCell ref="N112:N114"/>
    <mergeCell ref="O112:O114"/>
    <mergeCell ref="R112:R114"/>
    <mergeCell ref="N115:N117"/>
    <mergeCell ref="O115:O117"/>
    <mergeCell ref="R115:R117"/>
    <mergeCell ref="N118:N120"/>
    <mergeCell ref="B157:C157"/>
    <mergeCell ref="B147:C147"/>
    <mergeCell ref="D147:E147"/>
    <mergeCell ref="A148:C148"/>
    <mergeCell ref="D148:E148"/>
    <mergeCell ref="B150:C150"/>
    <mergeCell ref="A129:F130"/>
    <mergeCell ref="L142:T142"/>
    <mergeCell ref="B145:C145"/>
    <mergeCell ref="D145:E145"/>
    <mergeCell ref="B146:C146"/>
    <mergeCell ref="D146:E146"/>
    <mergeCell ref="L146:T146"/>
    <mergeCell ref="A143:U143"/>
    <mergeCell ref="L127:T127"/>
    <mergeCell ref="O1:U1"/>
    <mergeCell ref="A2:U2"/>
    <mergeCell ref="A13:F14"/>
    <mergeCell ref="G13:M13"/>
    <mergeCell ref="R36:T36"/>
    <mergeCell ref="R37:T37"/>
    <mergeCell ref="A39:F40"/>
    <mergeCell ref="O68:T68"/>
    <mergeCell ref="A70:F71"/>
    <mergeCell ref="O99:T99"/>
    <mergeCell ref="A101:F102"/>
    <mergeCell ref="D104:D105"/>
    <mergeCell ref="N104:N105"/>
    <mergeCell ref="O104:O105"/>
    <mergeCell ref="R104:R10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C5BF6-03B6-4208-A63B-778B46BFF248}">
  <dimension ref="A1:X56"/>
  <sheetViews>
    <sheetView zoomScale="70" zoomScaleNormal="70" workbookViewId="0">
      <selection activeCell="Z18" sqref="Z18"/>
    </sheetView>
  </sheetViews>
  <sheetFormatPr defaultColWidth="9.140625" defaultRowHeight="15" x14ac:dyDescent="0.25"/>
  <cols>
    <col min="1" max="1" width="13.7109375" style="212" customWidth="1"/>
    <col min="2" max="2" width="40.42578125" style="211" customWidth="1"/>
    <col min="3" max="3" width="15.28515625" style="212" customWidth="1"/>
    <col min="4" max="4" width="11.85546875" style="212" customWidth="1"/>
    <col min="5" max="5" width="12.140625" style="212" customWidth="1"/>
    <col min="6" max="6" width="12" style="212" customWidth="1"/>
    <col min="7" max="7" width="12.7109375" style="212" customWidth="1"/>
    <col min="8" max="8" width="14.5703125" style="212" customWidth="1"/>
    <col min="9" max="9" width="12.7109375" style="212" hidden="1" customWidth="1"/>
    <col min="10" max="10" width="12.7109375" style="212" customWidth="1"/>
    <col min="11" max="11" width="12.7109375" style="212" hidden="1" customWidth="1"/>
    <col min="12" max="13" width="12.7109375" style="212" customWidth="1"/>
    <col min="14" max="14" width="15.5703125" style="212" customWidth="1"/>
    <col min="15" max="15" width="16.5703125" style="212" customWidth="1"/>
    <col min="16" max="16" width="15" style="212" hidden="1" customWidth="1"/>
    <col min="17" max="17" width="17.140625" style="212" hidden="1" customWidth="1"/>
    <col min="18" max="18" width="13.7109375" style="212" customWidth="1"/>
    <col min="19" max="19" width="12" style="212" customWidth="1"/>
    <col min="20" max="20" width="16" style="212" customWidth="1"/>
    <col min="21" max="21" width="12.5703125" style="212" bestFit="1" customWidth="1"/>
    <col min="22" max="22" width="15.140625" style="213" customWidth="1"/>
    <col min="23" max="23" width="10.5703125" style="213" bestFit="1" customWidth="1"/>
    <col min="24" max="24" width="9.140625" style="211"/>
    <col min="25" max="25" width="11.42578125" style="211" customWidth="1"/>
    <col min="26" max="16384" width="9.140625" style="211"/>
  </cols>
  <sheetData>
    <row r="1" spans="1:24" ht="15" customHeight="1" x14ac:dyDescent="0.25">
      <c r="A1" s="210"/>
      <c r="U1" s="287" t="s">
        <v>170</v>
      </c>
    </row>
    <row r="2" spans="1:24" ht="15" customHeight="1" x14ac:dyDescent="0.3">
      <c r="A2" s="434" t="s">
        <v>117</v>
      </c>
      <c r="B2" s="434"/>
      <c r="C2" s="434"/>
      <c r="D2" s="434"/>
      <c r="E2" s="434"/>
      <c r="F2" s="434"/>
      <c r="G2" s="434"/>
      <c r="H2" s="434"/>
      <c r="I2" s="434"/>
      <c r="J2" s="434"/>
      <c r="K2" s="434"/>
      <c r="L2" s="434"/>
      <c r="M2" s="434"/>
      <c r="N2" s="434"/>
      <c r="O2" s="434"/>
      <c r="P2" s="434"/>
      <c r="Q2" s="434"/>
      <c r="R2" s="434"/>
      <c r="S2" s="434"/>
      <c r="T2" s="434"/>
      <c r="U2" s="434"/>
    </row>
    <row r="3" spans="1:24" ht="15" customHeight="1" x14ac:dyDescent="0.25">
      <c r="A3" s="210"/>
      <c r="U3" s="287"/>
    </row>
    <row r="4" spans="1:24" s="71" customFormat="1" ht="15" customHeight="1" x14ac:dyDescent="0.25">
      <c r="A4" s="315" t="s">
        <v>147</v>
      </c>
      <c r="B4" s="73"/>
      <c r="C4" s="74"/>
      <c r="D4" s="74"/>
      <c r="E4" s="74"/>
      <c r="F4" s="74"/>
      <c r="G4" s="74"/>
      <c r="H4" s="74"/>
      <c r="I4" s="74"/>
      <c r="J4" s="74"/>
      <c r="K4" s="72"/>
      <c r="M4" s="72"/>
      <c r="N4" s="72"/>
      <c r="O4" s="72"/>
      <c r="S4" s="72"/>
      <c r="T4" s="72"/>
      <c r="U4" s="72"/>
      <c r="V4" s="69"/>
      <c r="W4" s="70"/>
      <c r="X4" s="70"/>
    </row>
    <row r="5" spans="1:24" s="309" customFormat="1" ht="15.75" x14ac:dyDescent="0.25">
      <c r="A5" s="310" t="s">
        <v>145</v>
      </c>
      <c r="C5" s="311"/>
      <c r="D5" s="311"/>
      <c r="E5" s="311"/>
      <c r="F5" s="311"/>
      <c r="G5" s="312"/>
      <c r="H5" s="312"/>
      <c r="I5" s="312"/>
    </row>
    <row r="6" spans="1:24" s="309" customFormat="1" ht="15.75" x14ac:dyDescent="0.25">
      <c r="A6" s="313" t="s">
        <v>146</v>
      </c>
      <c r="C6" s="314"/>
      <c r="D6" s="314"/>
      <c r="E6" s="314"/>
      <c r="F6" s="314"/>
      <c r="G6" s="312"/>
      <c r="H6" s="312"/>
      <c r="I6" s="312"/>
    </row>
    <row r="7" spans="1:24" ht="15" customHeight="1" x14ac:dyDescent="0.25">
      <c r="A7" s="210"/>
      <c r="U7" s="287"/>
    </row>
    <row r="8" spans="1:24" ht="15" customHeight="1" x14ac:dyDescent="0.25">
      <c r="A8" s="427" t="s">
        <v>126</v>
      </c>
      <c r="B8" s="427"/>
      <c r="C8" s="427"/>
      <c r="D8" s="427"/>
      <c r="E8" s="427"/>
      <c r="F8" s="427"/>
      <c r="G8" s="429" t="s">
        <v>43</v>
      </c>
      <c r="H8" s="430"/>
      <c r="I8" s="430"/>
      <c r="J8" s="430"/>
      <c r="K8" s="430"/>
      <c r="L8" s="430"/>
      <c r="M8" s="431"/>
    </row>
    <row r="9" spans="1:24" s="219" customFormat="1" ht="15" customHeight="1" thickBot="1" x14ac:dyDescent="0.3">
      <c r="A9" s="428"/>
      <c r="B9" s="428"/>
      <c r="C9" s="428"/>
      <c r="D9" s="428"/>
      <c r="E9" s="428"/>
      <c r="F9" s="428"/>
      <c r="G9" s="242">
        <v>1963</v>
      </c>
      <c r="H9" s="242"/>
      <c r="I9" s="297">
        <v>405</v>
      </c>
      <c r="J9" s="242">
        <v>1183</v>
      </c>
      <c r="K9" s="297">
        <v>243</v>
      </c>
      <c r="L9" s="240"/>
      <c r="M9" s="298">
        <v>0.2359</v>
      </c>
      <c r="N9" s="216"/>
      <c r="O9" s="217"/>
      <c r="P9" s="217"/>
      <c r="Q9" s="217"/>
      <c r="R9" s="217"/>
      <c r="S9" s="217"/>
      <c r="T9" s="217"/>
      <c r="U9" s="218"/>
      <c r="V9" s="213"/>
      <c r="W9" s="213"/>
    </row>
    <row r="10" spans="1:24" s="221" customFormat="1" ht="72" customHeight="1" thickBot="1" x14ac:dyDescent="0.3">
      <c r="A10" s="299" t="s">
        <v>44</v>
      </c>
      <c r="B10" s="300" t="s">
        <v>45</v>
      </c>
      <c r="C10" s="300" t="s">
        <v>46</v>
      </c>
      <c r="D10" s="300" t="s">
        <v>47</v>
      </c>
      <c r="E10" s="300" t="s">
        <v>48</v>
      </c>
      <c r="F10" s="301" t="s">
        <v>49</v>
      </c>
      <c r="G10" s="301" t="s">
        <v>50</v>
      </c>
      <c r="H10" s="300" t="s">
        <v>51</v>
      </c>
      <c r="I10" s="300" t="s">
        <v>121</v>
      </c>
      <c r="J10" s="300" t="s">
        <v>53</v>
      </c>
      <c r="K10" s="302" t="s">
        <v>122</v>
      </c>
      <c r="L10" s="301" t="s">
        <v>55</v>
      </c>
      <c r="M10" s="302" t="s">
        <v>56</v>
      </c>
      <c r="N10" s="301" t="s">
        <v>57</v>
      </c>
      <c r="O10" s="301" t="s">
        <v>58</v>
      </c>
      <c r="P10" s="301" t="s">
        <v>128</v>
      </c>
      <c r="Q10" s="301" t="s">
        <v>129</v>
      </c>
      <c r="R10" s="302" t="s">
        <v>158</v>
      </c>
      <c r="S10" s="303" t="s">
        <v>123</v>
      </c>
      <c r="T10" s="303" t="s">
        <v>124</v>
      </c>
      <c r="U10" s="304" t="s">
        <v>149</v>
      </c>
      <c r="V10" s="220"/>
      <c r="W10" s="220"/>
    </row>
    <row r="11" spans="1:24" x14ac:dyDescent="0.25">
      <c r="A11" s="222" t="s">
        <v>65</v>
      </c>
      <c r="B11" s="223" t="s">
        <v>66</v>
      </c>
      <c r="C11" s="224">
        <v>12</v>
      </c>
      <c r="D11" s="411">
        <v>1</v>
      </c>
      <c r="E11" s="225"/>
      <c r="F11" s="225">
        <v>2.5</v>
      </c>
      <c r="G11" s="226">
        <f t="shared" ref="G11:G16" si="0">ROUND(C11*E11*$G$9,2)</f>
        <v>0</v>
      </c>
      <c r="H11" s="226"/>
      <c r="I11" s="226"/>
      <c r="J11" s="226">
        <f t="shared" ref="J11:J16" si="1">ROUND(C11*F11*$J$9,2)</f>
        <v>35490</v>
      </c>
      <c r="K11" s="226"/>
      <c r="L11" s="226">
        <f>G11+H11+I11+J11+K11</f>
        <v>35490</v>
      </c>
      <c r="M11" s="226">
        <f t="shared" ref="M11:M16" si="2">ROUND(L11*$M$9,2)</f>
        <v>8372.09</v>
      </c>
      <c r="N11" s="413">
        <v>3673</v>
      </c>
      <c r="O11" s="415">
        <v>306.08</v>
      </c>
      <c r="P11" s="345"/>
      <c r="Q11" s="345"/>
      <c r="R11" s="413">
        <f>ROUND(C11*D11*O11,2)</f>
        <v>3672.96</v>
      </c>
      <c r="S11" s="227">
        <f t="shared" ref="S11:S45" si="3">L11+M11</f>
        <v>43862.09</v>
      </c>
      <c r="T11" s="226"/>
      <c r="U11" s="425">
        <f>S11+R11+S12</f>
        <v>185821.13999999998</v>
      </c>
    </row>
    <row r="12" spans="1:24" x14ac:dyDescent="0.25">
      <c r="A12" s="228" t="s">
        <v>65</v>
      </c>
      <c r="B12" s="229" t="s">
        <v>67</v>
      </c>
      <c r="C12" s="230">
        <v>12</v>
      </c>
      <c r="D12" s="412"/>
      <c r="E12" s="231">
        <v>4.75</v>
      </c>
      <c r="F12" s="231"/>
      <c r="G12" s="214">
        <f t="shared" si="0"/>
        <v>111891</v>
      </c>
      <c r="H12" s="214"/>
      <c r="I12" s="214"/>
      <c r="J12" s="214">
        <f t="shared" si="1"/>
        <v>0</v>
      </c>
      <c r="K12" s="214"/>
      <c r="L12" s="214">
        <f>G12+H12+I12+J12+K12</f>
        <v>111891</v>
      </c>
      <c r="M12" s="214">
        <f t="shared" si="2"/>
        <v>26395.09</v>
      </c>
      <c r="N12" s="414"/>
      <c r="O12" s="416"/>
      <c r="P12" s="346"/>
      <c r="Q12" s="346"/>
      <c r="R12" s="414"/>
      <c r="S12" s="214">
        <f t="shared" si="3"/>
        <v>138286.09</v>
      </c>
      <c r="T12" s="214"/>
      <c r="U12" s="426"/>
    </row>
    <row r="13" spans="1:24" x14ac:dyDescent="0.25">
      <c r="A13" s="233" t="s">
        <v>65</v>
      </c>
      <c r="B13" s="234" t="s">
        <v>68</v>
      </c>
      <c r="C13" s="230">
        <v>12</v>
      </c>
      <c r="D13" s="215">
        <v>5</v>
      </c>
      <c r="E13" s="235">
        <v>16</v>
      </c>
      <c r="F13" s="235"/>
      <c r="G13" s="214">
        <f t="shared" si="0"/>
        <v>376896</v>
      </c>
      <c r="H13" s="236">
        <f>ROUND(C13*E13*540,2)</f>
        <v>103680</v>
      </c>
      <c r="I13" s="236"/>
      <c r="J13" s="214">
        <f t="shared" si="1"/>
        <v>0</v>
      </c>
      <c r="K13" s="236"/>
      <c r="L13" s="236">
        <f>G13+H13+I13+J13+K13</f>
        <v>480576</v>
      </c>
      <c r="M13" s="214">
        <f t="shared" si="2"/>
        <v>113367.88</v>
      </c>
      <c r="N13" s="236">
        <v>3673</v>
      </c>
      <c r="O13" s="235">
        <v>306.08</v>
      </c>
      <c r="P13" s="235"/>
      <c r="Q13" s="235"/>
      <c r="R13" s="214">
        <f>ROUND(C13*D13*O13,2)</f>
        <v>18364.8</v>
      </c>
      <c r="S13" s="214">
        <f t="shared" si="3"/>
        <v>593943.88</v>
      </c>
      <c r="T13" s="236"/>
      <c r="U13" s="232">
        <f t="shared" ref="U13:U15" si="4">S13+R13</f>
        <v>612308.68000000005</v>
      </c>
    </row>
    <row r="14" spans="1:24" x14ac:dyDescent="0.25">
      <c r="A14" s="233" t="s">
        <v>65</v>
      </c>
      <c r="B14" s="234" t="s">
        <v>155</v>
      </c>
      <c r="C14" s="230">
        <v>12</v>
      </c>
      <c r="D14" s="215">
        <v>1</v>
      </c>
      <c r="E14" s="235">
        <v>0.25</v>
      </c>
      <c r="F14" s="235"/>
      <c r="G14" s="214">
        <f t="shared" si="0"/>
        <v>5889</v>
      </c>
      <c r="H14" s="236"/>
      <c r="I14" s="236"/>
      <c r="J14" s="214">
        <f t="shared" si="1"/>
        <v>0</v>
      </c>
      <c r="K14" s="236"/>
      <c r="L14" s="236">
        <f t="shared" ref="L14:L27" si="5">ROUNDDOWN(G14+H14+I14+J14+K14,0)</f>
        <v>5889</v>
      </c>
      <c r="M14" s="214">
        <f t="shared" si="2"/>
        <v>1389.22</v>
      </c>
      <c r="N14" s="236">
        <v>3673</v>
      </c>
      <c r="O14" s="235">
        <v>306.08</v>
      </c>
      <c r="P14" s="235"/>
      <c r="Q14" s="235"/>
      <c r="R14" s="214">
        <f>ROUND(C14*E14*O14,2)</f>
        <v>918.24</v>
      </c>
      <c r="S14" s="214">
        <f t="shared" si="3"/>
        <v>7278.22</v>
      </c>
      <c r="T14" s="236"/>
      <c r="U14" s="232">
        <f t="shared" si="4"/>
        <v>8196.4600000000009</v>
      </c>
      <c r="V14" s="344"/>
    </row>
    <row r="15" spans="1:24" x14ac:dyDescent="0.25">
      <c r="A15" s="237" t="s">
        <v>65</v>
      </c>
      <c r="B15" s="238" t="s">
        <v>156</v>
      </c>
      <c r="C15" s="239">
        <v>12</v>
      </c>
      <c r="D15" s="240">
        <v>1</v>
      </c>
      <c r="E15" s="241">
        <v>0.75</v>
      </c>
      <c r="F15" s="241"/>
      <c r="G15" s="242">
        <f t="shared" si="0"/>
        <v>17667</v>
      </c>
      <c r="H15" s="243">
        <f>ROUND(C15*E15*540,2)</f>
        <v>4860</v>
      </c>
      <c r="I15" s="243"/>
      <c r="J15" s="242">
        <f t="shared" si="1"/>
        <v>0</v>
      </c>
      <c r="K15" s="243"/>
      <c r="L15" s="243">
        <f t="shared" si="5"/>
        <v>22527</v>
      </c>
      <c r="M15" s="242">
        <f t="shared" si="2"/>
        <v>5314.12</v>
      </c>
      <c r="N15" s="243">
        <v>3673</v>
      </c>
      <c r="O15" s="241">
        <v>306.08</v>
      </c>
      <c r="P15" s="241"/>
      <c r="Q15" s="241"/>
      <c r="R15" s="242">
        <f>ROUND(C15*E15*O15,2)</f>
        <v>2754.72</v>
      </c>
      <c r="S15" s="214">
        <f t="shared" si="3"/>
        <v>27841.119999999999</v>
      </c>
      <c r="T15" s="243"/>
      <c r="U15" s="244">
        <f t="shared" si="4"/>
        <v>30595.84</v>
      </c>
      <c r="V15" s="344"/>
    </row>
    <row r="16" spans="1:24" ht="15.75" thickBot="1" x14ac:dyDescent="0.3">
      <c r="A16" s="245" t="s">
        <v>65</v>
      </c>
      <c r="B16" s="246" t="s">
        <v>101</v>
      </c>
      <c r="C16" s="247">
        <v>12</v>
      </c>
      <c r="D16" s="247">
        <v>2</v>
      </c>
      <c r="E16" s="248">
        <v>3</v>
      </c>
      <c r="F16" s="249"/>
      <c r="G16" s="250">
        <f t="shared" si="0"/>
        <v>70668</v>
      </c>
      <c r="H16" s="250"/>
      <c r="I16" s="251"/>
      <c r="J16" s="250">
        <f t="shared" si="1"/>
        <v>0</v>
      </c>
      <c r="K16" s="251"/>
      <c r="L16" s="252">
        <f>G16+H16+I16+J16+K16</f>
        <v>70668</v>
      </c>
      <c r="M16" s="250">
        <f t="shared" si="2"/>
        <v>16670.580000000002</v>
      </c>
      <c r="N16" s="252">
        <v>3673</v>
      </c>
      <c r="O16" s="248">
        <v>306.08</v>
      </c>
      <c r="P16" s="248"/>
      <c r="Q16" s="248"/>
      <c r="R16" s="250">
        <f>ROUND(C16*D16*O16,2)</f>
        <v>7345.92</v>
      </c>
      <c r="S16" s="250">
        <f>L16+M16</f>
        <v>87338.58</v>
      </c>
      <c r="T16" s="250"/>
      <c r="U16" s="256">
        <f>S16+R16</f>
        <v>94684.5</v>
      </c>
      <c r="V16" s="290"/>
    </row>
    <row r="17" spans="1:22" ht="15.75" thickBot="1" x14ac:dyDescent="0.3">
      <c r="A17" s="253" t="s">
        <v>65</v>
      </c>
      <c r="B17" s="246" t="s">
        <v>71</v>
      </c>
      <c r="C17" s="254"/>
      <c r="D17" s="247"/>
      <c r="E17" s="248"/>
      <c r="F17" s="248"/>
      <c r="G17" s="250"/>
      <c r="H17" s="252"/>
      <c r="I17" s="252"/>
      <c r="J17" s="250"/>
      <c r="K17" s="252"/>
      <c r="L17" s="252"/>
      <c r="M17" s="250"/>
      <c r="N17" s="252"/>
      <c r="O17" s="248"/>
      <c r="P17" s="248"/>
      <c r="Q17" s="248"/>
      <c r="R17" s="250"/>
      <c r="S17" s="255"/>
      <c r="T17" s="252">
        <v>8640</v>
      </c>
      <c r="U17" s="256">
        <f>T17</f>
        <v>8640</v>
      </c>
    </row>
    <row r="18" spans="1:22" x14ac:dyDescent="0.25">
      <c r="A18" s="277" t="s">
        <v>72</v>
      </c>
      <c r="B18" s="223" t="s">
        <v>66</v>
      </c>
      <c r="C18" s="224">
        <v>12</v>
      </c>
      <c r="D18" s="435">
        <v>1</v>
      </c>
      <c r="E18" s="258"/>
      <c r="F18" s="258">
        <v>1</v>
      </c>
      <c r="G18" s="226">
        <f>ROUND(C18*E18*$G$9,2)</f>
        <v>0</v>
      </c>
      <c r="H18" s="259"/>
      <c r="I18" s="259"/>
      <c r="J18" s="226">
        <f>ROUND(C18*F18*$J$9,2)</f>
        <v>14196</v>
      </c>
      <c r="K18" s="259"/>
      <c r="L18" s="260">
        <f t="shared" si="5"/>
        <v>14196</v>
      </c>
      <c r="M18" s="226">
        <f>ROUND(L18*$M$9,2)</f>
        <v>3348.84</v>
      </c>
      <c r="N18" s="419">
        <v>3673</v>
      </c>
      <c r="O18" s="422">
        <v>306.08</v>
      </c>
      <c r="P18" s="340"/>
      <c r="Q18" s="340"/>
      <c r="R18" s="413">
        <f>ROUND(C18*D18*O18,2)</f>
        <v>3672.96</v>
      </c>
      <c r="S18" s="260">
        <f>L18+M18</f>
        <v>17544.84</v>
      </c>
      <c r="T18" s="260"/>
      <c r="U18" s="425">
        <f>S18+R18+S19+S20</f>
        <v>87452.15</v>
      </c>
    </row>
    <row r="19" spans="1:22" x14ac:dyDescent="0.25">
      <c r="A19" s="282" t="s">
        <v>72</v>
      </c>
      <c r="B19" s="229" t="s">
        <v>67</v>
      </c>
      <c r="C19" s="230">
        <v>12</v>
      </c>
      <c r="D19" s="436"/>
      <c r="E19" s="235">
        <v>1</v>
      </c>
      <c r="F19" s="235"/>
      <c r="G19" s="214">
        <f>ROUND(C19*E19*$G$9,2)</f>
        <v>23556</v>
      </c>
      <c r="H19" s="261"/>
      <c r="I19" s="261"/>
      <c r="J19" s="214">
        <f>ROUND(C19*F19*$J$9,2)</f>
        <v>0</v>
      </c>
      <c r="K19" s="261"/>
      <c r="L19" s="236">
        <f t="shared" si="5"/>
        <v>23556</v>
      </c>
      <c r="M19" s="214">
        <f>ROUND(L19*$M$9,2)</f>
        <v>5556.86</v>
      </c>
      <c r="N19" s="420"/>
      <c r="O19" s="423"/>
      <c r="P19" s="341"/>
      <c r="Q19" s="341"/>
      <c r="R19" s="417"/>
      <c r="S19" s="236">
        <f t="shared" si="3"/>
        <v>29112.86</v>
      </c>
      <c r="T19" s="236"/>
      <c r="U19" s="438"/>
    </row>
    <row r="20" spans="1:22" ht="15.75" thickBot="1" x14ac:dyDescent="0.3">
      <c r="A20" s="279" t="s">
        <v>72</v>
      </c>
      <c r="B20" s="264" t="s">
        <v>68</v>
      </c>
      <c r="C20" s="239">
        <v>12</v>
      </c>
      <c r="D20" s="437"/>
      <c r="E20" s="241">
        <v>1</v>
      </c>
      <c r="F20" s="241"/>
      <c r="G20" s="242">
        <f>ROUND(C20*E20*$G$9,2)</f>
        <v>23556</v>
      </c>
      <c r="H20" s="266">
        <f>ROUND(C20*E20*540,2)</f>
        <v>6480</v>
      </c>
      <c r="I20" s="266"/>
      <c r="J20" s="242">
        <f>ROUND(C20*F20*$J$9,2)</f>
        <v>0</v>
      </c>
      <c r="K20" s="266"/>
      <c r="L20" s="243">
        <f t="shared" si="5"/>
        <v>30036</v>
      </c>
      <c r="M20" s="242">
        <f>ROUND(L20*$M$9,2)</f>
        <v>7085.49</v>
      </c>
      <c r="N20" s="421"/>
      <c r="O20" s="424"/>
      <c r="P20" s="342"/>
      <c r="Q20" s="342"/>
      <c r="R20" s="418"/>
      <c r="S20" s="243">
        <f t="shared" si="3"/>
        <v>37121.49</v>
      </c>
      <c r="T20" s="243"/>
      <c r="U20" s="439"/>
      <c r="V20" s="290"/>
    </row>
    <row r="21" spans="1:22" ht="15.75" thickBot="1" x14ac:dyDescent="0.3">
      <c r="A21" s="332" t="s">
        <v>72</v>
      </c>
      <c r="B21" s="333" t="s">
        <v>71</v>
      </c>
      <c r="C21" s="334"/>
      <c r="D21" s="335"/>
      <c r="E21" s="336"/>
      <c r="F21" s="336"/>
      <c r="G21" s="337"/>
      <c r="H21" s="338"/>
      <c r="I21" s="338"/>
      <c r="J21" s="337"/>
      <c r="K21" s="338"/>
      <c r="L21" s="338"/>
      <c r="M21" s="337"/>
      <c r="N21" s="338"/>
      <c r="O21" s="336"/>
      <c r="P21" s="336"/>
      <c r="Q21" s="336"/>
      <c r="R21" s="337"/>
      <c r="S21" s="337"/>
      <c r="T21" s="338">
        <v>3678</v>
      </c>
      <c r="U21" s="339">
        <f>T21</f>
        <v>3678</v>
      </c>
    </row>
    <row r="22" spans="1:22" x14ac:dyDescent="0.25">
      <c r="A22" s="277" t="s">
        <v>73</v>
      </c>
      <c r="B22" s="223" t="s">
        <v>66</v>
      </c>
      <c r="C22" s="224">
        <v>12</v>
      </c>
      <c r="D22" s="435">
        <v>1</v>
      </c>
      <c r="E22" s="262"/>
      <c r="F22" s="258">
        <v>1</v>
      </c>
      <c r="G22" s="226">
        <f>ROUND(C22*E22*$G$9,2)</f>
        <v>0</v>
      </c>
      <c r="H22" s="259"/>
      <c r="I22" s="259"/>
      <c r="J22" s="226">
        <f>ROUND(C22*F22*$J$9,2)</f>
        <v>14196</v>
      </c>
      <c r="K22" s="259"/>
      <c r="L22" s="260">
        <f t="shared" si="5"/>
        <v>14196</v>
      </c>
      <c r="M22" s="226">
        <f>ROUND(L22*$M$9,2)</f>
        <v>3348.84</v>
      </c>
      <c r="N22" s="419">
        <v>3673</v>
      </c>
      <c r="O22" s="422">
        <v>306.08</v>
      </c>
      <c r="P22" s="340"/>
      <c r="Q22" s="340"/>
      <c r="R22" s="413">
        <f>ROUND(C22*D22*O22,2)</f>
        <v>3672.96</v>
      </c>
      <c r="S22" s="260">
        <f t="shared" si="3"/>
        <v>17544.84</v>
      </c>
      <c r="T22" s="260"/>
      <c r="U22" s="425">
        <f>S22+R22+S23+S24</f>
        <v>131851.85999999999</v>
      </c>
    </row>
    <row r="23" spans="1:22" x14ac:dyDescent="0.25">
      <c r="A23" s="282" t="s">
        <v>73</v>
      </c>
      <c r="B23" s="229" t="s">
        <v>67</v>
      </c>
      <c r="C23" s="230">
        <v>12</v>
      </c>
      <c r="D23" s="436"/>
      <c r="E23" s="235">
        <v>1.25</v>
      </c>
      <c r="F23" s="263"/>
      <c r="G23" s="214">
        <f>ROUND(C23*E23*$G$9,2)</f>
        <v>29445</v>
      </c>
      <c r="H23" s="261"/>
      <c r="I23" s="261"/>
      <c r="J23" s="214">
        <f>ROUND(C23*F23*$J$9,2)</f>
        <v>0</v>
      </c>
      <c r="K23" s="261"/>
      <c r="L23" s="236">
        <f t="shared" si="5"/>
        <v>29445</v>
      </c>
      <c r="M23" s="214">
        <f>ROUND(L23*$M$9,2)</f>
        <v>6946.08</v>
      </c>
      <c r="N23" s="420"/>
      <c r="O23" s="423"/>
      <c r="P23" s="341"/>
      <c r="Q23" s="341"/>
      <c r="R23" s="417"/>
      <c r="S23" s="236">
        <f t="shared" si="3"/>
        <v>36391.08</v>
      </c>
      <c r="T23" s="236"/>
      <c r="U23" s="438"/>
    </row>
    <row r="24" spans="1:22" ht="15.75" thickBot="1" x14ac:dyDescent="0.3">
      <c r="A24" s="279" t="s">
        <v>73</v>
      </c>
      <c r="B24" s="264" t="s">
        <v>68</v>
      </c>
      <c r="C24" s="239">
        <v>12</v>
      </c>
      <c r="D24" s="437"/>
      <c r="E24" s="241">
        <v>2</v>
      </c>
      <c r="F24" s="265"/>
      <c r="G24" s="242">
        <f>ROUND(C24*E24*$G$9,2)</f>
        <v>47112</v>
      </c>
      <c r="H24" s="266">
        <f>ROUND(C24*E24*540,2)</f>
        <v>12960</v>
      </c>
      <c r="I24" s="266"/>
      <c r="J24" s="242">
        <f>ROUND(C24*F24*$J$9,2)</f>
        <v>0</v>
      </c>
      <c r="K24" s="266"/>
      <c r="L24" s="243">
        <f t="shared" si="5"/>
        <v>60072</v>
      </c>
      <c r="M24" s="242">
        <f>ROUND(L24*$M$9,2)</f>
        <v>14170.98</v>
      </c>
      <c r="N24" s="421"/>
      <c r="O24" s="424"/>
      <c r="P24" s="342"/>
      <c r="Q24" s="342"/>
      <c r="R24" s="418"/>
      <c r="S24" s="243">
        <f t="shared" si="3"/>
        <v>74242.98</v>
      </c>
      <c r="T24" s="243"/>
      <c r="U24" s="439"/>
      <c r="V24" s="290"/>
    </row>
    <row r="25" spans="1:22" ht="15.75" thickBot="1" x14ac:dyDescent="0.3">
      <c r="A25" s="332" t="s">
        <v>73</v>
      </c>
      <c r="B25" s="333" t="s">
        <v>71</v>
      </c>
      <c r="C25" s="334"/>
      <c r="D25" s="335"/>
      <c r="E25" s="336"/>
      <c r="F25" s="336"/>
      <c r="G25" s="337"/>
      <c r="H25" s="338"/>
      <c r="I25" s="338"/>
      <c r="J25" s="337"/>
      <c r="K25" s="338"/>
      <c r="L25" s="338"/>
      <c r="M25" s="337"/>
      <c r="N25" s="338"/>
      <c r="O25" s="336"/>
      <c r="P25" s="336"/>
      <c r="Q25" s="336"/>
      <c r="R25" s="337"/>
      <c r="S25" s="337"/>
      <c r="T25" s="338">
        <v>2733</v>
      </c>
      <c r="U25" s="339">
        <f>T25</f>
        <v>2733</v>
      </c>
    </row>
    <row r="26" spans="1:22" x14ac:dyDescent="0.25">
      <c r="A26" s="277" t="s">
        <v>85</v>
      </c>
      <c r="B26" s="223" t="s">
        <v>66</v>
      </c>
      <c r="C26" s="224">
        <v>12</v>
      </c>
      <c r="D26" s="435">
        <v>1</v>
      </c>
      <c r="E26" s="258"/>
      <c r="F26" s="258">
        <v>1</v>
      </c>
      <c r="G26" s="226">
        <f t="shared" ref="G26:G45" si="6">ROUND(C26*E26*$G$9,2)</f>
        <v>0</v>
      </c>
      <c r="H26" s="259"/>
      <c r="I26" s="259"/>
      <c r="J26" s="226">
        <f t="shared" ref="J26:J45" si="7">ROUND(C26*F26*$J$9,2)</f>
        <v>14196</v>
      </c>
      <c r="K26" s="259"/>
      <c r="L26" s="260">
        <f t="shared" si="5"/>
        <v>14196</v>
      </c>
      <c r="M26" s="226">
        <f t="shared" ref="M26:M45" si="8">ROUND(L26*$M$9,2)</f>
        <v>3348.84</v>
      </c>
      <c r="N26" s="419">
        <v>3673</v>
      </c>
      <c r="O26" s="422">
        <v>306.08</v>
      </c>
      <c r="P26" s="340"/>
      <c r="Q26" s="340"/>
      <c r="R26" s="413">
        <f>ROUND(C26*D26*O26,2)</f>
        <v>3672.96</v>
      </c>
      <c r="S26" s="260">
        <f t="shared" si="3"/>
        <v>17544.84</v>
      </c>
      <c r="T26" s="260"/>
      <c r="U26" s="425">
        <f>S26+R26+S27+S28</f>
        <v>148410.45000000001</v>
      </c>
    </row>
    <row r="27" spans="1:22" x14ac:dyDescent="0.25">
      <c r="A27" s="282" t="s">
        <v>85</v>
      </c>
      <c r="B27" s="229" t="s">
        <v>67</v>
      </c>
      <c r="C27" s="230">
        <v>12</v>
      </c>
      <c r="D27" s="436"/>
      <c r="E27" s="235">
        <v>1.5</v>
      </c>
      <c r="F27" s="235"/>
      <c r="G27" s="214">
        <f t="shared" si="6"/>
        <v>35334</v>
      </c>
      <c r="H27" s="261"/>
      <c r="I27" s="261"/>
      <c r="J27" s="214">
        <f t="shared" si="7"/>
        <v>0</v>
      </c>
      <c r="K27" s="261"/>
      <c r="L27" s="236">
        <f t="shared" si="5"/>
        <v>35334</v>
      </c>
      <c r="M27" s="214">
        <f t="shared" si="8"/>
        <v>8335.2900000000009</v>
      </c>
      <c r="N27" s="420"/>
      <c r="O27" s="423"/>
      <c r="P27" s="341"/>
      <c r="Q27" s="341"/>
      <c r="R27" s="417"/>
      <c r="S27" s="236">
        <f t="shared" si="3"/>
        <v>43669.29</v>
      </c>
      <c r="T27" s="236"/>
      <c r="U27" s="438"/>
    </row>
    <row r="28" spans="1:22" ht="15.75" thickBot="1" x14ac:dyDescent="0.3">
      <c r="A28" s="233" t="s">
        <v>85</v>
      </c>
      <c r="B28" s="234" t="s">
        <v>68</v>
      </c>
      <c r="C28" s="230">
        <v>12</v>
      </c>
      <c r="D28" s="437"/>
      <c r="E28" s="235">
        <v>2.25</v>
      </c>
      <c r="F28" s="235"/>
      <c r="G28" s="214">
        <f t="shared" si="6"/>
        <v>53001</v>
      </c>
      <c r="H28" s="236">
        <f>ROUND(C28*E28*540,2)</f>
        <v>14580</v>
      </c>
      <c r="I28" s="236"/>
      <c r="J28" s="214">
        <f t="shared" si="7"/>
        <v>0</v>
      </c>
      <c r="K28" s="236"/>
      <c r="L28" s="236">
        <f>G28+H28+I28+J28+K28</f>
        <v>67581</v>
      </c>
      <c r="M28" s="214">
        <f t="shared" si="8"/>
        <v>15942.36</v>
      </c>
      <c r="N28" s="421"/>
      <c r="O28" s="424"/>
      <c r="P28" s="342"/>
      <c r="Q28" s="342"/>
      <c r="R28" s="418"/>
      <c r="S28" s="214">
        <f t="shared" si="3"/>
        <v>83523.360000000001</v>
      </c>
      <c r="T28" s="236"/>
      <c r="U28" s="439"/>
      <c r="V28" s="290"/>
    </row>
    <row r="29" spans="1:22" x14ac:dyDescent="0.25">
      <c r="A29" s="277" t="s">
        <v>86</v>
      </c>
      <c r="B29" s="223" t="s">
        <v>66</v>
      </c>
      <c r="C29" s="224">
        <v>12</v>
      </c>
      <c r="D29" s="435">
        <v>1</v>
      </c>
      <c r="E29" s="258"/>
      <c r="F29" s="258">
        <v>1</v>
      </c>
      <c r="G29" s="226">
        <f t="shared" si="6"/>
        <v>0</v>
      </c>
      <c r="H29" s="259"/>
      <c r="I29" s="259"/>
      <c r="J29" s="226">
        <f t="shared" si="7"/>
        <v>14196</v>
      </c>
      <c r="K29" s="259"/>
      <c r="L29" s="260">
        <f>ROUNDDOWN(G29+H29+I29+J29+K29,0)</f>
        <v>14196</v>
      </c>
      <c r="M29" s="226">
        <f t="shared" si="8"/>
        <v>3348.84</v>
      </c>
      <c r="N29" s="419">
        <v>3673</v>
      </c>
      <c r="O29" s="422">
        <v>306.08</v>
      </c>
      <c r="P29" s="340"/>
      <c r="Q29" s="340"/>
      <c r="R29" s="413">
        <f>ROUND(C29*D29*O29,2)</f>
        <v>3672.96</v>
      </c>
      <c r="S29" s="260">
        <f t="shared" si="3"/>
        <v>17544.84</v>
      </c>
      <c r="T29" s="260"/>
      <c r="U29" s="425">
        <f>S29+R29+S30+S31</f>
        <v>127847.54999999999</v>
      </c>
    </row>
    <row r="30" spans="1:22" x14ac:dyDescent="0.25">
      <c r="A30" s="282" t="s">
        <v>86</v>
      </c>
      <c r="B30" s="229" t="s">
        <v>67</v>
      </c>
      <c r="C30" s="230">
        <v>12</v>
      </c>
      <c r="D30" s="436"/>
      <c r="E30" s="235">
        <v>1.75</v>
      </c>
      <c r="F30" s="235"/>
      <c r="G30" s="214">
        <f t="shared" si="6"/>
        <v>41223</v>
      </c>
      <c r="H30" s="261"/>
      <c r="I30" s="261"/>
      <c r="J30" s="214">
        <f t="shared" si="7"/>
        <v>0</v>
      </c>
      <c r="K30" s="261"/>
      <c r="L30" s="236">
        <f>ROUNDDOWN(G30+H30+I30+J30+K30,0)</f>
        <v>41223</v>
      </c>
      <c r="M30" s="214">
        <f t="shared" si="8"/>
        <v>9724.51</v>
      </c>
      <c r="N30" s="420"/>
      <c r="O30" s="423"/>
      <c r="P30" s="341"/>
      <c r="Q30" s="341"/>
      <c r="R30" s="417"/>
      <c r="S30" s="236">
        <f t="shared" si="3"/>
        <v>50947.51</v>
      </c>
      <c r="T30" s="236"/>
      <c r="U30" s="438"/>
    </row>
    <row r="31" spans="1:22" ht="15.75" thickBot="1" x14ac:dyDescent="0.3">
      <c r="A31" s="253" t="s">
        <v>86</v>
      </c>
      <c r="B31" s="246" t="s">
        <v>68</v>
      </c>
      <c r="C31" s="254">
        <v>12</v>
      </c>
      <c r="D31" s="437"/>
      <c r="E31" s="248">
        <v>1.5</v>
      </c>
      <c r="F31" s="248"/>
      <c r="G31" s="250">
        <f t="shared" si="6"/>
        <v>35334</v>
      </c>
      <c r="H31" s="252">
        <f>ROUND(C31*E31*540,2)</f>
        <v>9720</v>
      </c>
      <c r="I31" s="252"/>
      <c r="J31" s="250">
        <f t="shared" si="7"/>
        <v>0</v>
      </c>
      <c r="K31" s="252"/>
      <c r="L31" s="252">
        <f>G31+H31+I31+J31+K31</f>
        <v>45054</v>
      </c>
      <c r="M31" s="250">
        <f t="shared" si="8"/>
        <v>10628.24</v>
      </c>
      <c r="N31" s="421"/>
      <c r="O31" s="424"/>
      <c r="P31" s="342"/>
      <c r="Q31" s="342"/>
      <c r="R31" s="418"/>
      <c r="S31" s="250">
        <f t="shared" si="3"/>
        <v>55682.239999999998</v>
      </c>
      <c r="T31" s="252"/>
      <c r="U31" s="439"/>
      <c r="V31" s="290"/>
    </row>
    <row r="32" spans="1:22" x14ac:dyDescent="0.25">
      <c r="A32" s="305" t="s">
        <v>74</v>
      </c>
      <c r="B32" s="267" t="s">
        <v>66</v>
      </c>
      <c r="C32" s="268">
        <v>12</v>
      </c>
      <c r="D32" s="435">
        <v>1</v>
      </c>
      <c r="E32" s="269"/>
      <c r="F32" s="270">
        <v>1</v>
      </c>
      <c r="G32" s="271">
        <f t="shared" si="6"/>
        <v>0</v>
      </c>
      <c r="H32" s="272"/>
      <c r="I32" s="272"/>
      <c r="J32" s="271">
        <f t="shared" si="7"/>
        <v>14196</v>
      </c>
      <c r="K32" s="272"/>
      <c r="L32" s="273">
        <f t="shared" ref="L32:L37" si="9">ROUNDDOWN(G32+H32+I32+J32+K32,0)</f>
        <v>14196</v>
      </c>
      <c r="M32" s="271">
        <f t="shared" si="8"/>
        <v>3348.84</v>
      </c>
      <c r="N32" s="419">
        <v>3673</v>
      </c>
      <c r="O32" s="422">
        <v>306.08</v>
      </c>
      <c r="P32" s="340"/>
      <c r="Q32" s="340"/>
      <c r="R32" s="413">
        <f>ROUND(C32*D32*O32,2)</f>
        <v>3672.96</v>
      </c>
      <c r="S32" s="273">
        <f t="shared" si="3"/>
        <v>17544.84</v>
      </c>
      <c r="T32" s="274"/>
      <c r="U32" s="425">
        <f>S32+R32+S33+S34</f>
        <v>106012.9</v>
      </c>
    </row>
    <row r="33" spans="1:23" x14ac:dyDescent="0.25">
      <c r="A33" s="282" t="s">
        <v>74</v>
      </c>
      <c r="B33" s="229" t="s">
        <v>67</v>
      </c>
      <c r="C33" s="230">
        <v>12</v>
      </c>
      <c r="D33" s="436"/>
      <c r="E33" s="235">
        <v>1</v>
      </c>
      <c r="F33" s="263"/>
      <c r="G33" s="214">
        <f t="shared" si="6"/>
        <v>23556</v>
      </c>
      <c r="H33" s="261"/>
      <c r="I33" s="261"/>
      <c r="J33" s="214">
        <f t="shared" si="7"/>
        <v>0</v>
      </c>
      <c r="K33" s="261"/>
      <c r="L33" s="236">
        <f t="shared" si="9"/>
        <v>23556</v>
      </c>
      <c r="M33" s="214">
        <f t="shared" si="8"/>
        <v>5556.86</v>
      </c>
      <c r="N33" s="420"/>
      <c r="O33" s="423"/>
      <c r="P33" s="341"/>
      <c r="Q33" s="341"/>
      <c r="R33" s="417"/>
      <c r="S33" s="236">
        <f t="shared" si="3"/>
        <v>29112.86</v>
      </c>
      <c r="T33" s="275"/>
      <c r="U33" s="438"/>
    </row>
    <row r="34" spans="1:23" ht="15.75" thickBot="1" x14ac:dyDescent="0.3">
      <c r="A34" s="245" t="s">
        <v>74</v>
      </c>
      <c r="B34" s="246" t="s">
        <v>68</v>
      </c>
      <c r="C34" s="254">
        <v>12</v>
      </c>
      <c r="D34" s="437"/>
      <c r="E34" s="248">
        <v>1.5</v>
      </c>
      <c r="F34" s="249"/>
      <c r="G34" s="250">
        <f t="shared" si="6"/>
        <v>35334</v>
      </c>
      <c r="H34" s="252">
        <f>ROUND(C34*E34*540,2)</f>
        <v>9720</v>
      </c>
      <c r="I34" s="251"/>
      <c r="J34" s="250">
        <f t="shared" si="7"/>
        <v>0</v>
      </c>
      <c r="K34" s="251"/>
      <c r="L34" s="252">
        <f t="shared" si="9"/>
        <v>45054</v>
      </c>
      <c r="M34" s="250">
        <f t="shared" si="8"/>
        <v>10628.24</v>
      </c>
      <c r="N34" s="421"/>
      <c r="O34" s="424"/>
      <c r="P34" s="342"/>
      <c r="Q34" s="342"/>
      <c r="R34" s="418"/>
      <c r="S34" s="252">
        <f t="shared" si="3"/>
        <v>55682.239999999998</v>
      </c>
      <c r="T34" s="276"/>
      <c r="U34" s="439"/>
      <c r="V34" s="290"/>
    </row>
    <row r="35" spans="1:23" x14ac:dyDescent="0.25">
      <c r="A35" s="277" t="s">
        <v>75</v>
      </c>
      <c r="B35" s="223" t="s">
        <v>67</v>
      </c>
      <c r="C35" s="224">
        <v>12</v>
      </c>
      <c r="D35" s="435">
        <v>1</v>
      </c>
      <c r="E35" s="258">
        <v>1</v>
      </c>
      <c r="F35" s="262"/>
      <c r="G35" s="226">
        <f t="shared" si="6"/>
        <v>23556</v>
      </c>
      <c r="H35" s="259"/>
      <c r="I35" s="259"/>
      <c r="J35" s="226">
        <f t="shared" si="7"/>
        <v>0</v>
      </c>
      <c r="K35" s="259"/>
      <c r="L35" s="260">
        <f t="shared" si="9"/>
        <v>23556</v>
      </c>
      <c r="M35" s="226">
        <f t="shared" si="8"/>
        <v>5556.86</v>
      </c>
      <c r="N35" s="419">
        <v>3673</v>
      </c>
      <c r="O35" s="422">
        <v>306.08</v>
      </c>
      <c r="P35" s="340"/>
      <c r="Q35" s="340"/>
      <c r="R35" s="413">
        <f>ROUND(C35*D35*O35,2)</f>
        <v>3672.96</v>
      </c>
      <c r="S35" s="260">
        <f t="shared" si="3"/>
        <v>29112.86</v>
      </c>
      <c r="T35" s="278"/>
      <c r="U35" s="425">
        <f>S35+R35+S36+S37</f>
        <v>107028.79999999999</v>
      </c>
    </row>
    <row r="36" spans="1:23" x14ac:dyDescent="0.25">
      <c r="A36" s="279" t="s">
        <v>75</v>
      </c>
      <c r="B36" s="238" t="s">
        <v>68</v>
      </c>
      <c r="C36" s="239">
        <v>12</v>
      </c>
      <c r="D36" s="436"/>
      <c r="E36" s="241">
        <v>1.75</v>
      </c>
      <c r="F36" s="265"/>
      <c r="G36" s="242">
        <f t="shared" si="6"/>
        <v>41223</v>
      </c>
      <c r="H36" s="242">
        <f>ROUND(C36*E36*540,2)</f>
        <v>11340</v>
      </c>
      <c r="I36" s="266"/>
      <c r="J36" s="242">
        <f t="shared" si="7"/>
        <v>0</v>
      </c>
      <c r="K36" s="266"/>
      <c r="L36" s="243">
        <f t="shared" si="9"/>
        <v>52563</v>
      </c>
      <c r="M36" s="242">
        <f t="shared" si="8"/>
        <v>12399.61</v>
      </c>
      <c r="N36" s="420"/>
      <c r="O36" s="423"/>
      <c r="P36" s="341"/>
      <c r="Q36" s="341"/>
      <c r="R36" s="417"/>
      <c r="S36" s="236">
        <f t="shared" si="3"/>
        <v>64962.61</v>
      </c>
      <c r="T36" s="280"/>
      <c r="U36" s="438"/>
    </row>
    <row r="37" spans="1:23" ht="15.75" thickBot="1" x14ac:dyDescent="0.3">
      <c r="A37" s="245" t="s">
        <v>75</v>
      </c>
      <c r="B37" s="246" t="s">
        <v>70</v>
      </c>
      <c r="C37" s="254">
        <v>12</v>
      </c>
      <c r="D37" s="437"/>
      <c r="E37" s="248">
        <v>0.25</v>
      </c>
      <c r="F37" s="248"/>
      <c r="G37" s="250">
        <f t="shared" si="6"/>
        <v>5889</v>
      </c>
      <c r="H37" s="252">
        <f>ROUND(C37*E37*540,2)</f>
        <v>1620</v>
      </c>
      <c r="I37" s="252"/>
      <c r="J37" s="250">
        <f t="shared" si="7"/>
        <v>0</v>
      </c>
      <c r="K37" s="252"/>
      <c r="L37" s="252">
        <f t="shared" si="9"/>
        <v>7509</v>
      </c>
      <c r="M37" s="250">
        <f t="shared" si="8"/>
        <v>1771.37</v>
      </c>
      <c r="N37" s="421"/>
      <c r="O37" s="424"/>
      <c r="P37" s="342"/>
      <c r="Q37" s="342"/>
      <c r="R37" s="418"/>
      <c r="S37" s="255">
        <f t="shared" si="3"/>
        <v>9280.369999999999</v>
      </c>
      <c r="T37" s="252"/>
      <c r="U37" s="439"/>
      <c r="V37" s="290"/>
    </row>
    <row r="38" spans="1:23" x14ac:dyDescent="0.25">
      <c r="A38" s="277" t="s">
        <v>102</v>
      </c>
      <c r="B38" s="281" t="s">
        <v>103</v>
      </c>
      <c r="C38" s="257">
        <v>12</v>
      </c>
      <c r="D38" s="435">
        <v>3</v>
      </c>
      <c r="E38" s="258"/>
      <c r="F38" s="262">
        <v>1</v>
      </c>
      <c r="G38" s="226">
        <f t="shared" si="6"/>
        <v>0</v>
      </c>
      <c r="H38" s="226"/>
      <c r="I38" s="259"/>
      <c r="J38" s="226">
        <f t="shared" si="7"/>
        <v>14196</v>
      </c>
      <c r="K38" s="259"/>
      <c r="L38" s="260">
        <f>ROUNDDOWN(G38+H38+I38+J38+K38,0)</f>
        <v>14196</v>
      </c>
      <c r="M38" s="226">
        <f t="shared" si="8"/>
        <v>3348.84</v>
      </c>
      <c r="N38" s="419">
        <v>3673</v>
      </c>
      <c r="O38" s="422">
        <v>306.08</v>
      </c>
      <c r="P38" s="340"/>
      <c r="Q38" s="340"/>
      <c r="R38" s="413">
        <f>ROUND(C38*D38*O38,2)</f>
        <v>11018.88</v>
      </c>
      <c r="S38" s="226">
        <f t="shared" si="3"/>
        <v>17544.84</v>
      </c>
      <c r="T38" s="226"/>
      <c r="U38" s="425">
        <f>S38+R38+S39+S40+S41</f>
        <v>198153.91999999998</v>
      </c>
    </row>
    <row r="39" spans="1:23" x14ac:dyDescent="0.25">
      <c r="A39" s="282" t="s">
        <v>102</v>
      </c>
      <c r="B39" s="234" t="s">
        <v>67</v>
      </c>
      <c r="C39" s="215">
        <v>12</v>
      </c>
      <c r="D39" s="436"/>
      <c r="E39" s="235">
        <v>1</v>
      </c>
      <c r="F39" s="263"/>
      <c r="G39" s="214">
        <f t="shared" si="6"/>
        <v>23556</v>
      </c>
      <c r="H39" s="214"/>
      <c r="I39" s="261"/>
      <c r="J39" s="214">
        <f t="shared" si="7"/>
        <v>0</v>
      </c>
      <c r="K39" s="261"/>
      <c r="L39" s="236">
        <f>ROUNDDOWN(G39+H39+I39+J39+K39,0)</f>
        <v>23556</v>
      </c>
      <c r="M39" s="214">
        <f t="shared" si="8"/>
        <v>5556.86</v>
      </c>
      <c r="N39" s="420"/>
      <c r="O39" s="423"/>
      <c r="P39" s="341"/>
      <c r="Q39" s="341"/>
      <c r="R39" s="417"/>
      <c r="S39" s="214">
        <f t="shared" si="3"/>
        <v>29112.86</v>
      </c>
      <c r="T39" s="214"/>
      <c r="U39" s="438"/>
    </row>
    <row r="40" spans="1:23" x14ac:dyDescent="0.25">
      <c r="A40" s="282" t="s">
        <v>102</v>
      </c>
      <c r="B40" s="234" t="s">
        <v>100</v>
      </c>
      <c r="C40" s="215">
        <v>12</v>
      </c>
      <c r="D40" s="436"/>
      <c r="E40" s="235">
        <v>3</v>
      </c>
      <c r="F40" s="263"/>
      <c r="G40" s="214">
        <f t="shared" si="6"/>
        <v>70668</v>
      </c>
      <c r="H40" s="214">
        <f>ROUND(C40*E40*540,2)</f>
        <v>19440</v>
      </c>
      <c r="I40" s="261"/>
      <c r="J40" s="214">
        <f t="shared" si="7"/>
        <v>0</v>
      </c>
      <c r="K40" s="261"/>
      <c r="L40" s="236">
        <f>G40+H40+I40+J40+K40</f>
        <v>90108</v>
      </c>
      <c r="M40" s="214">
        <f t="shared" si="8"/>
        <v>21256.48</v>
      </c>
      <c r="N40" s="420"/>
      <c r="O40" s="423"/>
      <c r="P40" s="341"/>
      <c r="Q40" s="341"/>
      <c r="R40" s="417"/>
      <c r="S40" s="214">
        <f t="shared" si="3"/>
        <v>111364.48</v>
      </c>
      <c r="T40" s="214"/>
      <c r="U40" s="438"/>
    </row>
    <row r="41" spans="1:23" ht="15.75" thickBot="1" x14ac:dyDescent="0.3">
      <c r="A41" s="245" t="s">
        <v>102</v>
      </c>
      <c r="B41" s="246" t="s">
        <v>101</v>
      </c>
      <c r="C41" s="247">
        <v>12</v>
      </c>
      <c r="D41" s="437"/>
      <c r="E41" s="248">
        <v>1</v>
      </c>
      <c r="F41" s="249"/>
      <c r="G41" s="250">
        <f t="shared" si="6"/>
        <v>23556</v>
      </c>
      <c r="H41" s="250"/>
      <c r="I41" s="251"/>
      <c r="J41" s="250">
        <f t="shared" si="7"/>
        <v>0</v>
      </c>
      <c r="K41" s="251"/>
      <c r="L41" s="252">
        <f>G41+H41+I41+J41+K41</f>
        <v>23556</v>
      </c>
      <c r="M41" s="250">
        <f t="shared" si="8"/>
        <v>5556.86</v>
      </c>
      <c r="N41" s="421"/>
      <c r="O41" s="424"/>
      <c r="P41" s="343"/>
      <c r="Q41" s="343"/>
      <c r="R41" s="418"/>
      <c r="S41" s="250">
        <f t="shared" si="3"/>
        <v>29112.86</v>
      </c>
      <c r="T41" s="250"/>
      <c r="U41" s="439"/>
      <c r="V41" s="290"/>
    </row>
    <row r="42" spans="1:23" x14ac:dyDescent="0.25">
      <c r="A42" s="277" t="s">
        <v>104</v>
      </c>
      <c r="B42" s="281" t="s">
        <v>103</v>
      </c>
      <c r="C42" s="257">
        <v>12</v>
      </c>
      <c r="D42" s="435">
        <v>3</v>
      </c>
      <c r="E42" s="258"/>
      <c r="F42" s="262">
        <v>1</v>
      </c>
      <c r="G42" s="226">
        <f t="shared" si="6"/>
        <v>0</v>
      </c>
      <c r="H42" s="226"/>
      <c r="I42" s="259"/>
      <c r="J42" s="226">
        <f t="shared" si="7"/>
        <v>14196</v>
      </c>
      <c r="K42" s="259"/>
      <c r="L42" s="260">
        <f>ROUNDDOWN(G42+H42+I42+J42+K42,0)</f>
        <v>14196</v>
      </c>
      <c r="M42" s="226">
        <f t="shared" si="8"/>
        <v>3348.84</v>
      </c>
      <c r="N42" s="419">
        <v>3673</v>
      </c>
      <c r="O42" s="422">
        <v>306.08</v>
      </c>
      <c r="P42" s="340"/>
      <c r="Q42" s="340"/>
      <c r="R42" s="413">
        <f>ROUND(C42*D42*O42,2)</f>
        <v>11018.88</v>
      </c>
      <c r="S42" s="226">
        <f t="shared" si="3"/>
        <v>17544.84</v>
      </c>
      <c r="T42" s="226"/>
      <c r="U42" s="425">
        <f>S42+R42+S43+S44+S45</f>
        <v>198153.91999999998</v>
      </c>
    </row>
    <row r="43" spans="1:23" x14ac:dyDescent="0.25">
      <c r="A43" s="282" t="s">
        <v>104</v>
      </c>
      <c r="B43" s="234" t="s">
        <v>67</v>
      </c>
      <c r="C43" s="215">
        <v>12</v>
      </c>
      <c r="D43" s="436"/>
      <c r="E43" s="235">
        <v>1</v>
      </c>
      <c r="F43" s="263"/>
      <c r="G43" s="214">
        <f t="shared" si="6"/>
        <v>23556</v>
      </c>
      <c r="H43" s="214"/>
      <c r="I43" s="261"/>
      <c r="J43" s="214">
        <f t="shared" si="7"/>
        <v>0</v>
      </c>
      <c r="K43" s="261"/>
      <c r="L43" s="236">
        <f>ROUNDDOWN(G43+H43+I43+J43+K43,0)</f>
        <v>23556</v>
      </c>
      <c r="M43" s="214">
        <f t="shared" si="8"/>
        <v>5556.86</v>
      </c>
      <c r="N43" s="420"/>
      <c r="O43" s="423"/>
      <c r="P43" s="341"/>
      <c r="Q43" s="341"/>
      <c r="R43" s="417"/>
      <c r="S43" s="214">
        <f t="shared" si="3"/>
        <v>29112.86</v>
      </c>
      <c r="T43" s="214"/>
      <c r="U43" s="438"/>
    </row>
    <row r="44" spans="1:23" x14ac:dyDescent="0.25">
      <c r="A44" s="282" t="s">
        <v>104</v>
      </c>
      <c r="B44" s="234" t="s">
        <v>100</v>
      </c>
      <c r="C44" s="215">
        <v>12</v>
      </c>
      <c r="D44" s="436"/>
      <c r="E44" s="235">
        <v>3</v>
      </c>
      <c r="F44" s="263"/>
      <c r="G44" s="214">
        <f t="shared" si="6"/>
        <v>70668</v>
      </c>
      <c r="H44" s="214">
        <f>ROUND(C44*E44*540,2)</f>
        <v>19440</v>
      </c>
      <c r="I44" s="261"/>
      <c r="J44" s="214">
        <f t="shared" si="7"/>
        <v>0</v>
      </c>
      <c r="K44" s="261"/>
      <c r="L44" s="236">
        <f>G44+H44+I44+J44+K44</f>
        <v>90108</v>
      </c>
      <c r="M44" s="214">
        <f t="shared" si="8"/>
        <v>21256.48</v>
      </c>
      <c r="N44" s="420"/>
      <c r="O44" s="423"/>
      <c r="P44" s="341"/>
      <c r="Q44" s="341"/>
      <c r="R44" s="417"/>
      <c r="S44" s="214">
        <f t="shared" si="3"/>
        <v>111364.48</v>
      </c>
      <c r="T44" s="214"/>
      <c r="U44" s="438"/>
    </row>
    <row r="45" spans="1:23" ht="15.75" thickBot="1" x14ac:dyDescent="0.3">
      <c r="A45" s="245" t="s">
        <v>104</v>
      </c>
      <c r="B45" s="246" t="s">
        <v>101</v>
      </c>
      <c r="C45" s="247">
        <v>12</v>
      </c>
      <c r="D45" s="437"/>
      <c r="E45" s="248">
        <v>1</v>
      </c>
      <c r="F45" s="249"/>
      <c r="G45" s="250">
        <f t="shared" si="6"/>
        <v>23556</v>
      </c>
      <c r="H45" s="250"/>
      <c r="I45" s="251"/>
      <c r="J45" s="250">
        <f t="shared" si="7"/>
        <v>0</v>
      </c>
      <c r="K45" s="251"/>
      <c r="L45" s="252">
        <f>G45+H45+I45+J45+K45</f>
        <v>23556</v>
      </c>
      <c r="M45" s="250">
        <f t="shared" si="8"/>
        <v>5556.86</v>
      </c>
      <c r="N45" s="421"/>
      <c r="O45" s="424"/>
      <c r="P45" s="343"/>
      <c r="Q45" s="343"/>
      <c r="R45" s="418"/>
      <c r="S45" s="250">
        <f t="shared" si="3"/>
        <v>29112.86</v>
      </c>
      <c r="T45" s="250"/>
      <c r="U45" s="439"/>
      <c r="V45" s="290"/>
    </row>
    <row r="46" spans="1:23" s="283" customFormat="1" ht="18" customHeight="1" thickBot="1" x14ac:dyDescent="0.3">
      <c r="A46" s="357" t="s">
        <v>150</v>
      </c>
      <c r="C46" s="213"/>
      <c r="G46" s="213"/>
      <c r="H46" s="213"/>
      <c r="I46" s="213"/>
      <c r="J46" s="213"/>
      <c r="K46" s="213"/>
      <c r="L46" s="213"/>
      <c r="M46" s="213"/>
      <c r="N46" s="432" t="s">
        <v>127</v>
      </c>
      <c r="O46" s="433"/>
      <c r="P46" s="433"/>
      <c r="Q46" s="433"/>
      <c r="R46" s="433"/>
      <c r="S46" s="433"/>
      <c r="T46" s="433"/>
      <c r="U46" s="306">
        <f>SUM(U11:U45)</f>
        <v>2051569.1699999997</v>
      </c>
      <c r="V46" s="284"/>
      <c r="W46" s="284"/>
    </row>
    <row r="47" spans="1:23" x14ac:dyDescent="0.25">
      <c r="A47" s="356" t="s">
        <v>157</v>
      </c>
      <c r="D47" s="212">
        <f>SUM(D11:D45)</f>
        <v>22</v>
      </c>
      <c r="E47" s="284">
        <f>SUM(E11:E45)</f>
        <v>52.5</v>
      </c>
      <c r="F47" s="284">
        <f>SUM(F11:F45)</f>
        <v>9.5</v>
      </c>
      <c r="R47" s="288"/>
    </row>
    <row r="48" spans="1:23" x14ac:dyDescent="0.25">
      <c r="E48" s="331"/>
      <c r="T48" s="285" t="s">
        <v>154</v>
      </c>
      <c r="U48" s="286">
        <v>869350</v>
      </c>
    </row>
    <row r="49" spans="6:22" x14ac:dyDescent="0.25">
      <c r="F49" s="288"/>
      <c r="T49" s="285"/>
      <c r="U49" s="286"/>
    </row>
    <row r="50" spans="6:22" ht="24.75" customHeight="1" x14ac:dyDescent="0.25">
      <c r="N50" s="408" t="s">
        <v>142</v>
      </c>
      <c r="O50" s="409"/>
      <c r="P50" s="409"/>
      <c r="Q50" s="409"/>
      <c r="R50" s="409"/>
      <c r="S50" s="409"/>
      <c r="T50" s="410"/>
      <c r="U50" s="355">
        <f>U46-U48</f>
        <v>1182219.1699999997</v>
      </c>
    </row>
    <row r="51" spans="6:22" x14ac:dyDescent="0.25">
      <c r="T51" s="285"/>
      <c r="U51" s="286"/>
    </row>
    <row r="52" spans="6:22" x14ac:dyDescent="0.25">
      <c r="T52" s="285"/>
      <c r="U52" s="289"/>
      <c r="V52" s="290"/>
    </row>
    <row r="53" spans="6:22" x14ac:dyDescent="0.25">
      <c r="T53" s="287"/>
      <c r="U53" s="288"/>
    </row>
    <row r="54" spans="6:22" x14ac:dyDescent="0.25">
      <c r="N54" s="292"/>
      <c r="O54" s="292"/>
      <c r="P54" s="292"/>
      <c r="Q54" s="292"/>
      <c r="R54" s="292"/>
      <c r="S54" s="292"/>
      <c r="T54" s="293"/>
      <c r="U54" s="291"/>
    </row>
    <row r="55" spans="6:22" x14ac:dyDescent="0.25">
      <c r="N55" s="292"/>
      <c r="O55" s="292"/>
      <c r="P55" s="292"/>
      <c r="Q55" s="292"/>
      <c r="R55" s="292"/>
      <c r="S55" s="292"/>
      <c r="T55" s="292"/>
      <c r="U55" s="294"/>
    </row>
    <row r="56" spans="6:22" x14ac:dyDescent="0.25">
      <c r="U56" s="288"/>
    </row>
  </sheetData>
  <mergeCells count="50">
    <mergeCell ref="R38:R41"/>
    <mergeCell ref="R42:R45"/>
    <mergeCell ref="U38:U41"/>
    <mergeCell ref="U42:U45"/>
    <mergeCell ref="D38:D41"/>
    <mergeCell ref="D42:D45"/>
    <mergeCell ref="N38:N41"/>
    <mergeCell ref="N42:N45"/>
    <mergeCell ref="O38:O41"/>
    <mergeCell ref="O42:O45"/>
    <mergeCell ref="O35:O37"/>
    <mergeCell ref="R35:R37"/>
    <mergeCell ref="U18:U20"/>
    <mergeCell ref="U22:U24"/>
    <mergeCell ref="U26:U28"/>
    <mergeCell ref="U29:U31"/>
    <mergeCell ref="U32:U34"/>
    <mergeCell ref="U35:U37"/>
    <mergeCell ref="U11:U12"/>
    <mergeCell ref="A8:F9"/>
    <mergeCell ref="G8:M8"/>
    <mergeCell ref="N46:T46"/>
    <mergeCell ref="A2:U2"/>
    <mergeCell ref="D18:D20"/>
    <mergeCell ref="N18:N20"/>
    <mergeCell ref="O18:O20"/>
    <mergeCell ref="R18:R20"/>
    <mergeCell ref="D22:D24"/>
    <mergeCell ref="D26:D28"/>
    <mergeCell ref="D29:D31"/>
    <mergeCell ref="D32:D34"/>
    <mergeCell ref="D35:D37"/>
    <mergeCell ref="N22:N24"/>
    <mergeCell ref="O22:O24"/>
    <mergeCell ref="N50:T50"/>
    <mergeCell ref="D11:D12"/>
    <mergeCell ref="N11:N12"/>
    <mergeCell ref="O11:O12"/>
    <mergeCell ref="R11:R12"/>
    <mergeCell ref="R22:R24"/>
    <mergeCell ref="N26:N28"/>
    <mergeCell ref="O26:O28"/>
    <mergeCell ref="R26:R28"/>
    <mergeCell ref="N29:N31"/>
    <mergeCell ref="O29:O31"/>
    <mergeCell ref="R29:R31"/>
    <mergeCell ref="N32:N34"/>
    <mergeCell ref="O32:O34"/>
    <mergeCell ref="R32:R34"/>
    <mergeCell ref="N35:N3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A2000-533A-46B9-84BA-70C048B2C9B1}">
  <dimension ref="A1:S45"/>
  <sheetViews>
    <sheetView zoomScale="90" zoomScaleNormal="90" workbookViewId="0">
      <selection activeCell="D30" sqref="D30"/>
    </sheetView>
  </sheetViews>
  <sheetFormatPr defaultColWidth="8.7109375" defaultRowHeight="12.75" x14ac:dyDescent="0.25"/>
  <cols>
    <col min="1" max="1" width="30.28515625" style="2" customWidth="1"/>
    <col min="2" max="2" width="8.5703125" style="2" customWidth="1"/>
    <col min="3" max="4" width="10.42578125" style="2" customWidth="1"/>
    <col min="5" max="5" width="7.42578125" style="2" customWidth="1"/>
    <col min="6" max="6" width="3.42578125" style="2" customWidth="1"/>
    <col min="7" max="7" width="36.28515625" style="2" customWidth="1"/>
    <col min="8" max="8" width="10.28515625" style="2" customWidth="1"/>
    <col min="9" max="9" width="10.42578125" style="2" customWidth="1"/>
    <col min="10" max="10" width="10.7109375" style="2" customWidth="1"/>
    <col min="11" max="11" width="11" style="2" customWidth="1"/>
    <col min="12" max="12" width="10.7109375" style="2" customWidth="1"/>
    <col min="13" max="13" width="10.5703125" style="2" customWidth="1"/>
    <col min="14" max="14" width="9.42578125" style="8" customWidth="1"/>
    <col min="15" max="16384" width="8.7109375" style="2"/>
  </cols>
  <sheetData>
    <row r="1" spans="1:19" x14ac:dyDescent="0.25">
      <c r="A1" s="440"/>
      <c r="B1" s="440"/>
      <c r="C1" s="440"/>
      <c r="D1" s="440"/>
      <c r="E1" s="440"/>
      <c r="F1" s="440"/>
      <c r="G1" s="440"/>
      <c r="H1" s="440"/>
      <c r="I1" s="362" t="s">
        <v>125</v>
      </c>
      <c r="J1" s="362"/>
      <c r="K1" s="362"/>
      <c r="L1" s="362"/>
      <c r="M1" s="362"/>
      <c r="N1" s="362"/>
      <c r="O1" s="1"/>
      <c r="P1" s="1"/>
      <c r="Q1" s="1"/>
    </row>
    <row r="2" spans="1:19" ht="15.75" x14ac:dyDescent="0.25">
      <c r="A2" s="441" t="s">
        <v>119</v>
      </c>
      <c r="B2" s="441"/>
      <c r="C2" s="441"/>
      <c r="D2" s="441"/>
      <c r="E2" s="441"/>
      <c r="F2" s="441"/>
      <c r="G2" s="441"/>
      <c r="H2" s="441"/>
      <c r="I2" s="441"/>
      <c r="J2" s="441"/>
      <c r="K2" s="441"/>
      <c r="L2" s="441"/>
      <c r="M2" s="441"/>
      <c r="N2" s="3"/>
      <c r="O2" s="3"/>
    </row>
    <row r="3" spans="1:19" ht="15.75" x14ac:dyDescent="0.25">
      <c r="A3" s="4"/>
      <c r="B3" s="4"/>
      <c r="C3" s="4"/>
      <c r="D3" s="4"/>
      <c r="E3" s="4"/>
      <c r="F3" s="4"/>
      <c r="G3" s="4"/>
      <c r="H3" s="4"/>
      <c r="I3" s="4"/>
      <c r="J3" s="4"/>
      <c r="K3" s="4"/>
      <c r="L3" s="4"/>
      <c r="M3" s="4"/>
      <c r="N3" s="3"/>
      <c r="O3" s="3"/>
    </row>
    <row r="4" spans="1:19" s="309" customFormat="1" ht="15.75" x14ac:dyDescent="0.25">
      <c r="A4" s="310" t="s">
        <v>145</v>
      </c>
      <c r="C4" s="311"/>
      <c r="D4" s="311"/>
      <c r="E4" s="311"/>
      <c r="F4" s="311"/>
      <c r="G4" s="312"/>
      <c r="H4" s="312"/>
      <c r="I4" s="312"/>
    </row>
    <row r="5" spans="1:19" s="309" customFormat="1" ht="15.75" x14ac:dyDescent="0.25">
      <c r="A5" s="313" t="s">
        <v>146</v>
      </c>
      <c r="C5" s="314"/>
      <c r="D5" s="314"/>
      <c r="E5" s="314"/>
      <c r="F5" s="314"/>
      <c r="G5" s="312"/>
      <c r="H5" s="312"/>
      <c r="I5" s="312"/>
    </row>
    <row r="6" spans="1:19" ht="15.75" x14ac:dyDescent="0.25">
      <c r="A6" s="308"/>
      <c r="B6" s="308"/>
      <c r="C6" s="308"/>
      <c r="D6" s="308"/>
      <c r="E6" s="308"/>
      <c r="F6" s="308"/>
      <c r="G6" s="308"/>
      <c r="H6" s="308"/>
      <c r="I6" s="308"/>
      <c r="J6" s="308"/>
      <c r="K6" s="308"/>
      <c r="L6" s="308"/>
      <c r="M6" s="308"/>
      <c r="N6" s="3"/>
      <c r="O6" s="3"/>
    </row>
    <row r="7" spans="1:19" s="6" customFormat="1" ht="12" customHeight="1" x14ac:dyDescent="0.2">
      <c r="A7" s="5" t="s">
        <v>0</v>
      </c>
      <c r="E7" s="7"/>
    </row>
    <row r="8" spans="1:19" s="6" customFormat="1" x14ac:dyDescent="0.2">
      <c r="A8" s="6" t="s">
        <v>1</v>
      </c>
      <c r="E8" s="7"/>
    </row>
    <row r="10" spans="1:19" ht="25.5" customHeight="1" x14ac:dyDescent="0.25">
      <c r="A10" s="442"/>
      <c r="B10" s="444">
        <v>2021</v>
      </c>
      <c r="C10" s="444"/>
      <c r="D10" s="444"/>
      <c r="E10" s="8"/>
      <c r="F10" s="8"/>
      <c r="G10" s="9"/>
      <c r="H10" s="9"/>
      <c r="I10" s="10"/>
      <c r="L10" s="445" t="s">
        <v>2</v>
      </c>
      <c r="M10" s="446"/>
      <c r="N10" s="11"/>
    </row>
    <row r="11" spans="1:19" ht="45" customHeight="1" x14ac:dyDescent="0.25">
      <c r="A11" s="443"/>
      <c r="B11" s="12" t="s">
        <v>3</v>
      </c>
      <c r="C11" s="12" t="s">
        <v>4</v>
      </c>
      <c r="D11" s="12" t="s">
        <v>5</v>
      </c>
      <c r="E11" s="13"/>
      <c r="F11" s="8"/>
      <c r="G11" s="14" t="s">
        <v>6</v>
      </c>
      <c r="H11" s="15" t="s">
        <v>7</v>
      </c>
      <c r="I11" s="15" t="s">
        <v>8</v>
      </c>
      <c r="J11" s="15" t="s">
        <v>9</v>
      </c>
      <c r="K11" s="15" t="s">
        <v>10</v>
      </c>
      <c r="L11" s="16" t="s">
        <v>11</v>
      </c>
      <c r="M11" s="16" t="s">
        <v>12</v>
      </c>
    </row>
    <row r="12" spans="1:19" ht="15" customHeight="1" x14ac:dyDescent="0.25">
      <c r="A12" s="17" t="s">
        <v>13</v>
      </c>
      <c r="B12" s="18">
        <v>741.14</v>
      </c>
      <c r="C12" s="19">
        <v>741.14</v>
      </c>
      <c r="D12" s="18">
        <v>741.14</v>
      </c>
      <c r="E12" s="20"/>
      <c r="F12" s="8"/>
      <c r="G12" s="21" t="s">
        <v>13</v>
      </c>
      <c r="H12" s="22">
        <v>741.14</v>
      </c>
      <c r="I12" s="22">
        <v>741.14</v>
      </c>
      <c r="J12" s="22">
        <v>741.14</v>
      </c>
      <c r="K12" s="22">
        <v>741.14</v>
      </c>
      <c r="L12" s="23">
        <v>741.14</v>
      </c>
      <c r="M12" s="23">
        <v>741.14</v>
      </c>
    </row>
    <row r="13" spans="1:19" ht="15" customHeight="1" x14ac:dyDescent="0.25">
      <c r="A13" s="17" t="s">
        <v>14</v>
      </c>
      <c r="B13" s="18">
        <v>283</v>
      </c>
      <c r="C13" s="19">
        <v>253</v>
      </c>
      <c r="D13" s="18">
        <v>180</v>
      </c>
      <c r="E13" s="20"/>
      <c r="F13" s="8"/>
      <c r="G13" s="21" t="s">
        <v>15</v>
      </c>
      <c r="H13" s="22">
        <v>167</v>
      </c>
      <c r="I13" s="22">
        <v>125</v>
      </c>
      <c r="J13" s="22">
        <v>188</v>
      </c>
      <c r="K13" s="22">
        <v>180</v>
      </c>
      <c r="L13" s="24">
        <v>180</v>
      </c>
      <c r="M13" s="24">
        <v>180</v>
      </c>
    </row>
    <row r="14" spans="1:19" ht="14.25" customHeight="1" x14ac:dyDescent="0.25">
      <c r="A14" s="25" t="s">
        <v>16</v>
      </c>
      <c r="B14" s="26">
        <f>B13*42</f>
        <v>11886</v>
      </c>
      <c r="C14" s="26">
        <f t="shared" ref="C14:D14" si="0">C13*42</f>
        <v>10626</v>
      </c>
      <c r="D14" s="26">
        <f t="shared" si="0"/>
        <v>7560</v>
      </c>
      <c r="E14" s="27"/>
      <c r="F14" s="13"/>
      <c r="G14" s="28" t="s">
        <v>16</v>
      </c>
      <c r="H14" s="29">
        <f>H13*42</f>
        <v>7014</v>
      </c>
      <c r="I14" s="29">
        <f>I13*42</f>
        <v>5250</v>
      </c>
      <c r="J14" s="22">
        <f>42*J13</f>
        <v>7896</v>
      </c>
      <c r="K14" s="22">
        <f>42*K13</f>
        <v>7560</v>
      </c>
      <c r="L14" s="23">
        <f t="shared" ref="L14:M14" si="1">42*L13</f>
        <v>7560</v>
      </c>
      <c r="M14" s="23">
        <f t="shared" si="1"/>
        <v>7560</v>
      </c>
    </row>
    <row r="15" spans="1:19" ht="15" customHeight="1" x14ac:dyDescent="0.25">
      <c r="A15" s="30" t="s">
        <v>17</v>
      </c>
      <c r="B15" s="31">
        <f>B12+B14</f>
        <v>12627.14</v>
      </c>
      <c r="C15" s="31">
        <f t="shared" ref="C15:D15" si="2">C12+C14</f>
        <v>11367.14</v>
      </c>
      <c r="D15" s="31">
        <f t="shared" si="2"/>
        <v>8301.14</v>
      </c>
      <c r="E15" s="27"/>
      <c r="F15" s="13"/>
      <c r="G15" s="32" t="s">
        <v>18</v>
      </c>
      <c r="H15" s="22">
        <f t="shared" ref="H15:I15" si="3">H14+H12</f>
        <v>7755.14</v>
      </c>
      <c r="I15" s="22">
        <f t="shared" si="3"/>
        <v>5991.14</v>
      </c>
      <c r="J15" s="22">
        <f>J14+J12</f>
        <v>8637.14</v>
      </c>
      <c r="K15" s="22">
        <f>K14+K12</f>
        <v>8301.14</v>
      </c>
      <c r="L15" s="23">
        <f t="shared" ref="L15:M15" si="4">L14+L12</f>
        <v>8301.14</v>
      </c>
      <c r="M15" s="23">
        <f t="shared" si="4"/>
        <v>8301.14</v>
      </c>
      <c r="O15" s="33"/>
    </row>
    <row r="16" spans="1:19" ht="25.5" x14ac:dyDescent="0.25">
      <c r="A16" s="449" t="s">
        <v>19</v>
      </c>
      <c r="B16" s="449"/>
      <c r="C16" s="449"/>
      <c r="D16" s="449"/>
      <c r="E16" s="34">
        <f>B15+C15+D15</f>
        <v>32295.42</v>
      </c>
      <c r="F16" s="35"/>
      <c r="G16" s="36" t="s">
        <v>20</v>
      </c>
      <c r="H16" s="37">
        <v>0</v>
      </c>
      <c r="I16" s="37">
        <v>0</v>
      </c>
      <c r="J16" s="37">
        <v>0</v>
      </c>
      <c r="K16" s="37">
        <f t="shared" ref="K16:M16" si="5">K15*0.21</f>
        <v>1743.2393999999997</v>
      </c>
      <c r="L16" s="38">
        <f t="shared" si="5"/>
        <v>1743.2393999999997</v>
      </c>
      <c r="M16" s="38">
        <f t="shared" si="5"/>
        <v>1743.2393999999997</v>
      </c>
      <c r="N16" s="39"/>
      <c r="O16" s="9"/>
      <c r="P16" s="9"/>
      <c r="Q16" s="9"/>
      <c r="R16" s="9"/>
      <c r="S16" s="9"/>
    </row>
    <row r="17" spans="1:19" ht="12.75" customHeight="1" x14ac:dyDescent="0.25">
      <c r="D17" s="13"/>
      <c r="E17" s="13"/>
      <c r="G17" s="40" t="s">
        <v>21</v>
      </c>
      <c r="H17" s="41">
        <f>H15</f>
        <v>7755.14</v>
      </c>
      <c r="I17" s="41">
        <f t="shared" ref="I17" si="6">I15</f>
        <v>5991.14</v>
      </c>
      <c r="J17" s="41">
        <f>J15+J16</f>
        <v>8637.14</v>
      </c>
      <c r="K17" s="41">
        <f>K15+K16</f>
        <v>10044.3794</v>
      </c>
      <c r="L17" s="24">
        <f>L15+L16</f>
        <v>10044.3794</v>
      </c>
      <c r="M17" s="24">
        <f>M15+M16</f>
        <v>10044.3794</v>
      </c>
      <c r="N17" s="39"/>
      <c r="O17" s="42"/>
      <c r="P17" s="9"/>
      <c r="Q17" s="9"/>
      <c r="R17" s="9"/>
      <c r="S17" s="9"/>
    </row>
    <row r="18" spans="1:19" ht="12.75" customHeight="1" x14ac:dyDescent="0.25">
      <c r="D18" s="13"/>
      <c r="E18" s="13"/>
      <c r="G18" s="43"/>
      <c r="H18" s="450" t="s">
        <v>22</v>
      </c>
      <c r="I18" s="450"/>
      <c r="J18" s="450"/>
      <c r="K18" s="450"/>
      <c r="L18" s="450"/>
      <c r="M18" s="450"/>
      <c r="N18" s="24">
        <f>SUM(H17:M17)</f>
        <v>52516.558199999992</v>
      </c>
      <c r="O18" s="42"/>
      <c r="P18" s="9"/>
      <c r="Q18" s="9"/>
      <c r="R18" s="9"/>
      <c r="S18" s="9"/>
    </row>
    <row r="19" spans="1:19" ht="15" customHeight="1" x14ac:dyDescent="0.25">
      <c r="D19" s="13"/>
      <c r="E19" s="13"/>
      <c r="I19" s="44"/>
      <c r="J19" s="44"/>
      <c r="K19" s="44"/>
      <c r="L19" s="44"/>
      <c r="M19" s="44" t="s">
        <v>23</v>
      </c>
      <c r="N19" s="24">
        <v>40424</v>
      </c>
      <c r="O19" s="42"/>
      <c r="P19" s="9"/>
      <c r="Q19" s="9"/>
      <c r="R19" s="9"/>
      <c r="S19" s="9"/>
    </row>
    <row r="20" spans="1:19" ht="15" customHeight="1" x14ac:dyDescent="0.25">
      <c r="G20" s="9"/>
      <c r="H20" s="451" t="s">
        <v>24</v>
      </c>
      <c r="I20" s="451"/>
      <c r="J20" s="451"/>
      <c r="K20" s="451"/>
      <c r="L20" s="451"/>
      <c r="M20" s="451"/>
      <c r="N20" s="45">
        <f>N18-N19</f>
        <v>12092.558199999992</v>
      </c>
      <c r="P20" s="9"/>
      <c r="Q20" s="9"/>
      <c r="R20" s="9"/>
      <c r="S20" s="9"/>
    </row>
    <row r="21" spans="1:19" x14ac:dyDescent="0.25">
      <c r="G21" s="9"/>
      <c r="H21" s="9"/>
      <c r="I21" s="9"/>
      <c r="J21" s="9"/>
      <c r="K21" s="9"/>
      <c r="L21" s="9"/>
      <c r="M21" s="9"/>
      <c r="N21" s="46"/>
      <c r="O21" s="42"/>
      <c r="P21" s="9"/>
      <c r="Q21" s="9"/>
      <c r="R21" s="9"/>
      <c r="S21" s="9"/>
    </row>
    <row r="22" spans="1:19" x14ac:dyDescent="0.25">
      <c r="A22" s="47"/>
      <c r="B22" s="47"/>
      <c r="C22" s="47"/>
      <c r="G22" s="9"/>
      <c r="H22" s="452" t="s">
        <v>25</v>
      </c>
      <c r="I22" s="452"/>
      <c r="J22" s="452"/>
      <c r="K22" s="452"/>
      <c r="L22" s="452"/>
      <c r="M22" s="452"/>
      <c r="N22" s="48"/>
      <c r="O22" s="9"/>
      <c r="P22" s="9"/>
      <c r="Q22" s="9"/>
      <c r="R22" s="9"/>
      <c r="S22" s="9"/>
    </row>
    <row r="23" spans="1:19" ht="25.5" x14ac:dyDescent="0.25">
      <c r="G23" s="14" t="s">
        <v>26</v>
      </c>
      <c r="H23" s="16" t="s">
        <v>27</v>
      </c>
      <c r="I23" s="16" t="s">
        <v>28</v>
      </c>
      <c r="J23" s="16" t="s">
        <v>29</v>
      </c>
      <c r="K23" s="16" t="s">
        <v>30</v>
      </c>
      <c r="L23" s="16" t="s">
        <v>31</v>
      </c>
      <c r="M23" s="16" t="s">
        <v>32</v>
      </c>
    </row>
    <row r="24" spans="1:19" x14ac:dyDescent="0.25">
      <c r="G24" s="21" t="s">
        <v>13</v>
      </c>
      <c r="H24" s="23">
        <v>741.14</v>
      </c>
      <c r="I24" s="23">
        <v>741.14</v>
      </c>
      <c r="J24" s="23">
        <v>741.14</v>
      </c>
      <c r="K24" s="23">
        <v>741.14</v>
      </c>
      <c r="L24" s="23">
        <v>741.14</v>
      </c>
      <c r="M24" s="23">
        <v>741.14</v>
      </c>
      <c r="N24" s="49"/>
    </row>
    <row r="25" spans="1:19" x14ac:dyDescent="0.25">
      <c r="G25" s="21" t="s">
        <v>15</v>
      </c>
      <c r="H25" s="24">
        <v>180</v>
      </c>
      <c r="I25" s="24">
        <v>180</v>
      </c>
      <c r="J25" s="24">
        <v>180</v>
      </c>
      <c r="K25" s="24">
        <v>180</v>
      </c>
      <c r="L25" s="24">
        <v>180</v>
      </c>
      <c r="M25" s="24">
        <v>180</v>
      </c>
      <c r="N25" s="49"/>
    </row>
    <row r="26" spans="1:19" x14ac:dyDescent="0.25">
      <c r="G26" s="28" t="s">
        <v>16</v>
      </c>
      <c r="H26" s="50">
        <f>H25*42</f>
        <v>7560</v>
      </c>
      <c r="I26" s="50">
        <f>I25*42</f>
        <v>7560</v>
      </c>
      <c r="J26" s="23">
        <f>42*J25</f>
        <v>7560</v>
      </c>
      <c r="K26" s="23">
        <f>42*K25</f>
        <v>7560</v>
      </c>
      <c r="L26" s="23">
        <f t="shared" ref="L26:M26" si="7">42*L25</f>
        <v>7560</v>
      </c>
      <c r="M26" s="23">
        <f t="shared" si="7"/>
        <v>7560</v>
      </c>
      <c r="N26" s="49"/>
      <c r="O26" s="9"/>
      <c r="P26" s="51"/>
      <c r="Q26" s="9"/>
      <c r="R26" s="9"/>
      <c r="S26" s="9"/>
    </row>
    <row r="27" spans="1:19" s="47" customFormat="1" ht="15.75" customHeight="1" x14ac:dyDescent="0.25">
      <c r="A27" s="2"/>
      <c r="B27" s="2"/>
      <c r="C27" s="2"/>
      <c r="D27" s="2"/>
      <c r="E27" s="2"/>
      <c r="G27" s="32" t="s">
        <v>18</v>
      </c>
      <c r="H27" s="23">
        <f t="shared" ref="H27:I27" si="8">H26+H24</f>
        <v>8301.14</v>
      </c>
      <c r="I27" s="23">
        <f t="shared" si="8"/>
        <v>8301.14</v>
      </c>
      <c r="J27" s="23">
        <f>J26+J24</f>
        <v>8301.14</v>
      </c>
      <c r="K27" s="23">
        <f>K26+K24</f>
        <v>8301.14</v>
      </c>
      <c r="L27" s="23">
        <f t="shared" ref="L27:M27" si="9">L26+L24</f>
        <v>8301.14</v>
      </c>
      <c r="M27" s="23">
        <f t="shared" si="9"/>
        <v>8301.14</v>
      </c>
      <c r="N27" s="49"/>
      <c r="O27" s="42"/>
      <c r="P27" s="9"/>
      <c r="Q27" s="9"/>
      <c r="R27" s="9"/>
      <c r="S27" s="52"/>
    </row>
    <row r="28" spans="1:19" x14ac:dyDescent="0.25">
      <c r="A28" s="47"/>
      <c r="B28" s="47"/>
      <c r="C28" s="47"/>
      <c r="D28" s="47"/>
      <c r="E28" s="47"/>
      <c r="G28" s="53" t="s">
        <v>33</v>
      </c>
      <c r="H28" s="54">
        <f>H27*0.21</f>
        <v>1743.2393999999997</v>
      </c>
      <c r="I28" s="54">
        <f t="shared" ref="I28:M28" si="10">I27*0.21</f>
        <v>1743.2393999999997</v>
      </c>
      <c r="J28" s="54">
        <f t="shared" si="10"/>
        <v>1743.2393999999997</v>
      </c>
      <c r="K28" s="54">
        <f t="shared" si="10"/>
        <v>1743.2393999999997</v>
      </c>
      <c r="L28" s="54">
        <f t="shared" si="10"/>
        <v>1743.2393999999997</v>
      </c>
      <c r="M28" s="54">
        <f t="shared" si="10"/>
        <v>1743.2393999999997</v>
      </c>
      <c r="N28" s="49"/>
      <c r="O28" s="47"/>
      <c r="P28" s="47"/>
      <c r="Q28" s="47"/>
      <c r="R28" s="47"/>
    </row>
    <row r="29" spans="1:19" x14ac:dyDescent="0.25">
      <c r="G29" s="55" t="s">
        <v>21</v>
      </c>
      <c r="H29" s="56">
        <f t="shared" ref="H29:K29" si="11">H27+H28</f>
        <v>10044.3794</v>
      </c>
      <c r="I29" s="56">
        <f t="shared" si="11"/>
        <v>10044.3794</v>
      </c>
      <c r="J29" s="56">
        <f t="shared" si="11"/>
        <v>10044.3794</v>
      </c>
      <c r="K29" s="56">
        <f t="shared" si="11"/>
        <v>10044.3794</v>
      </c>
      <c r="L29" s="56">
        <f>L27+L28</f>
        <v>10044.3794</v>
      </c>
      <c r="M29" s="56">
        <f>M27+M28</f>
        <v>10044.3794</v>
      </c>
      <c r="N29" s="49"/>
      <c r="O29" s="57"/>
    </row>
    <row r="30" spans="1:19" ht="15" customHeight="1" x14ac:dyDescent="0.25">
      <c r="G30" s="58"/>
      <c r="H30" s="453" t="s">
        <v>34</v>
      </c>
      <c r="I30" s="453"/>
      <c r="J30" s="453"/>
      <c r="K30" s="453"/>
      <c r="L30" s="453"/>
      <c r="M30" s="453"/>
      <c r="N30" s="45">
        <f>SUM(H29:M29)</f>
        <v>60266.276399999995</v>
      </c>
      <c r="O30" s="57"/>
    </row>
    <row r="31" spans="1:19" x14ac:dyDescent="0.25">
      <c r="G31" s="58"/>
      <c r="H31" s="59"/>
      <c r="I31" s="59"/>
      <c r="J31" s="59"/>
      <c r="K31" s="59"/>
      <c r="L31" s="59"/>
      <c r="M31" s="59"/>
      <c r="N31" s="57"/>
      <c r="O31" s="57"/>
    </row>
    <row r="32" spans="1:19" x14ac:dyDescent="0.25">
      <c r="N32" s="60"/>
    </row>
    <row r="33" spans="1:15" ht="12.75" customHeight="1" x14ac:dyDescent="0.25">
      <c r="G33" s="58"/>
      <c r="H33" s="447" t="s">
        <v>35</v>
      </c>
      <c r="I33" s="447"/>
      <c r="J33" s="447"/>
      <c r="K33" s="447"/>
      <c r="L33" s="447"/>
      <c r="M33" s="447"/>
      <c r="N33" s="61">
        <f>N20+N30</f>
        <v>72358.834599999987</v>
      </c>
    </row>
    <row r="34" spans="1:15" ht="12.75" customHeight="1" x14ac:dyDescent="0.25">
      <c r="H34" s="447" t="s">
        <v>36</v>
      </c>
      <c r="I34" s="447"/>
      <c r="J34" s="447"/>
      <c r="K34" s="447"/>
      <c r="L34" s="447"/>
      <c r="M34" s="447"/>
      <c r="N34" s="62">
        <f>N30*2</f>
        <v>120532.55279999999</v>
      </c>
    </row>
    <row r="35" spans="1:15" x14ac:dyDescent="0.25">
      <c r="N35" s="60"/>
    </row>
    <row r="36" spans="1:15" ht="51" customHeight="1" x14ac:dyDescent="0.25">
      <c r="A36" s="448" t="s">
        <v>37</v>
      </c>
      <c r="B36" s="448"/>
      <c r="C36" s="448"/>
      <c r="D36" s="448"/>
      <c r="E36" s="448"/>
      <c r="F36" s="448"/>
      <c r="G36" s="448"/>
      <c r="H36" s="448"/>
      <c r="I36" s="448"/>
      <c r="J36" s="448"/>
      <c r="K36" s="448"/>
      <c r="L36" s="448"/>
      <c r="M36" s="448"/>
      <c r="N36" s="448"/>
    </row>
    <row r="37" spans="1:15" x14ac:dyDescent="0.25">
      <c r="M37" s="63"/>
      <c r="N37" s="64"/>
    </row>
    <row r="38" spans="1:15" x14ac:dyDescent="0.25">
      <c r="M38" s="65"/>
      <c r="N38" s="64"/>
      <c r="O38" s="65"/>
    </row>
    <row r="41" spans="1:15" x14ac:dyDescent="0.25">
      <c r="O41" s="65"/>
    </row>
    <row r="42" spans="1:15" x14ac:dyDescent="0.25">
      <c r="O42" s="65"/>
    </row>
    <row r="43" spans="1:15" x14ac:dyDescent="0.25">
      <c r="O43" s="57"/>
    </row>
    <row r="44" spans="1:15" x14ac:dyDescent="0.25">
      <c r="O44" s="65"/>
    </row>
    <row r="45" spans="1:15" x14ac:dyDescent="0.25">
      <c r="O45" s="65"/>
    </row>
  </sheetData>
  <mergeCells count="14">
    <mergeCell ref="H34:M34"/>
    <mergeCell ref="A36:N36"/>
    <mergeCell ref="A16:D16"/>
    <mergeCell ref="H18:M18"/>
    <mergeCell ref="H20:M20"/>
    <mergeCell ref="H22:M22"/>
    <mergeCell ref="H30:M30"/>
    <mergeCell ref="H33:M33"/>
    <mergeCell ref="A1:H1"/>
    <mergeCell ref="I1:N1"/>
    <mergeCell ref="A2:M2"/>
    <mergeCell ref="A10:A11"/>
    <mergeCell ref="B10:D10"/>
    <mergeCell ref="L10:M1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B3D6F-6C5B-494F-9AEF-22F104C167CF}">
  <dimension ref="A1:I19"/>
  <sheetViews>
    <sheetView tabSelected="1" zoomScale="90" zoomScaleNormal="90" workbookViewId="0">
      <selection activeCell="E29" sqref="E29"/>
    </sheetView>
  </sheetViews>
  <sheetFormatPr defaultColWidth="8.7109375" defaultRowHeight="15" x14ac:dyDescent="0.25"/>
  <cols>
    <col min="1" max="1" width="33.5703125" style="75" customWidth="1"/>
    <col min="2" max="2" width="10.85546875" style="75" customWidth="1"/>
    <col min="3" max="3" width="20.7109375" style="75" customWidth="1"/>
    <col min="4" max="4" width="20.28515625" style="75" customWidth="1"/>
    <col min="5" max="5" width="9.140625" style="75" bestFit="1" customWidth="1"/>
    <col min="6" max="16384" width="8.7109375" style="75"/>
  </cols>
  <sheetData>
    <row r="1" spans="1:9" x14ac:dyDescent="0.25">
      <c r="G1" s="316" t="s">
        <v>148</v>
      </c>
    </row>
    <row r="2" spans="1:9" ht="32.1" customHeight="1" x14ac:dyDescent="0.25">
      <c r="A2" s="455" t="s">
        <v>143</v>
      </c>
      <c r="B2" s="455"/>
      <c r="C2" s="455"/>
      <c r="D2" s="455"/>
      <c r="E2" s="455"/>
      <c r="F2" s="455"/>
      <c r="G2" s="455"/>
    </row>
    <row r="3" spans="1:9" x14ac:dyDescent="0.25">
      <c r="A3" s="456" t="s">
        <v>144</v>
      </c>
      <c r="B3" s="456"/>
      <c r="C3" s="456"/>
      <c r="D3" s="456"/>
      <c r="E3" s="456"/>
      <c r="F3" s="456"/>
      <c r="G3" s="456"/>
    </row>
    <row r="4" spans="1:9" x14ac:dyDescent="0.25">
      <c r="D4" s="316"/>
    </row>
    <row r="5" spans="1:9" s="309" customFormat="1" ht="15.75" x14ac:dyDescent="0.25">
      <c r="A5" s="310" t="s">
        <v>145</v>
      </c>
      <c r="C5" s="311"/>
      <c r="D5" s="311"/>
      <c r="E5" s="311"/>
      <c r="F5" s="311"/>
      <c r="G5" s="312"/>
      <c r="H5" s="312"/>
      <c r="I5" s="312"/>
    </row>
    <row r="6" spans="1:9" s="309" customFormat="1" ht="15.75" x14ac:dyDescent="0.25">
      <c r="A6" s="313" t="s">
        <v>146</v>
      </c>
      <c r="C6" s="314"/>
      <c r="D6" s="314"/>
      <c r="E6" s="314"/>
      <c r="F6" s="314"/>
      <c r="G6" s="312"/>
      <c r="H6" s="312"/>
      <c r="I6" s="312"/>
    </row>
    <row r="7" spans="1:9" s="309" customFormat="1" ht="15.75" x14ac:dyDescent="0.25">
      <c r="A7" s="313"/>
      <c r="C7" s="314"/>
      <c r="D7" s="314"/>
      <c r="E7" s="314"/>
      <c r="F7" s="314"/>
      <c r="G7" s="312"/>
      <c r="H7" s="312"/>
      <c r="I7" s="312"/>
    </row>
    <row r="8" spans="1:9" x14ac:dyDescent="0.25">
      <c r="B8" s="454" t="s">
        <v>159</v>
      </c>
      <c r="C8" s="454"/>
      <c r="D8" s="454"/>
    </row>
    <row r="9" spans="1:9" ht="30" x14ac:dyDescent="0.25">
      <c r="B9" s="318" t="s">
        <v>161</v>
      </c>
      <c r="C9" s="318" t="s">
        <v>160</v>
      </c>
      <c r="D9" s="318" t="s">
        <v>138</v>
      </c>
    </row>
    <row r="10" spans="1:9" x14ac:dyDescent="0.25">
      <c r="B10" s="319" t="s">
        <v>139</v>
      </c>
      <c r="C10" s="327">
        <v>34639.900000000023</v>
      </c>
      <c r="D10" s="320"/>
    </row>
    <row r="11" spans="1:9" x14ac:dyDescent="0.25">
      <c r="B11" s="319" t="s">
        <v>140</v>
      </c>
      <c r="C11" s="327">
        <v>36197.790000000008</v>
      </c>
      <c r="D11" s="321">
        <f>C11/C10-1</f>
        <v>4.4973859624305668E-2</v>
      </c>
    </row>
    <row r="12" spans="1:9" x14ac:dyDescent="0.25">
      <c r="B12" s="319" t="s">
        <v>141</v>
      </c>
      <c r="C12" s="327">
        <v>46777.680000000008</v>
      </c>
      <c r="D12" s="321">
        <f>C12/C11-1</f>
        <v>0.29227999830928897</v>
      </c>
    </row>
    <row r="13" spans="1:9" x14ac:dyDescent="0.25">
      <c r="B13" s="322" t="s">
        <v>76</v>
      </c>
      <c r="C13" s="328">
        <v>117615.37000000004</v>
      </c>
      <c r="D13" s="323"/>
    </row>
    <row r="14" spans="1:9" x14ac:dyDescent="0.25">
      <c r="B14" s="324"/>
      <c r="C14" s="326" t="s">
        <v>152</v>
      </c>
      <c r="D14" s="358">
        <f>C12*12</f>
        <v>561332.16000000015</v>
      </c>
    </row>
    <row r="15" spans="1:9" x14ac:dyDescent="0.25">
      <c r="B15" s="324"/>
      <c r="C15" s="326" t="s">
        <v>162</v>
      </c>
      <c r="D15" s="358">
        <f>ROUND(D14+D14*34.791%,)</f>
        <v>756625</v>
      </c>
    </row>
    <row r="16" spans="1:9" ht="54.75" customHeight="1" x14ac:dyDescent="0.25">
      <c r="A16" s="457" t="s">
        <v>154</v>
      </c>
      <c r="B16" s="457"/>
      <c r="C16" s="457"/>
      <c r="D16" s="358">
        <v>1691835</v>
      </c>
      <c r="E16" s="330"/>
      <c r="F16" s="330"/>
    </row>
    <row r="17" spans="2:6" x14ac:dyDescent="0.25">
      <c r="B17" s="324"/>
      <c r="C17" s="325" t="s">
        <v>153</v>
      </c>
      <c r="D17" s="359">
        <f>D16-D15</f>
        <v>935210</v>
      </c>
      <c r="F17" s="330"/>
    </row>
    <row r="18" spans="2:6" x14ac:dyDescent="0.25">
      <c r="B18" s="324"/>
      <c r="C18" s="326"/>
      <c r="D18" s="360"/>
    </row>
    <row r="19" spans="2:6" x14ac:dyDescent="0.25">
      <c r="D19" s="330"/>
      <c r="E19" s="317"/>
      <c r="F19" s="317"/>
    </row>
  </sheetData>
  <mergeCells count="4">
    <mergeCell ref="B8:D8"/>
    <mergeCell ref="A2:G2"/>
    <mergeCell ref="A3:G3"/>
    <mergeCell ref="A16:C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1.piel_PRC 2022</vt:lpstr>
      <vt:lpstr>2.piel_PRC 2023-un turp.</vt:lpstr>
      <vt:lpstr>3.piel_Pusaudžu tālrunis</vt:lpstr>
      <vt:lpstr>4.piel_Pārdales aprēķini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 Batare</dc:creator>
  <cp:lastModifiedBy>Svetlana Batare</cp:lastModifiedBy>
  <dcterms:created xsi:type="dcterms:W3CDTF">2022-05-20T06:11:11Z</dcterms:created>
  <dcterms:modified xsi:type="dcterms:W3CDTF">2022-05-27T07:23:24Z</dcterms:modified>
</cp:coreProperties>
</file>