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726"/>
  <workbookPr defaultThemeVersion="166925"/>
  <mc:AlternateContent xmlns:mc="http://schemas.openxmlformats.org/markup-compatibility/2006">
    <mc:Choice Requires="x15">
      <x15ac:absPath xmlns:x15ac="http://schemas.microsoft.com/office/spreadsheetml/2010/11/ac" url="\\vnozare.pri\vm\Redirect_profiles\VM_Rimma_Belikova\Desktop\vecie dokumenti\Jaunie dokumenti\Jaunais psih\final\MK\"/>
    </mc:Choice>
  </mc:AlternateContent>
  <xr:revisionPtr revIDLastSave="0" documentId="13_ncr:1_{000A6672-DEA6-4D99-BD51-E0663BB8DB55}" xr6:coauthVersionLast="47" xr6:coauthVersionMax="47" xr10:uidLastSave="{00000000-0000-0000-0000-000000000000}"/>
  <bookViews>
    <workbookView xWindow="-110" yWindow="-110" windowWidth="19420" windowHeight="10420" tabRatio="865" xr2:uid="{9FA2B793-1BAE-40C6-B82C-4EAF01102AF2}"/>
  </bookViews>
  <sheets>
    <sheet name="Kopsavilkums" sheetId="1" r:id="rId1"/>
    <sheet name="1.3." sheetId="2" r:id="rId2"/>
    <sheet name="1.4." sheetId="14" r:id="rId3"/>
    <sheet name="1.5." sheetId="15" r:id="rId4"/>
    <sheet name="1.6." sheetId="16" r:id="rId5"/>
    <sheet name="2.2." sheetId="20" r:id="rId6"/>
    <sheet name="2.3." sheetId="4" r:id="rId7"/>
    <sheet name="2.4." sheetId="8" r:id="rId8"/>
    <sheet name="2.5." sheetId="3" r:id="rId9"/>
    <sheet name="2.6." sheetId="19" r:id="rId10"/>
    <sheet name="2.7." sheetId="32" r:id="rId11"/>
    <sheet name="2.8." sheetId="21" r:id="rId12"/>
    <sheet name="2.10." sheetId="25" r:id="rId13"/>
    <sheet name="2.9." sheetId="23" r:id="rId14"/>
    <sheet name="2.11." sheetId="22" r:id="rId15"/>
    <sheet name="3.1." sheetId="30" r:id="rId16"/>
    <sheet name="3.2." sheetId="6" r:id="rId17"/>
    <sheet name="4.1." sheetId="11" r:id="rId18"/>
    <sheet name="4.3." sheetId="12" r:id="rId19"/>
    <sheet name="4.4." sheetId="24" r:id="rId20"/>
    <sheet name="5.1.1." sheetId="29" r:id="rId21"/>
    <sheet name="5.1.2." sheetId="13" r:id="rId22"/>
    <sheet name="6.3." sheetId="27" r:id="rId23"/>
    <sheet name="6.5." sheetId="28" r:id="rId24"/>
  </sheets>
  <externalReferences>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s>
  <definedNames>
    <definedName name="_1_2_d_NMP_lim" localSheetId="2">#REF!</definedName>
    <definedName name="_1_2_d_NMP_lim" localSheetId="3">#REF!</definedName>
    <definedName name="_1_2_d_NMP_lim" localSheetId="4">#REF!</definedName>
    <definedName name="_1_2_d_NMP_lim">#REF!</definedName>
    <definedName name="_xlnm._FilterDatabase" localSheetId="2" hidden="1">'1.4.'!$A$11:$Y$47</definedName>
    <definedName name="aa" localSheetId="2">#REF!</definedName>
    <definedName name="aa" localSheetId="3">#REF!</definedName>
    <definedName name="aa">#REF!</definedName>
    <definedName name="_xlnm.Auto_Open" localSheetId="2">#REF!</definedName>
    <definedName name="_xlnm.Auto_Open" localSheetId="3">#REF!</definedName>
    <definedName name="_xlnm.Auto_Open" localSheetId="4">#REF!</definedName>
    <definedName name="_xlnm.Auto_Open">#REF!</definedName>
    <definedName name="b" localSheetId="2">#REF!</definedName>
    <definedName name="b" localSheetId="3">#REF!</definedName>
    <definedName name="b" localSheetId="4">#REF!</definedName>
    <definedName name="b">#REF!</definedName>
    <definedName name="BEx3ATHHUCGCIRND8KLAREDV3L40" localSheetId="2" hidden="1">[1]HEADER!#REF!</definedName>
    <definedName name="BEx3ATHHUCGCIRND8KLAREDV3L40" hidden="1">[1]HEADER!#REF!</definedName>
    <definedName name="BEx3QB2RILYEXIROLAFCWQMOJXMN" localSheetId="2" hidden="1">[1]HEADER!#REF!</definedName>
    <definedName name="BEx3QB2RILYEXIROLAFCWQMOJXMN" hidden="1">[1]HEADER!#REF!</definedName>
    <definedName name="BEx3RIJ9LXPXWNF4BFBFA4ILG6AY" localSheetId="2" hidden="1">[1]HEADER!#REF!</definedName>
    <definedName name="BEx3RIJ9LXPXWNF4BFBFA4ILG6AY" hidden="1">[1]HEADER!#REF!</definedName>
    <definedName name="BEx3T3XEKJ0I8634YNR6MPN3OBQL" localSheetId="2" hidden="1">[1]HEADER!#REF!</definedName>
    <definedName name="BEx3T3XEKJ0I8634YNR6MPN3OBQL" hidden="1">[1]HEADER!#REF!</definedName>
    <definedName name="BEx73MBHXPGN5MLC2IC6RCMRLO6D" hidden="1">[1]HEADER!#REF!</definedName>
    <definedName name="BEx7KKYHXVDNTR0VZKUAIUQCSOP9" hidden="1">[1]HEADER!#REF!</definedName>
    <definedName name="BEx9EDPXWEPLE7S1KH5K8GGFZKC0" hidden="1">[1]HEADER!#REF!</definedName>
    <definedName name="BExBE9K6C6Q27ZVX3WOCP2J41BHY" hidden="1">[1]HEADER!#REF!</definedName>
    <definedName name="BExCQGR4Z3D1E5XRGMT5VWBAFBXW" hidden="1">[1]ZQZBC_PLN__04_03_10!#REF!</definedName>
    <definedName name="BExMP7OQLL0R8VO1CGH6H677G4ZU" hidden="1">[1]HEADER!#REF!</definedName>
    <definedName name="BExO50CMJCMLOGHRH7OH9FMGVTSS" hidden="1">[1]HEADER!#REF!</definedName>
    <definedName name="BExOA3RQ9DFFMJC5QYZ23ZT9RUN8" hidden="1">[1]HEADER!#REF!</definedName>
    <definedName name="BExS6S40JMF44ZTMXW3UE4WW9B54" hidden="1">[1]HEADER!#REF!</definedName>
    <definedName name="BExU5I577AMALET6AIZ4P1LRV9CU" hidden="1">[1]ZQZBC_PLN__04_03_10!#REF!</definedName>
    <definedName name="BExU7EBQBMZVYUSS9YS0I4JESH9L" hidden="1">[1]HEADER!#REF!</definedName>
    <definedName name="BExUC9I2YXGSCVE8W0KZ56D3E9UX" hidden="1">[1]HEADER!#REF!</definedName>
    <definedName name="BExZJQJI4H09EC94GXCLZDAB05VB" hidden="1">[1]HEADER!#REF!</definedName>
    <definedName name="bt" localSheetId="2">#REF!</definedName>
    <definedName name="bt" localSheetId="3">#REF!</definedName>
    <definedName name="bt">#REF!</definedName>
    <definedName name="BX" localSheetId="2">#REF!</definedName>
    <definedName name="BX" localSheetId="3">#REF!</definedName>
    <definedName name="BX">#REF!</definedName>
    <definedName name="CalendarYear" localSheetId="2">#REF!</definedName>
    <definedName name="CalendarYear" localSheetId="3">#REF!</definedName>
    <definedName name="CalendarYear">#REF!</definedName>
    <definedName name="ccc" localSheetId="3">#REF!</definedName>
    <definedName name="ccc">#REF!</definedName>
    <definedName name="d">#REF!</definedName>
    <definedName name="D_Evija3">#REF!</definedName>
    <definedName name="DaysAndWeeks" localSheetId="2">{0,1,2,3,4,5,6} + {0;1;2;3;4;5}*7</definedName>
    <definedName name="DaysAndWeeks" localSheetId="3">{0,1,2,3,4,5,6} + {0;1;2;3;4;5}*7</definedName>
    <definedName name="DaysAndWeeks" localSheetId="4">{0,1,2,3,4,5,6} + {0;1;2;3;4;5}*7</definedName>
    <definedName name="DaysAndWeeks">{0,1,2,3,4,5,6} + {0;1;2;3;4;5}*7</definedName>
    <definedName name="de" localSheetId="2">#REF!</definedName>
    <definedName name="de">#REF!</definedName>
    <definedName name="dff">#NAME?</definedName>
    <definedName name="dgdfs">#REF!</definedName>
    <definedName name="DRGNAMES" localSheetId="2">#REF!</definedName>
    <definedName name="DRGNAMES" localSheetId="3">#REF!</definedName>
    <definedName name="DRGNAMES" localSheetId="4">#REF!</definedName>
    <definedName name="DRGNAMES">#REF!</definedName>
    <definedName name="e" localSheetId="2">#REF!</definedName>
    <definedName name="e" localSheetId="3">#REF!</definedName>
    <definedName name="e" localSheetId="4">#REF!</definedName>
    <definedName name="e">#REF!</definedName>
    <definedName name="ee" localSheetId="2">#REF!</definedName>
    <definedName name="ee" localSheetId="3">#REF!</definedName>
    <definedName name="ee">#REF!</definedName>
    <definedName name="Excel_BuiltIn__FilterDatabase_2" localSheetId="3">#REF!</definedName>
    <definedName name="Excel_BuiltIn__FilterDatabase_2">#REF!</definedName>
    <definedName name="Excel_BuiltIn__FilterDatabase_3" localSheetId="3">#REF!</definedName>
    <definedName name="Excel_BuiltIn__FilterDatabase_3">#REF!</definedName>
    <definedName name="Excel_BuiltIn_Print_Titles_2" localSheetId="3">#REF!</definedName>
    <definedName name="Excel_BuiltIn_Print_Titles_2">#REF!</definedName>
    <definedName name="Excel_BuiltIn_Print_Titles_3" localSheetId="3">#REF!</definedName>
    <definedName name="Excel_BuiltIn_Print_Titles_3">#REF!</definedName>
    <definedName name="gad_skaits">#REF!</definedName>
    <definedName name="gad_skaits_1">#REF!</definedName>
    <definedName name="gala" localSheetId="2">{0,1,2,3,4,5,6} + {0;1;2;3;4;5}*7</definedName>
    <definedName name="gala" localSheetId="3">{0,1,2,3,4,5,6} + {0;1;2;3;4;5}*7</definedName>
    <definedName name="gala" localSheetId="4">{0,1,2,3,4,5,6} + {0;1;2;3;4;5}*7</definedName>
    <definedName name="gala">{0,1,2,3,4,5,6} + {0;1;2;3;4;5}*7</definedName>
    <definedName name="Gala_kopsavilkums" localSheetId="3">#REF!</definedName>
    <definedName name="Gala_kopsavilkums">#REF!</definedName>
    <definedName name="gggg" localSheetId="2">#REF!</definedName>
    <definedName name="gggg">#REF!</definedName>
    <definedName name="ghy">#REF!</definedName>
    <definedName name="h">#REF!</definedName>
    <definedName name="hh">#REF!</definedName>
    <definedName name="hjh">#REF!</definedName>
    <definedName name="hyh">#REF!</definedName>
    <definedName name="i">#REF!</definedName>
    <definedName name="izm.kods">#REF!</definedName>
    <definedName name="izm.kods_1" localSheetId="2">[2]izm.posteni!$A$2:$A$216</definedName>
    <definedName name="izm.kods_1" localSheetId="3">[2]izm.posteni!$A$2:$A$216</definedName>
    <definedName name="izm.kods_1" localSheetId="4">[2]izm.posteni!$A$2:$A$216</definedName>
    <definedName name="izm.kods_1">[3]izm.posteni!$A$2:$A$216</definedName>
    <definedName name="izm.nos" localSheetId="2">#REF!</definedName>
    <definedName name="izm.nos" localSheetId="3">#REF!</definedName>
    <definedName name="izm.nos" localSheetId="4">#REF!</definedName>
    <definedName name="izm.nos">#REF!</definedName>
    <definedName name="izm.nos_1" localSheetId="2">[2]izm.posteni!$B$2:$B$216</definedName>
    <definedName name="izm.nos_1" localSheetId="3">[2]izm.posteni!$B$2:$B$216</definedName>
    <definedName name="izm.nos_1" localSheetId="4">[2]izm.posteni!$B$2:$B$216</definedName>
    <definedName name="izm.nos_1">[3]izm.posteni!$B$2:$B$216</definedName>
    <definedName name="jhg" localSheetId="2">#REF!</definedName>
    <definedName name="jhg" localSheetId="3">#REF!</definedName>
    <definedName name="jhg" localSheetId="4">#REF!</definedName>
    <definedName name="jhg">#REF!</definedName>
    <definedName name="kk" localSheetId="2">#REF!</definedName>
    <definedName name="kk" localSheetId="3">#REF!</definedName>
    <definedName name="kk" localSheetId="4">#REF!</definedName>
    <definedName name="kk">#REF!</definedName>
    <definedName name="l" localSheetId="2">#REF!</definedName>
    <definedName name="l" localSheetId="3">#REF!</definedName>
    <definedName name="l" localSheetId="4">#REF!</definedName>
    <definedName name="l">#REF!</definedName>
    <definedName name="Limeni_7_9group">#REF!</definedName>
    <definedName name="Macro1" localSheetId="3">#REF!</definedName>
    <definedName name="Macro1">#REF!</definedName>
    <definedName name="Macro2" localSheetId="3">#REF!</definedName>
    <definedName name="Macro2">#REF!</definedName>
    <definedName name="Macro3" localSheetId="3">#REF!</definedName>
    <definedName name="Macro3">#REF!</definedName>
    <definedName name="Macro4" localSheetId="3">#REF!</definedName>
    <definedName name="Macro4">#REF!</definedName>
    <definedName name="Macro5" localSheetId="3">#REF!</definedName>
    <definedName name="Macro5">#REF!</definedName>
    <definedName name="Macro6" localSheetId="3">#REF!</definedName>
    <definedName name="Macro6">#REF!</definedName>
    <definedName name="Macro7" localSheetId="3">#REF!</definedName>
    <definedName name="Macro7">#REF!</definedName>
    <definedName name="Macro8" localSheetId="3">#REF!</definedName>
    <definedName name="Macro8">#REF!</definedName>
    <definedName name="mmm" hidden="1">[1]ZQZBC_PLN__04_03_10!#REF!</definedName>
    <definedName name="n" localSheetId="2">#REF!</definedName>
    <definedName name="n" localSheetId="3">#REF!</definedName>
    <definedName name="n">#REF!</definedName>
    <definedName name="P_Dati_rikojums" localSheetId="2">#REF!</definedName>
    <definedName name="P_Dati_rikojums" localSheetId="3">#REF!</definedName>
    <definedName name="P_Dati_rikojums">#REF!</definedName>
    <definedName name="pp" localSheetId="2">#REF!</definedName>
    <definedName name="pp" localSheetId="3">#REF!</definedName>
    <definedName name="pp">#REF!</definedName>
    <definedName name="_xlnm.Print_Area" localSheetId="0">Kopsavilkums!$A$1:$L$72</definedName>
    <definedName name="Recover" localSheetId="2">[4]Macro1!$A$135</definedName>
    <definedName name="Recover" localSheetId="3">[4]Macro1!$A$135</definedName>
    <definedName name="Recover">[5]Macro1!$A$80</definedName>
    <definedName name="Rikojums2222" localSheetId="2">[6]Macro1!$A$106</definedName>
    <definedName name="Rikojums2222" localSheetId="4">[7]Macro1!$A$106</definedName>
    <definedName name="Rikojums2222">[6]Macro1!$A$106</definedName>
    <definedName name="rr" localSheetId="2">#REF!</definedName>
    <definedName name="rr" localSheetId="3">#REF!</definedName>
    <definedName name="rr" localSheetId="4">#REF!</definedName>
    <definedName name="rr">#REF!</definedName>
    <definedName name="rt" localSheetId="2">#REF!</definedName>
    <definedName name="rt" localSheetId="3">#REF!</definedName>
    <definedName name="rt" localSheetId="4">#REF!</definedName>
    <definedName name="rt">#REF!</definedName>
    <definedName name="rty" localSheetId="2">#REF!</definedName>
    <definedName name="rty" localSheetId="3">#REF!</definedName>
    <definedName name="rty" localSheetId="4">#REF!</definedName>
    <definedName name="rty">#REF!</definedName>
    <definedName name="S5\">#REF!</definedName>
    <definedName name="ss">#REF!</definedName>
    <definedName name="Str.">#REF!</definedName>
    <definedName name="Str.vien.nos.">#REF!</definedName>
    <definedName name="Struktura">#REF!</definedName>
    <definedName name="Struktūrvien.kodi2">#REF!</definedName>
    <definedName name="Struktūrvien.kodi2_1" localSheetId="2">[2]strukturkodi!$B$2:$B$232</definedName>
    <definedName name="Struktūrvien.kodi2_1" localSheetId="3">[2]strukturkodi!$B$2:$B$232</definedName>
    <definedName name="Struktūrvien.kodi2_1" localSheetId="4">[2]strukturkodi!$B$2:$B$232</definedName>
    <definedName name="Struktūrvien.kodi2_1">[3]strukturkodi!$B$2:$B$232</definedName>
    <definedName name="Struktūrvien.kods" localSheetId="2">#REF!</definedName>
    <definedName name="Struktūrvien.kods" localSheetId="3">#REF!</definedName>
    <definedName name="Struktūrvien.kods" localSheetId="4">#REF!</definedName>
    <definedName name="Struktūrvien.kods">#REF!</definedName>
    <definedName name="Struktūrvien.kods_1" localSheetId="2">[2]strukturkodi!$A$2:$A$232</definedName>
    <definedName name="Struktūrvien.kods_1" localSheetId="3">[2]strukturkodi!$A$2:$A$232</definedName>
    <definedName name="Struktūrvien.kods_1" localSheetId="4">[2]strukturkodi!$A$2:$A$232</definedName>
    <definedName name="Struktūrvien.kods_1">[3]strukturkodi!$A$2:$A$232</definedName>
    <definedName name="T13l6" localSheetId="2">[8]ATSKAITE_2v!#REF!</definedName>
    <definedName name="T13l6" localSheetId="3">[9]ATSKAITE_2v!#REF!</definedName>
    <definedName name="T13l6">[8]ATSKAITE_2v!#REF!</definedName>
    <definedName name="TableName">"Dummy"</definedName>
    <definedName name="Tarifs_28" localSheetId="3">#REF!</definedName>
    <definedName name="Tarifs_28">#REF!</definedName>
    <definedName name="TWO_LINKS">'[10]8.1.'!$C$5</definedName>
    <definedName name="ty" localSheetId="2">#REF!</definedName>
    <definedName name="ty" localSheetId="3">#REF!</definedName>
    <definedName name="ty" localSheetId="4">#REF!</definedName>
    <definedName name="ty">#REF!</definedName>
    <definedName name="tyuj" localSheetId="2">#REF!</definedName>
    <definedName name="tyuj" localSheetId="3">#REF!</definedName>
    <definedName name="tyuj" localSheetId="4">#REF!</definedName>
    <definedName name="tyuj">#REF!</definedName>
    <definedName name="u" localSheetId="2">#REF!</definedName>
    <definedName name="u" localSheetId="3">#REF!</definedName>
    <definedName name="u" localSheetId="4">#REF!</definedName>
    <definedName name="u">#REF!</definedName>
    <definedName name="U_N_A">#REF!</definedName>
    <definedName name="wedr">#REF!</definedName>
    <definedName name="WeekStart" localSheetId="3">#REF!</definedName>
    <definedName name="WeekStart">#REF!</definedName>
    <definedName name="x">#REF!</definedName>
    <definedName name="XBD" localSheetId="2">[11]Dati!$B$6</definedName>
    <definedName name="XBD" localSheetId="3">[11]Dati!$B$6</definedName>
    <definedName name="XBD" localSheetId="4">[11]Dati!$B$6</definedName>
    <definedName name="XBD">[12]Dati!$B$6</definedName>
    <definedName name="XDD" localSheetId="2">[11]Dati!$B$4</definedName>
    <definedName name="XDD" localSheetId="3">[11]Dati!$B$4</definedName>
    <definedName name="XDD" localSheetId="4">[11]Dati!$B$4</definedName>
    <definedName name="XDD">[12]Dati!$B$4</definedName>
    <definedName name="XDS" localSheetId="2">[11]Dati!$B$5</definedName>
    <definedName name="XDS" localSheetId="3">[11]Dati!$B$5</definedName>
    <definedName name="XDS" localSheetId="4">[11]Dati!$B$5</definedName>
    <definedName name="XDS">[12]Dati!$B$5</definedName>
    <definedName name="XSVD" localSheetId="2">[11]Dati!$B$7</definedName>
    <definedName name="XSVD" localSheetId="3">[11]Dati!$B$7</definedName>
    <definedName name="XSVD" localSheetId="4">[11]Dati!$B$7</definedName>
    <definedName name="XSVD">[12]Dati!$B$7</definedName>
    <definedName name="xxxx" localSheetId="2">#REF!</definedName>
    <definedName name="xxxx" localSheetId="3">#REF!</definedName>
    <definedName name="xxxx" localSheetId="4">#REF!</definedName>
    <definedName name="xxxx">#REF!</definedName>
    <definedName name="yuh" localSheetId="2">#REF!</definedName>
    <definedName name="yuh" localSheetId="3">#REF!</definedName>
    <definedName name="yuh" localSheetId="4">#REF!</definedName>
    <definedName name="yuh">#REF!</definedName>
    <definedName name="yyyy" localSheetId="2">#REF!</definedName>
    <definedName name="yyyy" localSheetId="3">#REF!</definedName>
    <definedName name="yyyy" localSheetId="4">#REF!</definedName>
    <definedName name="yyyy">#REF!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 i="32" l="1"/>
  <c r="J8" i="32" s="1"/>
  <c r="J7" i="32"/>
  <c r="F8" i="32"/>
  <c r="G8" i="32"/>
  <c r="H8" i="32"/>
  <c r="I8" i="32"/>
  <c r="E8" i="32"/>
  <c r="H13" i="28" l="1"/>
  <c r="H13" i="27"/>
  <c r="J40" i="1"/>
  <c r="J38" i="1" s="1"/>
  <c r="G38" i="1"/>
  <c r="H38" i="1"/>
  <c r="I38" i="1"/>
  <c r="F38" i="1"/>
  <c r="F44" i="1"/>
  <c r="K40" i="1"/>
  <c r="F7" i="13"/>
  <c r="D7" i="22"/>
  <c r="K38" i="1" l="1"/>
  <c r="L40" i="1"/>
  <c r="L38" i="1" s="1"/>
  <c r="D16" i="22"/>
  <c r="E16" i="22" s="1"/>
  <c r="E14" i="8"/>
  <c r="C10" i="23"/>
  <c r="E10" i="6" l="1"/>
  <c r="D6" i="23"/>
  <c r="L37" i="1" l="1"/>
  <c r="G86" i="1" l="1"/>
  <c r="H86" i="1"/>
  <c r="F86" i="1"/>
  <c r="D15" i="30"/>
  <c r="E15" i="30" s="1"/>
  <c r="I11" i="30"/>
  <c r="D57" i="30" l="1"/>
  <c r="D56" i="30"/>
  <c r="C21" i="30"/>
  <c r="D21" i="30" s="1"/>
  <c r="D58" i="30"/>
  <c r="D6" i="30" l="1"/>
  <c r="L50" i="1" s="1"/>
  <c r="C6" i="30"/>
  <c r="K50" i="1" s="1"/>
  <c r="C7" i="30"/>
  <c r="D7" i="30" l="1"/>
  <c r="E6" i="30"/>
  <c r="E7" i="30" s="1"/>
  <c r="G49" i="1" l="1"/>
  <c r="H49" i="1"/>
  <c r="I49" i="1"/>
  <c r="J49" i="1"/>
  <c r="F49" i="1"/>
  <c r="G44" i="1"/>
  <c r="G25" i="1" s="1"/>
  <c r="H44" i="1"/>
  <c r="H25" i="1" s="1"/>
  <c r="I44" i="1"/>
  <c r="J44" i="1"/>
  <c r="F25" i="1"/>
  <c r="G13" i="1" l="1"/>
  <c r="H13" i="1"/>
  <c r="F13" i="1"/>
  <c r="G67" i="1"/>
  <c r="H67" i="1"/>
  <c r="I67" i="1"/>
  <c r="J67" i="1"/>
  <c r="K67" i="1"/>
  <c r="L67" i="1"/>
  <c r="F67" i="1"/>
  <c r="G88" i="1" l="1"/>
  <c r="H88" i="1"/>
  <c r="I88" i="1"/>
  <c r="F88" i="1"/>
  <c r="F81" i="1"/>
  <c r="G85" i="1"/>
  <c r="H85" i="1"/>
  <c r="F85" i="1"/>
  <c r="F62" i="1"/>
  <c r="G62" i="1"/>
  <c r="H62" i="1"/>
  <c r="G81" i="1"/>
  <c r="H81" i="1"/>
  <c r="G83" i="1"/>
  <c r="H83" i="1"/>
  <c r="I83" i="1"/>
  <c r="J83" i="1"/>
  <c r="K83" i="1"/>
  <c r="L83" i="1"/>
  <c r="G84" i="1"/>
  <c r="H84" i="1"/>
  <c r="G87" i="1"/>
  <c r="H87" i="1"/>
  <c r="I87" i="1"/>
  <c r="G89" i="1"/>
  <c r="H89" i="1"/>
  <c r="I89" i="1"/>
  <c r="J89" i="1"/>
  <c r="K89" i="1"/>
  <c r="L89" i="1"/>
  <c r="F89" i="1"/>
  <c r="F87" i="1"/>
  <c r="F84" i="1"/>
  <c r="F83" i="1"/>
  <c r="I21" i="29"/>
  <c r="F21" i="29"/>
  <c r="C21" i="29"/>
  <c r="K18" i="29"/>
  <c r="K16" i="29"/>
  <c r="H16" i="29"/>
  <c r="E16" i="29"/>
  <c r="K15" i="29"/>
  <c r="H15" i="29"/>
  <c r="E15" i="29"/>
  <c r="K13" i="29"/>
  <c r="H13" i="29"/>
  <c r="K12" i="29"/>
  <c r="H12" i="29"/>
  <c r="K11" i="29"/>
  <c r="H11" i="29"/>
  <c r="E11" i="29"/>
  <c r="K9" i="29"/>
  <c r="K8" i="29"/>
  <c r="H8" i="29"/>
  <c r="H21" i="29" s="1"/>
  <c r="E8" i="29"/>
  <c r="I20" i="15"/>
  <c r="D11" i="25"/>
  <c r="F11" i="25" s="1"/>
  <c r="G11" i="25" s="1"/>
  <c r="I18" i="25"/>
  <c r="D10" i="25"/>
  <c r="F10" i="25" s="1"/>
  <c r="E18" i="25"/>
  <c r="D18" i="25"/>
  <c r="I64" i="1"/>
  <c r="I25" i="19"/>
  <c r="I24" i="19"/>
  <c r="I23" i="19"/>
  <c r="H25" i="19"/>
  <c r="H24" i="19"/>
  <c r="J24" i="19" s="1"/>
  <c r="L24" i="19" s="1"/>
  <c r="H23" i="19"/>
  <c r="L32" i="19"/>
  <c r="L33" i="19"/>
  <c r="L34" i="19"/>
  <c r="L35" i="19"/>
  <c r="K31" i="19"/>
  <c r="L31" i="19" s="1"/>
  <c r="G14" i="8"/>
  <c r="G15" i="8" s="1"/>
  <c r="F14" i="8"/>
  <c r="F15" i="8" s="1"/>
  <c r="D11" i="24"/>
  <c r="D10" i="24"/>
  <c r="N10" i="2"/>
  <c r="O10" i="2" s="1"/>
  <c r="J11" i="2"/>
  <c r="H11" i="2"/>
  <c r="F17" i="2"/>
  <c r="H17" i="2"/>
  <c r="C11" i="2"/>
  <c r="G27" i="1"/>
  <c r="H27" i="1"/>
  <c r="I27" i="1"/>
  <c r="J27" i="1"/>
  <c r="K27" i="1"/>
  <c r="L27" i="1"/>
  <c r="F27" i="1"/>
  <c r="F7" i="3"/>
  <c r="L34" i="1" s="1"/>
  <c r="E7" i="3"/>
  <c r="K34" i="1" s="1"/>
  <c r="D7" i="3"/>
  <c r="J34" i="1" s="1"/>
  <c r="E27" i="25"/>
  <c r="E26" i="25"/>
  <c r="E25" i="25"/>
  <c r="E24" i="25"/>
  <c r="E23" i="25"/>
  <c r="E22" i="25"/>
  <c r="I12" i="22"/>
  <c r="I35" i="3"/>
  <c r="G35" i="3"/>
  <c r="C6" i="3"/>
  <c r="E35" i="3"/>
  <c r="K26" i="19"/>
  <c r="K21" i="29" l="1"/>
  <c r="L36" i="19"/>
  <c r="E11" i="25"/>
  <c r="G90" i="1"/>
  <c r="H91" i="1"/>
  <c r="F91" i="1"/>
  <c r="H90" i="1"/>
  <c r="G91" i="1"/>
  <c r="F90" i="1"/>
  <c r="H11" i="25"/>
  <c r="I11" i="25" s="1"/>
  <c r="E21" i="29"/>
  <c r="I63" i="1" s="1"/>
  <c r="I81" i="1" s="1"/>
  <c r="J63" i="1"/>
  <c r="J81" i="1" s="1"/>
  <c r="K63" i="1"/>
  <c r="K81" i="1" s="1"/>
  <c r="J64" i="1"/>
  <c r="I84" i="1"/>
  <c r="L26" i="1"/>
  <c r="J23" i="19"/>
  <c r="L23" i="19" s="1"/>
  <c r="J25" i="19"/>
  <c r="L25" i="19" s="1"/>
  <c r="F18" i="25"/>
  <c r="H10" i="25"/>
  <c r="I10" i="25" s="1"/>
  <c r="G10" i="25"/>
  <c r="E10" i="25"/>
  <c r="E28" i="25"/>
  <c r="H14" i="8"/>
  <c r="H15" i="8" s="1"/>
  <c r="D9" i="8" s="1"/>
  <c r="E9" i="8" s="1"/>
  <c r="F9" i="8" s="1"/>
  <c r="F11" i="2"/>
  <c r="H26" i="19"/>
  <c r="F17" i="19"/>
  <c r="G17" i="19" s="1"/>
  <c r="F16" i="19"/>
  <c r="G16" i="19" s="1"/>
  <c r="H11" i="24"/>
  <c r="I11" i="24"/>
  <c r="J11" i="24" s="1"/>
  <c r="K11" i="24" s="1"/>
  <c r="H10" i="24"/>
  <c r="J12" i="11"/>
  <c r="I12" i="11"/>
  <c r="K55" i="1" s="1"/>
  <c r="K88" i="1" s="1"/>
  <c r="H12" i="11"/>
  <c r="J55" i="1" s="1"/>
  <c r="J88" i="1" s="1"/>
  <c r="G12" i="11"/>
  <c r="D12" i="11"/>
  <c r="J32" i="1" l="1"/>
  <c r="G18" i="25"/>
  <c r="J18" i="25" s="1"/>
  <c r="D5" i="25" s="1"/>
  <c r="J62" i="1"/>
  <c r="K64" i="1"/>
  <c r="L64" i="1" s="1"/>
  <c r="J84" i="1"/>
  <c r="L26" i="19"/>
  <c r="I10" i="24"/>
  <c r="J10" i="24" s="1"/>
  <c r="K10" i="24" s="1"/>
  <c r="L10" i="24" s="1"/>
  <c r="M10" i="24" s="1"/>
  <c r="E10" i="24"/>
  <c r="F10" i="24" s="1"/>
  <c r="E11" i="24"/>
  <c r="F11" i="24" s="1"/>
  <c r="F26" i="1"/>
  <c r="F24" i="1" s="1"/>
  <c r="G26" i="1"/>
  <c r="H26" i="1"/>
  <c r="H24" i="1" s="1"/>
  <c r="G10" i="24" l="1"/>
  <c r="C5" i="25"/>
  <c r="I43" i="1" s="1"/>
  <c r="E7" i="19"/>
  <c r="K36" i="1" s="1"/>
  <c r="K26" i="1" s="1"/>
  <c r="I58" i="1"/>
  <c r="I86" i="1" s="1"/>
  <c r="O10" i="24"/>
  <c r="K58" i="1" s="1"/>
  <c r="N10" i="24"/>
  <c r="J58" i="1" s="1"/>
  <c r="J86" i="1" s="1"/>
  <c r="D7" i="19"/>
  <c r="J36" i="1" s="1"/>
  <c r="J26" i="1" s="1"/>
  <c r="K32" i="1"/>
  <c r="G24" i="1"/>
  <c r="J26" i="19"/>
  <c r="F5" i="25" l="1"/>
  <c r="L43" i="1" s="1"/>
  <c r="E5" i="25"/>
  <c r="K43" i="1" s="1"/>
  <c r="J43" i="1"/>
  <c r="G9" i="1"/>
  <c r="G8" i="1" s="1"/>
  <c r="H9" i="1"/>
  <c r="H8" i="1" s="1"/>
  <c r="F9" i="1"/>
  <c r="F8" i="1" s="1"/>
  <c r="G61" i="1"/>
  <c r="G60" i="1" s="1"/>
  <c r="H61" i="1"/>
  <c r="H60" i="1" s="1"/>
  <c r="J61" i="1"/>
  <c r="J60" i="1" s="1"/>
  <c r="F61" i="1"/>
  <c r="F60" i="1" s="1"/>
  <c r="G54" i="1"/>
  <c r="G53" i="1" s="1"/>
  <c r="H54" i="1"/>
  <c r="H53" i="1" s="1"/>
  <c r="F54" i="1"/>
  <c r="F53" i="1" s="1"/>
  <c r="I26" i="1"/>
  <c r="I9" i="1" s="1"/>
  <c r="I8" i="1" s="1"/>
  <c r="J9" i="1"/>
  <c r="J8" i="1" s="1"/>
  <c r="K9" i="1"/>
  <c r="K8" i="1" s="1"/>
  <c r="L9" i="1"/>
  <c r="L8" i="1" s="1"/>
  <c r="G12" i="1"/>
  <c r="G11" i="1" s="1"/>
  <c r="H12" i="1"/>
  <c r="H11" i="1" s="1"/>
  <c r="F12" i="1"/>
  <c r="F11" i="1" s="1"/>
  <c r="J48" i="1"/>
  <c r="M15" i="21"/>
  <c r="M16" i="21"/>
  <c r="M17" i="21"/>
  <c r="M18" i="21"/>
  <c r="M19" i="21"/>
  <c r="M20" i="21"/>
  <c r="D9" i="21"/>
  <c r="K35" i="1"/>
  <c r="L35" i="1"/>
  <c r="J35" i="1"/>
  <c r="D57" i="22"/>
  <c r="F10" i="4"/>
  <c r="F11" i="4" s="1"/>
  <c r="K16" i="20"/>
  <c r="G16" i="20"/>
  <c r="F16" i="20"/>
  <c r="H16" i="20" s="1"/>
  <c r="I16" i="20" s="1"/>
  <c r="L16" i="20" s="1"/>
  <c r="K15" i="20"/>
  <c r="E15" i="20"/>
  <c r="C15" i="20"/>
  <c r="K14" i="20"/>
  <c r="D14" i="20"/>
  <c r="C14" i="20"/>
  <c r="K13" i="20"/>
  <c r="D13" i="20"/>
  <c r="C13" i="20"/>
  <c r="H13" i="20" s="1"/>
  <c r="I13" i="20" l="1"/>
  <c r="L13" i="20"/>
  <c r="H14" i="20"/>
  <c r="I14" i="20" s="1"/>
  <c r="L14" i="20" s="1"/>
  <c r="H15" i="20"/>
  <c r="I15" i="20" s="1"/>
  <c r="L15" i="20" s="1"/>
  <c r="I48" i="1"/>
  <c r="F48" i="1"/>
  <c r="F7" i="1"/>
  <c r="F6" i="1" s="1"/>
  <c r="H48" i="1"/>
  <c r="H7" i="1"/>
  <c r="H6" i="1" s="1"/>
  <c r="G48" i="1"/>
  <c r="G7" i="1"/>
  <c r="G6" i="1" s="1"/>
  <c r="A9" i="21"/>
  <c r="D59" i="22"/>
  <c r="D58" i="22"/>
  <c r="E6" i="22" s="1"/>
  <c r="C22" i="22"/>
  <c r="D22" i="22" s="1"/>
  <c r="C10" i="21" l="1"/>
  <c r="D10" i="21" s="1"/>
  <c r="K41" i="1" s="1"/>
  <c r="L41" i="1" s="1"/>
  <c r="B10" i="21"/>
  <c r="I41" i="1" s="1"/>
  <c r="I25" i="1" s="1"/>
  <c r="I24" i="1" s="1"/>
  <c r="C7" i="22"/>
  <c r="K46" i="1" s="1"/>
  <c r="C6" i="22"/>
  <c r="D6" i="22" s="1"/>
  <c r="J41" i="1"/>
  <c r="L17" i="20"/>
  <c r="A8" i="20" s="1"/>
  <c r="B8" i="20" s="1"/>
  <c r="J66" i="1"/>
  <c r="K30" i="1" l="1"/>
  <c r="J30" i="1"/>
  <c r="K45" i="1"/>
  <c r="K84" i="1" s="1"/>
  <c r="C8" i="22"/>
  <c r="L45" i="1"/>
  <c r="L84" i="1" s="1"/>
  <c r="D8" i="22"/>
  <c r="L66" i="1"/>
  <c r="K66" i="1"/>
  <c r="E7" i="22"/>
  <c r="E8" i="22" s="1"/>
  <c r="L46" i="1"/>
  <c r="I66" i="1"/>
  <c r="H66" i="1"/>
  <c r="G66" i="1"/>
  <c r="F66" i="1"/>
  <c r="L44" i="1" l="1"/>
  <c r="K44" i="1"/>
  <c r="F5" i="1"/>
  <c r="F92" i="1"/>
  <c r="G5" i="1"/>
  <c r="G92" i="1"/>
  <c r="H5" i="1"/>
  <c r="H92" i="1"/>
  <c r="L30" i="1"/>
  <c r="L17" i="1"/>
  <c r="B11" i="16"/>
  <c r="B12" i="16" s="1"/>
  <c r="C33" i="15"/>
  <c r="D31" i="15"/>
  <c r="D29" i="15"/>
  <c r="D28" i="15"/>
  <c r="D27" i="15"/>
  <c r="D26" i="15"/>
  <c r="D25" i="15"/>
  <c r="I21" i="15"/>
  <c r="F21" i="15"/>
  <c r="D21" i="15"/>
  <c r="C21" i="15"/>
  <c r="H20" i="15"/>
  <c r="H21" i="15" s="1"/>
  <c r="D33" i="15" l="1"/>
  <c r="J20" i="15"/>
  <c r="B13" i="16"/>
  <c r="B14" i="16" s="1"/>
  <c r="B15" i="16" s="1"/>
  <c r="I19" i="1" s="1"/>
  <c r="K20" i="15" l="1"/>
  <c r="L20" i="15" s="1"/>
  <c r="J21" i="15"/>
  <c r="I54" i="1"/>
  <c r="I53" i="1" l="1"/>
  <c r="J19" i="1"/>
  <c r="K19" i="1" s="1"/>
  <c r="L19" i="1" s="1"/>
  <c r="K21" i="15"/>
  <c r="L58" i="1"/>
  <c r="L21" i="15" l="1"/>
  <c r="C10" i="15" l="1"/>
  <c r="I18" i="1" s="1"/>
  <c r="I85" i="1" l="1"/>
  <c r="I13" i="1"/>
  <c r="J18" i="1"/>
  <c r="K18" i="1" s="1"/>
  <c r="L18" i="1" s="1"/>
  <c r="I12" i="1"/>
  <c r="I11" i="1" s="1"/>
  <c r="I90" i="1"/>
  <c r="I91" i="1"/>
  <c r="F48" i="14"/>
  <c r="E48" i="14"/>
  <c r="D48" i="14"/>
  <c r="J46" i="14"/>
  <c r="G46" i="14"/>
  <c r="J45" i="14"/>
  <c r="H45" i="14"/>
  <c r="G45" i="14"/>
  <c r="J44" i="14"/>
  <c r="G44" i="14"/>
  <c r="R43" i="14"/>
  <c r="J43" i="14"/>
  <c r="G43" i="14"/>
  <c r="J42" i="14"/>
  <c r="G42" i="14"/>
  <c r="J41" i="14"/>
  <c r="H41" i="14"/>
  <c r="G41" i="14"/>
  <c r="J40" i="14"/>
  <c r="G40" i="14"/>
  <c r="R39" i="14"/>
  <c r="J39" i="14"/>
  <c r="G39" i="14"/>
  <c r="J38" i="14"/>
  <c r="H38" i="14"/>
  <c r="G38" i="14"/>
  <c r="J37" i="14"/>
  <c r="H37" i="14"/>
  <c r="G37" i="14"/>
  <c r="R36" i="14"/>
  <c r="J36" i="14"/>
  <c r="G36" i="14"/>
  <c r="J35" i="14"/>
  <c r="H35" i="14"/>
  <c r="G35" i="14"/>
  <c r="J34" i="14"/>
  <c r="G34" i="14"/>
  <c r="R33" i="14"/>
  <c r="J33" i="14"/>
  <c r="G33" i="14"/>
  <c r="J32" i="14"/>
  <c r="H32" i="14"/>
  <c r="G32" i="14"/>
  <c r="J31" i="14"/>
  <c r="G31" i="14"/>
  <c r="R30" i="14"/>
  <c r="J30" i="14"/>
  <c r="G30" i="14"/>
  <c r="J29" i="14"/>
  <c r="H29" i="14"/>
  <c r="G29" i="14"/>
  <c r="J28" i="14"/>
  <c r="G28" i="14"/>
  <c r="R27" i="14"/>
  <c r="J27" i="14"/>
  <c r="G27" i="14"/>
  <c r="U26" i="14"/>
  <c r="J25" i="14"/>
  <c r="H25" i="14"/>
  <c r="G25" i="14"/>
  <c r="J24" i="14"/>
  <c r="G24" i="14"/>
  <c r="R23" i="14"/>
  <c r="J23" i="14"/>
  <c r="G23" i="14"/>
  <c r="U22" i="14"/>
  <c r="J21" i="14"/>
  <c r="H21" i="14"/>
  <c r="G21" i="14"/>
  <c r="J20" i="14"/>
  <c r="G20" i="14"/>
  <c r="R19" i="14"/>
  <c r="J19" i="14"/>
  <c r="G19" i="14"/>
  <c r="U18" i="14"/>
  <c r="R17" i="14"/>
  <c r="J17" i="14"/>
  <c r="G17" i="14"/>
  <c r="R16" i="14"/>
  <c r="J16" i="14"/>
  <c r="H16" i="14"/>
  <c r="G16" i="14"/>
  <c r="R15" i="14"/>
  <c r="J15" i="14"/>
  <c r="G15" i="14"/>
  <c r="R14" i="14"/>
  <c r="J14" i="14"/>
  <c r="H14" i="14"/>
  <c r="G14" i="14"/>
  <c r="J13" i="14"/>
  <c r="G13" i="14"/>
  <c r="R12" i="14"/>
  <c r="J12" i="14"/>
  <c r="G12" i="14"/>
  <c r="L30" i="14" l="1"/>
  <c r="M30" i="14" s="1"/>
  <c r="S30" i="14" s="1"/>
  <c r="L20" i="14"/>
  <c r="L36" i="14"/>
  <c r="L25" i="14"/>
  <c r="L31" i="14"/>
  <c r="M31" i="14" s="1"/>
  <c r="S31" i="14" s="1"/>
  <c r="L43" i="14"/>
  <c r="M43" i="14" s="1"/>
  <c r="S43" i="14" s="1"/>
  <c r="L23" i="14"/>
  <c r="M23" i="14" s="1"/>
  <c r="S23" i="14" s="1"/>
  <c r="L32" i="14"/>
  <c r="M32" i="14" s="1"/>
  <c r="S32" i="14" s="1"/>
  <c r="L38" i="14"/>
  <c r="M38" i="14" s="1"/>
  <c r="S38" i="14" s="1"/>
  <c r="L17" i="14"/>
  <c r="M17" i="14" s="1"/>
  <c r="S17" i="14" s="1"/>
  <c r="U17" i="14" s="1"/>
  <c r="L21" i="14"/>
  <c r="L42" i="14"/>
  <c r="L46" i="14"/>
  <c r="L13" i="14"/>
  <c r="M13" i="14" s="1"/>
  <c r="S13" i="14" s="1"/>
  <c r="L19" i="14"/>
  <c r="M19" i="14" s="1"/>
  <c r="S19" i="14" s="1"/>
  <c r="L14" i="14"/>
  <c r="L44" i="14"/>
  <c r="M44" i="14" s="1"/>
  <c r="S44" i="14" s="1"/>
  <c r="L39" i="14"/>
  <c r="M39" i="14" s="1"/>
  <c r="S39" i="14" s="1"/>
  <c r="L28" i="14"/>
  <c r="L16" i="14"/>
  <c r="L29" i="14"/>
  <c r="M29" i="14" s="1"/>
  <c r="S29" i="14" s="1"/>
  <c r="L34" i="14"/>
  <c r="M34" i="14" s="1"/>
  <c r="S34" i="14" s="1"/>
  <c r="L40" i="14"/>
  <c r="M40" i="14" s="1"/>
  <c r="S40" i="14" s="1"/>
  <c r="L12" i="14"/>
  <c r="M12" i="14" s="1"/>
  <c r="S12" i="14" s="1"/>
  <c r="L35" i="14"/>
  <c r="M35" i="14" s="1"/>
  <c r="S35" i="14" s="1"/>
  <c r="L37" i="14"/>
  <c r="M37" i="14" s="1"/>
  <c r="S37" i="14" s="1"/>
  <c r="L15" i="14"/>
  <c r="L27" i="14"/>
  <c r="L24" i="14"/>
  <c r="L33" i="14"/>
  <c r="M33" i="14" s="1"/>
  <c r="S33" i="14" s="1"/>
  <c r="L41" i="14"/>
  <c r="M41" i="14" s="1"/>
  <c r="S41" i="14" s="1"/>
  <c r="L45" i="14"/>
  <c r="M45" i="14" s="1"/>
  <c r="S45" i="14" s="1"/>
  <c r="M24" i="14"/>
  <c r="S24" i="14" s="1"/>
  <c r="M21" i="14"/>
  <c r="S21" i="14" s="1"/>
  <c r="M36" i="14"/>
  <c r="S36" i="14" s="1"/>
  <c r="M28" i="14"/>
  <c r="S28" i="14" s="1"/>
  <c r="M42" i="14"/>
  <c r="S42" i="14" s="1"/>
  <c r="M16" i="14"/>
  <c r="S16" i="14" s="1"/>
  <c r="U16" i="14" s="1"/>
  <c r="M46" i="14"/>
  <c r="S46" i="14" s="1"/>
  <c r="M20" i="14"/>
  <c r="S20" i="14" s="1"/>
  <c r="M15" i="14"/>
  <c r="S15" i="14" s="1"/>
  <c r="U15" i="14" s="1"/>
  <c r="M27" i="14"/>
  <c r="S27" i="14" s="1"/>
  <c r="M25" i="14"/>
  <c r="S25" i="14" s="1"/>
  <c r="U30" i="14" l="1"/>
  <c r="M14" i="14"/>
  <c r="S14" i="14" s="1"/>
  <c r="U14" i="14" s="1"/>
  <c r="U19" i="14"/>
  <c r="U39" i="14"/>
  <c r="U23" i="14"/>
  <c r="U36" i="14"/>
  <c r="U33" i="14"/>
  <c r="U43" i="14"/>
  <c r="U27" i="14"/>
  <c r="U12" i="14"/>
  <c r="U47" i="14" l="1"/>
  <c r="U51" i="14" s="1"/>
  <c r="K57" i="1" l="1"/>
  <c r="K87" i="1" s="1"/>
  <c r="B13" i="12"/>
  <c r="J57" i="1" s="1"/>
  <c r="J87" i="1" s="1"/>
  <c r="L57" i="1" l="1"/>
  <c r="L87" i="1" s="1"/>
  <c r="J54" i="1"/>
  <c r="J53" i="1" s="1"/>
  <c r="K54" i="1" l="1"/>
  <c r="K53" i="1" l="1"/>
  <c r="L55" i="1"/>
  <c r="F10" i="6"/>
  <c r="L54" i="1" l="1"/>
  <c r="L53" i="1" s="1"/>
  <c r="L88" i="1"/>
  <c r="L32" i="1"/>
  <c r="G10" i="4"/>
  <c r="G11" i="4" s="1"/>
  <c r="J31" i="1"/>
  <c r="H10" i="4" l="1"/>
  <c r="H11" i="4" s="1"/>
  <c r="K31" i="1"/>
  <c r="G10" i="6"/>
  <c r="L31" i="1" l="1"/>
  <c r="E11" i="6"/>
  <c r="F11" i="6" l="1"/>
  <c r="K51" i="1" s="1"/>
  <c r="G11" i="6"/>
  <c r="L51" i="1" s="1"/>
  <c r="L49" i="1" l="1"/>
  <c r="L48" i="1" s="1"/>
  <c r="L86" i="1"/>
  <c r="K49" i="1"/>
  <c r="K48" i="1" s="1"/>
  <c r="K86" i="1"/>
  <c r="H25" i="3"/>
  <c r="I25" i="3"/>
  <c r="J25" i="3"/>
  <c r="K25" i="3" s="1"/>
  <c r="D11" i="3"/>
  <c r="C11" i="3"/>
  <c r="H26" i="3" l="1"/>
  <c r="E11" i="3" s="1"/>
  <c r="G11" i="3" s="1"/>
  <c r="G12" i="3" s="1"/>
  <c r="D6" i="3" s="1"/>
  <c r="F12" i="2"/>
  <c r="J33" i="1" l="1"/>
  <c r="J25" i="1" s="1"/>
  <c r="E12" i="3"/>
  <c r="I11" i="3"/>
  <c r="I12" i="3" s="1"/>
  <c r="E6" i="3" s="1"/>
  <c r="F6" i="3" s="1"/>
  <c r="H12" i="2"/>
  <c r="D6" i="2" s="1"/>
  <c r="J16" i="1" s="1"/>
  <c r="J12" i="2"/>
  <c r="E6" i="2" s="1"/>
  <c r="F6" i="2" l="1"/>
  <c r="L16" i="1" s="1"/>
  <c r="K16" i="1"/>
  <c r="J13" i="1"/>
  <c r="K33" i="1"/>
  <c r="K25" i="1" s="1"/>
  <c r="J24" i="1"/>
  <c r="L13" i="1" l="1"/>
  <c r="K13" i="1"/>
  <c r="L33" i="1"/>
  <c r="L25" i="1" s="1"/>
  <c r="J12" i="1"/>
  <c r="J85" i="1"/>
  <c r="K12" i="1"/>
  <c r="K11" i="1" s="1"/>
  <c r="K85" i="1"/>
  <c r="K24" i="1"/>
  <c r="J7" i="1" l="1"/>
  <c r="J6" i="1" s="1"/>
  <c r="K90" i="1"/>
  <c r="K91" i="1"/>
  <c r="J91" i="1"/>
  <c r="J90" i="1"/>
  <c r="L12" i="1"/>
  <c r="L11" i="1" s="1"/>
  <c r="L85" i="1"/>
  <c r="L90" i="1" s="1"/>
  <c r="J11" i="1"/>
  <c r="L24" i="1"/>
  <c r="I62" i="1"/>
  <c r="I61" i="1" s="1"/>
  <c r="I7" i="1" s="1"/>
  <c r="I6" i="1" s="1"/>
  <c r="J5" i="1" l="1"/>
  <c r="J92" i="1"/>
  <c r="I60" i="1"/>
  <c r="K62" i="1"/>
  <c r="K61" i="1" s="1"/>
  <c r="L63" i="1"/>
  <c r="K7" i="1" l="1"/>
  <c r="K6" i="1" s="1"/>
  <c r="L62" i="1"/>
  <c r="L61" i="1" s="1"/>
  <c r="L7" i="1" s="1"/>
  <c r="L6" i="1" s="1"/>
  <c r="L81" i="1"/>
  <c r="I5" i="1"/>
  <c r="I92" i="1"/>
  <c r="K60" i="1"/>
  <c r="L91" i="1" l="1"/>
  <c r="L60" i="1"/>
  <c r="K5" i="1"/>
  <c r="K92" i="1"/>
  <c r="L5" i="1"/>
  <c r="L92" i="1"/>
</calcChain>
</file>

<file path=xl/sharedStrings.xml><?xml version="1.0" encoding="utf-8"?>
<sst xmlns="http://schemas.openxmlformats.org/spreadsheetml/2006/main" count="1267" uniqueCount="700">
  <si>
    <t>1.pielikums Psihiskās veselības aprūpes organizēšanas uzlabošanas plānam 2023.-2025.gadam</t>
  </si>
  <si>
    <t>N.p.k.</t>
  </si>
  <si>
    <t>Pasākums</t>
  </si>
  <si>
    <t>Uzsākšanas termiņš</t>
  </si>
  <si>
    <t>Finansējuma avots</t>
  </si>
  <si>
    <t>Apakšprogramma</t>
  </si>
  <si>
    <t>Vidēja termiņa budžeta ietvara likumā plānotais finansējums</t>
  </si>
  <si>
    <t>Papildus nepieciešamais finansējums</t>
  </si>
  <si>
    <t>turpmākiem gadiem</t>
  </si>
  <si>
    <t>KOPĀ, t.sk.</t>
  </si>
  <si>
    <t xml:space="preserve">tai skaitā, valsts pamatbudžeta finansējums </t>
  </si>
  <si>
    <t>Veselības ministrija</t>
  </si>
  <si>
    <t>tai skaitā, Eiropas Savienības struktūrfondu finansējums</t>
  </si>
  <si>
    <t>1. Rīcības virziens</t>
  </si>
  <si>
    <t>Profilakse, agrīna diagnostika un ambulatorā ārstēšana – bērniem un pusaudžiem</t>
  </si>
  <si>
    <t>1.1.</t>
  </si>
  <si>
    <t>Uzlabot pieejamību autiskā spektra traucējumu diagnostikai – ADOS testa veikšana</t>
  </si>
  <si>
    <t>2023.gads pirmais pusgads</t>
  </si>
  <si>
    <t>valsts budžets</t>
  </si>
  <si>
    <t>33.16.00.</t>
  </si>
  <si>
    <t>PP2022-2024 P11 Autiska spektra traucējumu diagnostika</t>
  </si>
  <si>
    <t>1.2.</t>
  </si>
  <si>
    <t>Ieviest agrīnās intervences programmu bērniem ar autiskā spektra un citiem attīstības traucējumiem</t>
  </si>
  <si>
    <t>PP2022-2024 P11 Speciālistu kabineti agrīnās intervences bērniem ar AST</t>
  </si>
  <si>
    <t>1.3.</t>
  </si>
  <si>
    <t>Pilnveidot pacientiem ar ilgstošiem psihiskās veselības traucējumiem pāreju no bērnu profila ārstniecības iestādes uz pieaugušo ārstniecības iestādi</t>
  </si>
  <si>
    <t>2024.gada otrais pusgads </t>
  </si>
  <si>
    <t>PP2023-2025 P07 Psihiskās veselības aprūpes organizēšanas uzlabošanas plāna (projekta) 2023.-2025.gadam realizācija</t>
  </si>
  <si>
    <t>1.4.</t>
  </si>
  <si>
    <t>Uzlabot sabiedrībā balstītu pakalpojumu programmas “Garastāvokļa traucējumu programma” pieejamību reģionos</t>
  </si>
  <si>
    <t>1.5.</t>
  </si>
  <si>
    <t>Veicināt pacientu un vecāku pozitīvu pieredzi komunikācijā un saskarsmē ārstniecības procesa laikā, samazināt māsu un ārstu patērēto laiku pirms manipulācijām procesa izskaidrošanai un bērna nomierināšanai, kā arī mazināt vispārējās anestēzijas pielietošanu manipulāciju laikā gadījumos, kad anestēzija nepieciešama tikai bērna emocionālās reakcijas dēļ (kabinets pacientu baiļu mazināšanai).</t>
  </si>
  <si>
    <t>1.6.</t>
  </si>
  <si>
    <t>Pusaudžu klīnisko un veselības psihologu atbalsta konsultatīvais tālrunis</t>
  </si>
  <si>
    <t>2023.gada pirmais pusgads</t>
  </si>
  <si>
    <t>Pārresoru koordinācijas centrs</t>
  </si>
  <si>
    <t>1.7.</t>
  </si>
  <si>
    <t xml:space="preserve">Nodrošināt speciālistu apmācību par  Denveras agrīnās intervences modeli   </t>
  </si>
  <si>
    <t>2024.gada  pirmais pusgads</t>
  </si>
  <si>
    <t>ES fondu SAM 4.3.6. (ESF)</t>
  </si>
  <si>
    <t xml:space="preserve">Pasākumi un papildus nepieciešama finansējuma pieprasījums ir iekļauti Izglītības attīstības pamatnostādņu 2021.-2027. gadam „Nākotnes prasmes nākotnes sabiedrībai” Rīcības plāna 2021.-2023. gadam projekta (21-TA-1018) pasākumā 3.1.1.1. "Mazināt bērnu attīstības, uzvedības un citu traucējumu veidošanās riskus un izveidot apsteidzošu un proaktīvu individuālo vajadzību identificēšanas sistēmu". </t>
  </si>
  <si>
    <t>1.8.</t>
  </si>
  <si>
    <t>Bērnu agrīnās attīstības skrīninga ieviešana</t>
  </si>
  <si>
    <t>2025.gada otrais pusgads</t>
  </si>
  <si>
    <t>2. Rīcības virziens</t>
  </si>
  <si>
    <t>Profilakse, agrīna diagnostika un ambulatorā ārstēšana</t>
  </si>
  <si>
    <t>KOPĀ Veselības ministrija</t>
  </si>
  <si>
    <t>2.1.</t>
  </si>
  <si>
    <t>Veicināt ģimenes ārstu un psihiatru sadarbību hronisko pacientu uzraudzības jomā</t>
  </si>
  <si>
    <t>33.14.00.</t>
  </si>
  <si>
    <t>PP 2022-2024 P04 Piemaksājamā manipulācija par darbu ar psihiskiem uzvedības traucējumiem  (60485  - Ģimenes ārsta darbs ar pacientu ar psihiskiem un uzvedības traucējumiem)</t>
  </si>
  <si>
    <t>PP 2022-2024  P04 Nodrošināt psihiatru atbalstu ģimenes ārstiem par viņu uzraudzībā esošu pacientu psihiskās veselības aprūpi. 60037: Ārsta-speciālista sniegta attālināta konsultācija ģimenes ārstam vai citas specialitātes ārstam-speciālistam (manipulāciju norāda ārsts-speciālists)</t>
  </si>
  <si>
    <t>2.2.</t>
  </si>
  <si>
    <t>Izstrādāt vienotas prasības multiprofesionālās komandas darba īstenošanai psihiatriskā profila slimnīcu ambulatorajās nodaļās</t>
  </si>
  <si>
    <t xml:space="preserve">2024.gada pirmais pusgads  </t>
  </si>
  <si>
    <t>2.3.</t>
  </si>
  <si>
    <t xml:space="preserve">Izstrādāt un ieviest ārstniecības iestādēs vienota pašnāvības riska novērtēšanas skala </t>
  </si>
  <si>
    <t>2024.gada pirmais pusgads  </t>
  </si>
  <si>
    <t>2.4.</t>
  </si>
  <si>
    <t xml:space="preserve">Izveidot atbalsta grupas pacientiem ar psihiskās veselības traucējumiem un pacientu piederīgajiem </t>
  </si>
  <si>
    <t>2.5.</t>
  </si>
  <si>
    <t>Izvērtēt iespēju iekļaut no valsts budžeta apmaksājamo pakalpojumu grozā zobārstniecības (t.sk., minimāli nepieciešamā protezēšana), optometrista pakalpojumus un nepieciešamo palīglīdzekļu personām, kurām ir nepieciešama ilgstoša ārstēšana psihiatriskā profila slimnīcās</t>
  </si>
  <si>
    <t>2024.gada pirmais gads </t>
  </si>
  <si>
    <t xml:space="preserve">33.18.00 </t>
  </si>
  <si>
    <t>2.6.</t>
  </si>
  <si>
    <t>Izveidot mobilās psihiatriskās komandas psihiatrisko pacientu aprūpei mājās</t>
  </si>
  <si>
    <t>ANM</t>
  </si>
  <si>
    <t>2.7.</t>
  </si>
  <si>
    <t xml:space="preserve">Nodrošināt veselības aprūpes pakalpojumu sniedzēja infrastruktūras  attīstību, uzlabojot veselības aprūpes pakalpojumu pieejamību un kvalitāti psihiatrijā </t>
  </si>
  <si>
    <t>2021.gads</t>
  </si>
  <si>
    <t>ES fondu finansējums</t>
  </si>
  <si>
    <t>ES fondu 2014. – 2020.g. plān. perioda darbības programmas "Izaugsme un nodarbinātība" 9.3.2.SAM</t>
  </si>
  <si>
    <t>2024.gads</t>
  </si>
  <si>
    <t>2.8.</t>
  </si>
  <si>
    <t>Izstrādāt un ieviest agrīnas intervences programmu pēc akūtiem psihotiskiem traucējumiem (pirmā epizode)</t>
  </si>
  <si>
    <t>2.9.</t>
  </si>
  <si>
    <t>Veicināt psihiatru un neirologu sadarbību neirodeģeneratīvo slimību un demenču pacientu ārstniecības jomā</t>
  </si>
  <si>
    <t>2024.gads pirmais pusgads</t>
  </si>
  <si>
    <t>2.10.</t>
  </si>
  <si>
    <t xml:space="preserve">Attīstīt telemedicīnas tehnoloģiju izmantošanu, nodrošinot psihiskās veselības aprūpes pakalpojumus </t>
  </si>
  <si>
    <t>2023.gads otrais pusgads</t>
  </si>
  <si>
    <t>2.11. </t>
  </si>
  <si>
    <t xml:space="preserve">Izstrādāt un ieviest ēšanas traucējumu specializētu ārstēšanas programmu - ambulatori </t>
  </si>
  <si>
    <t>2025.gada otrais pusgads  </t>
  </si>
  <si>
    <t>33.15.00.</t>
  </si>
  <si>
    <t>3. Rīcības virziens</t>
  </si>
  <si>
    <t>Stacionārās psihiskās veselības aprūpes nodrošināšana</t>
  </si>
  <si>
    <t>3.1. </t>
  </si>
  <si>
    <t>Izstrādāt un ieviest ēšanas traucējumu specializētu ārstēšanas programmu - stacionāri</t>
  </si>
  <si>
    <t>33.18.00.</t>
  </si>
  <si>
    <t>3.2.</t>
  </si>
  <si>
    <t>Izstrādāt rehabilitācijas pakalpojumu programmu pacientiem ar dubultdiagnozēm, kuras var izraisīt  uzvedības un psihiskās veselības traucējumus</t>
  </si>
  <si>
    <t>4. Rīcības virziens</t>
  </si>
  <si>
    <t>Kvalitāte – psihiskās veselības aprūpes jomā</t>
  </si>
  <si>
    <t>4.1.</t>
  </si>
  <si>
    <t>Izstrādāt un ieviest kvalitātes kritērijus psihiatriskā profila slimnīcās</t>
  </si>
  <si>
    <t>46.01.00.</t>
  </si>
  <si>
    <t xml:space="preserve">4.2. </t>
  </si>
  <si>
    <t>Pilotprojekta ietvaros novērtēt pacientu apmierinātību ar saņemtajiem pakalpojumiem psihiatriskā profila slimnīcās</t>
  </si>
  <si>
    <t xml:space="preserve">2024.gada otrais pusgads </t>
  </si>
  <si>
    <t>Nav ietekmes uz budžetu</t>
  </si>
  <si>
    <t>4.3.</t>
  </si>
  <si>
    <t>Nodrošināt veselības aprūpes datu par pacientiem ar psihiskiem un uzvedības traucējumiem apstrādi elektroniski strukturētā formātā un efektivizēt ar noteiktām slimībām slimojošo personu reģistram par pacientiem ar psihiskiem un uzvedības traucējumiem nepieciešamo datu apstrādes procesu</t>
  </si>
  <si>
    <t>2024.gada pirmais pusgads</t>
  </si>
  <si>
    <t>45.01.00.</t>
  </si>
  <si>
    <t>4.4.</t>
  </si>
  <si>
    <t>Nodrošināt vienotu pieeju veselības aprūpes pakalpojuma saturā un sniegšanā, uz pacientu centrēta pierādījumos balstīta psihiskās veselības aprūpes procesa organizēšanā un dokumentēšanā.</t>
  </si>
  <si>
    <t>5. Rīcības virziens</t>
  </si>
  <si>
    <t>Medikamentozā ārstēšana</t>
  </si>
  <si>
    <t>5.1.</t>
  </si>
  <si>
    <t xml:space="preserve">Paplašināt medikamentozās terapijas pieejamību un nepārtrauktību pacientiem ar psihiskās veselības traucējumiem </t>
  </si>
  <si>
    <t>33.03.00.</t>
  </si>
  <si>
    <t>PP2023-2025 P02 Kompensējamo zāļu un medicīnas ierīču pieejamības nodrošināšana</t>
  </si>
  <si>
    <t>6. Rīcības virziens</t>
  </si>
  <si>
    <t>Cilvēkresursi psihiatrijā</t>
  </si>
  <si>
    <t>6.1.</t>
  </si>
  <si>
    <t>Pārskatīt psihiatra, bērnu psihiatra, narkologa, psihoterapeita un tiesu psihiatrijas eksperta specialitāšu sarakstu saskaņā ar Eiropas Parlamenta un Padomes Direktīvu 2005/36/EK par profesionālo kvalifikāciju atzīšanu noteiktajām prasībām studiju ilgumam un saturam, tai skaitā izvērtēt atbilstošākos veidus tiesu psihiatrijas eksperta un narkologa specializācijas iegūšanai.</t>
  </si>
  <si>
    <t>2025.gada otrais pusgads </t>
  </si>
  <si>
    <t>6.2.</t>
  </si>
  <si>
    <t>2025.gads pirmais pusgads</t>
  </si>
  <si>
    <t>6.3.</t>
  </si>
  <si>
    <t>Izvērtēt psihosomatiskās medicīnas  vietu psihiskās veselības aprūpes sistēmā</t>
  </si>
  <si>
    <t>46.03.00.</t>
  </si>
  <si>
    <t>6.4.</t>
  </si>
  <si>
    <t>Izvērtēt iespēju izveidot Dārzkopības terapijas studiju programmu</t>
  </si>
  <si>
    <t>2025.gads</t>
  </si>
  <si>
    <t>6.5.</t>
  </si>
  <si>
    <t>Izvērtēt par cilvēkresursu nodrošinājumu ārstniecības iestādēs, kas sniedz ambulatoros un stacionāros psihiskās veselības aprūpes pakalpojums</t>
  </si>
  <si>
    <t>* jaunajam plānošanas periodam var tik izveidota jaunā apakšprogamma</t>
  </si>
  <si>
    <t>tai skaitā, valsts pamatbudžeta finansējums sadalījumā pa 29.resora (VM) apakšprogrammām:</t>
  </si>
  <si>
    <t>PP2023-2025 P02 Kompensējamo zāļu un medicīnas ierīču pieejamības nodrošināšana:</t>
  </si>
  <si>
    <t>PP2023-2025 P07 Psihiskās veselības aprūpes organizēšanas uzlabošanas plāna (projekta) 2023.-2025.gadam realizācija:</t>
  </si>
  <si>
    <t>kopā P07:</t>
  </si>
  <si>
    <t>KOPĀ</t>
  </si>
  <si>
    <t>2.pielikums Psihiskās veselības aprūpes organizēšanas uzlabošanas plānam 2023.-2025.gadam</t>
  </si>
  <si>
    <t>1.3. rīcības virziens "Pilnveidot pacientiem ar ilgstošiem psihiskās veselības traucējumiem pāreju no bērnu profila ārstniecības iestādes uz pieaugušo ārstniecības iestādi</t>
  </si>
  <si>
    <t>Veselības ministrijas valsts budžeta apakšprogramma</t>
  </si>
  <si>
    <t>2023.gadā papildus nepieciešamais finansējums, euro</t>
  </si>
  <si>
    <t>2024.gadā papildus nepieciešamais finansējums, euro*</t>
  </si>
  <si>
    <t>2025.gadā papildus nepieciešamais finansējums, euro</t>
  </si>
  <si>
    <t>Turpmāk ik gadu, euro</t>
  </si>
  <si>
    <t>33.16.00 Pārējo ambulatoro veselības aprūpes pakalpojumu nodrošināšana</t>
  </si>
  <si>
    <t>*pasākums tiek nodrošināts no 2024.gada 2. pusgada</t>
  </si>
  <si>
    <t>Gadā</t>
  </si>
  <si>
    <t>2024. gads</t>
  </si>
  <si>
    <t>2025. gads</t>
  </si>
  <si>
    <t>Nr.</t>
  </si>
  <si>
    <t>Plānotais pasākums</t>
  </si>
  <si>
    <t>Prognozējamais pacientu skaits</t>
  </si>
  <si>
    <t>Vidējais starpinstitūciju konsīliju skaits</t>
  </si>
  <si>
    <t>Viena konsīlija (4 speciālisti) tarifs, euro</t>
  </si>
  <si>
    <t>Prognozētais nepieciešamais 
finansējums, euro gadā</t>
  </si>
  <si>
    <t xml:space="preserve">Prognozējamais pacientu skaits </t>
  </si>
  <si>
    <t>Prognozējamais pacientu skaits (ar 11.5% pieaugumu ik gadu)</t>
  </si>
  <si>
    <t>Pacientu ar īpašām veselības aprūpes vajadzībām ārstniecības, dinamiskās novērošanas nodošana pieaugušo speciālistiem, pacientam sasniedzot 18 gadu vecumu</t>
  </si>
  <si>
    <t>Kopā:</t>
  </si>
  <si>
    <t>Katru gadu vidēji 13 bērni vecumā 15-17 gadi nonāk psihiskās attīstības traucējumu pacientu reģistrā. Pēc SPKC psihiskās veselības 2016.gada ziņojuma.</t>
  </si>
  <si>
    <t>Reģistra uzskaitē uzņemto pacientu skaitam 2016.gadā vērojams pieaugums. Absolūtos skaitļos 2016. gadā Reģistra uzskaitē tika uzņemti 5 810 pacienti, kas ir par 
599 pacientiem jeb 11,5% vairāk nekā 2015.gadā (2015.gadā 5 211).</t>
  </si>
  <si>
    <t>Nr. p.k.</t>
  </si>
  <si>
    <t>pozīcija</t>
  </si>
  <si>
    <t>skaits**</t>
  </si>
  <si>
    <t xml:space="preserve">slodze </t>
  </si>
  <si>
    <t>vienas vienības atalgojums (ar darba devēja VSAOI 23,59%), euro</t>
  </si>
  <si>
    <t>darba samaksas apjoms gadam, euro</t>
  </si>
  <si>
    <t>kabineta nodrošinājuma izmaksas gadā, euro**</t>
  </si>
  <si>
    <t>KOPĀ, euro</t>
  </si>
  <si>
    <t>Koordinators</t>
  </si>
  <si>
    <t>** 2 koordinatori BKUS, 1 RPNC</t>
  </si>
  <si>
    <t>3.pielikums Psihiskās veselības aprūpes organizēšanas uzlabošanas plānam 2023.-2025.gadam</t>
  </si>
  <si>
    <t>1.4. rīcības virziens "Uzlabot sabiedrībā balstītu pakalpojumu programmas “Garastāvokļa traucējumu programma” pieejamību reģionos"</t>
  </si>
  <si>
    <t>Pasākums "Uzlabot bērnu un pusaudžu psihiskās veselības pakalpojumu pieejamību, attīstot pakalpojumu reģionos"</t>
  </si>
  <si>
    <t>Budžeta programmas (apakšprogrammas) kods un nosaukums:</t>
  </si>
  <si>
    <t>33.16.00. "Pārējo ambulatoro veselības aprūpes pakalpojumu nodrošināšana"</t>
  </si>
  <si>
    <t>NVD aprēķinātais finansējums 2023.gadam, ņemot vērā 2022.gadā nepieciešamo kabinetu skaitu un slodžu skaitu</t>
  </si>
  <si>
    <t>Vidējā darba samaksa mēnesī, euro (MK noteikumu Nr.555 153.punkts)</t>
  </si>
  <si>
    <t>Pakalpojumu lokalizācija</t>
  </si>
  <si>
    <t>Speciālista nosaukums</t>
  </si>
  <si>
    <t>Kabineta plānotais darbības periods mēnešos</t>
  </si>
  <si>
    <t xml:space="preserve">Kabinetu skaits </t>
  </si>
  <si>
    <t>Ārsta slodze  plāns (mēnesī)</t>
  </si>
  <si>
    <t>Māsas slodze plāns (mēnesī)</t>
  </si>
  <si>
    <t>Ārsta darba samaksa, euro (kopā gadā)</t>
  </si>
  <si>
    <t>Ārsta piemaksa (psihiatrija), euro (kopā gadā)</t>
  </si>
  <si>
    <t>Funkcionālā speciālista piemaksa (psihiatrija) 2023, EUR</t>
  </si>
  <si>
    <t>Māsas darba samaksa, euro (kopā gadā)</t>
  </si>
  <si>
    <t>Māsas darba piemaksa (psihiatrija) 2023, EUR</t>
  </si>
  <si>
    <t>Darba samaksa kopā, euro</t>
  </si>
  <si>
    <t xml:space="preserve">VSAOI, euro </t>
  </si>
  <si>
    <t>Kabineta fiksētais maksājums, euro  1 slodzei gadā</t>
  </si>
  <si>
    <t>Kabineta fiksētais maksājums, euro  1 slodzei mēnesī</t>
  </si>
  <si>
    <t>Māsai Kabineta fiksētais maksājums, EUR 1 slodzei gadā</t>
  </si>
  <si>
    <t>Māsai Kabineta fiksētais maksājums, EUR 1 slodzei mēnesī</t>
  </si>
  <si>
    <r>
      <t>Kabineta nodrošinājuma maksājums gadā, euro</t>
    </r>
    <r>
      <rPr>
        <b/>
        <sz val="11"/>
        <rFont val="Times New Roman"/>
        <family val="1"/>
      </rPr>
      <t>*</t>
    </r>
  </si>
  <si>
    <t xml:space="preserve">Finansējums slodzēm 2023. gadam, euro </t>
  </si>
  <si>
    <t>Finansējums manipulāciju apmaksai 2023.gadā, euro</t>
  </si>
  <si>
    <t>Finansējums 2023.gadam KOPĀ, euro</t>
  </si>
  <si>
    <t>Rīga</t>
  </si>
  <si>
    <t>koordinators</t>
  </si>
  <si>
    <t>klientu vadītājs</t>
  </si>
  <si>
    <t>psihologs, psihoterapeits</t>
  </si>
  <si>
    <t>narkologs**</t>
  </si>
  <si>
    <t>psihiatrs**</t>
  </si>
  <si>
    <t>Mākslas terapeits (funkcionālais speciālists)</t>
  </si>
  <si>
    <t>Manipulāciju apmaksa</t>
  </si>
  <si>
    <t>Liepāja</t>
  </si>
  <si>
    <t>Daugavpils</t>
  </si>
  <si>
    <t>Rēzekne</t>
  </si>
  <si>
    <t>Jelgava</t>
  </si>
  <si>
    <t>Valmiera</t>
  </si>
  <si>
    <t>Ventspils</t>
  </si>
  <si>
    <t>psihiatrs</t>
  </si>
  <si>
    <t>Vidzeme</t>
  </si>
  <si>
    <t>Pacienta plūsmas koordinators</t>
  </si>
  <si>
    <t>Psihologs, psihoterapeits</t>
  </si>
  <si>
    <t>Zemgale</t>
  </si>
  <si>
    <t>* Ja slodžu skaits uz 1 kabinetu pārsniedz 1, tad fiksēto kabineta maksājumu slodžu skaita vietā aprēķina uz kabinetu skaitu</t>
  </si>
  <si>
    <t>Nepieciešamais finansējums KOPĀ</t>
  </si>
  <si>
    <t>** Aprēķins veikts uz slodžu skaitu</t>
  </si>
  <si>
    <t>Veselības ministrijai prioritārā pasākuma “Pasākumi, lai samazinātu ilglaicīgu negatīvo ietekmi uz sabiedrības psihisko veselību, ko rada COVID-19 pandēmija” ietvaros piešķirtais finansējums</t>
  </si>
  <si>
    <t>Papildus nepieciešamais finansējums 2023.gadam un turpmāk</t>
  </si>
  <si>
    <t>4.pielikums Psihiskās veselības aprūpes organizēšanas uzlabošanas plānam 2023.-2025.gadam</t>
  </si>
  <si>
    <t>1.5. rīcības virziens "Veicināt pacientu un vecāku pozitīvu pieredzi komunikācijā un saskarsmē ārstniecības procesa laikā, samazināt māsu un ārstu patērēto laiku pirms manipulācijām procesa izskaidrošanai un bērna nomierināšanai, kā arī mazināt vispārējās anestēzijas pielietošanu manipulāciju laikā gadījumos, kad anestēzija nepieciešama tikai bērna emocionālās reakcijas dēļ (kabinets pacientu baiļu mazināšanai)"</t>
  </si>
  <si>
    <t>Fiksētā maksājuma nodrošināšanai nepieciešamo līdzekļu gada apjoms par speciālistu un ārstniecības iestāžu struktūrvienību darbību ambulatorajā veselības aprūpē:</t>
  </si>
  <si>
    <t>Nr.p.k.</t>
  </si>
  <si>
    <t>Specialitāte vai struktūrvienība</t>
  </si>
  <si>
    <t>Euro par vienu slodzi</t>
  </si>
  <si>
    <t>JAUNS</t>
  </si>
  <si>
    <t>Kabinets pacientu baiļu mazināšanai valsts sabiedrībā ar ierobežotu atbildību "Bērnu klīniskā universitātes slimnīca"</t>
  </si>
  <si>
    <t>2022.gads, euro</t>
  </si>
  <si>
    <t>Ārsts un funkcionālie speciālisti</t>
  </si>
  <si>
    <t>Piemaksas pēc MK noteikumu Nr.555 10. pielikuma (euro)</t>
  </si>
  <si>
    <t>Maksu par sarežģītību (darbu ar pacientiem ar garīgiem un psihiskiem traucējumiem) – psihiatra kabinetam, psihologa/psihoterapeita kabinetam, funkcionālo speciālistu kabinetam</t>
  </si>
  <si>
    <t>Psihiatra kabinetam un psihologa/psihoterapeita kabinetam papildu maksu par pieejamības nodrošināšanu un darbu paaugstinātas intensitātes apstākļos</t>
  </si>
  <si>
    <t>Finansējuma aprēķins 2022.g.</t>
  </si>
  <si>
    <t>Kabinetu skaits</t>
  </si>
  <si>
    <t>Ārsts</t>
  </si>
  <si>
    <t>Ārstniecības un pacientu aprūpes persona</t>
  </si>
  <si>
    <t>Darba samaksa gadā, euro</t>
  </si>
  <si>
    <t>Piemaksas par pieejamības nodrošināšanu un darbu paaugstinātas intensitātes apstākļos gadā, euro</t>
  </si>
  <si>
    <t>Darba samaksa ar piemaksām gadā, euro</t>
  </si>
  <si>
    <t>Valsts sociālās apdrošināšanas obligātās iemaksas, euro</t>
  </si>
  <si>
    <t>Darba samaksa kopā gadā, euro</t>
  </si>
  <si>
    <t>Personu skaits</t>
  </si>
  <si>
    <t>Slodzes apjoms</t>
  </si>
  <si>
    <t xml:space="preserve">Slodzes apjoms </t>
  </si>
  <si>
    <t>Mākslas/ Spēļu terapeits</t>
  </si>
  <si>
    <t>Kabineta izmaksas</t>
  </si>
  <si>
    <t>mēnesī</t>
  </si>
  <si>
    <t>1.gadā</t>
  </si>
  <si>
    <t>Telpu izmaksas (komunālie maksājumi, infrastruktūras uzturēšana, NĪN, telpu nolietojums)</t>
  </si>
  <si>
    <t>Riska nodeva par personālu</t>
  </si>
  <si>
    <t>Ārstniecības līdzekļi</t>
  </si>
  <si>
    <t>Dažādi krājumi, t.sk. materiāli radošiem darbiem</t>
  </si>
  <si>
    <t>Noliktava (saimniecības preces)</t>
  </si>
  <si>
    <t>Pakalpojumi (atkritumu izvešana, sakaru nodrošināšana u.c.)</t>
  </si>
  <si>
    <t>Pamatlīdzekļu nolietojums, mazvērtīgais inventārs</t>
  </si>
  <si>
    <t>Pieskaitāmās izmaksas (IT, apgādes, saimnieciskie un funkcionālā atbalsta dienesti, uzkopšana, remonti, apsardze un administrācija)</t>
  </si>
  <si>
    <t>5.pielikums Psihiskās veselības aprūpes organizēšanas uzlabošanas plānam 2023.-2025.gadam</t>
  </si>
  <si>
    <t>1.6. rīcības virziens  "Pusaudžu klīnisko un veselības psihologu atbalsta konsultatīvais tālrunis"</t>
  </si>
  <si>
    <t>Prognozētas 180 psihologa konsultācijas mēnesī</t>
  </si>
  <si>
    <t>Vidēji mēnesī</t>
  </si>
  <si>
    <t>Fiksētais ikmēneša maksājums, euro</t>
  </si>
  <si>
    <t>Psihologa konsultācijas, skaits</t>
  </si>
  <si>
    <t>Apmaksas summa, euro</t>
  </si>
  <si>
    <t>Samaksa kopā bez PVN, euro</t>
  </si>
  <si>
    <t>PVN 21%, euro</t>
  </si>
  <si>
    <t>Samaksa kopā (ar PVN), euro</t>
  </si>
  <si>
    <t>Kopā papildus nepieciešamais 2023.gadam un turpmāk ik gadu:</t>
  </si>
  <si>
    <t>6.pielikums Psihiskās veselības aprūpes organizēšanas uzlabošanas plānam 2023.-2025.gadam</t>
  </si>
  <si>
    <t>2.2 rīcības virziens "Izstrādāt vienotas prasības multiprofesionālās komandas darba īstenošanai psihiatriskā profila slimnīcu ambulatorajās nodaļās"</t>
  </si>
  <si>
    <t>2024.gadā papildus nepieciešamais finansējums,
euro</t>
  </si>
  <si>
    <t>turpmāk ik gadu (ja pasākuma izpilde nav terminēta),
euro</t>
  </si>
  <si>
    <t>Multidisciplinārā komanda</t>
  </si>
  <si>
    <t>Specialitāte</t>
  </si>
  <si>
    <t>Nepieciešamā papildu slodze</t>
  </si>
  <si>
    <t>Ārsta darba samaksa gadā, euro</t>
  </si>
  <si>
    <t>Ārsta piemaksa (psihiatrija) gadā, euro</t>
  </si>
  <si>
    <t>Funkcionālā speciālista piemaksa (psihiatrija) gadā, euro</t>
  </si>
  <si>
    <t>Māsas darba samaksa gadā, euro</t>
  </si>
  <si>
    <t>Māsas darba piemaksa (psihiatrija) gadā, euro</t>
  </si>
  <si>
    <t>VSAOI gadā, euro</t>
  </si>
  <si>
    <t>Kabineta fiksētais maksājums, euro MK 1 slodzei gadā</t>
  </si>
  <si>
    <t>Kabineta nodrošinājuma maksājums gadā, euro</t>
  </si>
  <si>
    <t>Nepieciešamais papildu finansējums gadam, euro</t>
  </si>
  <si>
    <t>Psihiatrs</t>
  </si>
  <si>
    <t>Psihologs</t>
  </si>
  <si>
    <t>Funkcionālais speciālists</t>
  </si>
  <si>
    <t>Garīgas aprūpes māsa</t>
  </si>
  <si>
    <t>Kopā</t>
  </si>
  <si>
    <t>7.pielikums Psihiskās veselības aprūpes organizēšanas uzlabošanas plānam 2023.-2025.gadam</t>
  </si>
  <si>
    <t>2.3. rīcības virziens "Izstrādāt un ieviest ārstniecības iestādēs vienota pašnāvības riska novērtēšanas skalu"</t>
  </si>
  <si>
    <t xml:space="preserve">Nepieciešamais novērtējuma reižu skaits </t>
  </si>
  <si>
    <t>Jauns tarifs, euro*</t>
  </si>
  <si>
    <t>Pacientu novērtēšana pēc pašnāvības riska novērtēšanas skalas</t>
  </si>
  <si>
    <t>*Ārsta 10 minūšu intervija</t>
  </si>
  <si>
    <t>8.pielikums Psihiskās veselības aprūpes organizēšanas uzlabošanas plānam 2023.-2025.gadam</t>
  </si>
  <si>
    <t xml:space="preserve">2.4. rīcības virziens "Izveidot atbalsta grupas pacientiem ar psihiskās veselības traucējumiem un pacientu piederīgajiem" </t>
  </si>
  <si>
    <t>2024.gadā papildus nepieciešamais finansējums,
euro **</t>
  </si>
  <si>
    <t>2025.gadā papildus nepieciešamais finansējums,
euro**</t>
  </si>
  <si>
    <t>skaits</t>
  </si>
  <si>
    <t>kabineta nodrošinājuma izmaksas gadā, euro*</t>
  </si>
  <si>
    <t>KOPĀ gadā, euro</t>
  </si>
  <si>
    <t>1 ārstniecības iestāde</t>
  </si>
  <si>
    <t>Kopā (euro):</t>
  </si>
  <si>
    <t>* Summa 1 708 euro atbilst psihologa kabineta nodrošinājumam par 0,5 slodzēm.</t>
  </si>
  <si>
    <t>**2024.gadā plānots finansējums atbalsta grupām 2 ārstniecības iestādēs</t>
  </si>
  <si>
    <t>2025.gadā plānots finansējums atbalsta grupām 4 ārstniecības iestādēs</t>
  </si>
  <si>
    <t>9.pielikums Psihiskās veselības aprūpes organizēšanas uzlabošanas plānam 2023.-2025.gadam</t>
  </si>
  <si>
    <t>2.5. rīcības virziens "Izvērtēt iespēju iekļaut no valsts budžeta apmaksājamo pakalpojumu grozā zobārstniecības (t.sk., minimāli nepieciešamā protezēšana), optometrista pakalpojumus un nepieciešamo palīglīdzekļu personām, kurām ir nepieciešama ilgstoša ārstēšana psihiatriskā profila slimnīcās"</t>
  </si>
  <si>
    <t xml:space="preserve">2024.gadā papildus nepieciešamais finansējums,
euro </t>
  </si>
  <si>
    <t>2025.gadā papildus nepieciešamais finansējums,
euro</t>
  </si>
  <si>
    <t>33.18.00 Plānveida stacionāro veselības aprūpes pakalpojumu nodrošināšana</t>
  </si>
  <si>
    <t>Pirmajā gadā</t>
  </si>
  <si>
    <t>Vidējais ārstniecības reižu skaits</t>
  </si>
  <si>
    <t>Vidējais pieaugums, %</t>
  </si>
  <si>
    <t>Zobārstniecības pakalpojumi personām, kurām nepieciešama ilgstoša ārstēšana psihiatriskā profila slimnīcā</t>
  </si>
  <si>
    <t>Ārstniecības iestāžu aptaujas apkopojums par zobārstniecības pakalpojumu sniegšanu un vidējām izmaksām psihiatriskā profila ārstniecības iestādēs</t>
  </si>
  <si>
    <t>Nrpk.</t>
  </si>
  <si>
    <t>Ārstniecības iestāde</t>
  </si>
  <si>
    <t xml:space="preserve">Vai nodrošina zobārstniecības pakalpojumus slimnīcas pacientiem nodrošina </t>
  </si>
  <si>
    <t xml:space="preserve">Zobārstniecības pakalpojumus slimnīcas pacientiem nodrošina </t>
  </si>
  <si>
    <t>Nodrošināto zobārstniecības pakalpojumu skaits (pacienti)</t>
  </si>
  <si>
    <t>Zobārstniecības pakalpojuma skaits vienam pacientam gadā</t>
  </si>
  <si>
    <t>Vienas vizītes vidējā cena, euro</t>
  </si>
  <si>
    <t>Iestādē</t>
  </si>
  <si>
    <t>Citā iestādē</t>
  </si>
  <si>
    <t>2020.gadā</t>
  </si>
  <si>
    <t>2021.gadā</t>
  </si>
  <si>
    <t>2022.gadā</t>
  </si>
  <si>
    <t>Daugavpils psihoneiroloģiskā slimnīca</t>
  </si>
  <si>
    <t>Nodrošina</t>
  </si>
  <si>
    <t>*Izmaksās nav ierēķināti pacienti, kuriem pakalpojums sniegts narkozē Stomatoloģijas institūtā, jo tie ir ar I invaliditāts grupu, tātad jau saņem pakalpojumu par valsts līdzekļiem</t>
  </si>
  <si>
    <t>Slimnīca Ģintermuiža</t>
  </si>
  <si>
    <t>Rīgas psihiatrijas un narkoloģijas centrs</t>
  </si>
  <si>
    <t>Akūtos gadījumos citā iestādē</t>
  </si>
  <si>
    <t>Bērnu PNS Ainaži</t>
  </si>
  <si>
    <t>Piejūras slimnīca</t>
  </si>
  <si>
    <t xml:space="preserve"> (45.00 EUR ārstēšana + 16.00 EUR  transports, degviela, amortizācija u.c.) </t>
  </si>
  <si>
    <t>Strenču PNS</t>
  </si>
  <si>
    <t>Vidējās izmaksas gadā, euro</t>
  </si>
  <si>
    <t>%</t>
  </si>
  <si>
    <t>Kopējās vidējās izmaksas, euro</t>
  </si>
  <si>
    <t>Optometrista pakalpojumi un nepieciešamie optiskie palīglīdzekļi personām, kurām ir nepieciešama ilgstoša ārstēšana psihoneiroloģiskajās slimnīcās</t>
  </si>
  <si>
    <t>2023.gads</t>
  </si>
  <si>
    <t>Vidējais izmaksas uz 1 pacientu*</t>
  </si>
  <si>
    <t>Piespiedu ārstēšanā esošajiem pacientiem, kuriem nav noformēta invaliditāte un attiecīgi neiekļaujas valsts sociālajā aprūpē</t>
  </si>
  <si>
    <t>*Pēc RPNC iesniegtajiem datiem, vidējās izmaksas uz 1 pacientu par brillēm un optometrista pakalpojumiem gadā</t>
  </si>
  <si>
    <t>10.pielikums Psihiskās veselības aprūpes organizēšanas uzlabošanas plānam 2023.-2025.gadam</t>
  </si>
  <si>
    <t>2.6. rīcības virziens "Izveidot mobilās psihiatriskās komandas psihiatrisko pacientu aprūpei mājās"</t>
  </si>
  <si>
    <t>2024.gadā papildus nepieciešamais finansējums, euro</t>
  </si>
  <si>
    <t xml:space="preserve">2026.gadā un turpmāk ik gadu </t>
  </si>
  <si>
    <t>papildus nepieciešamais finansējums, euro</t>
  </si>
  <si>
    <t>tiks segts NVD finansējuma ietvaros</t>
  </si>
  <si>
    <r>
      <t xml:space="preserve">2024.-2025.gadiem atbalstam iespējams pieteikties </t>
    </r>
    <r>
      <rPr>
        <b/>
        <sz val="11"/>
        <rFont val="Times New Roman"/>
        <family val="1"/>
      </rPr>
      <t>Atveseļošanas un noturības mehānisma plāna 4.3.1.r. reformas  “Veselības aprūpes ilgtspēja, pārvaldības stiprināšana, efektīva veselības aprūpes resursu izlietošana, kopējā valsts budžeta veselības aprūpes nozarē palielinājums”</t>
    </r>
    <r>
      <rPr>
        <sz val="11"/>
        <rFont val="Times New Roman"/>
        <family val="1"/>
        <charset val="186"/>
      </rPr>
      <t xml:space="preserve"> atklāta konkursa ietvaros. Pieteikšanās atbalstam negarantē finansējumu pasākuma īstenošanai, jo konkrētā pilotprojekta (kas vērsts uz jaunu vai uzlabotu veselības aprūpes pakalpojumu izstrādi) izvērtēšana tiks veikta starpdisciplinārā vērtēšanas komisijā, kas balstoties uz noteiktiem vērtēšanas kritērijiem pieņems lēmumus par pilotprojektu virzīšanu ieviešanai valsts apmaksātajā veselības aprūpē.</t>
    </r>
  </si>
  <si>
    <t>1.      Pilotprojekta ietvaros izveidota mobilā psihiatriskā komanda pacientu aprūpei  mājās;</t>
  </si>
  <si>
    <t> </t>
  </si>
  <si>
    <t>Manipulācijas apmaksas nosacījumu paplašīnāšana attiecinot uz psihiatriskās palīdzības kabinetiem</t>
  </si>
  <si>
    <t>Citās sadaļās neiekļautās manipulācijas</t>
  </si>
  <si>
    <t>Transporta izmaksas paliatīvās un psihiskās veselības aprūpes darbinieku izbraukumiem uz pacientu dzīvesvietu Rīgā un 60km rādiusā</t>
  </si>
  <si>
    <t>Manipulāciju apmaksā VSIA "Bērnu klīniskā universitātes slimnīca" Paliatīvās aprūpes kabineta uzskaitē esošajiem pacientiem līdz 18. gadiem un RPNC pacientiem, kam nozīmēta piespiedu ārstēšana, izbraukumu vizītēm mājās</t>
  </si>
  <si>
    <t>Pakalpojums</t>
  </si>
  <si>
    <t>Tarifs, euro</t>
  </si>
  <si>
    <t>Plānotais pacientu skaits</t>
  </si>
  <si>
    <t>Plānotais izbraukumu skaits pie viena pacienta</t>
  </si>
  <si>
    <t>Kopā izbraukumi</t>
  </si>
  <si>
    <t>Transporta un šofera izmaksas gadā, euro</t>
  </si>
  <si>
    <r>
      <t xml:space="preserve">Transporta izmaksas paliatīvās </t>
    </r>
    <r>
      <rPr>
        <sz val="11"/>
        <rFont val="Times New Roman"/>
        <family val="1"/>
      </rPr>
      <t>un psihiskās veselības aprūpes darbinieku izbraukumiem uz pacientu dzīvesvietu Rīgā un 60km rādiusā</t>
    </r>
  </si>
  <si>
    <t>Piemaksa par izbraukumu pie psihiatriskajiem pacientiem, kas saņem piespiedu ārstēšanu</t>
  </si>
  <si>
    <t>Papildus slodze kabineta uzturēšanai</t>
  </si>
  <si>
    <t>Darba samaksa,
euro</t>
  </si>
  <si>
    <t>Piemaksa  par pieejamības nodrošināšanu un darbu paaugstinātas intensitātes apstākļos, euro*</t>
  </si>
  <si>
    <t>Valsts sociālās apdrošināšanas obligātās iemaksas,
euro</t>
  </si>
  <si>
    <t>Darbības nodrošināšanai nepieciešamie līdzekļi,
euro*</t>
  </si>
  <si>
    <t>Finansējuma apjoms,
euro</t>
  </si>
  <si>
    <t>Psihiatra</t>
  </si>
  <si>
    <t>Māsas kabinets</t>
  </si>
  <si>
    <t xml:space="preserve">Psihologa kabinets </t>
  </si>
  <si>
    <t>*atbilstoši  MK noteikumu Nr.555 10.pielikumam</t>
  </si>
  <si>
    <t>Pacientu nosūtīšana uz valsts apmaksātām analīzēm, nosakot apreibinošo vielu klātbūtni, un apstiprinošās analīzes ārsta nozīmētiem medikamentiem</t>
  </si>
  <si>
    <t>Manipulācijas kods</t>
  </si>
  <si>
    <t>Manipulācijas nosaukums</t>
  </si>
  <si>
    <t>D</t>
  </si>
  <si>
    <t>S</t>
  </si>
  <si>
    <t>M</t>
  </si>
  <si>
    <t>U</t>
  </si>
  <si>
    <t>A</t>
  </si>
  <si>
    <t>N</t>
  </si>
  <si>
    <t>Tarifs, EUR</t>
  </si>
  <si>
    <t>Kopā veiktais izmeklējumu skaits</t>
  </si>
  <si>
    <t>Nepieciešamais papildus finansējums, EUR</t>
  </si>
  <si>
    <t xml:space="preserve">JAUNS </t>
  </si>
  <si>
    <t>Izmeklēšana ar mikromatricu tehnoloģiju uz 10 vielu grupām. Objekts - urīns</t>
  </si>
  <si>
    <t>Izmeklēšana ar mikromatricu tehnoloģiju uz 10 vielu grupām. Objekts – siekalas</t>
  </si>
  <si>
    <t xml:space="preserve">Izmeklēšana ar mikromatricu tehnoloģiju uz 11 vielu grupām </t>
  </si>
  <si>
    <t xml:space="preserve">Izmeklēšana ar mikromatricu tehnoloģiju uz 13 vielu grupām </t>
  </si>
  <si>
    <t>Izmeklēšana ar mikromatricu tehnoloģiju uz 14 vielu grupām.</t>
  </si>
  <si>
    <t>Nepieciešamais finansējums, EUR</t>
  </si>
  <si>
    <t>2022.gads</t>
  </si>
  <si>
    <t>kopā</t>
  </si>
  <si>
    <t/>
  </si>
  <si>
    <t>11.pielikums Psihiskās veselības aprūpes organizēšanas uzlabošanas plānam 2023.-2025.gadam</t>
  </si>
  <si>
    <t>2.8. rīcības virziens "Izstrādāt un ieviest agrīnas intervences programmu pēc akūtiem psihotiskiem traucējumiem (pirmā epizode)"</t>
  </si>
  <si>
    <t>1 programmas izmaksas</t>
  </si>
  <si>
    <t>Plānotais pacientu skaits, 2023. gadā</t>
  </si>
  <si>
    <t>Plānotais pacientu skaits, 2024. gadā</t>
  </si>
  <si>
    <t>Turpmāk ik gadu</t>
  </si>
  <si>
    <t>Kopā, euro</t>
  </si>
  <si>
    <t>Manipulācijas nosaukums*</t>
  </si>
  <si>
    <t>P</t>
  </si>
  <si>
    <t>Tarifs</t>
  </si>
  <si>
    <t>1_līmenis</t>
  </si>
  <si>
    <t>Agrīnas intervences programma - 1. līmenis. Iekļauj psihoizglītošanas sesijas ģimenei</t>
  </si>
  <si>
    <t>2_līmenis</t>
  </si>
  <si>
    <t>Agrīnas intervences programma - 2. līmenis. Iekļauts psihologa darbs, nodarbinātības speciālista un sociālā darbinieka darbs</t>
  </si>
  <si>
    <t>3_līmenis</t>
  </si>
  <si>
    <t>Agrīnas intervences programma - 3. līmenis. Iekļauts psihologa darbs, psihoizglītošanas sesija ģimenei, nodarbinātības speciālista konsultācija</t>
  </si>
  <si>
    <t>4_līmenis</t>
  </si>
  <si>
    <t>Agrīnas intervences programma - 4. līmenis. Iekļauts psihologa darbs, psihoizglītošanas sesija ģimenei, nodarbinātības speciālista konsultācija, sociālā darbinieka darbs</t>
  </si>
  <si>
    <t>5_līmenis</t>
  </si>
  <si>
    <t>Agrīnas intervences programma - tikai psihiatra darbs</t>
  </si>
  <si>
    <t>6_līmenis</t>
  </si>
  <si>
    <t>Agrīnas intervences programma - 6. līmenis. Iekļauts psihologa darbs, psihoizglītošanas sesija ģimenei</t>
  </si>
  <si>
    <t>Individuālā ārstēšanas plāna sastādīšana – 30 minūtes</t>
  </si>
  <si>
    <t>kabineta ietvaros -  statistikas manipulācija</t>
  </si>
  <si>
    <t>Izraksta sagatavošana (u27) pabeidzot intervences programmu, tālāku rekomendāciju sniegšana- 30 minūtes</t>
  </si>
  <si>
    <t>kabineta ietvaros - statistikas manipulācija</t>
  </si>
  <si>
    <t>Komandas sapulce – 60 minūtes katru nedēļu</t>
  </si>
  <si>
    <t>Pacienta tālāka ārstēšanas nodrošināšana ambulatori, konsultācija ambulatorajam ārstam: 30 minūtes</t>
  </si>
  <si>
    <t>Rezultātu novērtēšanu  pēc intervences programmas pabeigšanas (mērķis sasniegts/daļēji sasniegts/nav sasniegts)</t>
  </si>
  <si>
    <t>3 statistikas manipulācijas</t>
  </si>
  <si>
    <t>*Jaunas manipulācijas</t>
  </si>
  <si>
    <t>Papildināt ar laikiem//// Tabula Nr.2</t>
  </si>
  <si>
    <t>Intervence/</t>
  </si>
  <si>
    <t>Psihoizglītošanas sesijas ar ģimeni</t>
  </si>
  <si>
    <t>Nodarbinātības speciālists</t>
  </si>
  <si>
    <t>Sociālais darbinieks vai Ergoterapeits</t>
  </si>
  <si>
    <t>Mēneši</t>
  </si>
  <si>
    <t>1x/7 dienās</t>
  </si>
  <si>
    <t>Pirmā sesija</t>
  </si>
  <si>
    <t>1x/14 dienās</t>
  </si>
  <si>
    <t>2x/28 dienās</t>
  </si>
  <si>
    <t>Pirmā konsultācija</t>
  </si>
  <si>
    <t> Pirmā konsultācija</t>
  </si>
  <si>
    <t>1x/21 dienās</t>
  </si>
  <si>
    <t>Otrā sesija</t>
  </si>
  <si>
    <t>Otrā</t>
  </si>
  <si>
    <t>konsultācija</t>
  </si>
  <si>
    <t>1x/28 dienās</t>
  </si>
  <si>
    <t>Trešā sesija</t>
  </si>
  <si>
    <t>Tikšanās NVA</t>
  </si>
  <si>
    <t> Otrā</t>
  </si>
  <si>
    <t>Papildus sesija</t>
  </si>
  <si>
    <t>45’</t>
  </si>
  <si>
    <t>60’</t>
  </si>
  <si>
    <t>Vizīte-1</t>
  </si>
  <si>
    <t>Psihoizglītošana-1</t>
  </si>
  <si>
    <t>30’</t>
  </si>
  <si>
    <t>(Psihiatrs vai psihologs)</t>
  </si>
  <si>
    <t>Vizīte-2</t>
  </si>
  <si>
    <t> 60’</t>
  </si>
  <si>
    <t>Vizīte-3</t>
  </si>
  <si>
    <t>Sesija-1</t>
  </si>
  <si>
    <t>(ja nepieciešams)</t>
  </si>
  <si>
    <t>Vizīte-4</t>
  </si>
  <si>
    <t>Sesija-2</t>
  </si>
  <si>
    <t>Vizīte-5</t>
  </si>
  <si>
    <t>Psihoizglītošana-2</t>
  </si>
  <si>
    <t>Sesija-3</t>
  </si>
  <si>
    <t>Otrā Konsultācija</t>
  </si>
  <si>
    <t>Vizīte-6</t>
  </si>
  <si>
    <t>Sesija-4</t>
  </si>
  <si>
    <t>Vizīte-7</t>
  </si>
  <si>
    <t>Psihoizglītošana-3</t>
  </si>
  <si>
    <t>Sesija-5</t>
  </si>
  <si>
    <t>Otrā konsultācija</t>
  </si>
  <si>
    <t>Vizīte-8</t>
  </si>
  <si>
    <t>Sesija-6</t>
  </si>
  <si>
    <t>Vizīte-9</t>
  </si>
  <si>
    <t>Papildus psihoizglītošana (ja nepieciešams) 45’</t>
  </si>
  <si>
    <t>Papildus sesija-7 (ja nepieciešams) 45’</t>
  </si>
  <si>
    <t>Vizīte-10</t>
  </si>
  <si>
    <t>māsa</t>
  </si>
  <si>
    <t>ārsts</t>
  </si>
  <si>
    <t>13.pielikums Psihiskās veselības aprūpes organizēšanas uzlabošanas plānam 2023.-2025.gadam</t>
  </si>
  <si>
    <t>2.10. rīcības virziens "Attīstīt telemedicīnas tehnoloģiju izmantošanu, nodrošinot psihiskās veselības aprūpes pakalpojumus"</t>
  </si>
  <si>
    <t>Attālinātās konsultācijas</t>
  </si>
  <si>
    <t>Veids</t>
  </si>
  <si>
    <t>Skaits gadā*</t>
  </si>
  <si>
    <t>Pakalpojuma cena, euro</t>
  </si>
  <si>
    <t>Prognozētais pieaugums (10% gadā)</t>
  </si>
  <si>
    <t xml:space="preserve">Prognozētais nepieciešamais 
finansējums, euro gadā </t>
  </si>
  <si>
    <t>ārsts-ārsts (manipulācija 60037)</t>
  </si>
  <si>
    <t>ārsts-pacients (manipulācija 60447)</t>
  </si>
  <si>
    <t>*Pēc RPNC statistikas datiem 2021.gadā</t>
  </si>
  <si>
    <t>3 papildus slodzes kabinetiem Rīgā un reģionos</t>
  </si>
  <si>
    <t>Konsīliji starp slimnīcām</t>
  </si>
  <si>
    <t>Konsīliju skaits gadā**</t>
  </si>
  <si>
    <t>Pakalpojuma cena, eiro***</t>
  </si>
  <si>
    <t>Kopā vienā gadā</t>
  </si>
  <si>
    <t>**Pēc RNPC ieteikuma paredzēt 1 konsīliju ceturksnī katrai slimnīcai</t>
  </si>
  <si>
    <t>***3 speciālistu konsīlija izmaksas pielīdzinātas esošai manipulācijai 01099 Ārstu konsīlijs (3 speciālisti) pacientam, kuram ir nepieciešams izvērtēt Covid-19 vakcināciju, bet ar psihiatra atalgojuma piemaksu. Vienam pacientam vienu reizi norāda konsīlija vadītājs.</t>
  </si>
  <si>
    <t>12.pielikums Psihiskās veselības aprūpes organizēšanas uzlabošanas plānam 2023.-2025.gadam</t>
  </si>
  <si>
    <t>2.9. rīcības virziens "Veicināt psihiatru un neirologu sadarbību neirodeģeneratīvo slimību un demenču pacientu ārstniecības jomā"</t>
  </si>
  <si>
    <t>Papildus nepieciešamais finansējums 2024.gadam un turpmāk ik gadu, euro</t>
  </si>
  <si>
    <t>Finansējuma aprēķins ģimenes ārsta konsultācijai ar psihiatru (samaksa psihiatram)</t>
  </si>
  <si>
    <t>Pacientu skaits mēnesī</t>
  </si>
  <si>
    <t>60037: Ārsta-speciālista sniegta attālināta konsultācija ģimenes ārstam vai citas specialitātes ārstam-speciālistam (manipulāciju norāda ārsts-speciālists)**</t>
  </si>
  <si>
    <t>70*</t>
  </si>
  <si>
    <t>*datu atlasījums - unikālo pacientu (diagnozes F00-F03) skaits pie neirologa (spec. kodi P20, PP21, P62) 2021.gadā</t>
  </si>
  <si>
    <t>** Manipulāciju tarifs no 2022. gada</t>
  </si>
  <si>
    <t>14.pielikums Psihiskās veselības aprūpes organizēšanas uzlabošanas plānam 2023.-2025.gadam</t>
  </si>
  <si>
    <t>2.11. rīcības virziens "Izstrādāt un ieviest ēšanas traucējumu specializētu ārstēšanas programmu - ambulatori"</t>
  </si>
  <si>
    <t>Nepieciešamais finansējums 2025. gadā, euro</t>
  </si>
  <si>
    <t>Nepieciešamais finansējums 2026. gadā, euro</t>
  </si>
  <si>
    <t>33.15.00 Laboratorisko izmeklējumu nodrošināšana ambulatorajā aprūpē</t>
  </si>
  <si>
    <t>D - atalgojums par papildus māsas darbu</t>
  </si>
  <si>
    <t>Medicīniskais uzturs</t>
  </si>
  <si>
    <t>Piemaksa par speciālo pārtiku un ēšanas uzraudzību pacientiem ar ēšanas traucējumiem (F50) par 1 porciju / 200 ml.</t>
  </si>
  <si>
    <t>2021.g. iedzīvotāju skaits</t>
  </si>
  <si>
    <t>Ēšanas traucējumi (2%)</t>
  </si>
  <si>
    <t>Smagi ēšanas traucējumi (17%)</t>
  </si>
  <si>
    <t>Kopumā populācijā ir 2–3% anoreksijas slimnieku. Lielākajā riska vecuma grupā starp 12–18 gadiem anoreksija var skart līdz pat 10%. Rīgas centra skolās tās ir aptuveni viena vai 2 meitenes no 15 klases meitenēm.</t>
  </si>
  <si>
    <t>Anoreksijas diagnoze ir ļoti nopietna un ar ļoti sliktu prognozi. Mirstības līmenis atkarībā no anoreksijas pakāpes ir no 4%  līdz 30%. (SPKC)</t>
  </si>
  <si>
    <t>Porciju daudzums</t>
  </si>
  <si>
    <t>Izmaksas gadā, euro</t>
  </si>
  <si>
    <t>Ambulatori iet 2x nedēļa dienas stacionārā (pacientu skaits(10%)*6 reizes mēnesī  * 3 mēnešu kurss)</t>
  </si>
  <si>
    <t>Laboratoriskie izmeklējumi pacientiem, kam nepieciešams speciālais uzturs:</t>
  </si>
  <si>
    <t>Summa izmeklējumiem gadā, euro:</t>
  </si>
  <si>
    <t>Izmeklējuma nosaukums</t>
  </si>
  <si>
    <t>Manipulācijas tarifs</t>
  </si>
  <si>
    <t>Pilna asins aina</t>
  </si>
  <si>
    <r>
      <rPr>
        <b/>
        <sz val="11"/>
        <color theme="1"/>
        <rFont val="Times New Roman"/>
        <family val="1"/>
      </rPr>
      <t>40042</t>
    </r>
    <r>
      <rPr>
        <sz val="11"/>
        <color theme="1"/>
        <rFont val="Times New Roman"/>
        <family val="1"/>
      </rPr>
      <t xml:space="preserve"> (Pilna asins aina (hemoglobīns, eritrocīti, leikocīti, trombocīti, hematokrīts, leikocītu formula (vismaz neitrofīli, eozinofīli, bazofīli, limfocīti, monocīti)). Papildus nenorādīt manipulācijas 40010, 40014)</t>
    </r>
  </si>
  <si>
    <t>4x gadā</t>
  </si>
  <si>
    <t>Bilirubīns</t>
  </si>
  <si>
    <r>
      <rPr>
        <b/>
        <sz val="11"/>
        <color theme="1"/>
        <rFont val="Times New Roman"/>
        <family val="1"/>
      </rPr>
      <t>41052</t>
    </r>
    <r>
      <rPr>
        <sz val="11"/>
        <color theme="1"/>
        <rFont val="Times New Roman"/>
        <family val="1"/>
      </rPr>
      <t xml:space="preserve"> (Bilirubīns, frakcijas)</t>
    </r>
  </si>
  <si>
    <t>Alanīnaminotrasneferāze (ALAT)</t>
  </si>
  <si>
    <r>
      <rPr>
        <b/>
        <sz val="11"/>
        <color theme="1"/>
        <rFont val="Times New Roman"/>
        <family val="1"/>
      </rPr>
      <t>41022</t>
    </r>
    <r>
      <rPr>
        <sz val="11"/>
        <color theme="1"/>
        <rFont val="Times New Roman"/>
        <family val="1"/>
      </rPr>
      <t xml:space="preserve"> (ALAT – alanīnaminotransferāze)</t>
    </r>
  </si>
  <si>
    <t>Sārmaina fosfatāze (SF)</t>
  </si>
  <si>
    <r>
      <rPr>
        <b/>
        <sz val="11"/>
        <color theme="1"/>
        <rFont val="Times New Roman"/>
        <family val="1"/>
      </rPr>
      <t xml:space="preserve">41020 </t>
    </r>
    <r>
      <rPr>
        <sz val="11"/>
        <color theme="1"/>
        <rFont val="Times New Roman"/>
        <family val="1"/>
      </rPr>
      <t>(Sārmainā fosfotāze (SF) )</t>
    </r>
  </si>
  <si>
    <t>Urīnviela (UREA)</t>
  </si>
  <si>
    <r>
      <rPr>
        <b/>
        <sz val="11"/>
        <color theme="1"/>
        <rFont val="Times New Roman"/>
        <family val="1"/>
      </rPr>
      <t>41004</t>
    </r>
    <r>
      <rPr>
        <sz val="11"/>
        <color theme="1"/>
        <rFont val="Times New Roman"/>
        <family val="1"/>
      </rPr>
      <t xml:space="preserve"> (Urīnviela)</t>
    </r>
  </si>
  <si>
    <t>Kreatinīns</t>
  </si>
  <si>
    <r>
      <rPr>
        <b/>
        <sz val="11"/>
        <color theme="1"/>
        <rFont val="Times New Roman"/>
        <family val="1"/>
      </rPr>
      <t>41006</t>
    </r>
    <r>
      <rPr>
        <sz val="11"/>
        <color theme="1"/>
        <rFont val="Times New Roman"/>
        <family val="1"/>
      </rPr>
      <t xml:space="preserve"> (Kreatinīns)</t>
    </r>
  </si>
  <si>
    <t>Kopējais olbaltums</t>
  </si>
  <si>
    <r>
      <rPr>
        <b/>
        <sz val="11"/>
        <color theme="1"/>
        <rFont val="Times New Roman"/>
        <family val="1"/>
      </rPr>
      <t>41001</t>
    </r>
    <r>
      <rPr>
        <sz val="11"/>
        <color theme="1"/>
        <rFont val="Times New Roman"/>
        <family val="1"/>
      </rPr>
      <t xml:space="preserve"> (Kopējais olbaltums)</t>
    </r>
  </si>
  <si>
    <t>Albumīns</t>
  </si>
  <si>
    <r>
      <rPr>
        <b/>
        <sz val="11"/>
        <color theme="1"/>
        <rFont val="Times New Roman"/>
        <family val="1"/>
      </rPr>
      <t>41002</t>
    </r>
    <r>
      <rPr>
        <sz val="11"/>
        <color theme="1"/>
        <rFont val="Times New Roman"/>
        <family val="1"/>
      </rPr>
      <t xml:space="preserve"> (Albumīns)</t>
    </r>
  </si>
  <si>
    <t>C reaktīvais olbaltums (CRO)</t>
  </si>
  <si>
    <r>
      <rPr>
        <b/>
        <sz val="11"/>
        <color theme="1"/>
        <rFont val="Times New Roman"/>
        <family val="1"/>
      </rPr>
      <t>41127</t>
    </r>
    <r>
      <rPr>
        <sz val="11"/>
        <color theme="1"/>
        <rFont val="Times New Roman"/>
        <family val="1"/>
      </rPr>
      <t xml:space="preserve"> (CRO (kvantitatīvi))</t>
    </r>
  </si>
  <si>
    <t>Glikoze</t>
  </si>
  <si>
    <r>
      <rPr>
        <b/>
        <sz val="11"/>
        <color theme="1"/>
        <rFont val="Times New Roman"/>
        <family val="1"/>
      </rPr>
      <t>41095</t>
    </r>
    <r>
      <rPr>
        <sz val="11"/>
        <color theme="1"/>
        <rFont val="Times New Roman"/>
        <family val="1"/>
      </rPr>
      <t xml:space="preserve"> (Glikoze asinīs)</t>
    </r>
  </si>
  <si>
    <t>Nātrijs</t>
  </si>
  <si>
    <r>
      <rPr>
        <b/>
        <sz val="11"/>
        <color theme="1"/>
        <rFont val="Times New Roman"/>
        <family val="1"/>
      </rPr>
      <t>41067</t>
    </r>
    <r>
      <rPr>
        <sz val="11"/>
        <color theme="1"/>
        <rFont val="Times New Roman"/>
        <family val="1"/>
      </rPr>
      <t xml:space="preserve"> (Nātrijs)</t>
    </r>
  </si>
  <si>
    <t>Kālijs</t>
  </si>
  <si>
    <r>
      <rPr>
        <b/>
        <sz val="11"/>
        <color theme="1"/>
        <rFont val="Times New Roman"/>
        <family val="1"/>
      </rPr>
      <t>41065</t>
    </r>
    <r>
      <rPr>
        <sz val="11"/>
        <color theme="1"/>
        <rFont val="Times New Roman"/>
        <family val="1"/>
      </rPr>
      <t xml:space="preserve"> (Kālijs)</t>
    </r>
  </si>
  <si>
    <t>Kalcijs</t>
  </si>
  <si>
    <r>
      <rPr>
        <b/>
        <sz val="11"/>
        <color theme="1"/>
        <rFont val="Times New Roman"/>
        <family val="1"/>
      </rPr>
      <t>41068</t>
    </r>
    <r>
      <rPr>
        <sz val="11"/>
        <color theme="1"/>
        <rFont val="Times New Roman"/>
        <family val="1"/>
      </rPr>
      <t xml:space="preserve"> (Kalcijs)</t>
    </r>
  </si>
  <si>
    <t>Fosfors</t>
  </si>
  <si>
    <r>
      <rPr>
        <b/>
        <sz val="11"/>
        <color theme="1"/>
        <rFont val="Times New Roman"/>
        <family val="1"/>
      </rPr>
      <t xml:space="preserve">41069 </t>
    </r>
    <r>
      <rPr>
        <sz val="11"/>
        <color theme="1"/>
        <rFont val="Times New Roman"/>
        <family val="1"/>
      </rPr>
      <t>(Fosfors)</t>
    </r>
  </si>
  <si>
    <t>Hlors</t>
  </si>
  <si>
    <r>
      <rPr>
        <b/>
        <sz val="11"/>
        <color theme="1"/>
        <rFont val="Times New Roman"/>
        <family val="1"/>
      </rPr>
      <t>41070</t>
    </r>
    <r>
      <rPr>
        <sz val="11"/>
        <color theme="1"/>
        <rFont val="Times New Roman"/>
        <family val="1"/>
      </rPr>
      <t xml:space="preserve"> (Hlorīdi )</t>
    </r>
  </si>
  <si>
    <t>Magnijs</t>
  </si>
  <si>
    <r>
      <rPr>
        <b/>
        <sz val="11"/>
        <color theme="1"/>
        <rFont val="Times New Roman"/>
        <family val="1"/>
      </rPr>
      <t xml:space="preserve">41072 </t>
    </r>
    <r>
      <rPr>
        <sz val="11"/>
        <color theme="1"/>
        <rFont val="Times New Roman"/>
        <family val="1"/>
      </rPr>
      <t>(Magnijs)</t>
    </r>
  </si>
  <si>
    <t>Kopējais holesterīns</t>
  </si>
  <si>
    <r>
      <rPr>
        <b/>
        <sz val="11"/>
        <color theme="1"/>
        <rFont val="Times New Roman"/>
        <family val="1"/>
      </rPr>
      <t>41056</t>
    </r>
    <r>
      <rPr>
        <sz val="11"/>
        <color theme="1"/>
        <rFont val="Times New Roman"/>
        <family val="1"/>
      </rPr>
      <t xml:space="preserve"> (Kopējais holesterīna līmenis asinīs – koncentrācija 5 mmol/L vai mazāka). </t>
    </r>
    <r>
      <rPr>
        <b/>
        <sz val="11"/>
        <color theme="1"/>
        <rFont val="Times New Roman"/>
        <family val="1"/>
      </rPr>
      <t xml:space="preserve">41057 </t>
    </r>
    <r>
      <rPr>
        <sz val="11"/>
        <color theme="1"/>
        <rFont val="Times New Roman"/>
        <family val="1"/>
      </rPr>
      <t>(Kopējais holesterīna līmenis asinīs –
koncentrācija, lielāka par 5 mmol/L )</t>
    </r>
  </si>
  <si>
    <t>Augsta blīvuma holesterīns</t>
  </si>
  <si>
    <t>41047 (ABL – holesterīns (tiešā metode))</t>
  </si>
  <si>
    <t>Zema blīvuma holesterīns</t>
  </si>
  <si>
    <r>
      <rPr>
        <b/>
        <sz val="11"/>
        <color theme="1"/>
        <rFont val="Times New Roman"/>
        <family val="1"/>
      </rPr>
      <t>41058</t>
    </r>
    <r>
      <rPr>
        <sz val="11"/>
        <color theme="1"/>
        <rFont val="Times New Roman"/>
        <family val="1"/>
      </rPr>
      <t xml:space="preserve"> (ZBL holesterīna līmenis asinīs – koncentrācija, mazāka par 2,0 mmol/L). </t>
    </r>
    <r>
      <rPr>
        <b/>
        <sz val="11"/>
        <color theme="1"/>
        <rFont val="Times New Roman"/>
        <family val="1"/>
      </rPr>
      <t>41059</t>
    </r>
    <r>
      <rPr>
        <sz val="11"/>
        <color theme="1"/>
        <rFont val="Times New Roman"/>
        <family val="1"/>
      </rPr>
      <t xml:space="preserve"> (ZBL holesterīna līmenis asinīs – koncentrācija no 2,0 mmol/L līdz 2,5 mmol/L). </t>
    </r>
    <r>
      <rPr>
        <b/>
        <sz val="11"/>
        <color theme="1"/>
        <rFont val="Times New Roman"/>
        <family val="1"/>
      </rPr>
      <t>41060</t>
    </r>
    <r>
      <rPr>
        <sz val="11"/>
        <color theme="1"/>
        <rFont val="Times New Roman"/>
        <family val="1"/>
      </rPr>
      <t xml:space="preserve"> (ZBL holesterīna līmenis asinīs – koncentrācija, lielāka par 2,5 mmol/L).</t>
    </r>
  </si>
  <si>
    <t>Triglicerīdi</t>
  </si>
  <si>
    <r>
      <rPr>
        <b/>
        <sz val="11"/>
        <color theme="1"/>
        <rFont val="Times New Roman"/>
        <family val="1"/>
      </rPr>
      <t xml:space="preserve">41046 </t>
    </r>
    <r>
      <rPr>
        <sz val="11"/>
        <color theme="1"/>
        <rFont val="Times New Roman"/>
        <family val="1"/>
      </rPr>
      <t>(Triglicerīdi)</t>
    </r>
  </si>
  <si>
    <t>Ferritīns</t>
  </si>
  <si>
    <r>
      <rPr>
        <b/>
        <sz val="11"/>
        <color theme="1"/>
        <rFont val="Times New Roman"/>
        <family val="1"/>
      </rPr>
      <t>41124</t>
    </r>
    <r>
      <rPr>
        <sz val="11"/>
        <color theme="1"/>
        <rFont val="Times New Roman"/>
        <family val="1"/>
      </rPr>
      <t xml:space="preserve"> (Feritīns)</t>
    </r>
  </si>
  <si>
    <t>2x gadā</t>
  </si>
  <si>
    <t>Vitamīns B12</t>
  </si>
  <si>
    <r>
      <rPr>
        <b/>
        <sz val="11"/>
        <color theme="1"/>
        <rFont val="Times New Roman"/>
        <family val="1"/>
      </rPr>
      <t>41200</t>
    </r>
    <r>
      <rPr>
        <sz val="11"/>
        <color theme="1"/>
        <rFont val="Times New Roman"/>
        <family val="1"/>
      </rPr>
      <t xml:space="preserve"> (Vitamīns B 12)</t>
    </r>
  </si>
  <si>
    <t>Folskābe</t>
  </si>
  <si>
    <r>
      <rPr>
        <b/>
        <sz val="11"/>
        <color theme="1"/>
        <rFont val="Times New Roman"/>
        <family val="1"/>
      </rPr>
      <t>41201</t>
    </r>
    <r>
      <rPr>
        <sz val="11"/>
        <color theme="1"/>
        <rFont val="Times New Roman"/>
        <family val="1"/>
      </rPr>
      <t xml:space="preserve"> (Folskābe)</t>
    </r>
  </si>
  <si>
    <t>1x gadā</t>
  </si>
  <si>
    <t>Urīnskābe</t>
  </si>
  <si>
    <r>
      <rPr>
        <b/>
        <sz val="11"/>
        <color theme="1"/>
        <rFont val="Times New Roman"/>
        <family val="1"/>
      </rPr>
      <t xml:space="preserve">41005 </t>
    </r>
    <r>
      <rPr>
        <sz val="11"/>
        <color theme="1"/>
        <rFont val="Times New Roman"/>
        <family val="1"/>
      </rPr>
      <t>(Urīnskābe)</t>
    </r>
  </si>
  <si>
    <t>Urīna analīze</t>
  </si>
  <si>
    <t>40131-40150</t>
  </si>
  <si>
    <t>Koprogramma</t>
  </si>
  <si>
    <r>
      <rPr>
        <b/>
        <sz val="11"/>
        <color theme="1"/>
        <rFont val="Times New Roman"/>
        <family val="1"/>
      </rPr>
      <t>40160</t>
    </r>
    <r>
      <rPr>
        <sz val="11"/>
        <color theme="1"/>
        <rFont val="Times New Roman"/>
        <family val="1"/>
      </rPr>
      <t xml:space="preserve"> (Koprogramma)</t>
    </r>
  </si>
  <si>
    <t>Ultrasonogrāfija vēdera dobuma orgāniem</t>
  </si>
  <si>
    <r>
      <rPr>
        <b/>
        <sz val="11"/>
        <color theme="1"/>
        <rFont val="Times New Roman"/>
        <family val="1"/>
      </rPr>
      <t xml:space="preserve">50700 </t>
    </r>
    <r>
      <rPr>
        <sz val="11"/>
        <color theme="1"/>
        <rFont val="Times New Roman"/>
        <family val="1"/>
      </rPr>
      <t>(Abdominālā ultrasonogrāfija)</t>
    </r>
  </si>
  <si>
    <t>KOPĀ:</t>
  </si>
  <si>
    <t>Nepieciešamais finansējums gadā 600 pacientiem, euro:</t>
  </si>
  <si>
    <t>Laboratoriskajiem izmeklējumiem</t>
  </si>
  <si>
    <t>Izmeklējumiem ārstniecības iestādēs gan akūti, gan plānveidā</t>
  </si>
  <si>
    <t>15.pielikums Psihiskās veselības aprūpes organizēšanas uzlabošanas plānam 2023.-2025.gadam</t>
  </si>
  <si>
    <t>3.1. rīcības virziens "Izstrādāt un ieviest ēšanas traucējumu specializētu ārstēšanas programmu - stacionāri"</t>
  </si>
  <si>
    <t>Stacionārā pacienti ārstējas vidēji 1 mēnesi, ēd vidēji 2-3 reizes dienā (pacientu skaits (10%)*2.5 ēdienreizes * 1 mēnesis)</t>
  </si>
  <si>
    <t>16.pielikums Psihiskās veselības aprūpes organizēšanas uzlabošanas plānam 2023.-2025.gadam</t>
  </si>
  <si>
    <t>3.2. rīcības virziens "Izstrādāt rehabilitācijas pakalpojumu programmu pacientiem ar dubultdiagnozēm, kuras var izraisīt uzvedības un psihiskās veselības traucējumus"</t>
  </si>
  <si>
    <t>33.18.00 "Plānveida stacionāro veselības aprūpes pakalpojumu nodrošināšana"</t>
  </si>
  <si>
    <t>turpmāk ik gadu</t>
  </si>
  <si>
    <t>Prognozējamais pacientu skaits**</t>
  </si>
  <si>
    <t xml:space="preserve">Stacionēšanas reižu skaits </t>
  </si>
  <si>
    <t>Vidējās viena gadījuma izmaksas, euro*</t>
  </si>
  <si>
    <t>Rehabilitācijas programma pacientiem ar dubultdiagnozēm</t>
  </si>
  <si>
    <t>**stac.pakalpojumu programmā "Psihiatriskā palīdzība, tai skaitā pēc tiesas lēmuma" ar divām un vairāk diagnozēm hospitalizāciju skaits</t>
  </si>
  <si>
    <t>*aprēķins veikts atbilstoši 2021.g. progrmmā pacientiem ar diagnozi F2 veiktajiem pakalpojumiem, t.sk.rehabilitācijas pakalpojumi</t>
  </si>
  <si>
    <t>17.pielikums Psihiskās veselības aprūpes organizēšanas uzlabošanas plānam 2023.-2025.gadam</t>
  </si>
  <si>
    <t>4.1. rīcības virziens "Izstrādāt un ieviest kvalitātes kritērijus psihiatriskā profila slimnīcās"</t>
  </si>
  <si>
    <t>46.00.00. programmas "Veselības nozares uzraudzība" 46.01.00 apakšprogramma "Uzraudzība un kontrole"</t>
  </si>
  <si>
    <t xml:space="preserve">1. Īstenots neatkarīgs audīts psihoneiroloģiskās slimnīcās </t>
  </si>
  <si>
    <t>Vienam metodiskajam centram*</t>
  </si>
  <si>
    <t>Diviem metodiskajiem centriem gadā</t>
  </si>
  <si>
    <t>2024. gads, euro**</t>
  </si>
  <si>
    <t>2025.gadā, euro</t>
  </si>
  <si>
    <t>Turpmākajiem gadiem, euro</t>
  </si>
  <si>
    <t>Nepieciešamais apjoms</t>
  </si>
  <si>
    <t>Vienas vienības izmaksas, euro</t>
  </si>
  <si>
    <t>Klīniskais audits</t>
  </si>
  <si>
    <t>* katru gadu metodiskajā centrā tiek veikti 2 klīniskie auditi</t>
  </si>
  <si>
    <t>** 2024.gadā paredzēti 2 klīniskie auditi atbilstoši profilam</t>
  </si>
  <si>
    <t>18.pielikums Psihiskās veselības aprūpes organizēšanas uzlabošanas plānam 2023.-2025.gadam</t>
  </si>
  <si>
    <t xml:space="preserve">4.3. rīcības virziens "Nodrošināt veselības aprūpes datu par pacientiem ar psihiskiem un uzvedības traucējumiem apstrādi elektroniski strukturētā formātā un efektivizēt ar noteiktām slimībām slimojošo personu reģistram par pacientiem ar psihiskiem un uzvedības traucējumiem nepieciešamo datu apstrādes procesu" </t>
  </si>
  <si>
    <t>45.01.00 Veselības aprūpes finansējuma administrēšana un ekonomiskā novērtēšana</t>
  </si>
  <si>
    <t>2024 gads:</t>
  </si>
  <si>
    <t>Izmaksas, euro</t>
  </si>
  <si>
    <t>Projekta pārvaldība, specifikāciju izstrāde</t>
  </si>
  <si>
    <t>Prasību analīze un definēšana, likumdošanas izmaiņas</t>
  </si>
  <si>
    <t>izstrādes un ieviešanas izmaksas</t>
  </si>
  <si>
    <t xml:space="preserve">Kvalitātes kontrole </t>
  </si>
  <si>
    <t>2025 gads un turpmāk ik gadu:</t>
  </si>
  <si>
    <t>Uzturēšanas izmaksas</t>
  </si>
  <si>
    <t>19.pielikums Psihiskās veselības aprūpes organizēšanas uzlabošanas plānam 2023.-2025.gadam</t>
  </si>
  <si>
    <t>4.4.rīcības virziens "Nodrošināt vienotu pieeju veselības aprūpes pakalpojuma saturā un sniegšanā, uz pacientu centrēta pierādījumos balstīta psihiskās veselības aprūpes procesa organizēšanā un dokumentēšanā"</t>
  </si>
  <si>
    <t>Vienam metodiskajam centram</t>
  </si>
  <si>
    <t>Nepieciešamais finansējums pa gadiem, euro</t>
  </si>
  <si>
    <t>slodzes apjoms</t>
  </si>
  <si>
    <t>vienas vienības atalgojums (ar darba devēja VSAOI euro</t>
  </si>
  <si>
    <t>darba samaksas apjoms mēnesī, euro</t>
  </si>
  <si>
    <t>KOPĀ euro</t>
  </si>
  <si>
    <t>Ārsts/funkcionālais speciālists (5 slodzes)</t>
  </si>
  <si>
    <t>Medicīnas māsas (5 slodzes)</t>
  </si>
  <si>
    <t>20.pielikums Psihiskās veselības aprūpes organizēšanas uzlabošanas plānam 2023.-2025.gadam</t>
  </si>
  <si>
    <t>5.1. rīcības virziens "Paplašināt medikamentozās terapijas pieejamību un nepārtrauktību pacientiem ar psihiskās veselības traucējumiem"</t>
  </si>
  <si>
    <t>5.1.1. Kompensējamo medikamentu un materiālu apmaksāšana</t>
  </si>
  <si>
    <t>Diagnoze</t>
  </si>
  <si>
    <t>Prognozējamais pacientu skaits 2023.gadā</t>
  </si>
  <si>
    <t>Prognozējamās izmaksas 1 pac. gadā, euro</t>
  </si>
  <si>
    <t>Prognozētais nepieciešamais finansējums, euro 2023.gadā</t>
  </si>
  <si>
    <t xml:space="preserve">Prognozējamais pacientu skaits 2024.gadā </t>
  </si>
  <si>
    <t>Prognozētais nepieciešamais finansējums, euro 2024.gadā</t>
  </si>
  <si>
    <t xml:space="preserve">Prognozējamais pacientu skaits 2025.gadā </t>
  </si>
  <si>
    <t>Prognozētais nepieciešamais finansējums, euro 2025.gadā</t>
  </si>
  <si>
    <t>33.03.00 "Kompensējamo medikamentu un materiālu apmaksāšana"</t>
  </si>
  <si>
    <t>1.Uzlabota medikamentu pieejamība pacientiem ar šizofrēniju</t>
  </si>
  <si>
    <t>“depo” medikamenti pacientiem ar šizofrēniju (Xeplion)</t>
  </si>
  <si>
    <t xml:space="preserve"> Olanzapina injekcijas</t>
  </si>
  <si>
    <t>2. Palielināts kompensējamo medikamentu skaits pacientiem ar depresiju un bipolāriem traucējumiem</t>
  </si>
  <si>
    <t>Esketamīns (F33 Rekurenti depresīvi traucējumi)</t>
  </si>
  <si>
    <t>Cariprazinum (100% apmērs)</t>
  </si>
  <si>
    <t>Paloperidols pie bipolārajiem traucējumiem (75% apmērs)</t>
  </si>
  <si>
    <t>3.Palielināts medikamentu kompensācijas apmērs pacientiem ar demenci (vadlīnijās paredzētajiem medikamentiem)</t>
  </si>
  <si>
    <t>KZS jau esošie medikamenti</t>
  </si>
  <si>
    <t>Jaunās paaudzes medikamenti</t>
  </si>
  <si>
    <t>4. Jaunu diagnožu iekļaušana KZS</t>
  </si>
  <si>
    <t>F60 Specifiski personības traucējumi un F61 Jaukti un citi personības traucējumi (100% kompensācijas apmērs)</t>
  </si>
  <si>
    <t>5. Kompensācijas apmēra palielināšana F diagnozēm</t>
  </si>
  <si>
    <t>Visām dg, kam tagad ir 75% uz 100%</t>
  </si>
  <si>
    <t>21.pielikums Psihiskās veselības aprūpes organizēšanas uzlabošanas plānam 2023.-2025.gadam</t>
  </si>
  <si>
    <t>5.1.2. Laboratorisko izmeklējumu nodrošināšana ambulatorajā aprūpē</t>
  </si>
  <si>
    <t>Kods</t>
  </si>
  <si>
    <t>Plānotais pacientu skaits (Sasaiste ar 5.1.1.)</t>
  </si>
  <si>
    <t>Nepieciešamais finansējums, euro</t>
  </si>
  <si>
    <t>33.15.00 "Laboratorisko izmeklējumu nodrošināšana ambulatorajā aprūpē"</t>
  </si>
  <si>
    <t>Pilna asins aina (hemoglobīns, eritrocīti, leikocīti, trombocīti, hematokrīts, leikocītu formula (vismaz neitrofīli, eozinofīli, bazofīli, limfocīti, monocīti)). Papildus nenorādīt manipulācijas 40010, 40014</t>
  </si>
  <si>
    <t>22.pielikums Psihiskās veselības aprūpes organizēšanas uzlabošanas plānam 2023.-2025.gadam</t>
  </si>
  <si>
    <t>6.3. rīcības virziens "Izvērtēt psihosomatiskās medicīnas vietu psihiskās veselības aprūpes sistēmā"</t>
  </si>
  <si>
    <t>46.03.00. Slimību profilakses nodrošināšana</t>
  </si>
  <si>
    <t>Tiks veikts pētījums 2025.gadā par kopējo indikatīvo finansējumu 25 000 euro, ņemot vērā citiem līdzīgiem pētījumiem veikto tirgus izpēti.</t>
  </si>
  <si>
    <t>Pētījuma instrumentārija izstrāde</t>
  </si>
  <si>
    <t>Pētījuma praktiskās daļas īstenošana (kvantitatīvā un kvalitatīvā)</t>
  </si>
  <si>
    <t>Pētījuma rezultātu analīze un ziņojuma sagatavošana</t>
  </si>
  <si>
    <t>23.pielikums Psihiskās veselības aprūpes organizēšanas uzlabošanas plānam 2023.-2025.gadam</t>
  </si>
  <si>
    <t>6.5. rīcības virziens "Izvērtēt par cilvēkresursu nodrošinājumu ārstniecības iestādēs, kas sniedz ambulatoros un stacionāros psihiskās veselības aprūpes pakalpojums"</t>
  </si>
  <si>
    <t>Tiks veikts pētījums 2024.gadā par kopējo indikatīvo finansējumu 25 000 euro, ņemot vērā citiem līdzīgiem pētījumiem veikto tirgus izpēti.</t>
  </si>
  <si>
    <t>euro</t>
  </si>
  <si>
    <t>24.pielikums Psihiskās veselības aprūpes organizēšanas uzlabošanas plānam 2023.-2025.gadam</t>
  </si>
  <si>
    <t>2.7. rīcības virziens "Nodrošināt veselības aprūpes pakalpojumu sniedzēja infrastruktūras  attīstību, uzlabojot veselības aprūpes pakalpojumu pieejamību un kvalitāti psihiatrijā "</t>
  </si>
  <si>
    <t>Eiropas Savienības fondu 2014. – 2020.gada plānošanas perioda darbības programmas "Izaugsme un nodarbinātība" 9.3.2. specifiskā atbalsta mērķis "Uzlabot kvalitatīvu veselības aprūpes pakalpojumu pieejamību, jo īpaši sociālās, teritoriālās atstumtības un nabadzības riskam pakļautajiem iedzīvotājiem, attīstot veselības aprūpes infrastruktūru"</t>
  </si>
  <si>
    <t>turpmākie gadi līdz pasākuma beigām (kopā)</t>
  </si>
  <si>
    <t>6.6.</t>
  </si>
  <si>
    <t>Izglītot multiprofesionālās komandas dalībniekus par nemedikamentozās ārstēšanas pielietošanu pacientiem ar hroniskiem psihiskās veselības traucējumiem (t.sk. ēšanas traucējumi, pacienti ar šizofrēniju)</t>
  </si>
  <si>
    <t>ES fondu finansējums**</t>
  </si>
  <si>
    <t xml:space="preserve">** Atbalsts ir paredzēts Eiropas Savienības kohēzijas politikas programmas 2021.–2027.gadam 4.1.2. specifiskā atbalsta mērķa “Uzlabot vienlīdzīgu un savlaicīgu piekļuvi kvalitatīviem, ilgtspējīgiem un izmaksu ziņā pieejamiem veselības aprūpes, veselības veicināšanas un slimību profilakses pakalpojumiem, uzlabojot veselības aprūpes sistēmu efektivitāti un izturētspēju” 4.1.2.5.pasākuma "Uzlabot izglītības iespējas ārstniecības personām, t.sk. uzlabojot tālākizglītības pieejamību" ietvaros. </t>
  </si>
  <si>
    <t>Prioritārā pasākuma gads, numurs un nosaukums, komentāri</t>
  </si>
  <si>
    <t xml:space="preserve">Pasākums un papildus nepieciešama finansējuma pieprasījums ir iekļauts Sabiedrības veselības pamatnostādņu 2021.-2027. gadam uzdevuma 4.2.2. "Izstrādāt  un ieviest veselības nozares cilvēkresursu stratēģiju, kurā ietverti šādi galvenie darbības virzieni: 1) nozares cilvēkresursu plānošanas modeļa izstrāde un cilvēkresursu kartējums; 2) tālākizglītības modeļa izstrāde, darbības plāns tā ieviešanai (tai skaitā ievērojot NAP 2021. – 2027. 3. rīcības virziena “Uz cilvēku centrēta veselības aprūpe”  69. uzdevuma tvērumu); 3) prasību izstrāde datu  bāzes (ārstniecības personu reģistra) uzlabošanai un modernizācijai; 4)  koordinēta  simulētās medicīna attīstība medicīnas izglītībā (iekārtas, izvietojums)" aktivitāšu ietvaros. </t>
  </si>
  <si>
    <t>ES kohēzijas politikas programmas 2021.–2027.gadam 4.1.1.1.pasākums</t>
  </si>
  <si>
    <t>74.00.00</t>
  </si>
  <si>
    <t>80.00.00*</t>
  </si>
  <si>
    <t>80.00.00</t>
  </si>
  <si>
    <t>63.07.00*</t>
  </si>
  <si>
    <t>Eiropas Savienības kohēzijas politikas programmas 2021.–2027.gadam 4.1.1.1.pasākums "Ārstniecības iestāžu infrastruktūras attīstība"</t>
  </si>
  <si>
    <t>Izvērtēt klīniskā un veselības psihologa statusu veselības aprūpes jomā</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</si>
</sst>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 #,##0.00_-;_-* &quot;-&quot;??_-;_-@_-"/>
    <numFmt numFmtId="165" formatCode="0.0"/>
    <numFmt numFmtId="166" formatCode="#,##0.0000"/>
    <numFmt numFmtId="167" formatCode="_-* #,##0.0000_-;\-* #,##0.0000_-;_-* &quot;-&quot;??_-;_-@_-"/>
    <numFmt numFmtId="168" formatCode="_-* #,##0_-;\-* #,##0_-;_-* &quot;-&quot;??_-;_-@_-"/>
    <numFmt numFmtId="169" formatCode="_(* #,##0_);_(* \(#,##0\);_(* &quot;-&quot;??_);_(@_)"/>
    <numFmt numFmtId="170" formatCode="_(* #,##0.000_);_(* \(#,##0.000\);_(* &quot;-&quot;??_);_(@_)"/>
    <numFmt numFmtId="171" formatCode="_(* #,##0_);_(* \(#,##0\);_(* &quot;-&quot;????_);_(@_)"/>
    <numFmt numFmtId="172" formatCode="[$-F400]h:mm:ss\ AM/PM"/>
  </numFmts>
  <fonts count="80" x14ac:knownFonts="1">
    <font>
      <sz val="11"/>
      <color theme="1"/>
      <name val="Calibri"/>
      <family val="2"/>
      <charset val="186"/>
      <scheme val="minor"/>
    </font>
    <font>
      <sz val="11"/>
      <color theme="1"/>
      <name val="Calibri"/>
      <family val="2"/>
      <charset val="186"/>
      <scheme val="minor"/>
    </font>
    <font>
      <b/>
      <sz val="12"/>
      <color theme="1"/>
      <name val="Times New Roman"/>
      <family val="1"/>
      <charset val="186"/>
    </font>
    <font>
      <sz val="10"/>
      <name val="Arial"/>
      <family val="2"/>
      <charset val="186"/>
    </font>
    <font>
      <sz val="11"/>
      <name val="Times New Roman"/>
      <family val="1"/>
      <charset val="186"/>
    </font>
    <font>
      <sz val="11"/>
      <color indexed="8"/>
      <name val="Times New Roman"/>
      <family val="1"/>
      <charset val="186"/>
    </font>
    <font>
      <b/>
      <sz val="11"/>
      <color indexed="8"/>
      <name val="Times New Roman"/>
      <family val="1"/>
      <charset val="186"/>
    </font>
    <font>
      <sz val="11"/>
      <color theme="1"/>
      <name val="Calibri"/>
      <family val="2"/>
      <scheme val="minor"/>
    </font>
    <font>
      <sz val="10"/>
      <color indexed="8"/>
      <name val="Helvetica"/>
    </font>
    <font>
      <sz val="11"/>
      <color rgb="FF000000"/>
      <name val="Calibri"/>
      <family val="2"/>
      <charset val="186"/>
    </font>
    <font>
      <sz val="11"/>
      <color theme="1"/>
      <name val="Times New Roman"/>
      <family val="1"/>
      <charset val="186"/>
    </font>
    <font>
      <sz val="11"/>
      <color rgb="FFFF0000"/>
      <name val="Times New Roman"/>
      <family val="1"/>
      <charset val="186"/>
    </font>
    <font>
      <sz val="11"/>
      <color rgb="FFFF0000"/>
      <name val="Calibri"/>
      <family val="2"/>
      <charset val="186"/>
      <scheme val="minor"/>
    </font>
    <font>
      <b/>
      <sz val="11"/>
      <color theme="1"/>
      <name val="Times New Roman"/>
      <family val="1"/>
      <charset val="186"/>
    </font>
    <font>
      <b/>
      <sz val="11"/>
      <color theme="1"/>
      <name val="Times New Roman"/>
      <family val="1"/>
    </font>
    <font>
      <sz val="11"/>
      <color theme="1"/>
      <name val="Times New Roman"/>
      <family val="1"/>
    </font>
    <font>
      <sz val="12"/>
      <color rgb="FF000000"/>
      <name val="Times New Roman"/>
      <family val="1"/>
    </font>
    <font>
      <sz val="12"/>
      <color theme="1"/>
      <name val="Times New Roman"/>
      <family val="1"/>
    </font>
    <font>
      <sz val="11"/>
      <color rgb="FF000000"/>
      <name val="Times New Roman"/>
      <family val="1"/>
    </font>
    <font>
      <b/>
      <sz val="11"/>
      <color rgb="FF000000"/>
      <name val="Times New Roman"/>
      <family val="1"/>
    </font>
    <font>
      <sz val="11"/>
      <color theme="1"/>
      <name val="Calibri"/>
      <family val="2"/>
      <charset val="204"/>
      <scheme val="minor"/>
    </font>
    <font>
      <sz val="11"/>
      <name val="Times New Roman"/>
      <family val="1"/>
    </font>
    <font>
      <b/>
      <i/>
      <sz val="11"/>
      <name val="Times New Roman"/>
      <family val="1"/>
    </font>
    <font>
      <b/>
      <sz val="11"/>
      <color rgb="FFFF0000"/>
      <name val="Times New Roman"/>
      <family val="1"/>
    </font>
    <font>
      <sz val="10"/>
      <name val="Times New Roman"/>
      <family val="1"/>
    </font>
    <font>
      <sz val="12"/>
      <name val="Times New Roman"/>
      <family val="1"/>
    </font>
    <font>
      <b/>
      <sz val="12"/>
      <name val="Times New Roman"/>
      <family val="1"/>
    </font>
    <font>
      <b/>
      <sz val="11"/>
      <name val="Times New Roman"/>
      <family val="1"/>
    </font>
    <font>
      <b/>
      <sz val="11"/>
      <color rgb="FFFF0000"/>
      <name val="Times New Roman"/>
      <family val="1"/>
      <charset val="186"/>
    </font>
    <font>
      <b/>
      <sz val="11"/>
      <name val="Times New Roman"/>
      <family val="1"/>
      <charset val="186"/>
    </font>
    <font>
      <b/>
      <sz val="12"/>
      <name val="Times New Roman"/>
      <family val="1"/>
      <charset val="186"/>
    </font>
    <font>
      <sz val="11"/>
      <color rgb="FFFF0000"/>
      <name val="Times New Roman"/>
      <family val="1"/>
    </font>
    <font>
      <sz val="10"/>
      <color theme="1"/>
      <name val="Times New Roman"/>
      <family val="1"/>
    </font>
    <font>
      <sz val="9"/>
      <color theme="1"/>
      <name val="Times New Roman"/>
      <family val="1"/>
    </font>
    <font>
      <b/>
      <sz val="12"/>
      <color theme="1"/>
      <name val="Times New Roman"/>
      <family val="1"/>
    </font>
    <font>
      <b/>
      <sz val="10"/>
      <color theme="1"/>
      <name val="Times New Roman"/>
      <family val="1"/>
    </font>
    <font>
      <b/>
      <sz val="10"/>
      <name val="Times New Roman"/>
      <family val="1"/>
    </font>
    <font>
      <sz val="10"/>
      <color rgb="FF000000"/>
      <name val="Times New Roman"/>
      <family val="1"/>
    </font>
    <font>
      <i/>
      <sz val="10"/>
      <name val="Times New Roman"/>
      <family val="1"/>
    </font>
    <font>
      <i/>
      <sz val="10"/>
      <color theme="1"/>
      <name val="Times New Roman"/>
      <family val="1"/>
    </font>
    <font>
      <sz val="10"/>
      <color rgb="FF7030A0"/>
      <name val="Times New Roman"/>
      <family val="1"/>
    </font>
    <font>
      <i/>
      <sz val="11"/>
      <color theme="1"/>
      <name val="Times New Roman"/>
      <family val="1"/>
    </font>
    <font>
      <i/>
      <sz val="11"/>
      <color rgb="FF000000"/>
      <name val="Times New Roman"/>
      <family val="1"/>
    </font>
    <font>
      <u/>
      <sz val="11"/>
      <color theme="10"/>
      <name val="Calibri"/>
      <family val="2"/>
      <scheme val="minor"/>
    </font>
    <font>
      <sz val="11"/>
      <color indexed="8"/>
      <name val="Times New Roman"/>
      <family val="1"/>
    </font>
    <font>
      <b/>
      <sz val="11"/>
      <color indexed="8"/>
      <name val="Times New Roman"/>
      <family val="1"/>
    </font>
    <font>
      <b/>
      <sz val="11"/>
      <color rgb="FF7030A0"/>
      <name val="Times New Roman"/>
      <family val="1"/>
    </font>
    <font>
      <b/>
      <sz val="11"/>
      <color rgb="FF1F497D"/>
      <name val="Times New Roman"/>
      <family val="1"/>
    </font>
    <font>
      <sz val="11"/>
      <color rgb="FF1F497D"/>
      <name val="Times New Roman"/>
      <family val="1"/>
    </font>
    <font>
      <b/>
      <sz val="12"/>
      <color rgb="FF000000"/>
      <name val="Times New Roman"/>
      <family val="1"/>
    </font>
    <font>
      <sz val="12"/>
      <color rgb="FF000000"/>
      <name val="Times New Roman"/>
      <family val="1"/>
      <charset val="186"/>
    </font>
    <font>
      <sz val="12"/>
      <color theme="1"/>
      <name val="Times New Roman"/>
      <family val="1"/>
      <charset val="186"/>
    </font>
    <font>
      <b/>
      <i/>
      <sz val="12"/>
      <color theme="1"/>
      <name val="Times New Roman"/>
      <family val="1"/>
      <charset val="186"/>
    </font>
    <font>
      <b/>
      <sz val="12"/>
      <color theme="1"/>
      <name val="Calibri"/>
      <family val="2"/>
      <charset val="186"/>
      <scheme val="minor"/>
    </font>
    <font>
      <sz val="12"/>
      <name val="Times New Roman"/>
      <family val="1"/>
      <charset val="186"/>
    </font>
    <font>
      <sz val="16"/>
      <color theme="0"/>
      <name val="Calibri"/>
      <family val="2"/>
      <charset val="186"/>
      <scheme val="minor"/>
    </font>
    <font>
      <b/>
      <sz val="11"/>
      <color rgb="FF000000"/>
      <name val="Calibri"/>
      <family val="2"/>
      <charset val="186"/>
      <scheme val="minor"/>
    </font>
    <font>
      <sz val="11"/>
      <color rgb="FF000000"/>
      <name val="Calibri"/>
      <family val="2"/>
      <charset val="186"/>
      <scheme val="minor"/>
    </font>
    <font>
      <b/>
      <sz val="12"/>
      <color rgb="FFFFFFFF"/>
      <name val="Calibri"/>
      <family val="2"/>
      <charset val="186"/>
    </font>
    <font>
      <b/>
      <sz val="12"/>
      <color rgb="FF000000"/>
      <name val="Calibri"/>
      <family val="2"/>
      <charset val="186"/>
    </font>
    <font>
      <sz val="12"/>
      <color rgb="FF000000"/>
      <name val="Calibri"/>
      <family val="2"/>
      <charset val="186"/>
    </font>
    <font>
      <sz val="18"/>
      <name val="Arial"/>
      <family val="2"/>
      <charset val="186"/>
    </font>
    <font>
      <sz val="12"/>
      <color theme="1"/>
      <name val="Calibri"/>
      <family val="2"/>
      <scheme val="minor"/>
    </font>
    <font>
      <sz val="11"/>
      <name val="Calibri"/>
      <family val="2"/>
      <charset val="204"/>
    </font>
    <font>
      <b/>
      <i/>
      <sz val="12"/>
      <name val="Times New Roman"/>
      <family val="1"/>
    </font>
    <font>
      <b/>
      <i/>
      <sz val="12"/>
      <name val="Times New Roman"/>
      <family val="1"/>
      <charset val="186"/>
    </font>
    <font>
      <b/>
      <sz val="11"/>
      <color rgb="FFC00000"/>
      <name val="Times New Roman"/>
      <family val="1"/>
    </font>
    <font>
      <sz val="11"/>
      <color theme="1"/>
      <name val="Times New Roman"/>
      <family val="1"/>
    </font>
    <font>
      <b/>
      <i/>
      <sz val="11"/>
      <color rgb="FF000000"/>
      <name val="Times New Roman"/>
      <family val="1"/>
    </font>
    <font>
      <b/>
      <i/>
      <sz val="11"/>
      <color rgb="FF7030A0"/>
      <name val="Times New Roman"/>
      <family val="1"/>
    </font>
    <font>
      <b/>
      <i/>
      <sz val="11"/>
      <color theme="1"/>
      <name val="Times New Roman"/>
      <family val="1"/>
    </font>
    <font>
      <b/>
      <i/>
      <sz val="11"/>
      <color rgb="FFC00000"/>
      <name val="Times New Roman"/>
      <family val="1"/>
    </font>
    <font>
      <b/>
      <sz val="14"/>
      <color theme="1"/>
      <name val="Times New Roman"/>
      <family val="1"/>
      <charset val="186"/>
    </font>
    <font>
      <i/>
      <sz val="11"/>
      <color theme="1"/>
      <name val="Times New Roman"/>
      <family val="1"/>
      <charset val="186"/>
    </font>
    <font>
      <sz val="11"/>
      <color rgb="FF000000"/>
      <name val="Times New Roman"/>
      <family val="1"/>
      <charset val="186"/>
    </font>
    <font>
      <i/>
      <sz val="11"/>
      <name val="Times New Roman"/>
      <family val="1"/>
    </font>
    <font>
      <sz val="10"/>
      <name val="Times New Roman"/>
      <family val="1"/>
      <charset val="186"/>
    </font>
    <font>
      <sz val="11"/>
      <name val="Calibri"/>
      <family val="2"/>
      <charset val="186"/>
    </font>
    <font>
      <sz val="11"/>
      <color theme="1"/>
      <name val="Times New Roman"/>
      <family val="1"/>
    </font>
    <font>
      <i/>
      <sz val="11"/>
      <color theme="1"/>
      <name val="Calibri"/>
      <family val="2"/>
      <scheme val="minor"/>
    </font>
  </fonts>
  <fills count="29">
    <fill>
      <patternFill patternType="none"/>
    </fill>
    <fill>
      <patternFill patternType="gray125"/>
    </fill>
    <fill>
      <patternFill patternType="solid">
        <fgColor rgb="FFFFFFFF"/>
        <bgColor indexed="64"/>
      </patternFill>
    </fill>
    <fill>
      <patternFill patternType="solid">
        <fgColor rgb="FFD9D9D9"/>
        <bgColor indexed="64"/>
      </patternFill>
    </fill>
    <fill>
      <patternFill patternType="solid">
        <fgColor theme="9" tint="0.59999389629810485"/>
        <bgColor indexed="64"/>
      </patternFill>
    </fill>
    <fill>
      <patternFill patternType="solid">
        <fgColor theme="0" tint="-4.9989318521683403E-2"/>
        <bgColor indexed="64"/>
      </patternFill>
    </fill>
    <fill>
      <patternFill patternType="solid">
        <fgColor theme="5" tint="0.59999389629810485"/>
        <bgColor indexed="64"/>
      </patternFill>
    </fill>
    <fill>
      <patternFill patternType="solid">
        <fgColor theme="9" tint="0.79998168889431442"/>
        <bgColor indexed="64"/>
      </patternFill>
    </fill>
    <fill>
      <patternFill patternType="solid">
        <fgColor theme="9" tint="0.39997558519241921"/>
        <bgColor indexed="64"/>
      </patternFill>
    </fill>
    <fill>
      <patternFill patternType="solid">
        <fgColor theme="0"/>
        <bgColor indexed="64"/>
      </patternFill>
    </fill>
    <fill>
      <patternFill patternType="solid">
        <fgColor rgb="FFFFFF0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bgColor indexed="64"/>
      </patternFill>
    </fill>
    <fill>
      <patternFill patternType="solid">
        <fgColor rgb="FFBFBFBF"/>
        <bgColor rgb="FF000000"/>
      </patternFill>
    </fill>
    <fill>
      <patternFill patternType="solid">
        <fgColor rgb="FFFFFFFF"/>
        <bgColor rgb="FF000000"/>
      </patternFill>
    </fill>
    <fill>
      <patternFill patternType="solid">
        <fgColor rgb="FFA9D08E"/>
        <bgColor rgb="FF000000"/>
      </patternFill>
    </fill>
    <fill>
      <patternFill patternType="solid">
        <fgColor rgb="FF4F81BD"/>
        <bgColor indexed="64"/>
      </patternFill>
    </fill>
    <fill>
      <patternFill patternType="solid">
        <fgColor rgb="FFD0D8E8"/>
        <bgColor indexed="64"/>
      </patternFill>
    </fill>
    <fill>
      <patternFill patternType="solid">
        <fgColor rgb="FFE9EDF4"/>
        <bgColor indexed="64"/>
      </patternFill>
    </fill>
    <fill>
      <patternFill patternType="solid">
        <fgColor rgb="FFE4DFEC"/>
        <bgColor rgb="FF000000"/>
      </patternFill>
    </fill>
    <fill>
      <patternFill patternType="solid">
        <fgColor rgb="FFE2EFDA"/>
        <bgColor indexed="64"/>
      </patternFill>
    </fill>
    <fill>
      <patternFill patternType="solid">
        <fgColor rgb="FFFCE4D6"/>
        <bgColor indexed="64"/>
      </patternFill>
    </fill>
    <fill>
      <patternFill patternType="solid">
        <fgColor rgb="FFF4B084"/>
        <bgColor indexed="64"/>
      </patternFill>
    </fill>
    <fill>
      <patternFill patternType="solid">
        <fgColor rgb="FFC6E0B4"/>
        <bgColor rgb="FF000000"/>
      </patternFill>
    </fill>
    <fill>
      <patternFill patternType="solid">
        <fgColor theme="5" tint="0.39997558519241921"/>
        <bgColor indexed="64"/>
      </patternFill>
    </fill>
    <fill>
      <patternFill patternType="solid">
        <fgColor rgb="FFF2F2F2"/>
        <bgColor indexed="64"/>
      </patternFill>
    </fill>
    <fill>
      <patternFill patternType="solid">
        <fgColor theme="9" tint="0.39997558519241921"/>
        <bgColor rgb="FF000000"/>
      </patternFill>
    </fill>
  </fills>
  <borders count="79">
    <border>
      <left/>
      <right/>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diagonal/>
    </border>
    <border>
      <left/>
      <right/>
      <top style="thin">
        <color indexed="64"/>
      </top>
      <bottom style="thin">
        <color indexed="64"/>
      </bottom>
      <diagonal/>
    </border>
    <border>
      <left/>
      <right/>
      <top/>
      <bottom style="thin">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top/>
      <bottom/>
      <diagonal/>
    </border>
    <border>
      <left/>
      <right/>
      <top style="thin">
        <color indexed="64"/>
      </top>
      <bottom/>
      <diagonal/>
    </border>
    <border>
      <left/>
      <right style="thin">
        <color indexed="64"/>
      </right>
      <top/>
      <bottom/>
      <diagonal/>
    </border>
    <border>
      <left/>
      <right style="thin">
        <color rgb="FF000000"/>
      </right>
      <top style="thin">
        <color indexed="64"/>
      </top>
      <bottom style="thin">
        <color indexed="64"/>
      </bottom>
      <diagonal/>
    </border>
    <border>
      <left style="thin">
        <color indexed="64"/>
      </left>
      <right style="thin">
        <color indexed="64"/>
      </right>
      <top/>
      <bottom style="thin">
        <color rgb="FF000000"/>
      </bottom>
      <diagonal/>
    </border>
    <border>
      <left style="medium">
        <color indexed="64"/>
      </left>
      <right style="thin">
        <color indexed="64"/>
      </right>
      <top/>
      <bottom style="medium">
        <color indexed="64"/>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style="thin">
        <color theme="0" tint="-0.499984740745262"/>
      </left>
      <right/>
      <top style="thin">
        <color theme="0" tint="-0.499984740745262"/>
      </top>
      <bottom style="thin">
        <color theme="0" tint="-0.499984740745262"/>
      </bottom>
      <diagonal/>
    </border>
    <border>
      <left style="thin">
        <color theme="0" tint="-0.499984740745262"/>
      </left>
      <right/>
      <top/>
      <bottom/>
      <diagonal/>
    </border>
    <border>
      <left style="medium">
        <color rgb="FFFFFFFF"/>
      </left>
      <right/>
      <top style="medium">
        <color rgb="FFFFFFFF"/>
      </top>
      <bottom style="thick">
        <color rgb="FFFFFFFF"/>
      </bottom>
      <diagonal/>
    </border>
    <border>
      <left/>
      <right/>
      <top style="medium">
        <color rgb="FFFFFFFF"/>
      </top>
      <bottom style="thick">
        <color rgb="FFFFFFFF"/>
      </bottom>
      <diagonal/>
    </border>
    <border>
      <left/>
      <right style="medium">
        <color rgb="FFFFFFFF"/>
      </right>
      <top style="medium">
        <color rgb="FFFFFFFF"/>
      </top>
      <bottom style="thick">
        <color rgb="FFFFFFFF"/>
      </bottom>
      <diagonal/>
    </border>
    <border>
      <left style="medium">
        <color rgb="FFFFFFFF"/>
      </left>
      <right style="medium">
        <color rgb="FFFFFFFF"/>
      </right>
      <top/>
      <bottom/>
      <diagonal/>
    </border>
    <border>
      <left style="medium">
        <color rgb="FFFFFFFF"/>
      </left>
      <right style="medium">
        <color rgb="FFFFFFFF"/>
      </right>
      <top style="thick">
        <color rgb="FFFFFFFF"/>
      </top>
      <bottom/>
      <diagonal/>
    </border>
    <border>
      <left style="medium">
        <color rgb="FFFFFFFF"/>
      </left>
      <right style="medium">
        <color rgb="FFFFFFFF"/>
      </right>
      <top/>
      <bottom style="medium">
        <color rgb="FFFFFFFF"/>
      </bottom>
      <diagonal/>
    </border>
    <border>
      <left style="medium">
        <color rgb="FFFFFFFF"/>
      </left>
      <right style="medium">
        <color rgb="FFFFFFFF"/>
      </right>
      <top style="medium">
        <color rgb="FFFFFFFF"/>
      </top>
      <bottom/>
      <diagonal/>
    </border>
    <border>
      <left/>
      <right style="medium">
        <color rgb="FFFFFFFF"/>
      </right>
      <top/>
      <bottom/>
      <diagonal/>
    </border>
    <border>
      <left/>
      <right style="medium">
        <color rgb="FFFFFFFF"/>
      </right>
      <top/>
      <bottom style="medium">
        <color rgb="FFFFFFFF"/>
      </bottom>
      <diagonal/>
    </border>
    <border>
      <left style="thin">
        <color theme="0" tint="-0.499984740745262"/>
      </left>
      <right style="thin">
        <color theme="0" tint="-0.499984740745262"/>
      </right>
      <top/>
      <bottom/>
      <diagonal/>
    </border>
    <border>
      <left style="thin">
        <color theme="0" tint="-0.499984740745262"/>
      </left>
      <right style="thin">
        <color theme="0" tint="-0.499984740745262"/>
      </right>
      <top/>
      <bottom style="thin">
        <color theme="0" tint="-0.499984740745262"/>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bottom style="medium">
        <color indexed="64"/>
      </bottom>
      <diagonal/>
    </border>
    <border>
      <left style="thin">
        <color rgb="FF000000"/>
      </left>
      <right/>
      <top style="thin">
        <color rgb="FF000000"/>
      </top>
      <bottom style="thin">
        <color indexed="64"/>
      </bottom>
      <diagonal/>
    </border>
    <border>
      <left/>
      <right style="thin">
        <color rgb="FF000000"/>
      </right>
      <top style="thin">
        <color rgb="FF000000"/>
      </top>
      <bottom style="thin">
        <color indexed="64"/>
      </bottom>
      <diagonal/>
    </border>
    <border>
      <left style="thin">
        <color rgb="FF808080"/>
      </left>
      <right style="thin">
        <color rgb="FF808080"/>
      </right>
      <top style="thin">
        <color rgb="FF808080"/>
      </top>
      <bottom style="thin">
        <color rgb="FF808080"/>
      </bottom>
      <diagonal/>
    </border>
    <border>
      <left/>
      <right style="thin">
        <color rgb="FF808080"/>
      </right>
      <top style="thin">
        <color rgb="FF808080"/>
      </top>
      <bottom style="thin">
        <color rgb="FF808080"/>
      </bottom>
      <diagonal/>
    </border>
    <border>
      <left/>
      <right/>
      <top style="thin">
        <color rgb="FF808080"/>
      </top>
      <bottom style="thin">
        <color rgb="FF808080"/>
      </bottom>
      <diagonal/>
    </border>
    <border>
      <left style="thin">
        <color rgb="FF808080"/>
      </left>
      <right style="thin">
        <color rgb="FF808080"/>
      </right>
      <top/>
      <bottom style="thin">
        <color rgb="FF808080"/>
      </bottom>
      <diagonal/>
    </border>
    <border>
      <left/>
      <right style="thin">
        <color rgb="FF808080"/>
      </right>
      <top/>
      <bottom style="thin">
        <color rgb="FF808080"/>
      </bottom>
      <diagonal/>
    </border>
    <border>
      <left/>
      <right style="thin">
        <color indexed="64"/>
      </right>
      <top style="hair">
        <color indexed="64"/>
      </top>
      <bottom style="thin">
        <color rgb="FF000000"/>
      </bottom>
      <diagonal/>
    </border>
    <border>
      <left style="thin">
        <color rgb="FF000000"/>
      </left>
      <right/>
      <top/>
      <bottom/>
      <diagonal/>
    </border>
    <border>
      <left style="thin">
        <color rgb="FF000000"/>
      </left>
      <right style="thin">
        <color rgb="FF000000"/>
      </right>
      <top/>
      <bottom style="thin">
        <color rgb="FF000000"/>
      </bottom>
      <diagonal/>
    </border>
    <border>
      <left/>
      <right/>
      <top style="thin">
        <color rgb="FF000000"/>
      </top>
      <bottom style="thin">
        <color indexed="64"/>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s>
  <cellStyleXfs count="26">
    <xf numFmtId="0" fontId="0" fillId="0" borderId="0"/>
    <xf numFmtId="164" fontId="1" fillId="0" borderId="0" applyFont="0" applyFill="0" applyBorder="0" applyAlignment="0" applyProtection="0"/>
    <xf numFmtId="9" fontId="1" fillId="0" borderId="0" applyFont="0" applyFill="0" applyBorder="0" applyAlignment="0" applyProtection="0"/>
    <xf numFmtId="0" fontId="1" fillId="0" borderId="0"/>
    <xf numFmtId="0" fontId="3" fillId="0" borderId="0"/>
    <xf numFmtId="0" fontId="1" fillId="0" borderId="0"/>
    <xf numFmtId="0" fontId="1" fillId="0" borderId="0"/>
    <xf numFmtId="0" fontId="7" fillId="0" borderId="0"/>
    <xf numFmtId="0" fontId="8" fillId="0" borderId="0" applyNumberFormat="0" applyFill="0" applyBorder="0" applyProtection="0">
      <alignment vertical="top" wrapText="1"/>
    </xf>
    <xf numFmtId="0" fontId="9" fillId="0" borderId="0"/>
    <xf numFmtId="0" fontId="1" fillId="0" borderId="0"/>
    <xf numFmtId="0" fontId="3" fillId="0" borderId="0"/>
    <xf numFmtId="0" fontId="3" fillId="0" borderId="0"/>
    <xf numFmtId="9" fontId="1" fillId="0" borderId="0" applyFont="0" applyFill="0" applyBorder="0" applyAlignment="0" applyProtection="0"/>
    <xf numFmtId="0" fontId="1" fillId="0" borderId="0"/>
    <xf numFmtId="164" fontId="1" fillId="0" borderId="0" applyFont="0" applyFill="0" applyBorder="0" applyAlignment="0" applyProtection="0"/>
    <xf numFmtId="164" fontId="7" fillId="0" borderId="0" applyFont="0" applyFill="0" applyBorder="0" applyAlignment="0" applyProtection="0"/>
    <xf numFmtId="0" fontId="20" fillId="0" borderId="0"/>
    <xf numFmtId="0" fontId="7" fillId="0" borderId="0"/>
    <xf numFmtId="0" fontId="7" fillId="0" borderId="0"/>
    <xf numFmtId="0" fontId="1" fillId="0" borderId="0"/>
    <xf numFmtId="0" fontId="3" fillId="0" borderId="0"/>
    <xf numFmtId="0" fontId="7" fillId="0" borderId="0"/>
    <xf numFmtId="0" fontId="43" fillId="0" borderId="0" applyNumberFormat="0" applyFill="0" applyBorder="0" applyAlignment="0" applyProtection="0"/>
    <xf numFmtId="0" fontId="20" fillId="0" borderId="0"/>
    <xf numFmtId="0" fontId="62" fillId="0" borderId="0"/>
  </cellStyleXfs>
  <cellXfs count="971">
    <xf numFmtId="0" fontId="0" fillId="0" borderId="0" xfId="0"/>
    <xf numFmtId="0" fontId="14" fillId="0" borderId="0" xfId="0" applyFont="1" applyAlignment="1">
      <alignment vertical="center" wrapText="1"/>
    </xf>
    <xf numFmtId="0" fontId="15" fillId="0" borderId="0" xfId="0" applyFont="1" applyAlignment="1">
      <alignment horizontal="center" wrapText="1"/>
    </xf>
    <xf numFmtId="0" fontId="15" fillId="0" borderId="0" xfId="0" applyFont="1" applyAlignment="1">
      <alignment wrapText="1"/>
    </xf>
    <xf numFmtId="0" fontId="15" fillId="0" borderId="11" xfId="0" applyFont="1" applyBorder="1" applyAlignment="1">
      <alignment horizontal="center" vertical="center" wrapText="1"/>
    </xf>
    <xf numFmtId="3" fontId="15" fillId="0" borderId="11" xfId="0" applyNumberFormat="1" applyFont="1" applyBorder="1" applyAlignment="1">
      <alignment horizontal="center" vertical="center" wrapText="1"/>
    </xf>
    <xf numFmtId="0" fontId="14" fillId="0" borderId="11" xfId="0" applyFont="1" applyBorder="1" applyAlignment="1">
      <alignment horizontal="center" vertical="center" wrapText="1"/>
    </xf>
    <xf numFmtId="0" fontId="19" fillId="2" borderId="11" xfId="0" applyFont="1" applyFill="1" applyBorder="1" applyAlignment="1">
      <alignment horizontal="center" vertical="center" wrapText="1"/>
    </xf>
    <xf numFmtId="0" fontId="15" fillId="0" borderId="11" xfId="0" applyFont="1" applyBorder="1" applyAlignment="1">
      <alignment horizontal="center" wrapText="1"/>
    </xf>
    <xf numFmtId="0" fontId="18" fillId="2" borderId="11" xfId="0" applyFont="1" applyFill="1" applyBorder="1" applyAlignment="1">
      <alignment horizontal="center" vertical="center" wrapText="1"/>
    </xf>
    <xf numFmtId="0" fontId="15" fillId="0" borderId="11" xfId="0" applyFont="1" applyBorder="1" applyAlignment="1">
      <alignment vertical="center" wrapText="1"/>
    </xf>
    <xf numFmtId="0" fontId="15" fillId="0" borderId="0" xfId="0" applyFont="1" applyAlignment="1">
      <alignment vertical="center" wrapText="1"/>
    </xf>
    <xf numFmtId="0" fontId="15" fillId="0" borderId="0" xfId="0" applyFont="1" applyAlignment="1">
      <alignment horizontal="center" vertical="center" wrapText="1"/>
    </xf>
    <xf numFmtId="0" fontId="14" fillId="0" borderId="0" xfId="0" applyFont="1" applyAlignment="1">
      <alignment horizontal="center" vertical="center" wrapText="1"/>
    </xf>
    <xf numFmtId="3" fontId="15" fillId="0" borderId="0" xfId="0" applyNumberFormat="1" applyFont="1" applyAlignment="1">
      <alignment horizontal="center" vertical="center" wrapText="1"/>
    </xf>
    <xf numFmtId="0" fontId="21" fillId="0" borderId="0" xfId="17" applyFont="1"/>
    <xf numFmtId="0" fontId="15" fillId="0" borderId="0" xfId="17" applyFont="1"/>
    <xf numFmtId="0" fontId="15" fillId="0" borderId="0" xfId="17" applyFont="1" applyAlignment="1">
      <alignment horizontal="center"/>
    </xf>
    <xf numFmtId="0" fontId="15" fillId="0" borderId="0" xfId="17" applyFont="1" applyAlignment="1">
      <alignment horizontal="right"/>
    </xf>
    <xf numFmtId="0" fontId="15" fillId="0" borderId="0" xfId="17" applyFont="1" applyAlignment="1">
      <alignment horizontal="center" vertical="center"/>
    </xf>
    <xf numFmtId="0" fontId="21" fillId="0" borderId="0" xfId="17" applyFont="1" applyAlignment="1">
      <alignment horizontal="left"/>
    </xf>
    <xf numFmtId="0" fontId="22" fillId="0" borderId="0" xfId="17" applyFont="1" applyAlignment="1">
      <alignment vertical="center" wrapText="1"/>
    </xf>
    <xf numFmtId="0" fontId="22" fillId="0" borderId="0" xfId="17" applyFont="1" applyAlignment="1">
      <alignment horizontal="center" vertical="center" wrapText="1"/>
    </xf>
    <xf numFmtId="0" fontId="21" fillId="0" borderId="0" xfId="17" applyFont="1" applyAlignment="1">
      <alignment horizontal="center"/>
    </xf>
    <xf numFmtId="0" fontId="23" fillId="0" borderId="0" xfId="17" applyFont="1"/>
    <xf numFmtId="0" fontId="21" fillId="0" borderId="0" xfId="17" applyFont="1" applyAlignment="1">
      <alignment horizontal="center" vertical="center"/>
    </xf>
    <xf numFmtId="0" fontId="24" fillId="0" borderId="0" xfId="0" applyFont="1"/>
    <xf numFmtId="0" fontId="21" fillId="0" borderId="0" xfId="18" applyFont="1"/>
    <xf numFmtId="0" fontId="25" fillId="0" borderId="0" xfId="0" applyFont="1"/>
    <xf numFmtId="0" fontId="24" fillId="0" borderId="0" xfId="18" applyFont="1"/>
    <xf numFmtId="0" fontId="24" fillId="0" borderId="0" xfId="0" applyFont="1" applyAlignment="1">
      <alignment horizontal="left"/>
    </xf>
    <xf numFmtId="0" fontId="25" fillId="0" borderId="0" xfId="0" applyFont="1" applyAlignment="1">
      <alignment horizontal="left"/>
    </xf>
    <xf numFmtId="3" fontId="21" fillId="0" borderId="16" xfId="19" applyNumberFormat="1" applyFont="1" applyBorder="1" applyAlignment="1">
      <alignment horizontal="center" vertical="top"/>
    </xf>
    <xf numFmtId="3" fontId="21" fillId="10" borderId="16" xfId="19" applyNumberFormat="1" applyFont="1" applyFill="1" applyBorder="1" applyAlignment="1">
      <alignment horizontal="center" vertical="top"/>
    </xf>
    <xf numFmtId="0" fontId="15" fillId="0" borderId="16" xfId="17" applyFont="1" applyBorder="1" applyAlignment="1">
      <alignment horizontal="center" vertical="top"/>
    </xf>
    <xf numFmtId="166" fontId="21" fillId="0" borderId="16" xfId="19" applyNumberFormat="1" applyFont="1" applyBorder="1" applyAlignment="1">
      <alignment horizontal="center" vertical="top"/>
    </xf>
    <xf numFmtId="0" fontId="15" fillId="0" borderId="0" xfId="17" applyFont="1" applyAlignment="1">
      <alignment horizontal="center" vertical="top"/>
    </xf>
    <xf numFmtId="4" fontId="21" fillId="0" borderId="0" xfId="19" applyNumberFormat="1" applyFont="1" applyAlignment="1">
      <alignment horizontal="center" vertical="top"/>
    </xf>
    <xf numFmtId="3" fontId="21" fillId="0" borderId="0" xfId="19" applyNumberFormat="1" applyFont="1" applyAlignment="1">
      <alignment horizontal="center" vertical="top"/>
    </xf>
    <xf numFmtId="0" fontId="15" fillId="0" borderId="0" xfId="17" applyFont="1" applyAlignment="1">
      <alignment horizontal="left" vertical="top"/>
    </xf>
    <xf numFmtId="0" fontId="21" fillId="11" borderId="23" xfId="19" applyFont="1" applyFill="1" applyBorder="1" applyAlignment="1">
      <alignment horizontal="center" vertical="center" wrapText="1"/>
    </xf>
    <xf numFmtId="0" fontId="21" fillId="11" borderId="24" xfId="19" applyFont="1" applyFill="1" applyBorder="1" applyAlignment="1">
      <alignment horizontal="center" vertical="center" wrapText="1"/>
    </xf>
    <xf numFmtId="4" fontId="21" fillId="11" borderId="24" xfId="19" applyNumberFormat="1" applyFont="1" applyFill="1" applyBorder="1" applyAlignment="1">
      <alignment horizontal="center" vertical="center" wrapText="1"/>
    </xf>
    <xf numFmtId="3" fontId="21" fillId="11" borderId="24" xfId="19" applyNumberFormat="1" applyFont="1" applyFill="1" applyBorder="1" applyAlignment="1">
      <alignment horizontal="center" vertical="center" wrapText="1"/>
    </xf>
    <xf numFmtId="0" fontId="15" fillId="11" borderId="24" xfId="17" applyFont="1" applyFill="1" applyBorder="1" applyAlignment="1">
      <alignment horizontal="center" vertical="center" wrapText="1"/>
    </xf>
    <xf numFmtId="0" fontId="15" fillId="11" borderId="25" xfId="17" applyFont="1" applyFill="1" applyBorder="1" applyAlignment="1">
      <alignment horizontal="center" vertical="center" wrapText="1"/>
    </xf>
    <xf numFmtId="0" fontId="15" fillId="0" borderId="0" xfId="17" applyFont="1" applyAlignment="1">
      <alignment horizontal="center" vertical="center" wrapText="1"/>
    </xf>
    <xf numFmtId="0" fontId="15" fillId="0" borderId="0" xfId="17" applyFont="1" applyAlignment="1">
      <alignment horizontal="center" wrapText="1"/>
    </xf>
    <xf numFmtId="0" fontId="21" fillId="0" borderId="1" xfId="19" applyFont="1" applyBorder="1" applyAlignment="1">
      <alignment horizontal="center" vertical="top"/>
    </xf>
    <xf numFmtId="0" fontId="21" fillId="0" borderId="7" xfId="19" applyFont="1" applyBorder="1" applyAlignment="1">
      <alignment horizontal="left" vertical="top"/>
    </xf>
    <xf numFmtId="0" fontId="21" fillId="0" borderId="7" xfId="19" applyFont="1" applyBorder="1" applyAlignment="1">
      <alignment horizontal="center" vertical="top"/>
    </xf>
    <xf numFmtId="4" fontId="21" fillId="0" borderId="7" xfId="19" applyNumberFormat="1" applyFont="1" applyBorder="1" applyAlignment="1">
      <alignment horizontal="center" vertical="top"/>
    </xf>
    <xf numFmtId="3" fontId="21" fillId="0" borderId="7" xfId="19" applyNumberFormat="1" applyFont="1" applyBorder="1" applyAlignment="1">
      <alignment horizontal="center" vertical="top"/>
    </xf>
    <xf numFmtId="4" fontId="21" fillId="0" borderId="7" xfId="19" applyNumberFormat="1" applyFont="1" applyBorder="1" applyAlignment="1">
      <alignment horizontal="center" vertical="center"/>
    </xf>
    <xf numFmtId="3" fontId="21" fillId="0" borderId="24" xfId="19" applyNumberFormat="1" applyFont="1" applyBorder="1" applyAlignment="1">
      <alignment horizontal="center" vertical="top"/>
    </xf>
    <xf numFmtId="0" fontId="21" fillId="0" borderId="8" xfId="19" applyFont="1" applyBorder="1" applyAlignment="1">
      <alignment horizontal="center" vertical="top"/>
    </xf>
    <xf numFmtId="0" fontId="21" fillId="0" borderId="11" xfId="19" applyFont="1" applyBorder="1" applyAlignment="1">
      <alignment horizontal="left" vertical="top"/>
    </xf>
    <xf numFmtId="0" fontId="21" fillId="0" borderId="11" xfId="19" applyFont="1" applyBorder="1" applyAlignment="1">
      <alignment horizontal="center" vertical="top"/>
    </xf>
    <xf numFmtId="4" fontId="21" fillId="0" borderId="11" xfId="19" applyNumberFormat="1" applyFont="1" applyBorder="1" applyAlignment="1">
      <alignment horizontal="center" vertical="top"/>
    </xf>
    <xf numFmtId="3" fontId="21" fillId="0" borderId="11" xfId="19" applyNumberFormat="1" applyFont="1" applyBorder="1" applyAlignment="1">
      <alignment horizontal="center" vertical="top"/>
    </xf>
    <xf numFmtId="4" fontId="21" fillId="0" borderId="11" xfId="19" applyNumberFormat="1" applyFont="1" applyBorder="1" applyAlignment="1">
      <alignment horizontal="center" vertical="center"/>
    </xf>
    <xf numFmtId="0" fontId="15" fillId="0" borderId="8" xfId="17" applyFont="1" applyBorder="1" applyAlignment="1">
      <alignment horizontal="center" vertical="top"/>
    </xf>
    <xf numFmtId="0" fontId="15" fillId="0" borderId="11" xfId="17" applyFont="1" applyBorder="1" applyAlignment="1">
      <alignment horizontal="left" vertical="top"/>
    </xf>
    <xf numFmtId="0" fontId="15" fillId="0" borderId="11" xfId="17" applyFont="1" applyBorder="1" applyAlignment="1">
      <alignment horizontal="center" vertical="top"/>
    </xf>
    <xf numFmtId="4" fontId="15" fillId="0" borderId="11" xfId="17" applyNumberFormat="1" applyFont="1" applyBorder="1" applyAlignment="1">
      <alignment horizontal="center" vertical="top"/>
    </xf>
    <xf numFmtId="3" fontId="15" fillId="0" borderId="11" xfId="17" applyNumberFormat="1" applyFont="1" applyBorder="1" applyAlignment="1">
      <alignment horizontal="center" vertical="top"/>
    </xf>
    <xf numFmtId="3" fontId="15" fillId="0" borderId="10" xfId="17" applyNumberFormat="1" applyFont="1" applyBorder="1" applyAlignment="1">
      <alignment horizontal="center" vertical="top"/>
    </xf>
    <xf numFmtId="0" fontId="28" fillId="0" borderId="0" xfId="17" applyFont="1" applyAlignment="1">
      <alignment horizontal="left" vertical="center"/>
    </xf>
    <xf numFmtId="0" fontId="15" fillId="0" borderId="27" xfId="17" applyFont="1" applyBorder="1" applyAlignment="1">
      <alignment horizontal="center" vertical="top"/>
    </xf>
    <xf numFmtId="0" fontId="15" fillId="0" borderId="16" xfId="17" applyFont="1" applyBorder="1" applyAlignment="1">
      <alignment horizontal="left" vertical="top"/>
    </xf>
    <xf numFmtId="0" fontId="21" fillId="0" borderId="16" xfId="19" applyFont="1" applyBorder="1" applyAlignment="1">
      <alignment horizontal="center" vertical="top"/>
    </xf>
    <xf numFmtId="4" fontId="15" fillId="0" borderId="16" xfId="17" applyNumberFormat="1" applyFont="1" applyBorder="1" applyAlignment="1">
      <alignment horizontal="center" vertical="top"/>
    </xf>
    <xf numFmtId="3" fontId="15" fillId="0" borderId="16" xfId="17" applyNumberFormat="1" applyFont="1" applyBorder="1" applyAlignment="1">
      <alignment horizontal="center" vertical="top"/>
    </xf>
    <xf numFmtId="3" fontId="15" fillId="0" borderId="28" xfId="17" applyNumberFormat="1" applyFont="1" applyBorder="1" applyAlignment="1">
      <alignment horizontal="center" vertical="top"/>
    </xf>
    <xf numFmtId="0" fontId="15" fillId="0" borderId="3" xfId="17" applyFont="1" applyBorder="1" applyAlignment="1">
      <alignment horizontal="center"/>
    </xf>
    <xf numFmtId="0" fontId="15" fillId="0" borderId="6" xfId="17" applyFont="1" applyBorder="1" applyAlignment="1">
      <alignment horizontal="left" vertical="top"/>
    </xf>
    <xf numFmtId="0" fontId="15" fillId="0" borderId="6" xfId="17" applyFont="1" applyBorder="1" applyAlignment="1">
      <alignment horizontal="center" vertical="top"/>
    </xf>
    <xf numFmtId="4" fontId="15" fillId="0" borderId="6" xfId="17" applyNumberFormat="1" applyFont="1" applyBorder="1" applyAlignment="1">
      <alignment horizontal="center" vertical="top"/>
    </xf>
    <xf numFmtId="4" fontId="15" fillId="0" borderId="6" xfId="17" applyNumberFormat="1" applyFont="1" applyBorder="1" applyAlignment="1">
      <alignment horizontal="center"/>
    </xf>
    <xf numFmtId="3" fontId="21" fillId="0" borderId="6" xfId="19" applyNumberFormat="1" applyFont="1" applyBorder="1" applyAlignment="1">
      <alignment horizontal="center" vertical="top"/>
    </xf>
    <xf numFmtId="3" fontId="15" fillId="0" borderId="6" xfId="17" applyNumberFormat="1" applyFont="1" applyBorder="1" applyAlignment="1">
      <alignment horizontal="center"/>
    </xf>
    <xf numFmtId="3" fontId="15" fillId="0" borderId="6" xfId="17" applyNumberFormat="1" applyFont="1" applyBorder="1" applyAlignment="1">
      <alignment horizontal="center" vertical="top"/>
    </xf>
    <xf numFmtId="3" fontId="15" fillId="0" borderId="5" xfId="17" applyNumberFormat="1" applyFont="1" applyBorder="1" applyAlignment="1">
      <alignment horizontal="center" vertical="top"/>
    </xf>
    <xf numFmtId="3" fontId="15" fillId="0" borderId="0" xfId="17" applyNumberFormat="1" applyFont="1" applyAlignment="1">
      <alignment horizontal="center" vertical="center"/>
    </xf>
    <xf numFmtId="0" fontId="15" fillId="0" borderId="3" xfId="17" applyFont="1" applyBorder="1" applyAlignment="1">
      <alignment horizontal="center" vertical="top"/>
    </xf>
    <xf numFmtId="0" fontId="21" fillId="0" borderId="6" xfId="19" applyFont="1" applyBorder="1" applyAlignment="1">
      <alignment horizontal="center" vertical="top"/>
    </xf>
    <xf numFmtId="3" fontId="21" fillId="0" borderId="18" xfId="19" applyNumberFormat="1" applyFont="1" applyBorder="1" applyAlignment="1">
      <alignment horizontal="center" vertical="top"/>
    </xf>
    <xf numFmtId="0" fontId="15" fillId="0" borderId="1" xfId="17" applyFont="1" applyBorder="1" applyAlignment="1">
      <alignment horizontal="center"/>
    </xf>
    <xf numFmtId="4" fontId="15" fillId="0" borderId="7" xfId="17" applyNumberFormat="1" applyFont="1" applyBorder="1" applyAlignment="1">
      <alignment horizontal="center" vertical="top"/>
    </xf>
    <xf numFmtId="3" fontId="15" fillId="0" borderId="7" xfId="17" applyNumberFormat="1" applyFont="1" applyBorder="1" applyAlignment="1">
      <alignment horizontal="center"/>
    </xf>
    <xf numFmtId="3" fontId="15" fillId="0" borderId="7" xfId="17" applyNumberFormat="1" applyFont="1" applyBorder="1" applyAlignment="1">
      <alignment horizontal="center" vertical="top"/>
    </xf>
    <xf numFmtId="4" fontId="15" fillId="0" borderId="7" xfId="17" applyNumberFormat="1" applyFont="1" applyBorder="1" applyAlignment="1">
      <alignment horizontal="center" vertical="center"/>
    </xf>
    <xf numFmtId="0" fontId="15" fillId="0" borderId="8" xfId="17" applyFont="1" applyBorder="1" applyAlignment="1">
      <alignment horizontal="center"/>
    </xf>
    <xf numFmtId="3" fontId="15" fillId="0" borderId="11" xfId="17" applyNumberFormat="1" applyFont="1" applyBorder="1" applyAlignment="1">
      <alignment horizontal="center"/>
    </xf>
    <xf numFmtId="4" fontId="15" fillId="0" borderId="11" xfId="17" applyNumberFormat="1" applyFont="1" applyBorder="1" applyAlignment="1">
      <alignment horizontal="center" vertical="center"/>
    </xf>
    <xf numFmtId="0" fontId="15" fillId="0" borderId="27" xfId="17" applyFont="1" applyBorder="1" applyAlignment="1">
      <alignment horizontal="center"/>
    </xf>
    <xf numFmtId="0" fontId="21" fillId="0" borderId="16" xfId="19" applyFont="1" applyBorder="1" applyAlignment="1">
      <alignment horizontal="left" vertical="top"/>
    </xf>
    <xf numFmtId="3" fontId="15" fillId="0" borderId="16" xfId="17" applyNumberFormat="1" applyFont="1" applyBorder="1" applyAlignment="1">
      <alignment horizontal="center"/>
    </xf>
    <xf numFmtId="4" fontId="15" fillId="0" borderId="16" xfId="17" applyNumberFormat="1" applyFont="1" applyBorder="1" applyAlignment="1">
      <alignment horizontal="center" vertical="center"/>
    </xf>
    <xf numFmtId="0" fontId="15" fillId="0" borderId="12" xfId="17" applyFont="1" applyBorder="1" applyAlignment="1">
      <alignment horizontal="center" vertical="top"/>
    </xf>
    <xf numFmtId="0" fontId="15" fillId="0" borderId="13" xfId="17" applyFont="1" applyBorder="1" applyAlignment="1">
      <alignment horizontal="left" vertical="top"/>
    </xf>
    <xf numFmtId="0" fontId="21" fillId="0" borderId="13" xfId="19" applyFont="1" applyBorder="1" applyAlignment="1">
      <alignment horizontal="center" vertical="top"/>
    </xf>
    <xf numFmtId="0" fontId="15" fillId="0" borderId="13" xfId="17" applyFont="1" applyBorder="1" applyAlignment="1">
      <alignment horizontal="center" vertical="top"/>
    </xf>
    <xf numFmtId="4" fontId="15" fillId="0" borderId="13" xfId="17" applyNumberFormat="1" applyFont="1" applyBorder="1" applyAlignment="1">
      <alignment horizontal="center" vertical="top"/>
    </xf>
    <xf numFmtId="3" fontId="21" fillId="0" borderId="13" xfId="19" applyNumberFormat="1" applyFont="1" applyBorder="1" applyAlignment="1">
      <alignment horizontal="center" vertical="top"/>
    </xf>
    <xf numFmtId="3" fontId="15" fillId="0" borderId="13" xfId="17" applyNumberFormat="1" applyFont="1" applyBorder="1" applyAlignment="1">
      <alignment horizontal="center" vertical="top"/>
    </xf>
    <xf numFmtId="3" fontId="15" fillId="0" borderId="14" xfId="17" applyNumberFormat="1" applyFont="1" applyBorder="1" applyAlignment="1">
      <alignment horizontal="center" vertical="top"/>
    </xf>
    <xf numFmtId="4" fontId="15" fillId="0" borderId="7" xfId="17" applyNumberFormat="1" applyFont="1" applyBorder="1" applyAlignment="1">
      <alignment horizontal="center"/>
    </xf>
    <xf numFmtId="4" fontId="15" fillId="0" borderId="11" xfId="17" applyNumberFormat="1" applyFont="1" applyBorder="1" applyAlignment="1">
      <alignment horizontal="center"/>
    </xf>
    <xf numFmtId="4" fontId="15" fillId="0" borderId="16" xfId="17" applyNumberFormat="1" applyFont="1" applyBorder="1" applyAlignment="1">
      <alignment horizontal="center"/>
    </xf>
    <xf numFmtId="0" fontId="15" fillId="0" borderId="30" xfId="17" applyFont="1" applyBorder="1" applyAlignment="1">
      <alignment horizontal="center"/>
    </xf>
    <xf numFmtId="0" fontId="21" fillId="0" borderId="17" xfId="19" applyFont="1" applyBorder="1" applyAlignment="1">
      <alignment horizontal="left" vertical="top"/>
    </xf>
    <xf numFmtId="0" fontId="21" fillId="0" borderId="17" xfId="19" applyFont="1" applyBorder="1" applyAlignment="1">
      <alignment horizontal="center" vertical="top"/>
    </xf>
    <xf numFmtId="4" fontId="15" fillId="0" borderId="17" xfId="17" applyNumberFormat="1" applyFont="1" applyBorder="1" applyAlignment="1">
      <alignment horizontal="center"/>
    </xf>
    <xf numFmtId="4" fontId="15" fillId="0" borderId="17" xfId="17" applyNumberFormat="1" applyFont="1" applyBorder="1" applyAlignment="1">
      <alignment horizontal="center" vertical="top"/>
    </xf>
    <xf numFmtId="3" fontId="21" fillId="0" borderId="17" xfId="19" applyNumberFormat="1" applyFont="1" applyBorder="1" applyAlignment="1">
      <alignment horizontal="center" vertical="top"/>
    </xf>
    <xf numFmtId="3" fontId="15" fillId="0" borderId="17" xfId="17" applyNumberFormat="1" applyFont="1" applyBorder="1" applyAlignment="1">
      <alignment horizontal="center"/>
    </xf>
    <xf numFmtId="3" fontId="15" fillId="0" borderId="17" xfId="17" applyNumberFormat="1" applyFont="1" applyBorder="1" applyAlignment="1">
      <alignment horizontal="center" vertical="top"/>
    </xf>
    <xf numFmtId="3" fontId="15" fillId="0" borderId="31" xfId="17" applyNumberFormat="1" applyFont="1" applyBorder="1" applyAlignment="1">
      <alignment horizontal="center" vertical="top"/>
    </xf>
    <xf numFmtId="3" fontId="15" fillId="0" borderId="9" xfId="17" applyNumberFormat="1" applyFont="1" applyBorder="1" applyAlignment="1">
      <alignment horizontal="center" vertical="top"/>
    </xf>
    <xf numFmtId="3" fontId="15" fillId="0" borderId="4" xfId="17" applyNumberFormat="1" applyFont="1" applyBorder="1" applyAlignment="1">
      <alignment horizontal="center" vertical="top"/>
    </xf>
    <xf numFmtId="3" fontId="15" fillId="0" borderId="2" xfId="17" applyNumberFormat="1" applyFont="1" applyBorder="1" applyAlignment="1">
      <alignment horizontal="center" vertical="top"/>
    </xf>
    <xf numFmtId="3" fontId="15" fillId="0" borderId="32" xfId="17" applyNumberFormat="1" applyFont="1" applyBorder="1" applyAlignment="1">
      <alignment horizontal="center" vertical="top"/>
    </xf>
    <xf numFmtId="0" fontId="15" fillId="0" borderId="7" xfId="17" applyFont="1" applyBorder="1" applyAlignment="1">
      <alignment horizontal="left" vertical="top"/>
    </xf>
    <xf numFmtId="0" fontId="15" fillId="0" borderId="7" xfId="17" applyFont="1" applyBorder="1" applyAlignment="1">
      <alignment horizontal="center" vertical="top"/>
    </xf>
    <xf numFmtId="4" fontId="15" fillId="0" borderId="6" xfId="17" applyNumberFormat="1" applyFont="1" applyBorder="1" applyAlignment="1">
      <alignment horizontal="center" vertical="center"/>
    </xf>
    <xf numFmtId="0" fontId="29" fillId="0" borderId="0" xfId="17" applyFont="1" applyAlignment="1">
      <alignment horizontal="left" vertical="center"/>
    </xf>
    <xf numFmtId="0" fontId="15" fillId="0" borderId="0" xfId="17" applyFont="1" applyAlignment="1">
      <alignment vertical="center"/>
    </xf>
    <xf numFmtId="3" fontId="27" fillId="12" borderId="14" xfId="17" applyNumberFormat="1" applyFont="1" applyFill="1" applyBorder="1" applyAlignment="1">
      <alignment horizontal="center" vertical="center"/>
    </xf>
    <xf numFmtId="4" fontId="15" fillId="0" borderId="0" xfId="17" applyNumberFormat="1" applyFont="1" applyAlignment="1">
      <alignment horizontal="center" vertical="center"/>
    </xf>
    <xf numFmtId="0" fontId="15" fillId="0" borderId="0" xfId="17" applyFont="1" applyAlignment="1">
      <alignment horizontal="left"/>
    </xf>
    <xf numFmtId="3" fontId="15" fillId="0" borderId="0" xfId="17" applyNumberFormat="1" applyFont="1" applyAlignment="1">
      <alignment horizontal="center"/>
    </xf>
    <xf numFmtId="4" fontId="15" fillId="0" borderId="0" xfId="17" applyNumberFormat="1" applyFont="1" applyAlignment="1">
      <alignment horizontal="center"/>
    </xf>
    <xf numFmtId="0" fontId="13" fillId="0" borderId="0" xfId="17" applyFont="1" applyAlignment="1">
      <alignment horizontal="right"/>
    </xf>
    <xf numFmtId="3" fontId="13" fillId="0" borderId="0" xfId="17" applyNumberFormat="1" applyFont="1" applyAlignment="1">
      <alignment horizontal="center"/>
    </xf>
    <xf numFmtId="3" fontId="13" fillId="13" borderId="15" xfId="17" applyNumberFormat="1" applyFont="1" applyFill="1" applyBorder="1" applyAlignment="1">
      <alignment horizontal="center" vertical="center"/>
    </xf>
    <xf numFmtId="3" fontId="28" fillId="0" borderId="0" xfId="17" applyNumberFormat="1" applyFont="1" applyAlignment="1">
      <alignment horizontal="center"/>
    </xf>
    <xf numFmtId="0" fontId="29" fillId="0" borderId="0" xfId="17" applyFont="1" applyAlignment="1">
      <alignment horizontal="right"/>
    </xf>
    <xf numFmtId="3" fontId="29" fillId="0" borderId="0" xfId="17" applyNumberFormat="1" applyFont="1" applyAlignment="1">
      <alignment horizontal="center"/>
    </xf>
    <xf numFmtId="0" fontId="33" fillId="0" borderId="0" xfId="0" applyFont="1" applyAlignment="1">
      <alignment vertical="center" wrapText="1"/>
    </xf>
    <xf numFmtId="0" fontId="32" fillId="0" borderId="0" xfId="0" applyFont="1" applyAlignment="1">
      <alignment vertical="center"/>
    </xf>
    <xf numFmtId="0" fontId="34" fillId="0" borderId="0" xfId="0" applyFont="1" applyAlignment="1">
      <alignment vertical="center"/>
    </xf>
    <xf numFmtId="0" fontId="34" fillId="0" borderId="0" xfId="0" applyFont="1" applyAlignment="1">
      <alignment horizontal="center" vertical="center"/>
    </xf>
    <xf numFmtId="0" fontId="32" fillId="0" borderId="0" xfId="0" applyFont="1" applyAlignment="1">
      <alignment horizontal="center" vertical="center"/>
    </xf>
    <xf numFmtId="0" fontId="24" fillId="0" borderId="0" xfId="0" applyFont="1" applyAlignment="1">
      <alignment vertical="center"/>
    </xf>
    <xf numFmtId="0" fontId="36" fillId="0" borderId="11" xfId="0" applyFont="1" applyBorder="1" applyAlignment="1">
      <alignment horizontal="center" vertical="center"/>
    </xf>
    <xf numFmtId="0" fontId="24" fillId="0" borderId="11" xfId="0" applyFont="1" applyBorder="1" applyAlignment="1">
      <alignment horizontal="center" vertical="center" wrapText="1"/>
    </xf>
    <xf numFmtId="0" fontId="24" fillId="0" borderId="11" xfId="0" applyFont="1" applyBorder="1" applyAlignment="1">
      <alignment horizontal="left" vertical="center" wrapText="1"/>
    </xf>
    <xf numFmtId="3" fontId="24" fillId="0" borderId="11" xfId="0" applyNumberFormat="1" applyFont="1" applyBorder="1" applyAlignment="1">
      <alignment horizontal="center" vertical="center"/>
    </xf>
    <xf numFmtId="3" fontId="36" fillId="0" borderId="11" xfId="0" applyNumberFormat="1" applyFont="1" applyBorder="1" applyAlignment="1">
      <alignment horizontal="center" vertical="center"/>
    </xf>
    <xf numFmtId="0" fontId="24" fillId="0" borderId="11" xfId="0" applyFont="1" applyBorder="1" applyAlignment="1">
      <alignment horizontal="left" vertical="center"/>
    </xf>
    <xf numFmtId="0" fontId="24" fillId="0" borderId="11" xfId="0" applyFont="1" applyBorder="1" applyAlignment="1">
      <alignment vertical="center" wrapText="1"/>
    </xf>
    <xf numFmtId="3" fontId="35" fillId="0" borderId="11" xfId="0" applyNumberFormat="1" applyFont="1" applyBorder="1" applyAlignment="1">
      <alignment horizontal="center" vertical="center" wrapText="1"/>
    </xf>
    <xf numFmtId="0" fontId="36" fillId="0" borderId="0" xfId="0" applyFont="1" applyAlignment="1">
      <alignment vertical="center"/>
    </xf>
    <xf numFmtId="0" fontId="39" fillId="0" borderId="0" xfId="0" applyFont="1" applyAlignment="1">
      <alignment vertical="center"/>
    </xf>
    <xf numFmtId="4" fontId="24" fillId="0" borderId="0" xfId="0" applyNumberFormat="1" applyFont="1" applyAlignment="1">
      <alignment horizontal="center" vertical="center"/>
    </xf>
    <xf numFmtId="3" fontId="32" fillId="0" borderId="0" xfId="0" applyNumberFormat="1" applyFont="1" applyAlignment="1">
      <alignment horizontal="center" vertical="center"/>
    </xf>
    <xf numFmtId="3" fontId="24" fillId="0" borderId="11" xfId="0" applyNumberFormat="1" applyFont="1" applyBorder="1" applyAlignment="1">
      <alignment horizontal="center" vertical="center" wrapText="1"/>
    </xf>
    <xf numFmtId="167" fontId="24" fillId="0" borderId="0" xfId="1" applyNumberFormat="1" applyFont="1" applyAlignment="1">
      <alignment vertical="center"/>
    </xf>
    <xf numFmtId="0" fontId="38" fillId="0" borderId="0" xfId="0" applyFont="1" applyAlignment="1">
      <alignment vertical="center"/>
    </xf>
    <xf numFmtId="0" fontId="39" fillId="0" borderId="11" xfId="0" applyFont="1" applyBorder="1" applyAlignment="1">
      <alignment horizontal="right" vertical="center"/>
    </xf>
    <xf numFmtId="3" fontId="39" fillId="0" borderId="11" xfId="0" applyNumberFormat="1" applyFont="1" applyBorder="1" applyAlignment="1">
      <alignment horizontal="center" vertical="center"/>
    </xf>
    <xf numFmtId="0" fontId="35" fillId="0" borderId="11" xfId="0" applyFont="1" applyBorder="1" applyAlignment="1">
      <alignment horizontal="left" vertical="center" wrapText="1"/>
    </xf>
    <xf numFmtId="3" fontId="35" fillId="0" borderId="11" xfId="0" applyNumberFormat="1" applyFont="1" applyBorder="1" applyAlignment="1">
      <alignment horizontal="center" vertical="center"/>
    </xf>
    <xf numFmtId="0" fontId="35" fillId="0" borderId="0" xfId="0" applyFont="1" applyAlignment="1">
      <alignment vertical="center"/>
    </xf>
    <xf numFmtId="3" fontId="40" fillId="0" borderId="0" xfId="0" applyNumberFormat="1" applyFont="1" applyAlignment="1">
      <alignment horizontal="center" vertical="center"/>
    </xf>
    <xf numFmtId="0" fontId="40" fillId="0" borderId="0" xfId="0" applyFont="1" applyAlignment="1">
      <alignment vertical="center"/>
    </xf>
    <xf numFmtId="0" fontId="31" fillId="0" borderId="0" xfId="0" applyFont="1" applyAlignment="1">
      <alignment wrapText="1"/>
    </xf>
    <xf numFmtId="0" fontId="18" fillId="7" borderId="11" xfId="0" applyFont="1" applyFill="1" applyBorder="1" applyAlignment="1">
      <alignment horizontal="center" vertical="center" wrapText="1"/>
    </xf>
    <xf numFmtId="3" fontId="18" fillId="7" borderId="11" xfId="0" applyNumberFormat="1" applyFont="1" applyFill="1" applyBorder="1" applyAlignment="1">
      <alignment horizontal="center" vertical="center" wrapText="1"/>
    </xf>
    <xf numFmtId="3" fontId="15" fillId="7" borderId="11" xfId="0" applyNumberFormat="1" applyFont="1" applyFill="1" applyBorder="1" applyAlignment="1">
      <alignment horizontal="center" vertical="center" wrapText="1"/>
    </xf>
    <xf numFmtId="0" fontId="15" fillId="0" borderId="0" xfId="0" applyFont="1" applyAlignment="1">
      <alignment horizontal="left" vertical="center" wrapText="1"/>
    </xf>
    <xf numFmtId="0" fontId="18" fillId="0" borderId="11" xfId="0" applyFont="1" applyBorder="1" applyAlignment="1">
      <alignment horizontal="center" vertical="center" wrapText="1"/>
    </xf>
    <xf numFmtId="3" fontId="18" fillId="0" borderId="11" xfId="0" applyNumberFormat="1" applyFont="1" applyBorder="1" applyAlignment="1">
      <alignment horizontal="center" vertical="center" wrapText="1"/>
    </xf>
    <xf numFmtId="0" fontId="41" fillId="0" borderId="0" xfId="0" applyFont="1" applyAlignment="1">
      <alignment wrapText="1"/>
    </xf>
    <xf numFmtId="0" fontId="18" fillId="0" borderId="11" xfId="0" applyFont="1" applyBorder="1" applyAlignment="1">
      <alignment horizontal="justify" vertical="center" wrapText="1"/>
    </xf>
    <xf numFmtId="0" fontId="15" fillId="0" borderId="0" xfId="0" applyFont="1"/>
    <xf numFmtId="3" fontId="21" fillId="7" borderId="11" xfId="7" applyNumberFormat="1" applyFont="1" applyFill="1" applyBorder="1" applyAlignment="1">
      <alignment horizontal="center" vertical="center"/>
    </xf>
    <xf numFmtId="3" fontId="21" fillId="0" borderId="11" xfId="7" applyNumberFormat="1" applyFont="1" applyBorder="1" applyAlignment="1">
      <alignment horizontal="center" vertical="center"/>
    </xf>
    <xf numFmtId="3" fontId="21" fillId="0" borderId="11" xfId="7" applyNumberFormat="1" applyFont="1" applyBorder="1" applyAlignment="1">
      <alignment horizontal="center" vertical="center" wrapText="1"/>
    </xf>
    <xf numFmtId="0" fontId="15" fillId="0" borderId="11" xfId="0" applyFont="1" applyBorder="1" applyAlignment="1">
      <alignment horizontal="left" vertical="center" wrapText="1"/>
    </xf>
    <xf numFmtId="0" fontId="15" fillId="0" borderId="0" xfId="0" applyFont="1" applyAlignment="1">
      <alignment vertical="center"/>
    </xf>
    <xf numFmtId="0" fontId="19" fillId="0" borderId="11" xfId="0" applyFont="1" applyBorder="1" applyAlignment="1">
      <alignment vertical="center" wrapText="1"/>
    </xf>
    <xf numFmtId="0" fontId="18" fillId="7" borderId="11" xfId="0" applyFont="1" applyFill="1" applyBorder="1" applyAlignment="1">
      <alignment horizontal="justify" vertical="center" wrapText="1"/>
    </xf>
    <xf numFmtId="0" fontId="41" fillId="7" borderId="11" xfId="0" applyFont="1" applyFill="1" applyBorder="1" applyAlignment="1">
      <alignment horizontal="center" vertical="center" wrapText="1"/>
    </xf>
    <xf numFmtId="0" fontId="42" fillId="7" borderId="11" xfId="0" applyFont="1" applyFill="1" applyBorder="1" applyAlignment="1">
      <alignment horizontal="justify" vertical="center" wrapText="1"/>
    </xf>
    <xf numFmtId="0" fontId="42" fillId="7" borderId="11" xfId="0" applyFont="1" applyFill="1" applyBorder="1" applyAlignment="1">
      <alignment horizontal="center" vertical="center" wrapText="1"/>
    </xf>
    <xf numFmtId="3" fontId="42" fillId="7" borderId="11" xfId="0" applyNumberFormat="1" applyFont="1" applyFill="1" applyBorder="1" applyAlignment="1">
      <alignment horizontal="center" vertical="center" wrapText="1"/>
    </xf>
    <xf numFmtId="3" fontId="41" fillId="7" borderId="11" xfId="0" applyNumberFormat="1" applyFont="1" applyFill="1" applyBorder="1" applyAlignment="1">
      <alignment horizontal="center" vertical="center" wrapText="1"/>
    </xf>
    <xf numFmtId="3" fontId="14" fillId="0" borderId="11" xfId="0" applyNumberFormat="1" applyFont="1" applyBorder="1" applyAlignment="1">
      <alignment horizontal="center" vertical="center" wrapText="1"/>
    </xf>
    <xf numFmtId="0" fontId="15" fillId="0" borderId="0" xfId="0" applyFont="1" applyAlignment="1">
      <alignment horizontal="right" vertical="center" wrapText="1"/>
    </xf>
    <xf numFmtId="3" fontId="44" fillId="0" borderId="11" xfId="6" applyNumberFormat="1" applyFont="1" applyBorder="1" applyAlignment="1">
      <alignment horizontal="center" vertical="center"/>
    </xf>
    <xf numFmtId="9" fontId="44" fillId="0" borderId="11" xfId="2" applyFont="1" applyBorder="1" applyAlignment="1">
      <alignment horizontal="center" vertical="center"/>
    </xf>
    <xf numFmtId="4" fontId="45" fillId="0" borderId="11" xfId="6" applyNumberFormat="1" applyFont="1" applyBorder="1" applyAlignment="1">
      <alignment horizontal="center" vertical="center"/>
    </xf>
    <xf numFmtId="3" fontId="44" fillId="4" borderId="11" xfId="6" applyNumberFormat="1" applyFont="1" applyFill="1" applyBorder="1" applyAlignment="1">
      <alignment horizontal="center" vertical="center"/>
    </xf>
    <xf numFmtId="4" fontId="45" fillId="4" borderId="11" xfId="6" applyNumberFormat="1" applyFont="1" applyFill="1" applyBorder="1" applyAlignment="1">
      <alignment horizontal="center" vertical="center"/>
    </xf>
    <xf numFmtId="0" fontId="15" fillId="0" borderId="11" xfId="6" applyFont="1" applyBorder="1" applyAlignment="1">
      <alignment horizontal="center" vertical="center"/>
    </xf>
    <xf numFmtId="0" fontId="15" fillId="0" borderId="0" xfId="0" applyFont="1" applyAlignment="1">
      <alignment horizontal="right"/>
    </xf>
    <xf numFmtId="0" fontId="14" fillId="0" borderId="0" xfId="0" applyFont="1" applyAlignment="1">
      <alignment horizontal="center" wrapText="1"/>
    </xf>
    <xf numFmtId="0" fontId="15" fillId="0" borderId="0" xfId="0" applyFont="1" applyAlignment="1">
      <alignment horizontal="center"/>
    </xf>
    <xf numFmtId="0" fontId="15" fillId="0" borderId="11" xfId="6" applyFont="1" applyBorder="1"/>
    <xf numFmtId="0" fontId="44" fillId="0" borderId="11" xfId="6" applyFont="1" applyBorder="1"/>
    <xf numFmtId="0" fontId="15" fillId="0" borderId="11" xfId="6" applyFont="1" applyBorder="1" applyAlignment="1">
      <alignment horizontal="center" vertical="center" wrapText="1"/>
    </xf>
    <xf numFmtId="0" fontId="21" fillId="0" borderId="11" xfId="7" applyFont="1" applyBorder="1" applyAlignment="1">
      <alignment horizontal="center" vertical="center" wrapText="1"/>
    </xf>
    <xf numFmtId="4" fontId="44" fillId="0" borderId="11" xfId="6" applyNumberFormat="1" applyFont="1" applyBorder="1" applyAlignment="1">
      <alignment horizontal="left" vertical="center" wrapText="1"/>
    </xf>
    <xf numFmtId="4" fontId="44" fillId="0" borderId="11" xfId="6" applyNumberFormat="1" applyFont="1" applyBorder="1" applyAlignment="1">
      <alignment horizontal="center" vertical="center"/>
    </xf>
    <xf numFmtId="4" fontId="44" fillId="4" borderId="11" xfId="6" applyNumberFormat="1" applyFont="1" applyFill="1" applyBorder="1" applyAlignment="1">
      <alignment horizontal="center" vertical="center"/>
    </xf>
    <xf numFmtId="0" fontId="41" fillId="0" borderId="0" xfId="0" applyFont="1"/>
    <xf numFmtId="0" fontId="21" fillId="0" borderId="0" xfId="0" applyFont="1"/>
    <xf numFmtId="0" fontId="46" fillId="0" borderId="11" xfId="0" applyFont="1" applyBorder="1" applyAlignment="1">
      <alignment horizontal="left" vertical="center" wrapText="1"/>
    </xf>
    <xf numFmtId="0" fontId="21" fillId="0" borderId="0" xfId="0" applyFont="1" applyAlignment="1">
      <alignment horizontal="left"/>
    </xf>
    <xf numFmtId="0" fontId="19" fillId="2" borderId="11" xfId="0" applyFont="1" applyFill="1" applyBorder="1" applyAlignment="1">
      <alignment horizontal="right" vertical="center" wrapText="1"/>
    </xf>
    <xf numFmtId="0" fontId="19" fillId="0" borderId="11" xfId="0" applyFont="1" applyBorder="1" applyAlignment="1">
      <alignment horizontal="center" vertical="center" wrapText="1"/>
    </xf>
    <xf numFmtId="0" fontId="19" fillId="0" borderId="11" xfId="0" applyFont="1" applyBorder="1" applyAlignment="1">
      <alignment horizontal="left" vertical="center" wrapText="1"/>
    </xf>
    <xf numFmtId="3" fontId="19" fillId="0" borderId="11" xfId="0" applyNumberFormat="1" applyFont="1" applyBorder="1" applyAlignment="1">
      <alignment horizontal="center" vertical="center" wrapText="1"/>
    </xf>
    <xf numFmtId="0" fontId="31" fillId="0" borderId="0" xfId="0" applyFont="1"/>
    <xf numFmtId="165" fontId="15" fillId="0" borderId="11" xfId="0" applyNumberFormat="1" applyFont="1" applyBorder="1" applyAlignment="1">
      <alignment horizontal="center" vertical="center" wrapText="1"/>
    </xf>
    <xf numFmtId="3" fontId="14" fillId="4" borderId="11" xfId="0" applyNumberFormat="1" applyFont="1" applyFill="1" applyBorder="1" applyAlignment="1">
      <alignment horizontal="center" vertical="center" wrapText="1"/>
    </xf>
    <xf numFmtId="0" fontId="10" fillId="0" borderId="0" xfId="0" applyFont="1"/>
    <xf numFmtId="0" fontId="10" fillId="0" borderId="0" xfId="0" applyFont="1" applyAlignment="1">
      <alignment horizontal="right"/>
    </xf>
    <xf numFmtId="0" fontId="4" fillId="0" borderId="0" xfId="0" applyFont="1"/>
    <xf numFmtId="0" fontId="4" fillId="0" borderId="0" xfId="18" applyFont="1"/>
    <xf numFmtId="0" fontId="4" fillId="0" borderId="0" xfId="0" applyFont="1" applyAlignment="1">
      <alignment horizontal="left"/>
    </xf>
    <xf numFmtId="0" fontId="4" fillId="0" borderId="0" xfId="4" applyFont="1"/>
    <xf numFmtId="0" fontId="4" fillId="0" borderId="0" xfId="12" applyFont="1" applyAlignment="1">
      <alignment vertical="center"/>
    </xf>
    <xf numFmtId="0" fontId="10" fillId="0" borderId="11" xfId="20" applyFont="1" applyBorder="1" applyAlignment="1">
      <alignment horizontal="center" vertical="center" wrapText="1"/>
    </xf>
    <xf numFmtId="0" fontId="4" fillId="0" borderId="11" xfId="4" applyFont="1" applyBorder="1" applyAlignment="1">
      <alignment horizontal="center" vertical="center" wrapText="1"/>
    </xf>
    <xf numFmtId="0" fontId="4" fillId="0" borderId="0" xfId="4" applyFont="1" applyAlignment="1">
      <alignment vertical="center"/>
    </xf>
    <xf numFmtId="0" fontId="4" fillId="9" borderId="11" xfId="4" applyFont="1" applyFill="1" applyBorder="1" applyAlignment="1">
      <alignment vertical="center" wrapText="1"/>
    </xf>
    <xf numFmtId="3" fontId="29" fillId="9" borderId="11" xfId="4" applyNumberFormat="1" applyFont="1" applyFill="1" applyBorder="1" applyAlignment="1">
      <alignment horizontal="center" vertical="center" wrapText="1"/>
    </xf>
    <xf numFmtId="1" fontId="11" fillId="0" borderId="0" xfId="12" applyNumberFormat="1" applyFont="1" applyAlignment="1">
      <alignment horizontal="left" vertical="center"/>
    </xf>
    <xf numFmtId="4" fontId="4" fillId="0" borderId="11" xfId="4" applyNumberFormat="1" applyFont="1" applyBorder="1" applyAlignment="1">
      <alignment horizontal="center" vertical="center"/>
    </xf>
    <xf numFmtId="0" fontId="4" fillId="0" borderId="0" xfId="12" applyFont="1"/>
    <xf numFmtId="0" fontId="29" fillId="0" borderId="0" xfId="12" applyFont="1" applyAlignment="1">
      <alignment horizontal="center"/>
    </xf>
    <xf numFmtId="4" fontId="10" fillId="0" borderId="11" xfId="0" applyNumberFormat="1" applyFont="1" applyBorder="1" applyAlignment="1">
      <alignment horizontal="center" vertical="center"/>
    </xf>
    <xf numFmtId="4" fontId="10" fillId="0" borderId="0" xfId="0" applyNumberFormat="1" applyFont="1" applyAlignment="1">
      <alignment horizontal="center" vertical="center"/>
    </xf>
    <xf numFmtId="0" fontId="29" fillId="0" borderId="0" xfId="12" applyFont="1" applyAlignment="1">
      <alignment horizontal="left" vertical="center" wrapText="1"/>
    </xf>
    <xf numFmtId="0" fontId="10" fillId="0" borderId="0" xfId="0" applyFont="1" applyAlignment="1">
      <alignment horizontal="left" wrapText="1"/>
    </xf>
    <xf numFmtId="0" fontId="29" fillId="0" borderId="0" xfId="4" applyFont="1" applyAlignment="1">
      <alignment vertical="center"/>
    </xf>
    <xf numFmtId="0" fontId="11" fillId="0" borderId="0" xfId="4" applyFont="1" applyAlignment="1">
      <alignment vertical="center"/>
    </xf>
    <xf numFmtId="0" fontId="4" fillId="9" borderId="16" xfId="21" applyFont="1" applyFill="1" applyBorder="1" applyAlignment="1">
      <alignment horizontal="center" vertical="center"/>
    </xf>
    <xf numFmtId="0" fontId="4" fillId="9" borderId="17" xfId="21" applyFont="1" applyFill="1" applyBorder="1" applyAlignment="1">
      <alignment horizontal="center" vertical="center"/>
    </xf>
    <xf numFmtId="3" fontId="4" fillId="9" borderId="16" xfId="21" applyNumberFormat="1" applyFont="1" applyFill="1" applyBorder="1" applyAlignment="1">
      <alignment horizontal="center" vertical="center" wrapText="1"/>
    </xf>
    <xf numFmtId="0" fontId="29" fillId="9" borderId="16" xfId="21" applyFont="1" applyFill="1" applyBorder="1" applyAlignment="1">
      <alignment horizontal="center" vertical="center" wrapText="1"/>
    </xf>
    <xf numFmtId="3" fontId="4" fillId="9" borderId="11" xfId="12" applyNumberFormat="1" applyFont="1" applyFill="1" applyBorder="1" applyAlignment="1">
      <alignment horizontal="center" vertical="center" wrapText="1"/>
    </xf>
    <xf numFmtId="0" fontId="29" fillId="9" borderId="11" xfId="12" applyFont="1" applyFill="1" applyBorder="1" applyAlignment="1">
      <alignment horizontal="center" vertical="center" wrapText="1"/>
    </xf>
    <xf numFmtId="0" fontId="10" fillId="0" borderId="11" xfId="0" applyFont="1" applyBorder="1"/>
    <xf numFmtId="0" fontId="4" fillId="9" borderId="11" xfId="21" applyFont="1" applyFill="1" applyBorder="1" applyAlignment="1">
      <alignment horizontal="center" vertical="center" wrapText="1"/>
    </xf>
    <xf numFmtId="3" fontId="4" fillId="9" borderId="11" xfId="21" applyNumberFormat="1" applyFont="1" applyFill="1" applyBorder="1" applyAlignment="1">
      <alignment horizontal="center" vertical="center" wrapText="1"/>
    </xf>
    <xf numFmtId="2" fontId="4" fillId="9" borderId="11" xfId="21" applyNumberFormat="1" applyFont="1" applyFill="1" applyBorder="1" applyAlignment="1">
      <alignment horizontal="center" vertical="center" wrapText="1"/>
    </xf>
    <xf numFmtId="3" fontId="29" fillId="0" borderId="31" xfId="21" applyNumberFormat="1" applyFont="1" applyBorder="1" applyAlignment="1">
      <alignment horizontal="center" vertical="center" wrapText="1"/>
    </xf>
    <xf numFmtId="3" fontId="29" fillId="0" borderId="11" xfId="21" applyNumberFormat="1" applyFont="1" applyBorder="1" applyAlignment="1">
      <alignment horizontal="center" vertical="center" wrapText="1"/>
    </xf>
    <xf numFmtId="4" fontId="29" fillId="0" borderId="11" xfId="21" applyNumberFormat="1" applyFont="1" applyBorder="1" applyAlignment="1">
      <alignment horizontal="center" vertical="center" wrapText="1"/>
    </xf>
    <xf numFmtId="3" fontId="29" fillId="9" borderId="11" xfId="21" applyNumberFormat="1" applyFont="1" applyFill="1" applyBorder="1" applyAlignment="1">
      <alignment horizontal="center" vertical="center" wrapText="1"/>
    </xf>
    <xf numFmtId="3" fontId="29" fillId="0" borderId="0" xfId="21" applyNumberFormat="1" applyFont="1" applyAlignment="1">
      <alignment horizontal="center" vertical="center" wrapText="1"/>
    </xf>
    <xf numFmtId="4" fontId="29" fillId="0" borderId="0" xfId="21" applyNumberFormat="1" applyFont="1" applyAlignment="1">
      <alignment horizontal="center" vertical="center" wrapText="1"/>
    </xf>
    <xf numFmtId="0" fontId="6" fillId="0" borderId="0" xfId="0" applyFont="1"/>
    <xf numFmtId="0" fontId="5" fillId="12" borderId="11" xfId="0" applyFont="1" applyFill="1" applyBorder="1"/>
    <xf numFmtId="0" fontId="5" fillId="12" borderId="11" xfId="0" applyFont="1" applyFill="1" applyBorder="1" applyAlignment="1">
      <alignment horizontal="center"/>
    </xf>
    <xf numFmtId="3" fontId="6" fillId="12" borderId="11" xfId="0" applyNumberFormat="1" applyFont="1" applyFill="1" applyBorder="1"/>
    <xf numFmtId="0" fontId="4" fillId="0" borderId="9" xfId="12" applyFont="1" applyBorder="1" applyAlignment="1">
      <alignment horizontal="left" vertical="center"/>
    </xf>
    <xf numFmtId="0" fontId="4" fillId="0" borderId="21" xfId="12" applyFont="1" applyBorder="1" applyAlignment="1">
      <alignment horizontal="left" vertical="center"/>
    </xf>
    <xf numFmtId="0" fontId="4" fillId="0" borderId="15" xfId="12" applyFont="1" applyBorder="1" applyAlignment="1">
      <alignment horizontal="left" vertical="center"/>
    </xf>
    <xf numFmtId="0" fontId="31" fillId="0" borderId="0" xfId="12" applyFont="1" applyAlignment="1">
      <alignment vertical="center"/>
    </xf>
    <xf numFmtId="0" fontId="34" fillId="0" borderId="0" xfId="0" applyFont="1" applyAlignment="1">
      <alignment horizontal="center"/>
    </xf>
    <xf numFmtId="0" fontId="45" fillId="6" borderId="11" xfId="6" applyFont="1" applyFill="1" applyBorder="1" applyAlignment="1">
      <alignment horizontal="center" vertical="top"/>
    </xf>
    <xf numFmtId="3" fontId="45" fillId="0" borderId="11" xfId="6" applyNumberFormat="1" applyFont="1" applyBorder="1" applyAlignment="1">
      <alignment horizontal="center" vertical="center"/>
    </xf>
    <xf numFmtId="3" fontId="45" fillId="4" borderId="11" xfId="6" applyNumberFormat="1" applyFont="1" applyFill="1" applyBorder="1" applyAlignment="1">
      <alignment horizontal="center" vertical="center"/>
    </xf>
    <xf numFmtId="0" fontId="12" fillId="0" borderId="0" xfId="0" applyFont="1"/>
    <xf numFmtId="0" fontId="14" fillId="0" borderId="0" xfId="0" applyFont="1" applyAlignment="1">
      <alignment horizontal="left"/>
    </xf>
    <xf numFmtId="0" fontId="45" fillId="0" borderId="0" xfId="6" applyFont="1" applyAlignment="1">
      <alignment vertical="top"/>
    </xf>
    <xf numFmtId="4" fontId="44" fillId="0" borderId="0" xfId="6" applyNumberFormat="1" applyFont="1" applyAlignment="1">
      <alignment horizontal="center" vertical="center"/>
    </xf>
    <xf numFmtId="4" fontId="45" fillId="0" borderId="0" xfId="6" applyNumberFormat="1" applyFont="1" applyAlignment="1">
      <alignment horizontal="center" vertical="center"/>
    </xf>
    <xf numFmtId="4" fontId="44" fillId="0" borderId="0" xfId="6" applyNumberFormat="1" applyFont="1" applyAlignment="1">
      <alignment horizontal="left" vertical="center"/>
    </xf>
    <xf numFmtId="4" fontId="45" fillId="0" borderId="0" xfId="6" applyNumberFormat="1" applyFont="1" applyAlignment="1">
      <alignment horizontal="center" vertical="center" wrapText="1"/>
    </xf>
    <xf numFmtId="3" fontId="44" fillId="0" borderId="0" xfId="6" applyNumberFormat="1" applyFont="1" applyAlignment="1">
      <alignment horizontal="center" vertical="center"/>
    </xf>
    <xf numFmtId="9" fontId="15" fillId="0" borderId="0" xfId="2" applyFont="1"/>
    <xf numFmtId="0" fontId="15" fillId="0" borderId="11" xfId="0" applyFont="1" applyBorder="1" applyAlignment="1">
      <alignment horizontal="center" vertical="center"/>
    </xf>
    <xf numFmtId="3" fontId="15" fillId="0" borderId="11" xfId="0" applyNumberFormat="1" applyFont="1" applyBorder="1" applyAlignment="1">
      <alignment horizontal="center" vertical="center"/>
    </xf>
    <xf numFmtId="4" fontId="15" fillId="0" borderId="0" xfId="0" applyNumberFormat="1" applyFont="1" applyAlignment="1">
      <alignment horizontal="center" vertical="center"/>
    </xf>
    <xf numFmtId="4" fontId="15" fillId="6" borderId="11" xfId="0" applyNumberFormat="1" applyFont="1" applyFill="1" applyBorder="1" applyAlignment="1">
      <alignment horizontal="center" vertical="center"/>
    </xf>
    <xf numFmtId="1" fontId="15" fillId="0" borderId="0" xfId="0" applyNumberFormat="1" applyFont="1" applyAlignment="1">
      <alignment horizontal="right"/>
    </xf>
    <xf numFmtId="1" fontId="15" fillId="0" borderId="11" xfId="0" quotePrefix="1" applyNumberFormat="1" applyFont="1" applyBorder="1" applyAlignment="1">
      <alignment horizontal="center" vertical="center"/>
    </xf>
    <xf numFmtId="0" fontId="15" fillId="0" borderId="11" xfId="0" quotePrefix="1" applyFont="1" applyBorder="1" applyAlignment="1">
      <alignment horizontal="center" vertical="center"/>
    </xf>
    <xf numFmtId="4" fontId="15" fillId="0" borderId="11" xfId="0" applyNumberFormat="1" applyFont="1" applyBorder="1" applyAlignment="1">
      <alignment horizontal="center" vertical="center"/>
    </xf>
    <xf numFmtId="0" fontId="15" fillId="0" borderId="0" xfId="0" applyFont="1" applyAlignment="1">
      <alignment horizontal="center" vertical="center"/>
    </xf>
    <xf numFmtId="4" fontId="15" fillId="0" borderId="11" xfId="1" applyNumberFormat="1" applyFont="1" applyFill="1" applyBorder="1" applyAlignment="1">
      <alignment horizontal="center" vertical="center"/>
    </xf>
    <xf numFmtId="4" fontId="15" fillId="0" borderId="11" xfId="1" applyNumberFormat="1" applyFont="1" applyFill="1" applyBorder="1" applyAlignment="1">
      <alignment horizontal="center" vertical="center" wrapText="1"/>
    </xf>
    <xf numFmtId="0" fontId="15" fillId="8" borderId="11" xfId="0" applyFont="1" applyFill="1" applyBorder="1" applyAlignment="1">
      <alignment horizontal="center" vertical="center" wrapText="1"/>
    </xf>
    <xf numFmtId="0" fontId="14" fillId="8" borderId="11" xfId="0" applyFont="1" applyFill="1" applyBorder="1" applyAlignment="1">
      <alignment horizontal="center" vertical="center" wrapText="1"/>
    </xf>
    <xf numFmtId="3" fontId="14" fillId="8" borderId="11" xfId="0" applyNumberFormat="1" applyFont="1" applyFill="1" applyBorder="1" applyAlignment="1">
      <alignment horizontal="center" vertical="center"/>
    </xf>
    <xf numFmtId="0" fontId="15" fillId="8" borderId="11" xfId="0" applyFont="1" applyFill="1" applyBorder="1" applyAlignment="1">
      <alignment horizontal="center" vertical="center"/>
    </xf>
    <xf numFmtId="3" fontId="15" fillId="0" borderId="0" xfId="0" applyNumberFormat="1" applyFont="1" applyAlignment="1">
      <alignment horizontal="center"/>
    </xf>
    <xf numFmtId="0" fontId="14" fillId="0" borderId="0" xfId="0" applyFont="1" applyAlignment="1">
      <alignment horizontal="center" vertical="center"/>
    </xf>
    <xf numFmtId="0" fontId="15" fillId="0" borderId="0" xfId="0" quotePrefix="1" applyFont="1"/>
    <xf numFmtId="4" fontId="44" fillId="4" borderId="11" xfId="6" applyNumberFormat="1" applyFont="1" applyFill="1" applyBorder="1" applyAlignment="1">
      <alignment vertical="center" wrapText="1"/>
    </xf>
    <xf numFmtId="0" fontId="31" fillId="0" borderId="0" xfId="0" applyFont="1" applyAlignment="1">
      <alignment horizontal="left"/>
    </xf>
    <xf numFmtId="0" fontId="31" fillId="0" borderId="0" xfId="18" applyFont="1"/>
    <xf numFmtId="0" fontId="14" fillId="0" borderId="0" xfId="0" applyFont="1"/>
    <xf numFmtId="0" fontId="15" fillId="0" borderId="11" xfId="0" applyFont="1" applyBorder="1" applyAlignment="1">
      <alignment horizontal="left" vertical="center" indent="1"/>
    </xf>
    <xf numFmtId="3" fontId="14" fillId="4" borderId="11" xfId="0" applyNumberFormat="1" applyFont="1" applyFill="1" applyBorder="1" applyAlignment="1">
      <alignment horizontal="center" vertical="center"/>
    </xf>
    <xf numFmtId="0" fontId="47" fillId="0" borderId="0" xfId="0" applyFont="1" applyAlignment="1">
      <alignment horizontal="left" vertical="center" indent="3"/>
    </xf>
    <xf numFmtId="0" fontId="47" fillId="0" borderId="0" xfId="0" applyFont="1" applyAlignment="1">
      <alignment vertical="center"/>
    </xf>
    <xf numFmtId="0" fontId="48" fillId="0" borderId="0" xfId="0" applyFont="1" applyAlignment="1">
      <alignment horizontal="left" vertical="center" indent="1"/>
    </xf>
    <xf numFmtId="0" fontId="48" fillId="0" borderId="0" xfId="0" applyFont="1" applyAlignment="1">
      <alignment horizontal="left" vertical="center" indent="2"/>
    </xf>
    <xf numFmtId="0" fontId="15" fillId="4" borderId="11" xfId="0" applyFont="1" applyFill="1" applyBorder="1" applyAlignment="1">
      <alignment horizontal="right" vertical="center" indent="1"/>
    </xf>
    <xf numFmtId="3" fontId="14" fillId="4" borderId="11" xfId="0" applyNumberFormat="1" applyFont="1" applyFill="1" applyBorder="1" applyAlignment="1">
      <alignment horizontal="center"/>
    </xf>
    <xf numFmtId="0" fontId="21" fillId="0" borderId="0" xfId="0" applyFont="1" applyAlignment="1">
      <alignment horizontal="right"/>
    </xf>
    <xf numFmtId="0" fontId="34" fillId="0" borderId="0" xfId="0" applyFont="1" applyAlignment="1">
      <alignment horizontal="center" vertical="center" wrapText="1"/>
    </xf>
    <xf numFmtId="0" fontId="34" fillId="0" borderId="11" xfId="0" applyFont="1" applyBorder="1" applyAlignment="1">
      <alignment horizontal="center" vertical="center" wrapText="1"/>
    </xf>
    <xf numFmtId="3" fontId="34" fillId="7" borderId="11" xfId="0" applyNumberFormat="1" applyFont="1" applyFill="1" applyBorder="1" applyAlignment="1">
      <alignment horizontal="center" vertical="center"/>
    </xf>
    <xf numFmtId="3" fontId="34" fillId="0" borderId="0" xfId="0" applyNumberFormat="1" applyFont="1" applyAlignment="1">
      <alignment horizontal="center" vertical="center"/>
    </xf>
    <xf numFmtId="0" fontId="13" fillId="9" borderId="11" xfId="0" applyFont="1" applyFill="1" applyBorder="1" applyAlignment="1">
      <alignment horizontal="center" vertical="center" wrapText="1"/>
    </xf>
    <xf numFmtId="0" fontId="10" fillId="9" borderId="11" xfId="0" applyFont="1" applyFill="1" applyBorder="1" applyAlignment="1">
      <alignment horizontal="center" vertical="center"/>
    </xf>
    <xf numFmtId="0" fontId="10" fillId="9" borderId="11" xfId="0" applyFont="1" applyFill="1" applyBorder="1" applyAlignment="1">
      <alignment horizontal="center" vertical="center" wrapText="1"/>
    </xf>
    <xf numFmtId="0" fontId="53" fillId="0" borderId="0" xfId="0" applyFont="1" applyAlignment="1">
      <alignment horizontal="left"/>
    </xf>
    <xf numFmtId="0" fontId="10" fillId="8" borderId="42" xfId="3" applyFont="1" applyFill="1" applyBorder="1" applyAlignment="1">
      <alignment horizontal="center" vertical="center" wrapText="1"/>
    </xf>
    <xf numFmtId="49" fontId="54" fillId="7" borderId="41" xfId="11" applyNumberFormat="1" applyFont="1" applyFill="1" applyBorder="1" applyAlignment="1">
      <alignment horizontal="center" vertical="center" wrapText="1"/>
    </xf>
    <xf numFmtId="49" fontId="4" fillId="7" borderId="43" xfId="11" applyNumberFormat="1" applyFont="1" applyFill="1" applyBorder="1" applyAlignment="1">
      <alignment horizontal="left" vertical="center" wrapText="1"/>
    </xf>
    <xf numFmtId="0" fontId="0" fillId="0" borderId="11" xfId="0" applyBorder="1" applyAlignment="1">
      <alignment horizontal="center" vertical="center"/>
    </xf>
    <xf numFmtId="0" fontId="0" fillId="4" borderId="11" xfId="0" applyFill="1" applyBorder="1" applyAlignment="1">
      <alignment horizontal="center" vertical="center"/>
    </xf>
    <xf numFmtId="0" fontId="55" fillId="0" borderId="0" xfId="0" applyFont="1"/>
    <xf numFmtId="49" fontId="4" fillId="7" borderId="44" xfId="11" applyNumberFormat="1" applyFont="1" applyFill="1" applyBorder="1" applyAlignment="1">
      <alignment horizontal="left" vertical="center" wrapText="1"/>
    </xf>
    <xf numFmtId="0" fontId="0" fillId="0" borderId="0" xfId="0" applyAlignment="1">
      <alignment wrapText="1"/>
    </xf>
    <xf numFmtId="0" fontId="56" fillId="19" borderId="48" xfId="0" applyFont="1" applyFill="1" applyBorder="1" applyAlignment="1">
      <alignment vertical="center" wrapText="1"/>
    </xf>
    <xf numFmtId="0" fontId="56" fillId="19" borderId="50" xfId="0" applyFont="1" applyFill="1" applyBorder="1" applyAlignment="1">
      <alignment vertical="center" wrapText="1"/>
    </xf>
    <xf numFmtId="0" fontId="57" fillId="20" borderId="52" xfId="0" applyFont="1" applyFill="1" applyBorder="1" applyAlignment="1">
      <alignment vertical="center" wrapText="1"/>
    </xf>
    <xf numFmtId="0" fontId="57" fillId="20" borderId="50" xfId="0" applyFont="1" applyFill="1" applyBorder="1" applyAlignment="1">
      <alignment vertical="center" wrapText="1"/>
    </xf>
    <xf numFmtId="0" fontId="57" fillId="20" borderId="53" xfId="0" applyFont="1" applyFill="1" applyBorder="1" applyAlignment="1">
      <alignment vertical="center" wrapText="1"/>
    </xf>
    <xf numFmtId="0" fontId="0" fillId="20" borderId="50" xfId="0" applyFill="1" applyBorder="1" applyAlignment="1">
      <alignment vertical="top" wrapText="1"/>
    </xf>
    <xf numFmtId="0" fontId="57" fillId="19" borderId="52" xfId="0" applyFont="1" applyFill="1" applyBorder="1" applyAlignment="1">
      <alignment vertical="center" wrapText="1"/>
    </xf>
    <xf numFmtId="0" fontId="57" fillId="19" borderId="50" xfId="0" applyFont="1" applyFill="1" applyBorder="1" applyAlignment="1">
      <alignment vertical="center" wrapText="1"/>
    </xf>
    <xf numFmtId="0" fontId="57" fillId="19" borderId="53" xfId="0" applyFont="1" applyFill="1" applyBorder="1" applyAlignment="1">
      <alignment vertical="center" wrapText="1"/>
    </xf>
    <xf numFmtId="0" fontId="0" fillId="19" borderId="50" xfId="0" applyFill="1" applyBorder="1" applyAlignment="1">
      <alignment vertical="top" wrapText="1"/>
    </xf>
    <xf numFmtId="0" fontId="0" fillId="20" borderId="53" xfId="0" applyFill="1" applyBorder="1" applyAlignment="1">
      <alignment vertical="top" wrapText="1"/>
    </xf>
    <xf numFmtId="0" fontId="0" fillId="19" borderId="53" xfId="0" applyFill="1" applyBorder="1" applyAlignment="1">
      <alignment vertical="top" wrapText="1"/>
    </xf>
    <xf numFmtId="0" fontId="59" fillId="19" borderId="49" xfId="0" applyFont="1" applyFill="1" applyBorder="1" applyAlignment="1">
      <alignment horizontal="center" vertical="center" wrapText="1" readingOrder="1"/>
    </xf>
    <xf numFmtId="0" fontId="59" fillId="19" borderId="50" xfId="0" applyFont="1" applyFill="1" applyBorder="1" applyAlignment="1">
      <alignment horizontal="center" vertical="center" wrapText="1" readingOrder="1"/>
    </xf>
    <xf numFmtId="0" fontId="60" fillId="20" borderId="51" xfId="0" applyFont="1" applyFill="1" applyBorder="1" applyAlignment="1">
      <alignment horizontal="left" vertical="center" wrapText="1" readingOrder="1"/>
    </xf>
    <xf numFmtId="0" fontId="60" fillId="20" borderId="48" xfId="0" applyFont="1" applyFill="1" applyBorder="1" applyAlignment="1">
      <alignment horizontal="left" vertical="center" wrapText="1" readingOrder="1"/>
    </xf>
    <xf numFmtId="0" fontId="50" fillId="20" borderId="48" xfId="0" applyFont="1" applyFill="1" applyBorder="1" applyAlignment="1">
      <alignment horizontal="left" vertical="center" wrapText="1" readingOrder="1"/>
    </xf>
    <xf numFmtId="0" fontId="50" fillId="20" borderId="50" xfId="0" applyFont="1" applyFill="1" applyBorder="1" applyAlignment="1">
      <alignment horizontal="left" vertical="center" wrapText="1" readingOrder="1"/>
    </xf>
    <xf numFmtId="0" fontId="60" fillId="19" borderId="51" xfId="0" applyFont="1" applyFill="1" applyBorder="1" applyAlignment="1">
      <alignment horizontal="left" vertical="center" wrapText="1" readingOrder="1"/>
    </xf>
    <xf numFmtId="0" fontId="50" fillId="19" borderId="51" xfId="0" applyFont="1" applyFill="1" applyBorder="1" applyAlignment="1">
      <alignment horizontal="left" vertical="center" wrapText="1" readingOrder="1"/>
    </xf>
    <xf numFmtId="0" fontId="60" fillId="19" borderId="48" xfId="0" applyFont="1" applyFill="1" applyBorder="1" applyAlignment="1">
      <alignment horizontal="left" vertical="center" wrapText="1" readingOrder="1"/>
    </xf>
    <xf numFmtId="0" fontId="50" fillId="19" borderId="48" xfId="0" applyFont="1" applyFill="1" applyBorder="1" applyAlignment="1">
      <alignment horizontal="left" vertical="center" wrapText="1" readingOrder="1"/>
    </xf>
    <xf numFmtId="0" fontId="50" fillId="19" borderId="50" xfId="0" applyFont="1" applyFill="1" applyBorder="1" applyAlignment="1">
      <alignment horizontal="left" vertical="center" wrapText="1" readingOrder="1"/>
    </xf>
    <xf numFmtId="0" fontId="50" fillId="20" borderId="51" xfId="0" applyFont="1" applyFill="1" applyBorder="1" applyAlignment="1">
      <alignment horizontal="left" vertical="center" wrapText="1" readingOrder="1"/>
    </xf>
    <xf numFmtId="0" fontId="18" fillId="0" borderId="0" xfId="0" applyFont="1" applyAlignment="1">
      <alignment wrapText="1"/>
    </xf>
    <xf numFmtId="0" fontId="0" fillId="0" borderId="0" xfId="0" applyAlignment="1">
      <alignment horizontal="center"/>
    </xf>
    <xf numFmtId="0" fontId="42" fillId="7" borderId="11" xfId="0" applyFont="1" applyFill="1" applyBorder="1" applyAlignment="1">
      <alignment vertical="center" wrapText="1"/>
    </xf>
    <xf numFmtId="0" fontId="42" fillId="0" borderId="0" xfId="0" applyFont="1" applyAlignment="1">
      <alignment wrapText="1"/>
    </xf>
    <xf numFmtId="0" fontId="0" fillId="0" borderId="0" xfId="0" applyAlignment="1">
      <alignment vertical="center"/>
    </xf>
    <xf numFmtId="0" fontId="0" fillId="0" borderId="0" xfId="0" applyAlignment="1">
      <alignment horizontal="center" vertical="center"/>
    </xf>
    <xf numFmtId="0" fontId="63" fillId="0" borderId="0" xfId="0" applyFont="1"/>
    <xf numFmtId="0" fontId="54" fillId="0" borderId="0" xfId="0" applyFont="1"/>
    <xf numFmtId="0" fontId="26" fillId="0" borderId="0" xfId="0" applyFont="1"/>
    <xf numFmtId="0" fontId="63" fillId="0" borderId="0" xfId="0" applyFont="1" applyAlignment="1">
      <alignment horizontal="center" vertical="center"/>
    </xf>
    <xf numFmtId="0" fontId="54" fillId="0" borderId="11" xfId="0" applyFont="1" applyBorder="1" applyAlignment="1">
      <alignment horizontal="center" vertical="center" wrapText="1"/>
    </xf>
    <xf numFmtId="0" fontId="54" fillId="0" borderId="15" xfId="0" applyFont="1" applyBorder="1" applyAlignment="1">
      <alignment horizontal="center" vertical="center" wrapText="1"/>
    </xf>
    <xf numFmtId="0" fontId="54" fillId="0" borderId="17" xfId="0" applyFont="1" applyBorder="1" applyAlignment="1">
      <alignment horizontal="center" vertical="center"/>
    </xf>
    <xf numFmtId="0" fontId="54" fillId="0" borderId="34" xfId="0" applyFont="1" applyBorder="1" applyAlignment="1">
      <alignment horizontal="center" vertical="center"/>
    </xf>
    <xf numFmtId="0" fontId="25" fillId="0" borderId="56" xfId="0" applyFont="1" applyBorder="1" applyAlignment="1">
      <alignment horizontal="center" vertical="center" wrapText="1"/>
    </xf>
    <xf numFmtId="0" fontId="66" fillId="0" borderId="11" xfId="0" applyFont="1" applyBorder="1" applyAlignment="1">
      <alignment horizontal="left" vertical="center" wrapText="1"/>
    </xf>
    <xf numFmtId="0" fontId="67" fillId="0" borderId="0" xfId="0" applyFont="1"/>
    <xf numFmtId="0" fontId="67" fillId="0" borderId="0" xfId="0" applyFont="1" applyAlignment="1">
      <alignment horizontal="center" vertical="center"/>
    </xf>
    <xf numFmtId="0" fontId="15" fillId="0" borderId="22" xfId="0" applyFont="1" applyBorder="1" applyAlignment="1">
      <alignment wrapText="1"/>
    </xf>
    <xf numFmtId="0" fontId="18" fillId="0" borderId="0" xfId="0" applyFont="1" applyAlignment="1">
      <alignment horizontal="left"/>
    </xf>
    <xf numFmtId="0" fontId="13" fillId="9" borderId="11" xfId="0" applyFont="1" applyFill="1" applyBorder="1" applyAlignment="1">
      <alignment horizontal="center" vertical="center"/>
    </xf>
    <xf numFmtId="0" fontId="13" fillId="11" borderId="11" xfId="0" applyFont="1" applyFill="1" applyBorder="1" applyAlignment="1">
      <alignment horizontal="center" vertical="center" wrapText="1"/>
    </xf>
    <xf numFmtId="168" fontId="10" fillId="9" borderId="11" xfId="1" applyNumberFormat="1" applyFont="1" applyFill="1" applyBorder="1" applyAlignment="1">
      <alignment horizontal="center" vertical="center"/>
    </xf>
    <xf numFmtId="4" fontId="51" fillId="9" borderId="11" xfId="19" applyNumberFormat="1" applyFont="1" applyFill="1" applyBorder="1" applyAlignment="1">
      <alignment horizontal="center" vertical="center"/>
    </xf>
    <xf numFmtId="0" fontId="51" fillId="9" borderId="11" xfId="19" applyFont="1" applyFill="1" applyBorder="1" applyAlignment="1">
      <alignment horizontal="center" vertical="center"/>
    </xf>
    <xf numFmtId="168" fontId="13" fillId="11" borderId="11" xfId="1" applyNumberFormat="1" applyFont="1" applyFill="1" applyBorder="1" applyAlignment="1">
      <alignment horizontal="center" vertical="center"/>
    </xf>
    <xf numFmtId="0" fontId="68" fillId="0" borderId="11" xfId="0" applyFont="1" applyBorder="1" applyAlignment="1">
      <alignment vertical="center" wrapText="1"/>
    </xf>
    <xf numFmtId="0" fontId="68" fillId="2" borderId="11" xfId="0" applyFont="1" applyFill="1" applyBorder="1" applyAlignment="1">
      <alignment horizontal="right" vertical="center" wrapText="1"/>
    </xf>
    <xf numFmtId="0" fontId="68" fillId="0" borderId="11" xfId="0" applyFont="1" applyBorder="1" applyAlignment="1">
      <alignment horizontal="center" vertical="center" wrapText="1"/>
    </xf>
    <xf numFmtId="0" fontId="68" fillId="0" borderId="11" xfId="0" applyFont="1" applyBorder="1" applyAlignment="1">
      <alignment horizontal="left" vertical="center" wrapText="1"/>
    </xf>
    <xf numFmtId="3" fontId="68" fillId="0" borderId="11" xfId="0" applyNumberFormat="1" applyFont="1" applyBorder="1" applyAlignment="1">
      <alignment horizontal="center" vertical="center" wrapText="1"/>
    </xf>
    <xf numFmtId="0" fontId="69" fillId="0" borderId="11" xfId="0" applyFont="1" applyBorder="1" applyAlignment="1">
      <alignment horizontal="left" vertical="center" wrapText="1"/>
    </xf>
    <xf numFmtId="0" fontId="68" fillId="2" borderId="11" xfId="0" applyFont="1" applyFill="1" applyBorder="1" applyAlignment="1">
      <alignment horizontal="center" vertical="center" wrapText="1"/>
    </xf>
    <xf numFmtId="3" fontId="70" fillId="0" borderId="11" xfId="0" applyNumberFormat="1" applyFont="1" applyBorder="1" applyAlignment="1">
      <alignment horizontal="center" vertical="center" wrapText="1"/>
    </xf>
    <xf numFmtId="0" fontId="70" fillId="0" borderId="11" xfId="0" applyFont="1" applyBorder="1" applyAlignment="1">
      <alignment horizontal="center" vertical="center" wrapText="1"/>
    </xf>
    <xf numFmtId="0" fontId="70" fillId="0" borderId="0" xfId="0" applyFont="1" applyAlignment="1">
      <alignment horizontal="center" vertical="center" wrapText="1"/>
    </xf>
    <xf numFmtId="3" fontId="41" fillId="0" borderId="11" xfId="0" applyNumberFormat="1" applyFont="1" applyBorder="1" applyAlignment="1">
      <alignment horizontal="center" vertical="center" wrapText="1"/>
    </xf>
    <xf numFmtId="0" fontId="18" fillId="22" borderId="11" xfId="0" applyFont="1" applyFill="1" applyBorder="1" applyAlignment="1">
      <alignment horizontal="center" vertical="center" wrapText="1"/>
    </xf>
    <xf numFmtId="3" fontId="18" fillId="22" borderId="11" xfId="0" applyNumberFormat="1" applyFont="1" applyFill="1" applyBorder="1" applyAlignment="1">
      <alignment horizontal="center" vertical="center" wrapText="1"/>
    </xf>
    <xf numFmtId="3" fontId="15" fillId="22" borderId="11" xfId="0" applyNumberFormat="1" applyFont="1" applyFill="1" applyBorder="1" applyAlignment="1">
      <alignment horizontal="center" vertical="center" wrapText="1"/>
    </xf>
    <xf numFmtId="0" fontId="71" fillId="0" borderId="0" xfId="0" applyFont="1" applyAlignment="1">
      <alignment wrapText="1"/>
    </xf>
    <xf numFmtId="0" fontId="2" fillId="7" borderId="11" xfId="0" applyFont="1" applyFill="1" applyBorder="1" applyAlignment="1">
      <alignment horizontal="center" vertical="center" wrapText="1"/>
    </xf>
    <xf numFmtId="0" fontId="52" fillId="0" borderId="11" xfId="0" applyFont="1" applyBorder="1" applyAlignment="1">
      <alignment horizontal="center" vertical="center" wrapText="1"/>
    </xf>
    <xf numFmtId="0" fontId="51" fillId="0" borderId="17" xfId="0" applyFont="1" applyBorder="1" applyAlignment="1">
      <alignment horizontal="center" vertical="center" wrapText="1"/>
    </xf>
    <xf numFmtId="0" fontId="51" fillId="0" borderId="0" xfId="0" applyFont="1"/>
    <xf numFmtId="0" fontId="2" fillId="0" borderId="0" xfId="0" applyFont="1"/>
    <xf numFmtId="0" fontId="52" fillId="0" borderId="9" xfId="0" applyFont="1" applyBorder="1" applyAlignment="1">
      <alignment horizontal="center" vertical="center" wrapText="1"/>
    </xf>
    <xf numFmtId="0" fontId="52" fillId="0" borderId="8" xfId="0" applyFont="1" applyBorder="1" applyAlignment="1">
      <alignment horizontal="center" vertical="center" wrapText="1"/>
    </xf>
    <xf numFmtId="0" fontId="52" fillId="7" borderId="10" xfId="0" applyFont="1" applyFill="1" applyBorder="1" applyAlignment="1">
      <alignment horizontal="center" vertical="center" wrapText="1"/>
    </xf>
    <xf numFmtId="0" fontId="2" fillId="7" borderId="15" xfId="0" applyFont="1" applyFill="1" applyBorder="1" applyAlignment="1">
      <alignment horizontal="center" vertical="center" wrapText="1"/>
    </xf>
    <xf numFmtId="0" fontId="51" fillId="0" borderId="31" xfId="0" applyFont="1" applyBorder="1" applyAlignment="1">
      <alignment horizontal="left" vertical="center" wrapText="1"/>
    </xf>
    <xf numFmtId="165" fontId="51" fillId="0" borderId="8" xfId="0" applyNumberFormat="1" applyFont="1" applyBorder="1" applyAlignment="1">
      <alignment horizontal="center" vertical="center" wrapText="1"/>
    </xf>
    <xf numFmtId="2" fontId="51" fillId="0" borderId="11" xfId="0" applyNumberFormat="1" applyFont="1" applyBorder="1" applyAlignment="1">
      <alignment horizontal="center" vertical="center" wrapText="1"/>
    </xf>
    <xf numFmtId="3" fontId="51" fillId="0" borderId="11" xfId="0" applyNumberFormat="1" applyFont="1" applyBorder="1" applyAlignment="1">
      <alignment horizontal="center" vertical="center" wrapText="1"/>
    </xf>
    <xf numFmtId="3" fontId="2" fillId="0" borderId="11" xfId="0" applyNumberFormat="1" applyFont="1" applyBorder="1" applyAlignment="1">
      <alignment horizontal="center" vertical="center" wrapText="1"/>
    </xf>
    <xf numFmtId="165" fontId="51" fillId="0" borderId="30" xfId="0" applyNumberFormat="1" applyFont="1" applyBorder="1" applyAlignment="1">
      <alignment horizontal="center" vertical="center" wrapText="1"/>
    </xf>
    <xf numFmtId="2" fontId="51" fillId="0" borderId="17" xfId="0" applyNumberFormat="1" applyFont="1" applyBorder="1" applyAlignment="1">
      <alignment horizontal="center" vertical="center" wrapText="1"/>
    </xf>
    <xf numFmtId="3" fontId="51" fillId="0" borderId="17" xfId="0" applyNumberFormat="1" applyFont="1" applyBorder="1" applyAlignment="1">
      <alignment horizontal="center" vertical="center" wrapText="1"/>
    </xf>
    <xf numFmtId="3" fontId="2" fillId="0" borderId="31" xfId="0" applyNumberFormat="1" applyFont="1" applyBorder="1" applyAlignment="1">
      <alignment horizontal="center" vertical="center" wrapText="1"/>
    </xf>
    <xf numFmtId="0" fontId="51" fillId="0" borderId="31" xfId="0" applyFont="1" applyBorder="1" applyAlignment="1">
      <alignment vertical="center" wrapText="1"/>
    </xf>
    <xf numFmtId="165" fontId="51" fillId="0" borderId="3" xfId="0" applyNumberFormat="1" applyFont="1" applyBorder="1" applyAlignment="1">
      <alignment horizontal="center" vertical="center" wrapText="1"/>
    </xf>
    <xf numFmtId="2" fontId="51" fillId="0" borderId="6" xfId="0" applyNumberFormat="1" applyFont="1" applyBorder="1" applyAlignment="1">
      <alignment horizontal="center" vertical="center" wrapText="1"/>
    </xf>
    <xf numFmtId="3" fontId="51" fillId="0" borderId="6" xfId="0" applyNumberFormat="1" applyFont="1" applyBorder="1" applyAlignment="1">
      <alignment horizontal="center" vertical="center" wrapText="1"/>
    </xf>
    <xf numFmtId="3" fontId="2" fillId="0" borderId="6" xfId="0" applyNumberFormat="1" applyFont="1" applyBorder="1" applyAlignment="1">
      <alignment horizontal="center" vertical="center" wrapText="1"/>
    </xf>
    <xf numFmtId="165" fontId="51" fillId="0" borderId="40" xfId="0" applyNumberFormat="1" applyFont="1" applyBorder="1" applyAlignment="1">
      <alignment horizontal="center" vertical="center" wrapText="1"/>
    </xf>
    <xf numFmtId="2" fontId="51" fillId="0" borderId="18" xfId="0" applyNumberFormat="1" applyFont="1" applyBorder="1" applyAlignment="1">
      <alignment horizontal="center" vertical="center" wrapText="1"/>
    </xf>
    <xf numFmtId="3" fontId="51" fillId="0" borderId="18" xfId="0" applyNumberFormat="1" applyFont="1" applyBorder="1" applyAlignment="1">
      <alignment horizontal="center" vertical="center" wrapText="1"/>
    </xf>
    <xf numFmtId="3" fontId="2" fillId="0" borderId="62" xfId="0" applyNumberFormat="1" applyFont="1" applyBorder="1" applyAlignment="1">
      <alignment horizontal="center" vertical="center" wrapText="1"/>
    </xf>
    <xf numFmtId="0" fontId="2" fillId="0" borderId="0" xfId="0" applyFont="1" applyAlignment="1">
      <alignment vertical="center"/>
    </xf>
    <xf numFmtId="0" fontId="13" fillId="0" borderId="0" xfId="0" applyFont="1" applyAlignment="1">
      <alignment vertical="center"/>
    </xf>
    <xf numFmtId="3" fontId="2" fillId="7" borderId="15" xfId="0" applyNumberFormat="1" applyFont="1" applyFill="1" applyBorder="1" applyAlignment="1">
      <alignment horizontal="center" vertical="center"/>
    </xf>
    <xf numFmtId="3" fontId="13" fillId="7" borderId="11" xfId="0" applyNumberFormat="1" applyFont="1" applyFill="1" applyBorder="1" applyAlignment="1">
      <alignment horizontal="center" vertical="center"/>
    </xf>
    <xf numFmtId="0" fontId="51" fillId="0" borderId="0" xfId="0" applyFont="1" applyAlignment="1">
      <alignment horizontal="center" vertical="center" wrapText="1"/>
    </xf>
    <xf numFmtId="0" fontId="51" fillId="0" borderId="0" xfId="0" applyFont="1" applyAlignment="1">
      <alignment horizontal="justify" vertical="center"/>
    </xf>
    <xf numFmtId="1" fontId="44" fillId="0" borderId="11" xfId="2" applyNumberFormat="1" applyFont="1" applyBorder="1" applyAlignment="1">
      <alignment horizontal="center" vertical="center"/>
    </xf>
    <xf numFmtId="0" fontId="2" fillId="0" borderId="11" xfId="0" applyFont="1" applyBorder="1" applyAlignment="1">
      <alignment horizontal="left" wrapText="1"/>
    </xf>
    <xf numFmtId="0" fontId="51" fillId="0" borderId="11" xfId="0" applyFont="1" applyBorder="1"/>
    <xf numFmtId="4" fontId="51" fillId="0" borderId="11" xfId="0" applyNumberFormat="1" applyFont="1" applyBorder="1" applyAlignment="1">
      <alignment horizontal="center" vertical="center"/>
    </xf>
    <xf numFmtId="0" fontId="51" fillId="0" borderId="16" xfId="0" applyFont="1" applyBorder="1"/>
    <xf numFmtId="0" fontId="17" fillId="0" borderId="0" xfId="0" applyFont="1"/>
    <xf numFmtId="0" fontId="17" fillId="0" borderId="11" xfId="0" applyFont="1" applyBorder="1"/>
    <xf numFmtId="0" fontId="17" fillId="0" borderId="16" xfId="0" applyFont="1" applyBorder="1"/>
    <xf numFmtId="0" fontId="51" fillId="0" borderId="11" xfId="0" applyFont="1" applyBorder="1" applyAlignment="1">
      <alignment horizontal="center" wrapText="1"/>
    </xf>
    <xf numFmtId="0" fontId="51" fillId="0" borderId="0" xfId="0" applyFont="1" applyAlignment="1">
      <alignment horizontal="center"/>
    </xf>
    <xf numFmtId="0" fontId="2" fillId="0" borderId="0" xfId="0" applyFont="1" applyAlignment="1">
      <alignment horizontal="center"/>
    </xf>
    <xf numFmtId="0" fontId="16" fillId="0" borderId="0" xfId="0" applyFont="1" applyAlignment="1">
      <alignment wrapText="1"/>
    </xf>
    <xf numFmtId="3" fontId="49" fillId="0" borderId="0" xfId="0" applyNumberFormat="1" applyFont="1" applyAlignment="1">
      <alignment horizontal="center"/>
    </xf>
    <xf numFmtId="3" fontId="49" fillId="0" borderId="0" xfId="0" applyNumberFormat="1" applyFont="1" applyAlignment="1">
      <alignment horizontal="right"/>
    </xf>
    <xf numFmtId="168" fontId="18" fillId="0" borderId="11" xfId="1" applyNumberFormat="1" applyFont="1" applyFill="1" applyBorder="1" applyAlignment="1">
      <alignment horizontal="center"/>
    </xf>
    <xf numFmtId="3" fontId="18" fillId="0" borderId="11" xfId="0" applyNumberFormat="1" applyFont="1" applyBorder="1" applyAlignment="1">
      <alignment horizontal="right"/>
    </xf>
    <xf numFmtId="3" fontId="42" fillId="0" borderId="11" xfId="0" applyNumberFormat="1" applyFont="1" applyBorder="1" applyAlignment="1">
      <alignment horizontal="center" vertical="center" wrapText="1"/>
    </xf>
    <xf numFmtId="0" fontId="10" fillId="0" borderId="56" xfId="0" applyFont="1" applyBorder="1"/>
    <xf numFmtId="0" fontId="10" fillId="0" borderId="56" xfId="0" applyFont="1" applyBorder="1" applyAlignment="1">
      <alignment horizontal="center" vertical="center"/>
    </xf>
    <xf numFmtId="0" fontId="10" fillId="0" borderId="56" xfId="0" applyFont="1" applyBorder="1" applyAlignment="1">
      <alignment horizontal="center" vertical="center" wrapText="1"/>
    </xf>
    <xf numFmtId="0" fontId="73" fillId="0" borderId="56" xfId="0" applyFont="1" applyBorder="1" applyAlignment="1">
      <alignment horizontal="center" vertical="center" wrapText="1"/>
    </xf>
    <xf numFmtId="164" fontId="10" fillId="0" borderId="56" xfId="1" applyFont="1" applyFill="1" applyBorder="1" applyAlignment="1">
      <alignment horizontal="center" vertical="center"/>
    </xf>
    <xf numFmtId="168" fontId="10" fillId="0" borderId="56" xfId="1" applyNumberFormat="1" applyFont="1" applyFill="1" applyBorder="1" applyAlignment="1">
      <alignment horizontal="center" vertical="center"/>
    </xf>
    <xf numFmtId="168" fontId="13" fillId="0" borderId="56" xfId="1" applyNumberFormat="1" applyFont="1" applyFill="1" applyBorder="1" applyAlignment="1">
      <alignment horizontal="center" vertical="center"/>
    </xf>
    <xf numFmtId="0" fontId="18" fillId="22" borderId="11" xfId="0" applyFont="1" applyFill="1" applyBorder="1" applyAlignment="1">
      <alignment horizontal="left" vertical="center" wrapText="1"/>
    </xf>
    <xf numFmtId="0" fontId="68" fillId="2" borderId="16" xfId="0" applyFont="1" applyFill="1" applyBorder="1" applyAlignment="1">
      <alignment horizontal="center" vertical="center" wrapText="1"/>
    </xf>
    <xf numFmtId="0" fontId="22" fillId="0" borderId="16" xfId="0" applyFont="1" applyBorder="1" applyAlignment="1">
      <alignment horizontal="right"/>
    </xf>
    <xf numFmtId="0" fontId="18" fillId="2" borderId="56" xfId="0" applyFont="1" applyFill="1" applyBorder="1" applyAlignment="1">
      <alignment horizontal="center" vertical="center" wrapText="1"/>
    </xf>
    <xf numFmtId="0" fontId="18" fillId="2" borderId="15" xfId="0" applyFont="1" applyFill="1" applyBorder="1" applyAlignment="1">
      <alignment horizontal="center" vertical="center" wrapText="1"/>
    </xf>
    <xf numFmtId="0" fontId="42" fillId="0" borderId="11" xfId="0" applyFont="1" applyBorder="1" applyAlignment="1">
      <alignment horizontal="center" vertical="center" wrapText="1"/>
    </xf>
    <xf numFmtId="0" fontId="18" fillId="7" borderId="17" xfId="0" applyFont="1" applyFill="1" applyBorder="1" applyAlignment="1">
      <alignment horizontal="center" vertical="center" wrapText="1"/>
    </xf>
    <xf numFmtId="0" fontId="18" fillId="0" borderId="56" xfId="0" applyFont="1" applyBorder="1" applyAlignment="1">
      <alignment vertical="center" wrapText="1"/>
    </xf>
    <xf numFmtId="0" fontId="42" fillId="0" borderId="15" xfId="0" applyFont="1" applyBorder="1" applyAlignment="1">
      <alignment horizontal="center" vertical="center" wrapText="1"/>
    </xf>
    <xf numFmtId="2" fontId="15" fillId="0" borderId="0" xfId="0" applyNumberFormat="1" applyFont="1" applyAlignment="1">
      <alignment horizontal="center" vertical="center"/>
    </xf>
    <xf numFmtId="0" fontId="15" fillId="23" borderId="56" xfId="0" applyFont="1" applyFill="1" applyBorder="1" applyAlignment="1">
      <alignment horizontal="center" vertical="center" wrapText="1"/>
    </xf>
    <xf numFmtId="0" fontId="15" fillId="0" borderId="17" xfId="0" applyFont="1" applyBorder="1"/>
    <xf numFmtId="0" fontId="29" fillId="11" borderId="56" xfId="0" applyFont="1" applyFill="1" applyBorder="1" applyAlignment="1">
      <alignment horizontal="center" vertical="top" wrapText="1"/>
    </xf>
    <xf numFmtId="0" fontId="15" fillId="0" borderId="34" xfId="0" applyFont="1" applyBorder="1" applyAlignment="1">
      <alignment horizontal="center" vertical="center"/>
    </xf>
    <xf numFmtId="0" fontId="29" fillId="11" borderId="15" xfId="0" applyFont="1" applyFill="1" applyBorder="1" applyAlignment="1">
      <alignment horizontal="center" vertical="center" wrapText="1"/>
    </xf>
    <xf numFmtId="0" fontId="29" fillId="11" borderId="11" xfId="0" applyFont="1" applyFill="1" applyBorder="1" applyAlignment="1">
      <alignment horizontal="center" vertical="center" wrapText="1"/>
    </xf>
    <xf numFmtId="2" fontId="15" fillId="0" borderId="11" xfId="0" applyNumberFormat="1" applyFont="1" applyBorder="1" applyAlignment="1">
      <alignment horizontal="center" vertical="center"/>
    </xf>
    <xf numFmtId="0" fontId="49" fillId="0" borderId="11" xfId="0" applyFont="1" applyBorder="1" applyAlignment="1">
      <alignment horizontal="center" vertical="center" wrapText="1"/>
    </xf>
    <xf numFmtId="3" fontId="18" fillId="0" borderId="11" xfId="6" applyNumberFormat="1" applyFont="1" applyBorder="1" applyAlignment="1">
      <alignment horizontal="center" vertical="center"/>
    </xf>
    <xf numFmtId="0" fontId="15" fillId="22" borderId="11" xfId="0" applyFont="1" applyFill="1" applyBorder="1" applyAlignment="1">
      <alignment horizontal="center" vertical="center" wrapText="1"/>
    </xf>
    <xf numFmtId="0" fontId="15" fillId="22" borderId="11" xfId="0" applyFont="1" applyFill="1" applyBorder="1" applyAlignment="1">
      <alignment vertical="center" wrapText="1"/>
    </xf>
    <xf numFmtId="3" fontId="21" fillId="0" borderId="0" xfId="7" applyNumberFormat="1" applyFont="1" applyAlignment="1">
      <alignment horizontal="center" vertical="center" wrapText="1"/>
    </xf>
    <xf numFmtId="3" fontId="49" fillId="0" borderId="16" xfId="0" applyNumberFormat="1" applyFont="1" applyBorder="1" applyAlignment="1">
      <alignment horizontal="center"/>
    </xf>
    <xf numFmtId="168" fontId="49" fillId="0" borderId="16" xfId="1" applyNumberFormat="1" applyFont="1" applyFill="1" applyBorder="1" applyAlignment="1">
      <alignment horizontal="center"/>
    </xf>
    <xf numFmtId="3" fontId="49" fillId="0" borderId="16" xfId="0" applyNumberFormat="1" applyFont="1" applyBorder="1" applyAlignment="1">
      <alignment horizontal="right"/>
    </xf>
    <xf numFmtId="3" fontId="49" fillId="0" borderId="11" xfId="0" applyNumberFormat="1" applyFont="1" applyBorder="1" applyAlignment="1">
      <alignment horizontal="center"/>
    </xf>
    <xf numFmtId="168" fontId="49" fillId="0" borderId="11" xfId="1" applyNumberFormat="1" applyFont="1" applyFill="1" applyBorder="1" applyAlignment="1">
      <alignment horizontal="center"/>
    </xf>
    <xf numFmtId="3" fontId="49" fillId="0" borderId="11" xfId="0" applyNumberFormat="1" applyFont="1" applyBorder="1" applyAlignment="1">
      <alignment horizontal="right"/>
    </xf>
    <xf numFmtId="0" fontId="5" fillId="2" borderId="11" xfId="0" applyFont="1" applyFill="1" applyBorder="1" applyAlignment="1">
      <alignment wrapText="1"/>
    </xf>
    <xf numFmtId="4" fontId="5" fillId="2" borderId="11" xfId="0" applyNumberFormat="1" applyFont="1" applyFill="1" applyBorder="1"/>
    <xf numFmtId="0" fontId="5" fillId="2" borderId="11" xfId="0" applyFont="1" applyFill="1" applyBorder="1"/>
    <xf numFmtId="0" fontId="4" fillId="2" borderId="11" xfId="0" applyFont="1" applyFill="1" applyBorder="1"/>
    <xf numFmtId="4" fontId="31" fillId="0" borderId="0" xfId="12" applyNumberFormat="1" applyFont="1" applyAlignment="1">
      <alignment vertical="center"/>
    </xf>
    <xf numFmtId="3" fontId="27" fillId="0" borderId="11" xfId="7" applyNumberFormat="1" applyFont="1" applyBorder="1" applyAlignment="1">
      <alignment horizontal="center" vertical="center"/>
    </xf>
    <xf numFmtId="3" fontId="30" fillId="24" borderId="34" xfId="0" applyNumberFormat="1" applyFont="1" applyFill="1" applyBorder="1" applyAlignment="1">
      <alignment horizontal="center" vertical="center"/>
    </xf>
    <xf numFmtId="0" fontId="21" fillId="0" borderId="56" xfId="0" applyFont="1" applyBorder="1"/>
    <xf numFmtId="0" fontId="2" fillId="0" borderId="0" xfId="0" applyFont="1" applyAlignment="1">
      <alignment horizontal="left" wrapText="1"/>
    </xf>
    <xf numFmtId="3" fontId="30" fillId="21" borderId="56" xfId="0" applyNumberFormat="1" applyFont="1" applyFill="1" applyBorder="1" applyAlignment="1">
      <alignment horizontal="center" vertical="center"/>
    </xf>
    <xf numFmtId="0" fontId="21" fillId="12" borderId="56" xfId="7" applyFont="1" applyFill="1" applyBorder="1" applyAlignment="1">
      <alignment horizontal="left" vertical="center" wrapText="1"/>
    </xf>
    <xf numFmtId="0" fontId="21" fillId="2" borderId="56" xfId="0" applyFont="1" applyFill="1" applyBorder="1" applyAlignment="1">
      <alignment horizontal="center" vertical="center" wrapText="1"/>
    </xf>
    <xf numFmtId="0" fontId="21" fillId="0" borderId="56" xfId="0" applyFont="1" applyBorder="1" applyAlignment="1">
      <alignment horizontal="center" vertical="center"/>
    </xf>
    <xf numFmtId="3" fontId="21" fillId="0" borderId="56" xfId="7" applyNumberFormat="1" applyFont="1" applyBorder="1" applyAlignment="1">
      <alignment horizontal="center" vertical="center"/>
    </xf>
    <xf numFmtId="0" fontId="21" fillId="12" borderId="56" xfId="0" applyFont="1" applyFill="1" applyBorder="1" applyAlignment="1">
      <alignment horizontal="left" vertical="center"/>
    </xf>
    <xf numFmtId="0" fontId="21" fillId="0" borderId="56" xfId="7" applyFont="1" applyBorder="1" applyAlignment="1">
      <alignment horizontal="center" vertical="center" wrapText="1"/>
    </xf>
    <xf numFmtId="0" fontId="21" fillId="0" borderId="56" xfId="0" applyFont="1" applyBorder="1" applyAlignment="1">
      <alignment horizontal="center" vertical="center" wrapText="1"/>
    </xf>
    <xf numFmtId="0" fontId="27" fillId="0" borderId="56" xfId="0" applyFont="1" applyBorder="1" applyAlignment="1">
      <alignment horizontal="center" vertical="center"/>
    </xf>
    <xf numFmtId="3" fontId="27" fillId="0" borderId="56" xfId="0" applyNumberFormat="1" applyFont="1" applyBorder="1" applyAlignment="1">
      <alignment horizontal="center" vertical="center"/>
    </xf>
    <xf numFmtId="3" fontId="21" fillId="2" borderId="56" xfId="7" applyNumberFormat="1" applyFont="1" applyFill="1" applyBorder="1" applyAlignment="1">
      <alignment horizontal="center" vertical="center"/>
    </xf>
    <xf numFmtId="0" fontId="21" fillId="2" borderId="56" xfId="7" applyFont="1" applyFill="1" applyBorder="1" applyAlignment="1">
      <alignment horizontal="center" vertical="center" wrapText="1"/>
    </xf>
    <xf numFmtId="0" fontId="51" fillId="0" borderId="0" xfId="0" applyFont="1" applyAlignment="1">
      <alignment horizontal="left"/>
    </xf>
    <xf numFmtId="164" fontId="51" fillId="0" borderId="11" xfId="1" applyFont="1" applyBorder="1"/>
    <xf numFmtId="0" fontId="2" fillId="0" borderId="0" xfId="0" applyFont="1" applyAlignment="1">
      <alignment wrapText="1"/>
    </xf>
    <xf numFmtId="0" fontId="10" fillId="0" borderId="11" xfId="0" applyFont="1" applyBorder="1" applyAlignment="1">
      <alignment horizontal="center" vertical="center"/>
    </xf>
    <xf numFmtId="4" fontId="51" fillId="0" borderId="11" xfId="19" applyNumberFormat="1" applyFont="1" applyBorder="1" applyAlignment="1">
      <alignment horizontal="center" vertical="center"/>
    </xf>
    <xf numFmtId="0" fontId="51" fillId="0" borderId="11" xfId="19" applyFont="1" applyBorder="1" applyAlignment="1">
      <alignment horizontal="center" vertical="center"/>
    </xf>
    <xf numFmtId="0" fontId="13" fillId="0" borderId="11" xfId="0" applyFont="1" applyBorder="1" applyAlignment="1">
      <alignment horizontal="center" vertical="center" wrapText="1"/>
    </xf>
    <xf numFmtId="169" fontId="21" fillId="2" borderId="56" xfId="0" applyNumberFormat="1" applyFont="1" applyFill="1" applyBorder="1" applyAlignment="1">
      <alignment vertical="center"/>
    </xf>
    <xf numFmtId="3" fontId="27" fillId="2" borderId="56" xfId="7" applyNumberFormat="1" applyFont="1" applyFill="1" applyBorder="1" applyAlignment="1">
      <alignment horizontal="center" vertical="center"/>
    </xf>
    <xf numFmtId="169" fontId="21" fillId="0" borderId="56" xfId="0" applyNumberFormat="1" applyFont="1" applyBorder="1" applyAlignment="1">
      <alignment horizontal="center" vertical="center"/>
    </xf>
    <xf numFmtId="166" fontId="51" fillId="0" borderId="11" xfId="19" applyNumberFormat="1" applyFont="1" applyBorder="1" applyAlignment="1">
      <alignment horizontal="center" vertical="center"/>
    </xf>
    <xf numFmtId="169" fontId="21" fillId="0" borderId="56" xfId="0" applyNumberFormat="1" applyFont="1" applyBorder="1" applyAlignment="1">
      <alignment vertical="center"/>
    </xf>
    <xf numFmtId="169" fontId="21" fillId="0" borderId="56" xfId="7" applyNumberFormat="1" applyFont="1" applyBorder="1" applyAlignment="1">
      <alignment vertical="center"/>
    </xf>
    <xf numFmtId="0" fontId="21" fillId="12" borderId="56" xfId="0" applyFont="1" applyFill="1" applyBorder="1" applyAlignment="1">
      <alignment horizontal="center" vertical="center"/>
    </xf>
    <xf numFmtId="3" fontId="21" fillId="2" borderId="56" xfId="7" applyNumberFormat="1" applyFont="1" applyFill="1" applyBorder="1" applyAlignment="1">
      <alignment vertical="center"/>
    </xf>
    <xf numFmtId="0" fontId="21" fillId="12" borderId="56" xfId="7" applyFont="1" applyFill="1" applyBorder="1" applyAlignment="1">
      <alignment vertical="center" wrapText="1"/>
    </xf>
    <xf numFmtId="3" fontId="18" fillId="2" borderId="56" xfId="7" applyNumberFormat="1" applyFont="1" applyFill="1" applyBorder="1" applyAlignment="1">
      <alignment vertical="center"/>
    </xf>
    <xf numFmtId="0" fontId="21" fillId="12" borderId="56" xfId="0" applyFont="1" applyFill="1" applyBorder="1" applyAlignment="1">
      <alignment vertical="center"/>
    </xf>
    <xf numFmtId="0" fontId="21" fillId="2" borderId="56" xfId="0" applyFont="1" applyFill="1" applyBorder="1" applyAlignment="1">
      <alignment vertical="center" wrapText="1"/>
    </xf>
    <xf numFmtId="3" fontId="21" fillId="0" borderId="56" xfId="7" applyNumberFormat="1" applyFont="1" applyBorder="1" applyAlignment="1">
      <alignment vertical="center"/>
    </xf>
    <xf numFmtId="169" fontId="18" fillId="2" borderId="56" xfId="0" applyNumberFormat="1" applyFont="1" applyFill="1" applyBorder="1" applyAlignment="1">
      <alignment vertical="center"/>
    </xf>
    <xf numFmtId="1" fontId="21" fillId="2" borderId="56" xfId="0" applyNumberFormat="1" applyFont="1" applyFill="1" applyBorder="1"/>
    <xf numFmtId="1" fontId="21" fillId="2" borderId="56" xfId="0" applyNumberFormat="1" applyFont="1" applyFill="1" applyBorder="1" applyAlignment="1">
      <alignment vertical="center"/>
    </xf>
    <xf numFmtId="0" fontId="51" fillId="0" borderId="0" xfId="0" applyFont="1" applyAlignment="1">
      <alignment horizontal="left" wrapText="1"/>
    </xf>
    <xf numFmtId="164" fontId="72" fillId="26" borderId="11" xfId="1" applyFont="1" applyFill="1" applyBorder="1"/>
    <xf numFmtId="168" fontId="51" fillId="0" borderId="11" xfId="1" applyNumberFormat="1" applyFont="1" applyFill="1" applyBorder="1"/>
    <xf numFmtId="0" fontId="64" fillId="0" borderId="0" xfId="0" applyFont="1"/>
    <xf numFmtId="0" fontId="18" fillId="0" borderId="11" xfId="0" applyFont="1" applyBorder="1" applyAlignment="1">
      <alignment horizontal="left" vertical="center" wrapText="1"/>
    </xf>
    <xf numFmtId="3" fontId="11" fillId="0" borderId="0" xfId="21" applyNumberFormat="1" applyFont="1" applyAlignment="1">
      <alignment horizontal="center" vertical="center" wrapText="1"/>
    </xf>
    <xf numFmtId="0" fontId="16" fillId="0" borderId="11" xfId="0" applyFont="1" applyBorder="1" applyAlignment="1">
      <alignment horizontal="center" vertical="center" wrapText="1"/>
    </xf>
    <xf numFmtId="0" fontId="57" fillId="0" borderId="0" xfId="0" applyFont="1"/>
    <xf numFmtId="0" fontId="74" fillId="0" borderId="0" xfId="0" applyFont="1"/>
    <xf numFmtId="0" fontId="74" fillId="0" borderId="0" xfId="18" applyFont="1"/>
    <xf numFmtId="0" fontId="74" fillId="0" borderId="0" xfId="0" applyFont="1" applyAlignment="1">
      <alignment horizontal="left"/>
    </xf>
    <xf numFmtId="0" fontId="16" fillId="0" borderId="11" xfId="0" applyFont="1" applyBorder="1" applyAlignment="1">
      <alignment horizontal="left" vertical="center" wrapText="1"/>
    </xf>
    <xf numFmtId="2" fontId="16" fillId="0" borderId="11" xfId="0" applyNumberFormat="1" applyFont="1" applyBorder="1" applyAlignment="1">
      <alignment horizontal="center" vertical="center" wrapText="1"/>
    </xf>
    <xf numFmtId="3" fontId="16" fillId="0" borderId="11" xfId="0" applyNumberFormat="1" applyFont="1" applyBorder="1" applyAlignment="1">
      <alignment horizontal="center" vertical="center" wrapText="1"/>
    </xf>
    <xf numFmtId="3" fontId="21" fillId="7" borderId="11" xfId="7" applyNumberFormat="1" applyFont="1" applyFill="1" applyBorder="1" applyAlignment="1">
      <alignment horizontal="center" vertical="center" wrapText="1"/>
    </xf>
    <xf numFmtId="3" fontId="27" fillId="0" borderId="11" xfId="7" applyNumberFormat="1" applyFont="1" applyBorder="1" applyAlignment="1">
      <alignment horizontal="center" vertical="center" wrapText="1"/>
    </xf>
    <xf numFmtId="171" fontId="21" fillId="0" borderId="56" xfId="0" applyNumberFormat="1" applyFont="1" applyBorder="1"/>
    <xf numFmtId="170" fontId="21" fillId="0" borderId="56" xfId="0" applyNumberFormat="1" applyFont="1" applyBorder="1" applyAlignment="1">
      <alignment vertical="center"/>
    </xf>
    <xf numFmtId="0" fontId="18" fillId="0" borderId="56" xfId="0" applyFont="1" applyBorder="1" applyAlignment="1">
      <alignment horizontal="left" wrapText="1"/>
    </xf>
    <xf numFmtId="0" fontId="21" fillId="0" borderId="15" xfId="7" applyFont="1" applyBorder="1" applyAlignment="1">
      <alignment horizontal="center" vertical="center" wrapText="1"/>
    </xf>
    <xf numFmtId="0" fontId="21" fillId="12" borderId="59" xfId="7" applyFont="1" applyFill="1" applyBorder="1" applyAlignment="1">
      <alignment horizontal="left" vertical="center" wrapText="1"/>
    </xf>
    <xf numFmtId="3" fontId="21" fillId="7" borderId="15" xfId="7" applyNumberFormat="1" applyFont="1" applyFill="1" applyBorder="1" applyAlignment="1">
      <alignment horizontal="center" vertical="center"/>
    </xf>
    <xf numFmtId="0" fontId="21" fillId="0" borderId="0" xfId="0" applyFont="1" applyAlignment="1">
      <alignment vertical="center"/>
    </xf>
    <xf numFmtId="3" fontId="27" fillId="7" borderId="11" xfId="7" applyNumberFormat="1" applyFont="1" applyFill="1" applyBorder="1" applyAlignment="1">
      <alignment horizontal="center" vertical="center" wrapText="1"/>
    </xf>
    <xf numFmtId="0" fontId="18" fillId="0" borderId="56" xfId="0" applyFont="1" applyBorder="1" applyAlignment="1">
      <alignment horizontal="left" vertical="center" wrapText="1"/>
    </xf>
    <xf numFmtId="0" fontId="37" fillId="0" borderId="70" xfId="0" applyFont="1" applyBorder="1" applyAlignment="1">
      <alignment vertical="center" wrapText="1"/>
    </xf>
    <xf numFmtId="0" fontId="27" fillId="0" borderId="0" xfId="0" applyFont="1" applyAlignment="1">
      <alignment wrapText="1"/>
    </xf>
    <xf numFmtId="0" fontId="27" fillId="0" borderId="0" xfId="0" applyFont="1" applyAlignment="1">
      <alignment vertical="center"/>
    </xf>
    <xf numFmtId="3" fontId="15" fillId="0" borderId="0" xfId="0" applyNumberFormat="1" applyFont="1" applyAlignment="1">
      <alignment horizontal="center" wrapText="1"/>
    </xf>
    <xf numFmtId="0" fontId="14" fillId="0" borderId="0" xfId="0" applyFont="1" applyAlignment="1">
      <alignment horizontal="left" vertical="center" wrapText="1"/>
    </xf>
    <xf numFmtId="0" fontId="14" fillId="0" borderId="0" xfId="0" applyFont="1" applyAlignment="1">
      <alignment wrapText="1"/>
    </xf>
    <xf numFmtId="0" fontId="75" fillId="7" borderId="11" xfId="0" applyFont="1" applyFill="1" applyBorder="1" applyAlignment="1">
      <alignment horizontal="center" vertical="center" wrapText="1"/>
    </xf>
    <xf numFmtId="0" fontId="31" fillId="7" borderId="11" xfId="0" applyFont="1" applyFill="1" applyBorder="1" applyAlignment="1">
      <alignment horizontal="center" vertical="center" wrapText="1"/>
    </xf>
    <xf numFmtId="0" fontId="21" fillId="7" borderId="11" xfId="0" applyFont="1" applyFill="1" applyBorder="1" applyAlignment="1">
      <alignment horizontal="center" vertical="center" wrapText="1"/>
    </xf>
    <xf numFmtId="0" fontId="21" fillId="2" borderId="11" xfId="0" applyFont="1" applyFill="1" applyBorder="1" applyAlignment="1">
      <alignment horizontal="justify" vertical="center" wrapText="1"/>
    </xf>
    <xf numFmtId="0" fontId="21" fillId="2" borderId="11" xfId="0" applyFont="1" applyFill="1" applyBorder="1" applyAlignment="1">
      <alignment horizontal="center" vertical="center" wrapText="1"/>
    </xf>
    <xf numFmtId="0" fontId="21" fillId="0" borderId="11" xfId="0" applyFont="1" applyBorder="1" applyAlignment="1">
      <alignment horizontal="center" vertical="center" wrapText="1"/>
    </xf>
    <xf numFmtId="3" fontId="21" fillId="0" borderId="11" xfId="0" applyNumberFormat="1" applyFont="1" applyBorder="1" applyAlignment="1">
      <alignment horizontal="center" vertical="center" wrapText="1"/>
    </xf>
    <xf numFmtId="0" fontId="21" fillId="0" borderId="11" xfId="0" applyFont="1" applyBorder="1" applyAlignment="1">
      <alignment horizontal="left" vertical="center" wrapText="1"/>
    </xf>
    <xf numFmtId="0" fontId="21" fillId="7" borderId="11" xfId="0" applyFont="1" applyFill="1" applyBorder="1" applyAlignment="1">
      <alignment horizontal="justify" vertical="center" wrapText="1"/>
    </xf>
    <xf numFmtId="3" fontId="21" fillId="7" borderId="11" xfId="0" applyNumberFormat="1" applyFont="1" applyFill="1" applyBorder="1" applyAlignment="1">
      <alignment horizontal="center" vertical="center" wrapText="1"/>
    </xf>
    <xf numFmtId="3" fontId="21" fillId="22" borderId="11" xfId="0" applyNumberFormat="1" applyFont="1" applyFill="1" applyBorder="1" applyAlignment="1">
      <alignment horizontal="center" vertical="center" wrapText="1"/>
    </xf>
    <xf numFmtId="0" fontId="21" fillId="22" borderId="11" xfId="0" applyFont="1" applyFill="1" applyBorder="1" applyAlignment="1">
      <alignment horizontal="left" vertical="center" wrapText="1"/>
    </xf>
    <xf numFmtId="0" fontId="21" fillId="0" borderId="56" xfId="0" applyFont="1" applyBorder="1" applyAlignment="1">
      <alignment horizontal="left" wrapText="1"/>
    </xf>
    <xf numFmtId="0" fontId="21" fillId="7" borderId="17" xfId="0" applyFont="1" applyFill="1" applyBorder="1" applyAlignment="1">
      <alignment vertical="center" wrapText="1"/>
    </xf>
    <xf numFmtId="0" fontId="21" fillId="7" borderId="17" xfId="0" applyFont="1" applyFill="1" applyBorder="1" applyAlignment="1">
      <alignment horizontal="center" vertical="center" wrapText="1"/>
    </xf>
    <xf numFmtId="0" fontId="21" fillId="7" borderId="11" xfId="0" applyFont="1" applyFill="1" applyBorder="1" applyAlignment="1">
      <alignment vertical="center" wrapText="1"/>
    </xf>
    <xf numFmtId="0" fontId="4" fillId="0" borderId="0" xfId="0" applyFont="1" applyAlignment="1">
      <alignment wrapText="1"/>
    </xf>
    <xf numFmtId="0" fontId="4" fillId="0" borderId="0" xfId="0" applyFont="1" applyAlignment="1">
      <alignment horizontal="center"/>
    </xf>
    <xf numFmtId="0" fontId="54" fillId="0" borderId="0" xfId="0" applyFont="1" applyAlignment="1">
      <alignment wrapText="1"/>
    </xf>
    <xf numFmtId="0" fontId="30" fillId="0" borderId="0" xfId="0" applyFont="1"/>
    <xf numFmtId="0" fontId="29" fillId="15" borderId="0" xfId="0" applyFont="1" applyFill="1"/>
    <xf numFmtId="0" fontId="4" fillId="15" borderId="0" xfId="0" applyFont="1" applyFill="1" applyAlignment="1">
      <alignment wrapText="1"/>
    </xf>
    <xf numFmtId="0" fontId="4" fillId="0" borderId="56" xfId="0" applyFont="1" applyBorder="1"/>
    <xf numFmtId="0" fontId="76" fillId="0" borderId="56" xfId="0" applyFont="1" applyBorder="1" applyAlignment="1">
      <alignment horizontal="center" vertical="center" wrapText="1"/>
    </xf>
    <xf numFmtId="0" fontId="4" fillId="0" borderId="0" xfId="0" applyFont="1" applyAlignment="1">
      <alignment vertical="center" wrapText="1"/>
    </xf>
    <xf numFmtId="0" fontId="4" fillId="0" borderId="56" xfId="0" applyFont="1" applyBorder="1" applyAlignment="1">
      <alignment horizontal="center" vertical="center" wrapText="1"/>
    </xf>
    <xf numFmtId="0" fontId="4" fillId="0" borderId="56" xfId="0" applyFont="1" applyBorder="1" applyAlignment="1">
      <alignment vertical="center"/>
    </xf>
    <xf numFmtId="0" fontId="4" fillId="0" borderId="0" xfId="0" applyFont="1" applyAlignment="1">
      <alignment vertical="center"/>
    </xf>
    <xf numFmtId="0" fontId="29" fillId="0" borderId="0" xfId="0" applyFont="1"/>
    <xf numFmtId="0" fontId="4" fillId="0" borderId="0" xfId="0" applyFont="1" applyAlignment="1">
      <alignment horizontal="center" vertical="center"/>
    </xf>
    <xf numFmtId="0" fontId="4" fillId="16" borderId="16" xfId="0" applyFont="1" applyFill="1" applyBorder="1" applyAlignment="1">
      <alignment horizontal="center" vertical="center"/>
    </xf>
    <xf numFmtId="0" fontId="4" fillId="16" borderId="39" xfId="0" applyFont="1" applyFill="1" applyBorder="1" applyAlignment="1">
      <alignment horizontal="center" vertical="center"/>
    </xf>
    <xf numFmtId="0" fontId="4" fillId="16" borderId="34" xfId="0" applyFont="1" applyFill="1" applyBorder="1" applyAlignment="1">
      <alignment horizontal="center" vertical="center" wrapText="1"/>
    </xf>
    <xf numFmtId="0" fontId="4" fillId="0" borderId="17" xfId="0" applyFont="1" applyBorder="1"/>
    <xf numFmtId="0" fontId="4" fillId="0" borderId="34" xfId="0" applyFont="1" applyBorder="1" applyAlignment="1">
      <alignment horizontal="center" vertical="center"/>
    </xf>
    <xf numFmtId="3" fontId="4" fillId="0" borderId="34" xfId="0" applyNumberFormat="1" applyFont="1" applyBorder="1" applyAlignment="1">
      <alignment horizontal="center" vertical="center" wrapText="1"/>
    </xf>
    <xf numFmtId="1" fontId="4" fillId="0" borderId="34" xfId="0" applyNumberFormat="1" applyFont="1" applyBorder="1" applyAlignment="1">
      <alignment horizontal="center" vertical="center" wrapText="1"/>
    </xf>
    <xf numFmtId="4" fontId="29" fillId="0" borderId="34" xfId="0" applyNumberFormat="1" applyFont="1" applyBorder="1" applyAlignment="1">
      <alignment horizontal="center" vertical="center" wrapText="1"/>
    </xf>
    <xf numFmtId="0" fontId="4" fillId="16" borderId="17" xfId="0" applyFont="1" applyFill="1" applyBorder="1" applyAlignment="1">
      <alignment wrapText="1"/>
    </xf>
    <xf numFmtId="0" fontId="4" fillId="16" borderId="34" xfId="0" applyFont="1" applyFill="1" applyBorder="1" applyAlignment="1">
      <alignment horizontal="center" vertical="center"/>
    </xf>
    <xf numFmtId="0" fontId="4" fillId="0" borderId="34" xfId="0" applyFont="1" applyBorder="1" applyAlignment="1">
      <alignment horizontal="center" vertical="center" wrapText="1"/>
    </xf>
    <xf numFmtId="0" fontId="29" fillId="0" borderId="17" xfId="0" applyFont="1" applyBorder="1"/>
    <xf numFmtId="0" fontId="29" fillId="0" borderId="34" xfId="0" applyFont="1" applyBorder="1" applyAlignment="1">
      <alignment horizontal="center" vertical="center"/>
    </xf>
    <xf numFmtId="3" fontId="29" fillId="0" borderId="34" xfId="0" applyNumberFormat="1" applyFont="1" applyBorder="1" applyAlignment="1">
      <alignment horizontal="center" vertical="center"/>
    </xf>
    <xf numFmtId="1" fontId="29" fillId="0" borderId="34" xfId="0" applyNumberFormat="1" applyFont="1" applyBorder="1" applyAlignment="1">
      <alignment horizontal="center" vertical="center"/>
    </xf>
    <xf numFmtId="4" fontId="29" fillId="17" borderId="34" xfId="0" applyNumberFormat="1" applyFont="1" applyFill="1" applyBorder="1" applyAlignment="1">
      <alignment horizontal="center" vertical="center"/>
    </xf>
    <xf numFmtId="0" fontId="4" fillId="17" borderId="65" xfId="0" applyFont="1" applyFill="1" applyBorder="1" applyAlignment="1">
      <alignment wrapText="1"/>
    </xf>
    <xf numFmtId="0" fontId="4" fillId="17" borderId="66" xfId="0" applyFont="1" applyFill="1" applyBorder="1" applyAlignment="1">
      <alignment wrapText="1"/>
    </xf>
    <xf numFmtId="0" fontId="4" fillId="17" borderId="66" xfId="0" applyFont="1" applyFill="1" applyBorder="1"/>
    <xf numFmtId="0" fontId="4" fillId="17" borderId="67" xfId="0" applyFont="1" applyFill="1" applyBorder="1" applyAlignment="1">
      <alignment wrapText="1"/>
    </xf>
    <xf numFmtId="0" fontId="4" fillId="17" borderId="15" xfId="0" applyFont="1" applyFill="1" applyBorder="1" applyAlignment="1">
      <alignment wrapText="1"/>
    </xf>
    <xf numFmtId="0" fontId="54" fillId="0" borderId="68" xfId="0" applyFont="1" applyBorder="1" applyAlignment="1">
      <alignment wrapText="1"/>
    </xf>
    <xf numFmtId="0" fontId="4" fillId="0" borderId="11" xfId="0" applyFont="1" applyBorder="1" applyAlignment="1">
      <alignment wrapText="1"/>
    </xf>
    <xf numFmtId="0" fontId="4" fillId="16" borderId="68" xfId="0" applyFont="1" applyFill="1" applyBorder="1"/>
    <xf numFmtId="0" fontId="4" fillId="16" borderId="69" xfId="0" applyFont="1" applyFill="1" applyBorder="1"/>
    <xf numFmtId="0" fontId="4" fillId="16" borderId="17" xfId="0" applyFont="1" applyFill="1" applyBorder="1"/>
    <xf numFmtId="0" fontId="4" fillId="16" borderId="34" xfId="0" applyFont="1" applyFill="1" applyBorder="1"/>
    <xf numFmtId="0" fontId="4" fillId="0" borderId="17" xfId="0" applyFont="1" applyBorder="1" applyAlignment="1">
      <alignment wrapText="1"/>
    </xf>
    <xf numFmtId="0" fontId="77" fillId="0" borderId="0" xfId="0" applyFont="1"/>
    <xf numFmtId="0" fontId="29" fillId="25" borderId="17" xfId="0" applyFont="1" applyFill="1" applyBorder="1"/>
    <xf numFmtId="0" fontId="21" fillId="22" borderId="11" xfId="0" applyFont="1" applyFill="1" applyBorder="1" applyAlignment="1">
      <alignment vertical="center" wrapText="1"/>
    </xf>
    <xf numFmtId="0" fontId="21" fillId="22" borderId="11" xfId="0" applyFont="1" applyFill="1" applyBorder="1" applyAlignment="1">
      <alignment horizontal="center" vertical="center" wrapText="1"/>
    </xf>
    <xf numFmtId="0" fontId="21" fillId="0" borderId="0" xfId="0" applyFont="1" applyAlignment="1">
      <alignment wrapText="1"/>
    </xf>
    <xf numFmtId="0" fontId="14" fillId="0" borderId="0" xfId="25" applyFont="1" applyAlignment="1">
      <alignment horizontal="right" vertical="center"/>
    </xf>
    <xf numFmtId="0" fontId="15" fillId="0" borderId="0" xfId="6" applyFont="1"/>
    <xf numFmtId="0" fontId="15" fillId="0" borderId="56" xfId="0" applyFont="1" applyBorder="1"/>
    <xf numFmtId="0" fontId="17" fillId="8" borderId="56" xfId="0" applyFont="1" applyFill="1" applyBorder="1" applyAlignment="1">
      <alignment horizontal="center" vertical="center" wrapText="1"/>
    </xf>
    <xf numFmtId="0" fontId="15" fillId="7" borderId="56" xfId="0" applyFont="1" applyFill="1" applyBorder="1" applyAlignment="1">
      <alignment vertical="center" wrapText="1"/>
    </xf>
    <xf numFmtId="3" fontId="15" fillId="9" borderId="56" xfId="3" applyNumberFormat="1" applyFont="1" applyFill="1" applyBorder="1" applyAlignment="1">
      <alignment horizontal="center" vertical="center" wrapText="1"/>
    </xf>
    <xf numFmtId="0" fontId="34" fillId="8" borderId="56" xfId="0" applyFont="1" applyFill="1" applyBorder="1"/>
    <xf numFmtId="3" fontId="34" fillId="8" borderId="56" xfId="0" applyNumberFormat="1" applyFont="1" applyFill="1" applyBorder="1" applyAlignment="1">
      <alignment horizontal="center" vertical="center"/>
    </xf>
    <xf numFmtId="0" fontId="15" fillId="8" borderId="56" xfId="3" applyFont="1" applyFill="1" applyBorder="1" applyAlignment="1">
      <alignment horizontal="center" vertical="center" wrapText="1"/>
    </xf>
    <xf numFmtId="49" fontId="21" fillId="7" borderId="56" xfId="11" applyNumberFormat="1" applyFont="1" applyFill="1" applyBorder="1" applyAlignment="1">
      <alignment horizontal="left" vertical="center" wrapText="1"/>
    </xf>
    <xf numFmtId="2" fontId="15" fillId="9" borderId="56" xfId="3" applyNumberFormat="1" applyFont="1" applyFill="1" applyBorder="1" applyAlignment="1">
      <alignment horizontal="center" vertical="center" wrapText="1"/>
    </xf>
    <xf numFmtId="2" fontId="14" fillId="4" borderId="56" xfId="3" applyNumberFormat="1" applyFont="1" applyFill="1" applyBorder="1" applyAlignment="1">
      <alignment horizontal="center" vertical="center" wrapText="1"/>
    </xf>
    <xf numFmtId="2" fontId="15" fillId="0" borderId="0" xfId="0" applyNumberFormat="1" applyFont="1"/>
    <xf numFmtId="3" fontId="15" fillId="4" borderId="11" xfId="0" applyNumberFormat="1" applyFont="1" applyFill="1" applyBorder="1" applyAlignment="1">
      <alignment horizontal="center" vertical="center"/>
    </xf>
    <xf numFmtId="0" fontId="15" fillId="8" borderId="42" xfId="3" applyFont="1" applyFill="1" applyBorder="1" applyAlignment="1">
      <alignment horizontal="center" vertical="center" wrapText="1"/>
    </xf>
    <xf numFmtId="49" fontId="21" fillId="7" borderId="41" xfId="11" applyNumberFormat="1" applyFont="1" applyFill="1" applyBorder="1" applyAlignment="1">
      <alignment horizontal="left" vertical="center" wrapText="1"/>
    </xf>
    <xf numFmtId="1" fontId="15" fillId="9" borderId="41" xfId="3" applyNumberFormat="1" applyFont="1" applyFill="1" applyBorder="1" applyAlignment="1">
      <alignment horizontal="center" vertical="center" wrapText="1"/>
    </xf>
    <xf numFmtId="4" fontId="15" fillId="9" borderId="41" xfId="3" applyNumberFormat="1" applyFont="1" applyFill="1" applyBorder="1" applyAlignment="1">
      <alignment horizontal="center" vertical="center" wrapText="1"/>
    </xf>
    <xf numFmtId="0" fontId="15" fillId="0" borderId="0" xfId="25" applyFont="1" applyAlignment="1">
      <alignment vertical="center"/>
    </xf>
    <xf numFmtId="0" fontId="14" fillId="14" borderId="11" xfId="25" applyFont="1" applyFill="1" applyBorder="1" applyAlignment="1">
      <alignment vertical="center"/>
    </xf>
    <xf numFmtId="0" fontId="14" fillId="14" borderId="11" xfId="25" applyFont="1" applyFill="1" applyBorder="1" applyAlignment="1">
      <alignment horizontal="left" vertical="center"/>
    </xf>
    <xf numFmtId="0" fontId="14" fillId="14" borderId="11" xfId="25" applyFont="1" applyFill="1" applyBorder="1" applyAlignment="1">
      <alignment horizontal="center" vertical="center"/>
    </xf>
    <xf numFmtId="0" fontId="15" fillId="14" borderId="11" xfId="25" applyFont="1" applyFill="1" applyBorder="1" applyAlignment="1">
      <alignment vertical="center"/>
    </xf>
    <xf numFmtId="0" fontId="15" fillId="0" borderId="11" xfId="25" applyFont="1" applyBorder="1" applyAlignment="1">
      <alignment horizontal="left" vertical="center" wrapText="1"/>
    </xf>
    <xf numFmtId="2" fontId="15" fillId="0" borderId="11" xfId="25" applyNumberFormat="1" applyFont="1" applyBorder="1" applyAlignment="1">
      <alignment horizontal="center" vertical="center"/>
    </xf>
    <xf numFmtId="0" fontId="15" fillId="0" borderId="11" xfId="25" applyFont="1" applyBorder="1" applyAlignment="1">
      <alignment horizontal="left" vertical="center"/>
    </xf>
    <xf numFmtId="0" fontId="15" fillId="14" borderId="11" xfId="25" applyFont="1" applyFill="1" applyBorder="1" applyAlignment="1">
      <alignment vertical="center" wrapText="1"/>
    </xf>
    <xf numFmtId="0" fontId="18" fillId="14" borderId="11" xfId="25" applyFont="1" applyFill="1" applyBorder="1" applyAlignment="1">
      <alignment horizontal="left" vertical="center"/>
    </xf>
    <xf numFmtId="0" fontId="15" fillId="0" borderId="0" xfId="25" applyFont="1" applyAlignment="1">
      <alignment horizontal="left" vertical="top"/>
    </xf>
    <xf numFmtId="0" fontId="14" fillId="0" borderId="0" xfId="25" applyFont="1" applyAlignment="1">
      <alignment horizontal="left" vertical="top"/>
    </xf>
    <xf numFmtId="2" fontId="15" fillId="0" borderId="0" xfId="25" applyNumberFormat="1" applyFont="1" applyAlignment="1">
      <alignment horizontal="center" vertical="top"/>
    </xf>
    <xf numFmtId="4" fontId="14" fillId="0" borderId="56" xfId="25" applyNumberFormat="1" applyFont="1" applyBorder="1" applyAlignment="1">
      <alignment horizontal="center" vertical="center"/>
    </xf>
    <xf numFmtId="0" fontId="14" fillId="9" borderId="0" xfId="25" applyFont="1" applyFill="1" applyAlignment="1">
      <alignment horizontal="center" vertical="center"/>
    </xf>
    <xf numFmtId="0" fontId="15" fillId="0" borderId="0" xfId="25" applyFont="1" applyAlignment="1">
      <alignment horizontal="right" vertical="center"/>
    </xf>
    <xf numFmtId="4" fontId="15" fillId="0" borderId="56" xfId="25" applyNumberFormat="1" applyFont="1" applyBorder="1" applyAlignment="1">
      <alignment horizontal="center" vertical="center"/>
    </xf>
    <xf numFmtId="0" fontId="15" fillId="0" borderId="0" xfId="25" applyFont="1" applyAlignment="1">
      <alignment horizontal="center" vertical="center"/>
    </xf>
    <xf numFmtId="0" fontId="31" fillId="0" borderId="0" xfId="25" applyFont="1" applyAlignment="1">
      <alignment horizontal="left" vertical="center"/>
    </xf>
    <xf numFmtId="4" fontId="15" fillId="0" borderId="0" xfId="0" applyNumberFormat="1" applyFont="1"/>
    <xf numFmtId="3" fontId="4" fillId="0" borderId="11" xfId="21" applyNumberFormat="1" applyFont="1" applyBorder="1" applyAlignment="1">
      <alignment horizontal="center" vertical="center" wrapText="1"/>
    </xf>
    <xf numFmtId="3" fontId="15" fillId="0" borderId="0" xfId="0" applyNumberFormat="1" applyFont="1" applyAlignment="1">
      <alignment wrapText="1"/>
    </xf>
    <xf numFmtId="0" fontId="21" fillId="0" borderId="11" xfId="0" applyFont="1" applyBorder="1" applyAlignment="1">
      <alignment horizontal="justify" vertical="center" wrapText="1"/>
    </xf>
    <xf numFmtId="0" fontId="41" fillId="0" borderId="0" xfId="0" applyFont="1" applyAlignment="1">
      <alignment horizontal="center" vertical="center" wrapText="1"/>
    </xf>
    <xf numFmtId="0" fontId="41" fillId="0" borderId="0" xfId="0" applyFont="1" applyAlignment="1">
      <alignment horizontal="right" vertical="center"/>
    </xf>
    <xf numFmtId="0" fontId="15" fillId="0" borderId="0" xfId="0" applyFont="1" applyAlignment="1">
      <alignment horizontal="left" vertical="center"/>
    </xf>
    <xf numFmtId="0" fontId="41" fillId="0" borderId="0" xfId="0" applyFont="1" applyAlignment="1">
      <alignment horizontal="left" vertical="center"/>
    </xf>
    <xf numFmtId="0" fontId="15" fillId="0" borderId="71" xfId="0" applyFont="1" applyBorder="1" applyAlignment="1">
      <alignment vertical="center"/>
    </xf>
    <xf numFmtId="0" fontId="18" fillId="9" borderId="11" xfId="0" applyFont="1" applyFill="1" applyBorder="1" applyAlignment="1">
      <alignment horizontal="center" vertical="center" wrapText="1"/>
    </xf>
    <xf numFmtId="0" fontId="21" fillId="9" borderId="11" xfId="0" applyFont="1" applyFill="1" applyBorder="1" applyAlignment="1">
      <alignment horizontal="justify" vertical="center" wrapText="1"/>
    </xf>
    <xf numFmtId="0" fontId="21" fillId="9" borderId="11" xfId="0" applyFont="1" applyFill="1" applyBorder="1" applyAlignment="1">
      <alignment horizontal="center" vertical="center" wrapText="1"/>
    </xf>
    <xf numFmtId="3" fontId="21" fillId="9" borderId="11" xfId="0" applyNumberFormat="1" applyFont="1" applyFill="1" applyBorder="1" applyAlignment="1">
      <alignment horizontal="center" vertical="center" wrapText="1"/>
    </xf>
    <xf numFmtId="0" fontId="15" fillId="9" borderId="0" xfId="0" applyFont="1" applyFill="1" applyAlignment="1">
      <alignment wrapText="1"/>
    </xf>
    <xf numFmtId="3" fontId="21" fillId="9" borderId="11" xfId="0" applyNumberFormat="1" applyFont="1" applyFill="1" applyBorder="1" applyAlignment="1">
      <alignment vertical="center" wrapText="1"/>
    </xf>
    <xf numFmtId="0" fontId="27" fillId="9" borderId="11" xfId="0" applyFont="1" applyFill="1" applyBorder="1" applyAlignment="1">
      <alignment horizontal="right" vertical="center" wrapText="1"/>
    </xf>
    <xf numFmtId="0" fontId="21" fillId="9" borderId="16" xfId="0" applyFont="1" applyFill="1" applyBorder="1" applyAlignment="1">
      <alignment horizontal="center" vertical="center" wrapText="1"/>
    </xf>
    <xf numFmtId="0" fontId="21" fillId="9" borderId="16" xfId="0" applyFont="1" applyFill="1" applyBorder="1" applyAlignment="1">
      <alignment horizontal="left" vertical="center" wrapText="1"/>
    </xf>
    <xf numFmtId="0" fontId="21" fillId="9" borderId="0" xfId="0" applyFont="1" applyFill="1" applyAlignment="1">
      <alignment wrapText="1"/>
    </xf>
    <xf numFmtId="0" fontId="2" fillId="0" borderId="11" xfId="0" applyFont="1" applyBorder="1" applyAlignment="1">
      <alignment horizontal="center" vertical="center" wrapText="1"/>
    </xf>
    <xf numFmtId="0" fontId="51" fillId="0" borderId="11" xfId="0" applyFont="1" applyBorder="1" applyAlignment="1">
      <alignment horizontal="center" vertical="center" wrapText="1"/>
    </xf>
    <xf numFmtId="3" fontId="10" fillId="0" borderId="11" xfId="0" applyNumberFormat="1" applyFont="1" applyBorder="1" applyAlignment="1">
      <alignment horizontal="center" vertical="center"/>
    </xf>
    <xf numFmtId="3" fontId="10" fillId="0" borderId="11" xfId="0" applyNumberFormat="1" applyFont="1" applyBorder="1" applyAlignment="1">
      <alignment horizontal="center" vertical="center" wrapText="1"/>
    </xf>
    <xf numFmtId="3" fontId="72" fillId="26" borderId="11" xfId="0" applyNumberFormat="1" applyFont="1" applyFill="1" applyBorder="1"/>
    <xf numFmtId="0" fontId="51" fillId="0" borderId="11" xfId="0" applyFont="1" applyBorder="1" applyAlignment="1">
      <alignment horizontal="center"/>
    </xf>
    <xf numFmtId="0" fontId="51" fillId="0" borderId="16" xfId="0" applyFont="1" applyBorder="1" applyAlignment="1">
      <alignment horizontal="center"/>
    </xf>
    <xf numFmtId="0" fontId="17" fillId="0" borderId="16" xfId="0" applyFont="1" applyBorder="1" applyAlignment="1">
      <alignment horizontal="center"/>
    </xf>
    <xf numFmtId="0" fontId="72" fillId="26" borderId="11" xfId="0" applyFont="1" applyFill="1" applyBorder="1" applyAlignment="1">
      <alignment horizontal="center"/>
    </xf>
    <xf numFmtId="0" fontId="35" fillId="0" borderId="11" xfId="0" applyFont="1" applyBorder="1" applyAlignment="1">
      <alignment horizontal="right" vertical="center" wrapText="1"/>
    </xf>
    <xf numFmtId="3" fontId="45" fillId="12" borderId="11" xfId="0" applyNumberFormat="1" applyFont="1" applyFill="1" applyBorder="1" applyAlignment="1">
      <alignment horizontal="center"/>
    </xf>
    <xf numFmtId="0" fontId="18" fillId="0" borderId="0" xfId="0" applyFont="1"/>
    <xf numFmtId="3" fontId="29" fillId="0" borderId="0" xfId="0" applyNumberFormat="1" applyFont="1" applyAlignment="1">
      <alignment horizontal="center" vertical="center"/>
    </xf>
    <xf numFmtId="1" fontId="10" fillId="9" borderId="11" xfId="0" applyNumberFormat="1" applyFont="1" applyFill="1" applyBorder="1" applyAlignment="1">
      <alignment horizontal="center" vertical="center"/>
    </xf>
    <xf numFmtId="1" fontId="15" fillId="0" borderId="11" xfId="0" applyNumberFormat="1" applyFont="1" applyBorder="1" applyAlignment="1">
      <alignment horizontal="center" vertical="center"/>
    </xf>
    <xf numFmtId="0" fontId="21" fillId="0" borderId="72" xfId="0" applyFont="1" applyBorder="1" applyAlignment="1">
      <alignment horizontal="center" wrapText="1"/>
    </xf>
    <xf numFmtId="3" fontId="21" fillId="27" borderId="72" xfId="0" applyNumberFormat="1" applyFont="1" applyFill="1" applyBorder="1" applyAlignment="1">
      <alignment horizontal="center" wrapText="1"/>
    </xf>
    <xf numFmtId="3" fontId="21" fillId="0" borderId="72" xfId="0" applyNumberFormat="1" applyFont="1" applyBorder="1" applyAlignment="1">
      <alignment horizontal="center" wrapText="1"/>
    </xf>
    <xf numFmtId="0" fontId="21" fillId="0" borderId="56" xfId="0" applyFont="1" applyBorder="1" applyAlignment="1">
      <alignment horizontal="center" wrapText="1"/>
    </xf>
    <xf numFmtId="3" fontId="21" fillId="27" borderId="56" xfId="0" applyNumberFormat="1" applyFont="1" applyFill="1" applyBorder="1" applyAlignment="1">
      <alignment horizontal="center" wrapText="1"/>
    </xf>
    <xf numFmtId="3" fontId="21" fillId="0" borderId="56" xfId="0" applyNumberFormat="1" applyFont="1" applyBorder="1" applyAlignment="1">
      <alignment horizontal="center" wrapText="1"/>
    </xf>
    <xf numFmtId="0" fontId="21" fillId="27" borderId="56" xfId="0" applyFont="1" applyFill="1" applyBorder="1" applyAlignment="1">
      <alignment horizontal="center" wrapText="1"/>
    </xf>
    <xf numFmtId="0" fontId="75" fillId="0" borderId="11" xfId="0" applyFont="1" applyBorder="1" applyAlignment="1">
      <alignment horizontal="center" wrapText="1"/>
    </xf>
    <xf numFmtId="3" fontId="75" fillId="5" borderId="11" xfId="0" applyNumberFormat="1" applyFont="1" applyFill="1" applyBorder="1" applyAlignment="1">
      <alignment horizontal="center" wrapText="1"/>
    </xf>
    <xf numFmtId="3" fontId="75" fillId="0" borderId="11" xfId="0" applyNumberFormat="1" applyFont="1" applyBorder="1" applyAlignment="1">
      <alignment horizontal="center" wrapText="1"/>
    </xf>
    <xf numFmtId="0" fontId="27" fillId="0" borderId="56" xfId="0" applyFont="1" applyBorder="1" applyAlignment="1">
      <alignment horizontal="center" wrapText="1"/>
    </xf>
    <xf numFmtId="3" fontId="27" fillId="27" borderId="56" xfId="0" applyNumberFormat="1" applyFont="1" applyFill="1" applyBorder="1" applyAlignment="1">
      <alignment horizontal="center" wrapText="1"/>
    </xf>
    <xf numFmtId="3" fontId="27" fillId="0" borderId="56" xfId="0" applyNumberFormat="1" applyFont="1" applyBorder="1" applyAlignment="1">
      <alignment horizontal="center" wrapText="1"/>
    </xf>
    <xf numFmtId="0" fontId="21" fillId="0" borderId="0" xfId="0" applyFont="1" applyAlignment="1">
      <alignment horizontal="center" wrapText="1"/>
    </xf>
    <xf numFmtId="3" fontId="21" fillId="27" borderId="0" xfId="0" applyNumberFormat="1" applyFont="1" applyFill="1" applyAlignment="1">
      <alignment horizontal="center" wrapText="1"/>
    </xf>
    <xf numFmtId="3" fontId="21" fillId="0" borderId="0" xfId="0" applyNumberFormat="1" applyFont="1" applyAlignment="1">
      <alignment horizontal="center" wrapText="1"/>
    </xf>
    <xf numFmtId="3" fontId="21" fillId="0" borderId="0" xfId="0" applyNumberFormat="1" applyFont="1" applyAlignment="1">
      <alignment horizontal="center" vertical="center" wrapText="1"/>
    </xf>
    <xf numFmtId="3" fontId="22" fillId="0" borderId="11" xfId="0" applyNumberFormat="1" applyFont="1" applyBorder="1" applyAlignment="1">
      <alignment horizontal="center" vertical="center" wrapText="1"/>
    </xf>
    <xf numFmtId="0" fontId="15" fillId="0" borderId="11" xfId="0" applyFont="1" applyBorder="1" applyAlignment="1">
      <alignment horizontal="center" vertical="center" wrapText="1"/>
    </xf>
    <xf numFmtId="3" fontId="0" fillId="0" borderId="0" xfId="0" applyNumberFormat="1"/>
    <xf numFmtId="0" fontId="14" fillId="0" borderId="11" xfId="0" applyFont="1" applyBorder="1" applyAlignment="1">
      <alignment horizontal="center" vertical="center" wrapText="1"/>
    </xf>
    <xf numFmtId="0" fontId="15" fillId="0" borderId="0" xfId="0" applyFont="1" applyAlignment="1">
      <alignment horizontal="left" vertical="top" wrapText="1"/>
    </xf>
    <xf numFmtId="9" fontId="0" fillId="0" borderId="11" xfId="0" applyNumberFormat="1" applyBorder="1"/>
    <xf numFmtId="3" fontId="0" fillId="0" borderId="11" xfId="0" applyNumberFormat="1" applyBorder="1"/>
    <xf numFmtId="0" fontId="79" fillId="0" borderId="0" xfId="0" applyFont="1" applyAlignment="1">
      <alignment horizontal="right"/>
    </xf>
    <xf numFmtId="3" fontId="21" fillId="0" borderId="0" xfId="0" applyNumberFormat="1" applyFont="1" applyAlignment="1">
      <alignment wrapText="1"/>
    </xf>
    <xf numFmtId="0" fontId="21" fillId="0" borderId="0" xfId="25" applyFont="1" applyAlignment="1">
      <alignment vertical="center"/>
    </xf>
    <xf numFmtId="3" fontId="75" fillId="7" borderId="11" xfId="0" applyNumberFormat="1" applyFont="1" applyFill="1" applyBorder="1" applyAlignment="1">
      <alignment horizontal="center" vertical="center" wrapText="1"/>
    </xf>
    <xf numFmtId="0" fontId="71" fillId="11" borderId="11" xfId="0" applyFont="1" applyFill="1" applyBorder="1" applyAlignment="1">
      <alignment horizontal="center" vertical="center" wrapText="1"/>
    </xf>
    <xf numFmtId="0" fontId="71" fillId="11" borderId="11" xfId="0" applyFont="1" applyFill="1" applyBorder="1" applyAlignment="1">
      <alignment vertical="center" wrapText="1"/>
    </xf>
    <xf numFmtId="0" fontId="42" fillId="11" borderId="11" xfId="0" applyFont="1" applyFill="1" applyBorder="1" applyAlignment="1">
      <alignment horizontal="center" vertical="center" wrapText="1"/>
    </xf>
    <xf numFmtId="3" fontId="18" fillId="11" borderId="11" xfId="0" applyNumberFormat="1" applyFont="1" applyFill="1" applyBorder="1" applyAlignment="1">
      <alignment horizontal="center" vertical="center" wrapText="1"/>
    </xf>
    <xf numFmtId="3" fontId="21" fillId="11" borderId="11" xfId="0" applyNumberFormat="1" applyFont="1" applyFill="1" applyBorder="1" applyAlignment="1">
      <alignment horizontal="center" vertical="center" wrapText="1"/>
    </xf>
    <xf numFmtId="0" fontId="21" fillId="11" borderId="11" xfId="0" applyFont="1" applyFill="1" applyBorder="1" applyAlignment="1">
      <alignment horizontal="left" vertical="center" wrapText="1"/>
    </xf>
    <xf numFmtId="0" fontId="21" fillId="11" borderId="11" xfId="0" applyFont="1" applyFill="1" applyBorder="1" applyAlignment="1">
      <alignment horizontal="center" vertical="center" wrapText="1"/>
    </xf>
    <xf numFmtId="0" fontId="21" fillId="11" borderId="11" xfId="0" applyFont="1" applyFill="1" applyBorder="1" applyAlignment="1">
      <alignment vertical="center" wrapText="1"/>
    </xf>
    <xf numFmtId="0" fontId="18" fillId="11" borderId="11" xfId="0" applyFont="1" applyFill="1" applyBorder="1" applyAlignment="1">
      <alignment horizontal="center" vertical="center" wrapText="1"/>
    </xf>
    <xf numFmtId="3" fontId="15" fillId="11" borderId="11" xfId="0" applyNumberFormat="1" applyFont="1" applyFill="1" applyBorder="1" applyAlignment="1">
      <alignment horizontal="center" vertical="center" wrapText="1"/>
    </xf>
    <xf numFmtId="0" fontId="18" fillId="11" borderId="11" xfId="0" applyFont="1" applyFill="1" applyBorder="1" applyAlignment="1">
      <alignment horizontal="left" vertical="center" wrapText="1"/>
    </xf>
    <xf numFmtId="0" fontId="22" fillId="11" borderId="11" xfId="0" applyFont="1" applyFill="1" applyBorder="1" applyAlignment="1">
      <alignment horizontal="right"/>
    </xf>
    <xf numFmtId="0" fontId="68" fillId="11" borderId="11" xfId="0" applyFont="1" applyFill="1" applyBorder="1" applyAlignment="1">
      <alignment horizontal="center" vertical="center" wrapText="1"/>
    </xf>
    <xf numFmtId="3" fontId="70" fillId="11" borderId="11" xfId="0" applyNumberFormat="1" applyFont="1" applyFill="1" applyBorder="1" applyAlignment="1">
      <alignment horizontal="center" vertical="center" wrapText="1"/>
    </xf>
    <xf numFmtId="0" fontId="19" fillId="0" borderId="11" xfId="0" applyFont="1" applyFill="1" applyBorder="1" applyAlignment="1">
      <alignment horizontal="right" vertical="center" wrapText="1"/>
    </xf>
    <xf numFmtId="0" fontId="19" fillId="0" borderId="11" xfId="0" applyFont="1" applyFill="1" applyBorder="1" applyAlignment="1">
      <alignment horizontal="center" vertical="center" wrapText="1"/>
    </xf>
    <xf numFmtId="3" fontId="14" fillId="0" borderId="11" xfId="0" applyNumberFormat="1" applyFont="1" applyFill="1" applyBorder="1" applyAlignment="1">
      <alignment horizontal="center" vertical="center" wrapText="1"/>
    </xf>
    <xf numFmtId="0" fontId="68" fillId="7" borderId="11" xfId="0" applyFont="1" applyFill="1" applyBorder="1" applyAlignment="1">
      <alignment horizontal="right" vertical="center" wrapText="1"/>
    </xf>
    <xf numFmtId="0" fontId="68" fillId="7" borderId="11" xfId="0" applyFont="1" applyFill="1" applyBorder="1" applyAlignment="1">
      <alignment horizontal="center" vertical="center" wrapText="1"/>
    </xf>
    <xf numFmtId="3" fontId="70" fillId="7" borderId="11" xfId="0" applyNumberFormat="1" applyFont="1" applyFill="1" applyBorder="1" applyAlignment="1">
      <alignment horizontal="center" vertical="center" wrapText="1"/>
    </xf>
    <xf numFmtId="0" fontId="27" fillId="0" borderId="11" xfId="0" applyFont="1" applyBorder="1" applyAlignment="1">
      <alignment horizontal="center" vertical="center" wrapText="1"/>
    </xf>
    <xf numFmtId="3" fontId="27" fillId="0" borderId="57" xfId="0" applyNumberFormat="1" applyFont="1" applyBorder="1" applyAlignment="1">
      <alignment horizontal="center" vertical="center"/>
    </xf>
    <xf numFmtId="0" fontId="27" fillId="0" borderId="11" xfId="0" applyFont="1" applyBorder="1" applyAlignment="1">
      <alignment horizontal="center" vertical="center"/>
    </xf>
    <xf numFmtId="3" fontId="27" fillId="0" borderId="11" xfId="0" applyNumberFormat="1" applyFont="1" applyBorder="1" applyAlignment="1">
      <alignment horizontal="center" vertical="center"/>
    </xf>
    <xf numFmtId="3" fontId="27" fillId="0" borderId="11" xfId="0" applyNumberFormat="1" applyFont="1" applyBorder="1" applyAlignment="1">
      <alignment horizontal="center"/>
    </xf>
    <xf numFmtId="0" fontId="4" fillId="28" borderId="11" xfId="0" applyFont="1" applyFill="1" applyBorder="1" applyAlignment="1">
      <alignment wrapText="1"/>
    </xf>
    <xf numFmtId="3" fontId="15" fillId="0" borderId="56" xfId="0" applyNumberFormat="1" applyFont="1" applyBorder="1" applyAlignment="1">
      <alignment horizontal="right" vertical="center"/>
    </xf>
    <xf numFmtId="3" fontId="14" fillId="0" borderId="56" xfId="0" applyNumberFormat="1" applyFont="1" applyBorder="1" applyAlignment="1">
      <alignment vertical="center"/>
    </xf>
    <xf numFmtId="3" fontId="15" fillId="0" borderId="78" xfId="0" applyNumberFormat="1" applyFont="1" applyBorder="1" applyAlignment="1">
      <alignment horizontal="right" vertical="center"/>
    </xf>
    <xf numFmtId="3" fontId="14" fillId="0" borderId="78" xfId="0" applyNumberFormat="1" applyFont="1" applyBorder="1" applyAlignment="1">
      <alignment horizontal="right" vertical="center"/>
    </xf>
    <xf numFmtId="3" fontId="27" fillId="0" borderId="11" xfId="0" applyNumberFormat="1" applyFont="1" applyBorder="1" applyAlignment="1">
      <alignment vertical="center"/>
    </xf>
    <xf numFmtId="0" fontId="14" fillId="0" borderId="11" xfId="0" applyFont="1" applyFill="1" applyBorder="1" applyAlignment="1">
      <alignment horizontal="center" vertical="center"/>
    </xf>
    <xf numFmtId="0" fontId="14" fillId="0" borderId="59" xfId="0" applyFont="1" applyFill="1" applyBorder="1" applyAlignment="1">
      <alignment horizontal="center" vertical="center" wrapText="1"/>
    </xf>
    <xf numFmtId="0" fontId="14" fillId="0" borderId="56" xfId="0" applyFont="1" applyFill="1" applyBorder="1" applyAlignment="1">
      <alignment horizontal="center" vertical="center" wrapText="1"/>
    </xf>
    <xf numFmtId="0" fontId="14" fillId="0" borderId="56" xfId="0" applyFont="1" applyFill="1" applyBorder="1" applyAlignment="1">
      <alignment horizontal="center" vertical="center"/>
    </xf>
    <xf numFmtId="0" fontId="70" fillId="0" borderId="56" xfId="0" applyFont="1" applyFill="1" applyBorder="1" applyAlignment="1">
      <alignment horizontal="center" vertical="center" wrapText="1"/>
    </xf>
    <xf numFmtId="0" fontId="15" fillId="0" borderId="0" xfId="0" applyFont="1" applyFill="1" applyAlignment="1">
      <alignment vertical="center"/>
    </xf>
    <xf numFmtId="0" fontId="15" fillId="0" borderId="11" xfId="0" applyFont="1" applyFill="1" applyBorder="1" applyAlignment="1">
      <alignment horizontal="center" vertical="center" wrapText="1"/>
    </xf>
    <xf numFmtId="0" fontId="15" fillId="0" borderId="11" xfId="0" applyFont="1" applyFill="1" applyBorder="1" applyAlignment="1">
      <alignment vertical="center" wrapText="1"/>
    </xf>
    <xf numFmtId="0" fontId="18" fillId="0" borderId="11" xfId="0" applyFont="1" applyFill="1" applyBorder="1" applyAlignment="1">
      <alignment horizontal="center" vertical="center" wrapText="1"/>
    </xf>
    <xf numFmtId="3" fontId="15" fillId="0" borderId="11" xfId="0" applyNumberFormat="1" applyFont="1" applyFill="1" applyBorder="1" applyAlignment="1">
      <alignment horizontal="center" vertical="center" wrapText="1"/>
    </xf>
    <xf numFmtId="0" fontId="21" fillId="0" borderId="11" xfId="0" applyFont="1" applyFill="1" applyBorder="1" applyAlignment="1">
      <alignment horizontal="left" vertical="center" wrapText="1"/>
    </xf>
    <xf numFmtId="0" fontId="15" fillId="0" borderId="0" xfId="0" applyFont="1" applyAlignment="1">
      <alignment vertical="top" wrapText="1"/>
    </xf>
    <xf numFmtId="0" fontId="15" fillId="0" borderId="0" xfId="0" applyFont="1" applyBorder="1" applyAlignment="1">
      <alignment vertical="center"/>
    </xf>
    <xf numFmtId="0" fontId="21" fillId="0" borderId="11" xfId="0" applyFont="1" applyFill="1" applyBorder="1" applyAlignment="1">
      <alignment horizontal="center" vertical="center" wrapText="1"/>
    </xf>
    <xf numFmtId="0" fontId="75" fillId="11" borderId="11" xfId="0" applyFont="1" applyFill="1" applyBorder="1" applyAlignment="1">
      <alignment horizontal="center" vertical="center" wrapText="1"/>
    </xf>
    <xf numFmtId="0" fontId="15" fillId="0" borderId="72" xfId="0" applyFont="1" applyFill="1" applyBorder="1" applyAlignment="1">
      <alignment vertical="center" wrapText="1"/>
    </xf>
    <xf numFmtId="0" fontId="15" fillId="0" borderId="59" xfId="0" applyFont="1" applyFill="1" applyBorder="1" applyAlignment="1">
      <alignment horizontal="center" vertical="center"/>
    </xf>
    <xf numFmtId="0" fontId="15" fillId="0" borderId="56" xfId="0" applyFont="1" applyFill="1" applyBorder="1" applyAlignment="1">
      <alignment horizontal="center" vertical="center"/>
    </xf>
    <xf numFmtId="0" fontId="15" fillId="0" borderId="78" xfId="0" applyFont="1" applyFill="1" applyBorder="1" applyAlignment="1">
      <alignment vertical="center" wrapText="1"/>
    </xf>
    <xf numFmtId="0" fontId="15" fillId="0" borderId="75" xfId="0" applyFont="1" applyFill="1" applyBorder="1" applyAlignment="1">
      <alignment horizontal="center" vertical="center"/>
    </xf>
    <xf numFmtId="0" fontId="15" fillId="0" borderId="78" xfId="0" applyFont="1" applyFill="1" applyBorder="1" applyAlignment="1">
      <alignment horizontal="center" vertical="center"/>
    </xf>
    <xf numFmtId="0" fontId="21" fillId="9" borderId="16" xfId="0" applyFont="1" applyFill="1" applyBorder="1" applyAlignment="1">
      <alignment horizontal="left" vertical="center" wrapText="1"/>
    </xf>
    <xf numFmtId="0" fontId="21" fillId="9" borderId="17" xfId="0" applyFont="1" applyFill="1" applyBorder="1" applyAlignment="1">
      <alignment horizontal="left" vertical="center" wrapText="1"/>
    </xf>
    <xf numFmtId="0" fontId="14" fillId="0" borderId="11" xfId="0" applyFont="1" applyBorder="1" applyAlignment="1">
      <alignment horizontal="center" vertical="center" wrapText="1"/>
    </xf>
    <xf numFmtId="0" fontId="19" fillId="14" borderId="11" xfId="0" applyFont="1" applyFill="1" applyBorder="1" applyAlignment="1">
      <alignment vertical="center" wrapText="1"/>
    </xf>
    <xf numFmtId="0" fontId="19" fillId="3" borderId="11" xfId="0" applyFont="1" applyFill="1" applyBorder="1" applyAlignment="1">
      <alignment horizontal="left" vertical="center" wrapText="1"/>
    </xf>
    <xf numFmtId="0" fontId="19" fillId="14" borderId="11" xfId="0" applyFont="1" applyFill="1" applyBorder="1" applyAlignment="1">
      <alignment horizontal="left" vertical="center" wrapText="1"/>
    </xf>
    <xf numFmtId="0" fontId="19" fillId="2" borderId="11" xfId="0" applyFont="1" applyFill="1" applyBorder="1" applyAlignment="1">
      <alignment horizontal="center" vertical="center" wrapText="1"/>
    </xf>
    <xf numFmtId="0" fontId="19" fillId="3" borderId="11" xfId="0" applyFont="1" applyFill="1" applyBorder="1" applyAlignment="1">
      <alignment vertical="center" wrapText="1"/>
    </xf>
    <xf numFmtId="0" fontId="21" fillId="7" borderId="16" xfId="0" applyFont="1" applyFill="1" applyBorder="1" applyAlignment="1">
      <alignment horizontal="left" vertical="center" wrapText="1"/>
    </xf>
    <xf numFmtId="0" fontId="21" fillId="7" borderId="17" xfId="0" applyFont="1" applyFill="1" applyBorder="1" applyAlignment="1">
      <alignment horizontal="left" vertical="center" wrapText="1"/>
    </xf>
    <xf numFmtId="0" fontId="21" fillId="0" borderId="63" xfId="0" applyFont="1" applyBorder="1" applyAlignment="1">
      <alignment horizontal="center" wrapText="1"/>
    </xf>
    <xf numFmtId="0" fontId="21" fillId="0" borderId="73" xfId="0" applyFont="1" applyBorder="1" applyAlignment="1">
      <alignment horizontal="center" wrapText="1"/>
    </xf>
    <xf numFmtId="0" fontId="21" fillId="0" borderId="64" xfId="0" applyFont="1" applyBorder="1" applyAlignment="1">
      <alignment horizontal="center" wrapText="1"/>
    </xf>
    <xf numFmtId="0" fontId="15" fillId="0" borderId="11" xfId="0" applyFont="1" applyBorder="1" applyAlignment="1">
      <alignment horizontal="center" vertical="center" wrapText="1"/>
    </xf>
    <xf numFmtId="0" fontId="18" fillId="7" borderId="16" xfId="0" applyFont="1" applyFill="1" applyBorder="1" applyAlignment="1">
      <alignment horizontal="center" vertical="center" wrapText="1"/>
    </xf>
    <xf numFmtId="0" fontId="18" fillId="7" borderId="17" xfId="0" applyFont="1" applyFill="1" applyBorder="1" applyAlignment="1">
      <alignment horizontal="center" vertical="center" wrapText="1"/>
    </xf>
    <xf numFmtId="0" fontId="15" fillId="0" borderId="36" xfId="0" applyFont="1" applyBorder="1" applyAlignment="1">
      <alignment horizontal="left" vertical="center" wrapText="1"/>
    </xf>
    <xf numFmtId="0" fontId="15" fillId="0" borderId="0" xfId="0" applyFont="1" applyAlignment="1">
      <alignment horizontal="left" vertical="top" wrapText="1"/>
    </xf>
    <xf numFmtId="0" fontId="19" fillId="0" borderId="11" xfId="0" applyFont="1" applyBorder="1" applyAlignment="1">
      <alignment horizontal="center" vertical="center" wrapText="1"/>
    </xf>
    <xf numFmtId="0" fontId="21" fillId="9" borderId="16" xfId="0" applyFont="1" applyFill="1" applyBorder="1" applyAlignment="1">
      <alignment horizontal="center" vertical="center" wrapText="1"/>
    </xf>
    <xf numFmtId="0" fontId="21" fillId="9" borderId="17" xfId="0" applyFont="1" applyFill="1" applyBorder="1" applyAlignment="1">
      <alignment horizontal="center" vertical="center" wrapText="1"/>
    </xf>
    <xf numFmtId="0" fontId="15" fillId="0" borderId="0" xfId="0" applyFont="1" applyAlignment="1">
      <alignment horizontal="left"/>
    </xf>
    <xf numFmtId="0" fontId="34" fillId="0" borderId="0" xfId="0" applyFont="1" applyAlignment="1">
      <alignment horizontal="center" vertical="center" wrapText="1"/>
    </xf>
    <xf numFmtId="0" fontId="45" fillId="6" borderId="11" xfId="6" applyFont="1" applyFill="1" applyBorder="1" applyAlignment="1">
      <alignment horizontal="center" vertical="top"/>
    </xf>
    <xf numFmtId="4" fontId="45" fillId="4" borderId="11" xfId="6" applyNumberFormat="1" applyFont="1" applyFill="1" applyBorder="1" applyAlignment="1">
      <alignment horizontal="right" vertical="center" wrapText="1"/>
    </xf>
    <xf numFmtId="0" fontId="18" fillId="0" borderId="11" xfId="0" applyFont="1" applyBorder="1" applyAlignment="1">
      <alignment horizontal="center" vertical="center" wrapText="1"/>
    </xf>
    <xf numFmtId="0" fontId="18" fillId="0" borderId="11" xfId="0" applyFont="1" applyBorder="1" applyAlignment="1">
      <alignment wrapText="1"/>
    </xf>
    <xf numFmtId="3" fontId="14" fillId="12" borderId="12" xfId="17" applyNumberFormat="1" applyFont="1" applyFill="1" applyBorder="1" applyAlignment="1">
      <alignment horizontal="right" vertical="center"/>
    </xf>
    <xf numFmtId="3" fontId="14" fillId="12" borderId="13" xfId="17" applyNumberFormat="1" applyFont="1" applyFill="1" applyBorder="1" applyAlignment="1">
      <alignment horizontal="right" vertical="center"/>
    </xf>
    <xf numFmtId="0" fontId="13" fillId="13" borderId="9" xfId="17" applyFont="1" applyFill="1" applyBorder="1" applyAlignment="1">
      <alignment horizontal="center" vertical="center"/>
    </xf>
    <xf numFmtId="0" fontId="13" fillId="13" borderId="21" xfId="17" applyFont="1" applyFill="1" applyBorder="1" applyAlignment="1">
      <alignment horizontal="center" vertical="center"/>
    </xf>
    <xf numFmtId="0" fontId="13" fillId="13" borderId="15" xfId="17" applyFont="1" applyFill="1" applyBorder="1" applyAlignment="1">
      <alignment horizontal="center" vertical="center"/>
    </xf>
    <xf numFmtId="0" fontId="15" fillId="0" borderId="24" xfId="17" applyFont="1" applyBorder="1" applyAlignment="1">
      <alignment horizontal="center" vertical="center"/>
    </xf>
    <xf numFmtId="0" fontId="15" fillId="0" borderId="20" xfId="17" applyFont="1" applyBorder="1" applyAlignment="1">
      <alignment horizontal="center" vertical="center"/>
    </xf>
    <xf numFmtId="0" fontId="15" fillId="0" borderId="18" xfId="17" applyFont="1" applyBorder="1" applyAlignment="1">
      <alignment horizontal="center" vertical="center"/>
    </xf>
    <xf numFmtId="3" fontId="15" fillId="0" borderId="24" xfId="17" applyNumberFormat="1" applyFont="1" applyBorder="1" applyAlignment="1">
      <alignment horizontal="center" vertical="center"/>
    </xf>
    <xf numFmtId="3" fontId="15" fillId="0" borderId="20" xfId="17" applyNumberFormat="1" applyFont="1" applyBorder="1" applyAlignment="1">
      <alignment horizontal="center" vertical="center"/>
    </xf>
    <xf numFmtId="3" fontId="15" fillId="0" borderId="18" xfId="17" applyNumberFormat="1" applyFont="1" applyBorder="1" applyAlignment="1">
      <alignment horizontal="center" vertical="center"/>
    </xf>
    <xf numFmtId="4" fontId="15" fillId="0" borderId="24" xfId="17" applyNumberFormat="1" applyFont="1" applyBorder="1" applyAlignment="1">
      <alignment horizontal="center" vertical="center"/>
    </xf>
    <xf numFmtId="4" fontId="15" fillId="0" borderId="20" xfId="17" applyNumberFormat="1" applyFont="1" applyBorder="1" applyAlignment="1">
      <alignment horizontal="center" vertical="center"/>
    </xf>
    <xf numFmtId="4" fontId="15" fillId="0" borderId="18" xfId="17" applyNumberFormat="1" applyFont="1" applyBorder="1" applyAlignment="1">
      <alignment horizontal="center" vertical="center"/>
    </xf>
    <xf numFmtId="3" fontId="21" fillId="0" borderId="24" xfId="19" applyNumberFormat="1" applyFont="1" applyBorder="1" applyAlignment="1">
      <alignment horizontal="center" vertical="center"/>
    </xf>
    <xf numFmtId="3" fontId="21" fillId="0" borderId="20" xfId="19" applyNumberFormat="1" applyFont="1" applyBorder="1" applyAlignment="1">
      <alignment horizontal="center" vertical="center"/>
    </xf>
    <xf numFmtId="3" fontId="21" fillId="0" borderId="18" xfId="19" applyNumberFormat="1" applyFont="1" applyBorder="1" applyAlignment="1">
      <alignment horizontal="center" vertical="center"/>
    </xf>
    <xf numFmtId="3" fontId="15" fillId="0" borderId="25" xfId="17" applyNumberFormat="1" applyFont="1" applyBorder="1" applyAlignment="1">
      <alignment horizontal="center" vertical="center"/>
    </xf>
    <xf numFmtId="3" fontId="15" fillId="0" borderId="29" xfId="17" applyNumberFormat="1" applyFont="1" applyBorder="1" applyAlignment="1">
      <alignment horizontal="center" vertical="center"/>
    </xf>
    <xf numFmtId="3" fontId="15" fillId="0" borderId="19" xfId="17" applyNumberFormat="1" applyFont="1" applyBorder="1" applyAlignment="1">
      <alignment horizontal="center" vertical="center"/>
    </xf>
    <xf numFmtId="0" fontId="26" fillId="0" borderId="0" xfId="17" applyFont="1" applyAlignment="1">
      <alignment horizontal="center" vertical="center"/>
    </xf>
    <xf numFmtId="0" fontId="26" fillId="0" borderId="11" xfId="17" applyFont="1" applyBorder="1" applyAlignment="1">
      <alignment horizontal="center" vertical="center" wrapText="1"/>
    </xf>
    <xf numFmtId="0" fontId="26" fillId="0" borderId="16" xfId="17" applyFont="1" applyBorder="1" applyAlignment="1">
      <alignment horizontal="center" vertical="center" wrapText="1"/>
    </xf>
    <xf numFmtId="0" fontId="15" fillId="0" borderId="9" xfId="17" applyFont="1" applyBorder="1" applyAlignment="1">
      <alignment horizontal="center"/>
    </xf>
    <xf numFmtId="0" fontId="15" fillId="0" borderId="21" xfId="17" applyFont="1" applyBorder="1" applyAlignment="1">
      <alignment horizontal="center"/>
    </xf>
    <xf numFmtId="0" fontId="15" fillId="0" borderId="15" xfId="17" applyFont="1" applyBorder="1" applyAlignment="1">
      <alignment horizontal="center"/>
    </xf>
    <xf numFmtId="0" fontId="21" fillId="0" borderId="24" xfId="19" applyFont="1" applyBorder="1" applyAlignment="1">
      <alignment horizontal="center" vertical="center"/>
    </xf>
    <xf numFmtId="0" fontId="21" fillId="0" borderId="17" xfId="19" applyFont="1" applyBorder="1" applyAlignment="1">
      <alignment horizontal="center" vertical="center"/>
    </xf>
    <xf numFmtId="3" fontId="21" fillId="0" borderId="17" xfId="19" applyNumberFormat="1" applyFont="1" applyBorder="1" applyAlignment="1">
      <alignment horizontal="center" vertical="center"/>
    </xf>
    <xf numFmtId="4" fontId="21" fillId="0" borderId="24" xfId="19" applyNumberFormat="1" applyFont="1" applyBorder="1" applyAlignment="1">
      <alignment horizontal="center" vertical="center"/>
    </xf>
    <xf numFmtId="4" fontId="21" fillId="0" borderId="17" xfId="19" applyNumberFormat="1" applyFont="1" applyBorder="1" applyAlignment="1">
      <alignment horizontal="center" vertical="center"/>
    </xf>
    <xf numFmtId="3" fontId="15" fillId="0" borderId="26" xfId="17" applyNumberFormat="1" applyFont="1" applyBorder="1" applyAlignment="1">
      <alignment horizontal="center" vertical="center"/>
    </xf>
    <xf numFmtId="0" fontId="4" fillId="9" borderId="16" xfId="21" applyFont="1" applyFill="1" applyBorder="1" applyAlignment="1">
      <alignment horizontal="center" vertical="center" wrapText="1"/>
    </xf>
    <xf numFmtId="0" fontId="4" fillId="9" borderId="17" xfId="21" applyFont="1" applyFill="1" applyBorder="1" applyAlignment="1">
      <alignment horizontal="center" vertical="center" wrapText="1"/>
    </xf>
    <xf numFmtId="0" fontId="2" fillId="0" borderId="0" xfId="0" applyFont="1" applyAlignment="1">
      <alignment horizontal="center" vertical="center" wrapText="1"/>
    </xf>
    <xf numFmtId="0" fontId="4" fillId="9" borderId="20" xfId="21" applyFont="1" applyFill="1" applyBorder="1" applyAlignment="1">
      <alignment horizontal="center" vertical="center" wrapText="1"/>
    </xf>
    <xf numFmtId="0" fontId="4" fillId="9" borderId="9" xfId="21" applyFont="1" applyFill="1" applyBorder="1" applyAlignment="1">
      <alignment horizontal="center" vertical="center"/>
    </xf>
    <xf numFmtId="0" fontId="4" fillId="9" borderId="15" xfId="21" applyFont="1" applyFill="1" applyBorder="1" applyAlignment="1">
      <alignment horizontal="center" vertical="center"/>
    </xf>
    <xf numFmtId="2" fontId="4" fillId="9" borderId="9" xfId="12" applyNumberFormat="1" applyFont="1" applyFill="1" applyBorder="1" applyAlignment="1">
      <alignment horizontal="center" vertical="center" wrapText="1"/>
    </xf>
    <xf numFmtId="2" fontId="4" fillId="9" borderId="15" xfId="12" applyNumberFormat="1" applyFont="1" applyFill="1" applyBorder="1" applyAlignment="1">
      <alignment horizontal="center" vertical="center" wrapText="1"/>
    </xf>
    <xf numFmtId="0" fontId="27" fillId="0" borderId="32" xfId="12" applyFont="1" applyBorder="1" applyAlignment="1">
      <alignment horizontal="left" vertical="center" wrapText="1"/>
    </xf>
    <xf numFmtId="0" fontId="29" fillId="0" borderId="33" xfId="12" applyFont="1" applyBorder="1" applyAlignment="1">
      <alignment horizontal="left" vertical="center" wrapText="1"/>
    </xf>
    <xf numFmtId="0" fontId="29" fillId="0" borderId="31" xfId="12" applyFont="1" applyBorder="1" applyAlignment="1">
      <alignment horizontal="left" vertical="center" wrapText="1"/>
    </xf>
    <xf numFmtId="0" fontId="29" fillId="0" borderId="34" xfId="12" applyFont="1" applyBorder="1" applyAlignment="1">
      <alignment horizontal="left" vertical="center" wrapText="1"/>
    </xf>
    <xf numFmtId="0" fontId="10" fillId="0" borderId="9" xfId="0" applyFont="1" applyBorder="1" applyAlignment="1">
      <alignment horizontal="left" wrapText="1"/>
    </xf>
    <xf numFmtId="0" fontId="10" fillId="0" borderId="21" xfId="0" applyFont="1" applyBorder="1" applyAlignment="1">
      <alignment horizontal="left" wrapText="1"/>
    </xf>
    <xf numFmtId="0" fontId="10" fillId="0" borderId="15" xfId="0" applyFont="1" applyBorder="1" applyAlignment="1">
      <alignment horizontal="left" wrapText="1"/>
    </xf>
    <xf numFmtId="0" fontId="10" fillId="0" borderId="0" xfId="0" applyFont="1" applyAlignment="1">
      <alignment horizontal="left" wrapText="1"/>
    </xf>
    <xf numFmtId="0" fontId="24" fillId="0" borderId="22" xfId="0" applyFont="1" applyBorder="1" applyAlignment="1">
      <alignment horizontal="left" vertical="center" wrapText="1"/>
    </xf>
    <xf numFmtId="0" fontId="24" fillId="0" borderId="34" xfId="0" applyFont="1" applyBorder="1" applyAlignment="1">
      <alignment horizontal="left" vertical="center" wrapText="1"/>
    </xf>
    <xf numFmtId="0" fontId="34" fillId="0" borderId="0" xfId="0" applyFont="1" applyAlignment="1">
      <alignment horizontal="center" vertical="center"/>
    </xf>
    <xf numFmtId="0" fontId="33" fillId="0" borderId="0" xfId="0" applyFont="1" applyAlignment="1">
      <alignment horizontal="right" vertical="center" wrapText="1"/>
    </xf>
    <xf numFmtId="4" fontId="45" fillId="4" borderId="11" xfId="6" applyNumberFormat="1" applyFont="1" applyFill="1" applyBorder="1" applyAlignment="1">
      <alignment horizontal="center" vertical="center" wrapText="1"/>
    </xf>
    <xf numFmtId="0" fontId="34" fillId="0" borderId="0" xfId="0" applyFont="1" applyAlignment="1">
      <alignment horizontal="center"/>
    </xf>
    <xf numFmtId="0" fontId="31" fillId="0" borderId="0" xfId="0" applyFont="1" applyAlignment="1">
      <alignment horizontal="left" wrapText="1"/>
    </xf>
    <xf numFmtId="0" fontId="49" fillId="0" borderId="0" xfId="0" applyFont="1" applyAlignment="1">
      <alignment horizontal="center"/>
    </xf>
    <xf numFmtId="0" fontId="49" fillId="0" borderId="11" xfId="0" applyFont="1" applyBorder="1" applyAlignment="1">
      <alignment horizontal="center" vertical="center" wrapText="1"/>
    </xf>
    <xf numFmtId="0" fontId="16" fillId="0" borderId="11" xfId="0" applyFont="1" applyBorder="1" applyAlignment="1">
      <alignment horizontal="center" wrapText="1"/>
    </xf>
    <xf numFmtId="0" fontId="16" fillId="0" borderId="11" xfId="0" applyFont="1" applyBorder="1" applyAlignment="1">
      <alignment horizontal="center"/>
    </xf>
    <xf numFmtId="0" fontId="16" fillId="0" borderId="11" xfId="0" applyFont="1" applyBorder="1" applyAlignment="1">
      <alignment horizontal="center" vertical="center" wrapText="1"/>
    </xf>
    <xf numFmtId="4" fontId="45" fillId="4" borderId="9" xfId="6" applyNumberFormat="1" applyFont="1" applyFill="1" applyBorder="1" applyAlignment="1">
      <alignment horizontal="right" vertical="center" wrapText="1"/>
    </xf>
    <xf numFmtId="4" fontId="45" fillId="4" borderId="15" xfId="6" applyNumberFormat="1" applyFont="1" applyFill="1" applyBorder="1" applyAlignment="1">
      <alignment horizontal="right" vertical="center" wrapText="1"/>
    </xf>
    <xf numFmtId="0" fontId="16" fillId="0" borderId="16" xfId="0" applyFont="1" applyBorder="1" applyAlignment="1">
      <alignment wrapText="1"/>
    </xf>
    <xf numFmtId="0" fontId="16" fillId="0" borderId="11" xfId="0" applyFont="1" applyBorder="1" applyAlignment="1">
      <alignment horizontal="left" wrapText="1"/>
    </xf>
    <xf numFmtId="0" fontId="15" fillId="0" borderId="35" xfId="0" applyFont="1" applyBorder="1" applyAlignment="1">
      <alignment horizontal="left" wrapText="1"/>
    </xf>
    <xf numFmtId="0" fontId="15" fillId="0" borderId="0" xfId="0" applyFont="1" applyAlignment="1">
      <alignment horizontal="left" wrapText="1"/>
    </xf>
    <xf numFmtId="0" fontId="15" fillId="0" borderId="35" xfId="0" applyFont="1" applyBorder="1" applyAlignment="1">
      <alignment horizontal="left" vertical="center" wrapText="1"/>
    </xf>
    <xf numFmtId="0" fontId="15" fillId="0" borderId="0" xfId="0" applyFont="1" applyAlignment="1">
      <alignment horizontal="left" vertical="center" wrapText="1"/>
    </xf>
    <xf numFmtId="0" fontId="15" fillId="0" borderId="11" xfId="0" applyFont="1" applyBorder="1" applyAlignment="1">
      <alignment horizontal="center"/>
    </xf>
    <xf numFmtId="0" fontId="45" fillId="6" borderId="9" xfId="6" applyFont="1" applyFill="1" applyBorder="1" applyAlignment="1">
      <alignment horizontal="center" vertical="top"/>
    </xf>
    <xf numFmtId="0" fontId="45" fillId="6" borderId="21" xfId="6" applyFont="1" applyFill="1" applyBorder="1" applyAlignment="1">
      <alignment horizontal="center" vertical="top"/>
    </xf>
    <xf numFmtId="0" fontId="45" fillId="6" borderId="15" xfId="6" applyFont="1" applyFill="1" applyBorder="1" applyAlignment="1">
      <alignment horizontal="center" vertical="top"/>
    </xf>
    <xf numFmtId="0" fontId="15" fillId="0" borderId="35" xfId="0" applyFont="1" applyBorder="1" applyAlignment="1">
      <alignment horizontal="center" wrapText="1"/>
    </xf>
    <xf numFmtId="0" fontId="15" fillId="6" borderId="11" xfId="0" applyFont="1" applyFill="1" applyBorder="1" applyAlignment="1">
      <alignment horizontal="center"/>
    </xf>
    <xf numFmtId="0" fontId="15" fillId="0" borderId="0" xfId="0" applyFont="1" applyAlignment="1">
      <alignment horizontal="center"/>
    </xf>
    <xf numFmtId="0" fontId="30" fillId="0" borderId="0" xfId="0" applyFont="1" applyAlignment="1">
      <alignment horizontal="center" vertical="center" wrapText="1"/>
    </xf>
    <xf numFmtId="0" fontId="4" fillId="16" borderId="9" xfId="0" applyFont="1" applyFill="1" applyBorder="1" applyAlignment="1">
      <alignment horizontal="center" vertical="center"/>
    </xf>
    <xf numFmtId="0" fontId="4" fillId="16" borderId="38" xfId="0" applyFont="1" applyFill="1" applyBorder="1" applyAlignment="1">
      <alignment horizontal="center" vertical="center"/>
    </xf>
    <xf numFmtId="0" fontId="4" fillId="16" borderId="60" xfId="0" applyFont="1" applyFill="1" applyBorder="1" applyAlignment="1">
      <alignment horizontal="center" vertical="center" wrapText="1"/>
    </xf>
    <xf numFmtId="0" fontId="4" fillId="16" borderId="15" xfId="0" applyFont="1" applyFill="1" applyBorder="1" applyAlignment="1">
      <alignment horizontal="center" vertical="center" wrapText="1"/>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27" fillId="0" borderId="11" xfId="0" applyFont="1" applyBorder="1" applyAlignment="1">
      <alignment horizontal="center" vertical="center" wrapText="1"/>
    </xf>
    <xf numFmtId="0" fontId="29" fillId="0" borderId="74" xfId="0" applyFont="1" applyBorder="1" applyAlignment="1">
      <alignment horizontal="center" vertical="center" wrapText="1"/>
    </xf>
    <xf numFmtId="0" fontId="29" fillId="0" borderId="75" xfId="0" applyFont="1" applyBorder="1" applyAlignment="1">
      <alignment horizontal="center" vertical="center" wrapText="1"/>
    </xf>
    <xf numFmtId="0" fontId="29" fillId="0" borderId="76" xfId="0" applyFont="1" applyBorder="1" applyAlignment="1">
      <alignment horizontal="center" vertical="center" wrapText="1"/>
    </xf>
    <xf numFmtId="0" fontId="29" fillId="0" borderId="77" xfId="0" applyFont="1" applyBorder="1" applyAlignment="1">
      <alignment horizontal="center" vertical="center" wrapText="1"/>
    </xf>
    <xf numFmtId="0" fontId="27" fillId="0" borderId="78" xfId="0" applyFont="1" applyBorder="1" applyAlignment="1">
      <alignment horizontal="center" vertical="center" wrapText="1"/>
    </xf>
    <xf numFmtId="0" fontId="27" fillId="0" borderId="72" xfId="0" applyFont="1" applyBorder="1" applyAlignment="1">
      <alignment horizontal="center" vertical="center" wrapText="1"/>
    </xf>
    <xf numFmtId="0" fontId="27" fillId="0" borderId="74" xfId="0" applyFont="1" applyBorder="1" applyAlignment="1">
      <alignment horizontal="center" vertical="center" wrapText="1"/>
    </xf>
    <xf numFmtId="0" fontId="27" fillId="0" borderId="76" xfId="0" applyFont="1" applyBorder="1" applyAlignment="1">
      <alignment horizontal="center" vertical="center" wrapText="1"/>
    </xf>
    <xf numFmtId="0" fontId="29" fillId="25" borderId="9" xfId="0" applyFont="1" applyFill="1" applyBorder="1" applyAlignment="1">
      <alignment wrapText="1"/>
    </xf>
    <xf numFmtId="0" fontId="29" fillId="25" borderId="21" xfId="0" applyFont="1" applyFill="1" applyBorder="1" applyAlignment="1">
      <alignment wrapText="1"/>
    </xf>
    <xf numFmtId="0" fontId="29" fillId="16" borderId="16" xfId="0" applyFont="1" applyFill="1" applyBorder="1" applyAlignment="1">
      <alignment horizontal="center" vertical="center" wrapText="1"/>
    </xf>
    <xf numFmtId="0" fontId="29" fillId="16" borderId="17" xfId="0" applyFont="1" applyFill="1" applyBorder="1" applyAlignment="1">
      <alignment horizontal="center" vertical="center" wrapText="1"/>
    </xf>
    <xf numFmtId="0" fontId="4" fillId="0" borderId="63" xfId="0" applyFont="1" applyBorder="1" applyAlignment="1">
      <alignment horizontal="left" vertical="center" wrapText="1"/>
    </xf>
    <xf numFmtId="0" fontId="4" fillId="0" borderId="64" xfId="0" applyFont="1" applyBorder="1" applyAlignment="1">
      <alignment horizontal="left" vertical="center" wrapText="1"/>
    </xf>
    <xf numFmtId="0" fontId="4" fillId="0" borderId="0" xfId="0" applyFont="1" applyAlignment="1">
      <alignment wrapText="1"/>
    </xf>
    <xf numFmtId="0" fontId="4" fillId="16" borderId="16" xfId="0" applyFont="1" applyFill="1" applyBorder="1" applyAlignment="1">
      <alignment horizontal="center" vertical="center" wrapText="1"/>
    </xf>
    <xf numFmtId="0" fontId="4" fillId="16" borderId="39" xfId="0" applyFont="1" applyFill="1" applyBorder="1" applyAlignment="1">
      <alignment horizontal="center" vertical="center" wrapText="1"/>
    </xf>
    <xf numFmtId="0" fontId="4" fillId="0" borderId="39" xfId="0" applyFont="1" applyBorder="1" applyAlignment="1">
      <alignment horizontal="center" vertical="center" wrapText="1"/>
    </xf>
    <xf numFmtId="0" fontId="4" fillId="16" borderId="17" xfId="0" applyFont="1" applyFill="1" applyBorder="1" applyAlignment="1">
      <alignment horizontal="center" vertical="center" wrapText="1"/>
    </xf>
    <xf numFmtId="0" fontId="27" fillId="0" borderId="9" xfId="0" applyFont="1" applyBorder="1" applyAlignment="1">
      <alignment vertical="center" wrapText="1"/>
    </xf>
    <xf numFmtId="0" fontId="27" fillId="0" borderId="15" xfId="0" applyFont="1" applyBorder="1" applyAlignment="1">
      <alignment vertical="center" wrapText="1"/>
    </xf>
    <xf numFmtId="0" fontId="34" fillId="0" borderId="0" xfId="0" applyFont="1" applyAlignment="1">
      <alignment horizontal="center" wrapText="1"/>
    </xf>
    <xf numFmtId="0" fontId="14" fillId="0" borderId="11" xfId="0" applyFont="1" applyBorder="1" applyAlignment="1">
      <alignment horizontal="right" vertical="center"/>
    </xf>
    <xf numFmtId="0" fontId="60" fillId="19" borderId="51" xfId="0" applyFont="1" applyFill="1" applyBorder="1" applyAlignment="1">
      <alignment horizontal="left" vertical="center" wrapText="1" readingOrder="1"/>
    </xf>
    <xf numFmtId="0" fontId="60" fillId="19" borderId="50" xfId="0" applyFont="1" applyFill="1" applyBorder="1" applyAlignment="1">
      <alignment horizontal="left" vertical="center" wrapText="1" readingOrder="1"/>
    </xf>
    <xf numFmtId="0" fontId="61" fillId="19" borderId="51" xfId="0" applyFont="1" applyFill="1" applyBorder="1" applyAlignment="1">
      <alignment vertical="top" wrapText="1"/>
    </xf>
    <xf numFmtId="0" fontId="61" fillId="19" borderId="50" xfId="0" applyFont="1" applyFill="1" applyBorder="1" applyAlignment="1">
      <alignment vertical="top" wrapText="1"/>
    </xf>
    <xf numFmtId="0" fontId="60" fillId="20" borderId="51" xfId="0" applyFont="1" applyFill="1" applyBorder="1" applyAlignment="1">
      <alignment horizontal="left" vertical="center" wrapText="1" readingOrder="1"/>
    </xf>
    <xf numFmtId="0" fontId="60" fillId="20" borderId="48" xfId="0" applyFont="1" applyFill="1" applyBorder="1" applyAlignment="1">
      <alignment horizontal="left" vertical="center" wrapText="1" readingOrder="1"/>
    </xf>
    <xf numFmtId="0" fontId="60" fillId="20" borderId="50" xfId="0" applyFont="1" applyFill="1" applyBorder="1" applyAlignment="1">
      <alignment horizontal="left" vertical="center" wrapText="1" readingOrder="1"/>
    </xf>
    <xf numFmtId="0" fontId="60" fillId="19" borderId="48" xfId="0" applyFont="1" applyFill="1" applyBorder="1" applyAlignment="1">
      <alignment horizontal="left" vertical="center" wrapText="1" readingOrder="1"/>
    </xf>
    <xf numFmtId="0" fontId="61" fillId="20" borderId="51" xfId="0" applyFont="1" applyFill="1" applyBorder="1" applyAlignment="1">
      <alignment vertical="top" wrapText="1"/>
    </xf>
    <xf numFmtId="0" fontId="61" fillId="20" borderId="50" xfId="0" applyFont="1" applyFill="1" applyBorder="1" applyAlignment="1">
      <alignment vertical="top" wrapText="1"/>
    </xf>
    <xf numFmtId="0" fontId="61" fillId="20" borderId="48" xfId="0" applyFont="1" applyFill="1" applyBorder="1" applyAlignment="1">
      <alignment vertical="top" wrapText="1"/>
    </xf>
    <xf numFmtId="0" fontId="61" fillId="19" borderId="48" xfId="0" applyFont="1" applyFill="1" applyBorder="1" applyAlignment="1">
      <alignment vertical="top" wrapText="1"/>
    </xf>
    <xf numFmtId="0" fontId="58" fillId="18" borderId="45" xfId="0" applyFont="1" applyFill="1" applyBorder="1" applyAlignment="1">
      <alignment horizontal="right" vertical="center" wrapText="1" readingOrder="1"/>
    </xf>
    <xf numFmtId="0" fontId="58" fillId="18" borderId="46" xfId="0" applyFont="1" applyFill="1" applyBorder="1" applyAlignment="1">
      <alignment horizontal="right" vertical="center" wrapText="1" readingOrder="1"/>
    </xf>
    <xf numFmtId="0" fontId="58" fillId="18" borderId="47" xfId="0" applyFont="1" applyFill="1" applyBorder="1" applyAlignment="1">
      <alignment horizontal="right" vertical="center" wrapText="1" readingOrder="1"/>
    </xf>
    <xf numFmtId="0" fontId="59" fillId="19" borderId="49" xfId="0" applyFont="1" applyFill="1" applyBorder="1" applyAlignment="1">
      <alignment horizontal="center" vertical="center" wrapText="1" readingOrder="1"/>
    </xf>
    <xf numFmtId="0" fontId="59" fillId="19" borderId="50" xfId="0" applyFont="1" applyFill="1" applyBorder="1" applyAlignment="1">
      <alignment horizontal="center" vertical="center" wrapText="1" readingOrder="1"/>
    </xf>
    <xf numFmtId="0" fontId="57" fillId="20" borderId="51" xfId="0" applyFont="1" applyFill="1" applyBorder="1" applyAlignment="1">
      <alignment vertical="center" wrapText="1"/>
    </xf>
    <xf numFmtId="0" fontId="57" fillId="20" borderId="50" xfId="0" applyFont="1" applyFill="1" applyBorder="1" applyAlignment="1">
      <alignment vertical="center" wrapText="1"/>
    </xf>
    <xf numFmtId="0" fontId="57" fillId="19" borderId="51" xfId="0" applyFont="1" applyFill="1" applyBorder="1" applyAlignment="1">
      <alignment vertical="center" wrapText="1"/>
    </xf>
    <xf numFmtId="0" fontId="57" fillId="19" borderId="50" xfId="0" applyFont="1" applyFill="1" applyBorder="1" applyAlignment="1">
      <alignment vertical="center" wrapText="1"/>
    </xf>
    <xf numFmtId="0" fontId="0" fillId="20" borderId="51" xfId="0" applyFill="1" applyBorder="1" applyAlignment="1">
      <alignment vertical="top" wrapText="1"/>
    </xf>
    <xf numFmtId="0" fontId="0" fillId="20" borderId="50" xfId="0" applyFill="1" applyBorder="1" applyAlignment="1">
      <alignment vertical="top" wrapText="1"/>
    </xf>
    <xf numFmtId="0" fontId="0" fillId="19" borderId="51" xfId="0" applyFill="1" applyBorder="1" applyAlignment="1">
      <alignment vertical="top" wrapText="1"/>
    </xf>
    <xf numFmtId="0" fontId="0" fillId="19" borderId="50" xfId="0" applyFill="1" applyBorder="1" applyAlignment="1">
      <alignment vertical="top" wrapText="1"/>
    </xf>
    <xf numFmtId="0" fontId="56" fillId="19" borderId="49" xfId="0" applyFont="1" applyFill="1" applyBorder="1" applyAlignment="1">
      <alignment vertical="center" wrapText="1"/>
    </xf>
    <xf numFmtId="0" fontId="56" fillId="19" borderId="50" xfId="0" applyFont="1" applyFill="1" applyBorder="1" applyAlignment="1">
      <alignment vertical="center" wrapText="1"/>
    </xf>
    <xf numFmtId="0" fontId="10" fillId="8" borderId="42" xfId="3" applyFont="1" applyFill="1" applyBorder="1" applyAlignment="1">
      <alignment horizontal="center" vertical="center" wrapText="1"/>
    </xf>
    <xf numFmtId="0" fontId="10" fillId="8" borderId="54" xfId="3" applyFont="1" applyFill="1" applyBorder="1" applyAlignment="1">
      <alignment horizontal="center" vertical="center" wrapText="1"/>
    </xf>
    <xf numFmtId="0" fontId="10" fillId="8" borderId="55" xfId="3" applyFont="1" applyFill="1" applyBorder="1" applyAlignment="1">
      <alignment horizontal="center" vertical="center" wrapText="1"/>
    </xf>
    <xf numFmtId="0" fontId="56" fillId="18" borderId="45" xfId="0" applyFont="1" applyFill="1" applyBorder="1" applyAlignment="1">
      <alignment vertical="center" wrapText="1"/>
    </xf>
    <xf numFmtId="0" fontId="56" fillId="18" borderId="46" xfId="0" applyFont="1" applyFill="1" applyBorder="1" applyAlignment="1">
      <alignment vertical="center" wrapText="1"/>
    </xf>
    <xf numFmtId="0" fontId="56" fillId="18" borderId="47" xfId="0" applyFont="1" applyFill="1" applyBorder="1" applyAlignment="1">
      <alignment vertical="center" wrapText="1"/>
    </xf>
    <xf numFmtId="0" fontId="15" fillId="0" borderId="0" xfId="0" applyFont="1" applyAlignment="1">
      <alignment horizontal="right" wrapText="1"/>
    </xf>
    <xf numFmtId="0" fontId="51" fillId="0" borderId="36" xfId="0" applyFont="1" applyBorder="1" applyAlignment="1">
      <alignment horizontal="left" wrapText="1"/>
    </xf>
    <xf numFmtId="0" fontId="51" fillId="0" borderId="0" xfId="0" applyFont="1" applyAlignment="1">
      <alignment horizontal="left" wrapText="1"/>
    </xf>
    <xf numFmtId="0" fontId="2" fillId="0" borderId="0" xfId="0" applyFont="1" applyAlignment="1">
      <alignment horizontal="left" wrapText="1"/>
    </xf>
    <xf numFmtId="0" fontId="51" fillId="0" borderId="0" xfId="0" applyFont="1" applyAlignment="1">
      <alignment horizontal="left"/>
    </xf>
    <xf numFmtId="0" fontId="16" fillId="0" borderId="11" xfId="0" applyFont="1" applyBorder="1" applyAlignment="1">
      <alignment wrapText="1"/>
    </xf>
    <xf numFmtId="0" fontId="2" fillId="6" borderId="11" xfId="0" applyFont="1" applyFill="1" applyBorder="1" applyAlignment="1">
      <alignment horizontal="center" wrapText="1"/>
    </xf>
    <xf numFmtId="0" fontId="13" fillId="0" borderId="11" xfId="0" applyFont="1" applyBorder="1" applyAlignment="1">
      <alignment horizontal="center" vertical="center" wrapText="1"/>
    </xf>
    <xf numFmtId="0" fontId="0" fillId="0" borderId="0" xfId="0" applyAlignment="1">
      <alignment horizontal="center"/>
    </xf>
    <xf numFmtId="0" fontId="0" fillId="0" borderId="37" xfId="0" applyBorder="1" applyAlignment="1">
      <alignment horizontal="center"/>
    </xf>
    <xf numFmtId="0" fontId="13" fillId="0" borderId="0" xfId="0" applyFont="1" applyAlignment="1">
      <alignment horizontal="left" vertical="center"/>
    </xf>
    <xf numFmtId="0" fontId="13" fillId="0" borderId="37" xfId="0" applyFont="1" applyBorder="1" applyAlignment="1">
      <alignment horizontal="left" vertical="center"/>
    </xf>
    <xf numFmtId="0" fontId="10" fillId="0" borderId="11" xfId="0" applyFont="1" applyBorder="1" applyAlignment="1">
      <alignment horizontal="center" vertical="center"/>
    </xf>
    <xf numFmtId="0" fontId="25" fillId="0" borderId="56" xfId="0" applyFont="1" applyBorder="1" applyAlignment="1">
      <alignment horizontal="center" vertical="center" wrapText="1"/>
    </xf>
    <xf numFmtId="0" fontId="65" fillId="0" borderId="0" xfId="0" applyFont="1" applyAlignment="1">
      <alignment wrapText="1"/>
    </xf>
    <xf numFmtId="0" fontId="25" fillId="0" borderId="56" xfId="0" applyFont="1" applyBorder="1" applyAlignment="1">
      <alignment horizontal="left" vertical="center" wrapText="1"/>
    </xf>
    <xf numFmtId="0" fontId="14" fillId="14" borderId="11" xfId="25" applyFont="1" applyFill="1" applyBorder="1" applyAlignment="1">
      <alignment horizontal="left" vertical="center"/>
    </xf>
    <xf numFmtId="0" fontId="14" fillId="14" borderId="16" xfId="25" applyFont="1" applyFill="1" applyBorder="1" applyAlignment="1">
      <alignment horizontal="center" vertical="center" wrapText="1"/>
    </xf>
    <xf numFmtId="0" fontId="14" fillId="14" borderId="17" xfId="25" applyFont="1" applyFill="1" applyBorder="1" applyAlignment="1">
      <alignment horizontal="center" vertical="center" wrapText="1"/>
    </xf>
    <xf numFmtId="0" fontId="44" fillId="6" borderId="11" xfId="6" applyFont="1" applyFill="1" applyBorder="1" applyAlignment="1">
      <alignment horizontal="center" vertical="top"/>
    </xf>
    <xf numFmtId="0" fontId="14" fillId="0" borderId="0" xfId="0" applyFont="1" applyAlignment="1">
      <alignment horizontal="center" wrapText="1"/>
    </xf>
    <xf numFmtId="0" fontId="14" fillId="0" borderId="0" xfId="0" applyFont="1" applyAlignment="1">
      <alignment horizontal="center"/>
    </xf>
    <xf numFmtId="0" fontId="41" fillId="0" borderId="0" xfId="0" applyFont="1" applyAlignment="1">
      <alignment horizontal="left"/>
    </xf>
    <xf numFmtId="0" fontId="10" fillId="0" borderId="57" xfId="0" applyFont="1" applyBorder="1" applyAlignment="1">
      <alignment horizontal="center" vertical="center"/>
    </xf>
    <xf numFmtId="0" fontId="10" fillId="0" borderId="58" xfId="0" applyFont="1" applyBorder="1" applyAlignment="1">
      <alignment horizontal="center" vertical="center"/>
    </xf>
    <xf numFmtId="0" fontId="10" fillId="0" borderId="59" xfId="0" applyFont="1" applyBorder="1" applyAlignment="1">
      <alignment horizontal="center" vertical="center"/>
    </xf>
    <xf numFmtId="0" fontId="51" fillId="7" borderId="1" xfId="0" applyFont="1" applyFill="1" applyBorder="1" applyAlignment="1">
      <alignment horizontal="center" vertical="center"/>
    </xf>
    <xf numFmtId="0" fontId="51" fillId="7" borderId="7" xfId="0" applyFont="1" applyFill="1" applyBorder="1" applyAlignment="1">
      <alignment horizontal="center" vertical="center"/>
    </xf>
    <xf numFmtId="0" fontId="51" fillId="7" borderId="61" xfId="0" applyFont="1" applyFill="1" applyBorder="1" applyAlignment="1">
      <alignment horizontal="center" vertical="center"/>
    </xf>
    <xf numFmtId="0" fontId="2" fillId="7" borderId="15" xfId="0" applyFont="1" applyFill="1" applyBorder="1" applyAlignment="1">
      <alignment horizontal="center" vertical="center" wrapText="1"/>
    </xf>
    <xf numFmtId="0" fontId="2" fillId="7" borderId="11" xfId="0" applyFont="1" applyFill="1" applyBorder="1" applyAlignment="1">
      <alignment horizontal="center" vertical="center" wrapText="1"/>
    </xf>
    <xf numFmtId="3" fontId="2" fillId="7" borderId="10" xfId="0" applyNumberFormat="1" applyFont="1" applyFill="1" applyBorder="1" applyAlignment="1">
      <alignment horizontal="center" vertical="center"/>
    </xf>
    <xf numFmtId="0" fontId="2" fillId="7" borderId="5" xfId="0" applyFont="1" applyFill="1" applyBorder="1" applyAlignment="1">
      <alignment horizontal="center" vertical="center"/>
    </xf>
    <xf numFmtId="3" fontId="2" fillId="7" borderId="29" xfId="0" applyNumberFormat="1" applyFont="1" applyFill="1" applyBorder="1" applyAlignment="1">
      <alignment horizontal="center" vertical="center"/>
    </xf>
    <xf numFmtId="0" fontId="2" fillId="7" borderId="19" xfId="0" applyFont="1" applyFill="1" applyBorder="1" applyAlignment="1">
      <alignment horizontal="center" vertical="center"/>
    </xf>
    <xf numFmtId="0" fontId="27" fillId="0" borderId="0" xfId="0" applyFont="1" applyAlignment="1">
      <alignment horizontal="center" wrapText="1"/>
    </xf>
    <xf numFmtId="0" fontId="27" fillId="0" borderId="0" xfId="0" applyFont="1" applyAlignment="1">
      <alignment horizontal="center" vertical="center"/>
    </xf>
    <xf numFmtId="172" fontId="78" fillId="0" borderId="9" xfId="0" applyNumberFormat="1" applyFont="1" applyBorder="1" applyAlignment="1">
      <alignment horizontal="right"/>
    </xf>
    <xf numFmtId="172" fontId="78" fillId="0" borderId="21" xfId="0" applyNumberFormat="1" applyFont="1" applyBorder="1" applyAlignment="1">
      <alignment horizontal="right"/>
    </xf>
    <xf numFmtId="172" fontId="78" fillId="0" borderId="15" xfId="0" applyNumberFormat="1" applyFont="1" applyBorder="1" applyAlignment="1">
      <alignment horizontal="right"/>
    </xf>
    <xf numFmtId="0" fontId="19" fillId="0" borderId="0" xfId="0" applyFont="1" applyAlignment="1">
      <alignment horizontal="center"/>
    </xf>
    <xf numFmtId="0" fontId="19" fillId="0" borderId="0" xfId="0" applyFont="1" applyAlignment="1">
      <alignment horizontal="center" wrapText="1"/>
    </xf>
  </cellXfs>
  <cellStyles count="26">
    <cellStyle name="Comma" xfId="1" builtinId="3"/>
    <cellStyle name="Comma 2" xfId="15" xr:uid="{E87B4CAC-D6D5-4F42-89DD-DF0D224B7CA0}"/>
    <cellStyle name="Comma 5" xfId="16" xr:uid="{E89C392F-7408-49F4-A408-479E51E40C53}"/>
    <cellStyle name="Hyperlink 2" xfId="23" xr:uid="{5BDEA4BB-827E-4961-9EBA-1E69C1C6C4C0}"/>
    <cellStyle name="Normal" xfId="0" builtinId="0"/>
    <cellStyle name="Normal 10 2" xfId="11" xr:uid="{25838B22-5CBD-4392-BC19-B0E32475BFAE}"/>
    <cellStyle name="Normal 10 2 2" xfId="4" xr:uid="{E97538D8-2776-44C6-8519-7BBC067A233F}"/>
    <cellStyle name="Normal 10 7" xfId="22" xr:uid="{9101BD62-4903-4BC5-8BD0-987A90686DFC}"/>
    <cellStyle name="Normal 2" xfId="6" xr:uid="{ED352203-03B9-4629-80FA-8E9E424A811D}"/>
    <cellStyle name="Normal 2 12" xfId="7" xr:uid="{671138BD-74A2-4EA8-9E68-22F600A2BEAB}"/>
    <cellStyle name="Normal 2 2" xfId="12" xr:uid="{1C55C09C-B0A8-4640-BB72-DB0586E90351}"/>
    <cellStyle name="Normal 2 2 2 2" xfId="21" xr:uid="{8357F237-CC3E-4A2C-9EC9-89676D781F13}"/>
    <cellStyle name="Normal 2 3" xfId="8" xr:uid="{354C3F5D-0347-4F15-876D-E4F2D6CFBCE0}"/>
    <cellStyle name="Normal 2 5" xfId="17" xr:uid="{F692F0E6-8AD2-4ADF-90B5-4ED30C4C4AB5}"/>
    <cellStyle name="Normal 3" xfId="3" xr:uid="{A1B58D88-8388-408A-B8AF-C931B77A0FA5}"/>
    <cellStyle name="Normal 3 2" xfId="9" xr:uid="{341EF215-7432-425A-8B53-D189A31FB8A0}"/>
    <cellStyle name="Normal 3 3" xfId="5" xr:uid="{29CCABA3-38FE-4B3A-89CD-4B149554B047}"/>
    <cellStyle name="Normal 3 4" xfId="24" xr:uid="{E5DD61FA-DCE2-41F0-9E7D-3EB1738134A2}"/>
    <cellStyle name="Normal 39" xfId="10" xr:uid="{91BB5247-D6B6-4478-A436-9FB102A53C51}"/>
    <cellStyle name="Normal 39 9" xfId="14" xr:uid="{2B39E390-177B-438C-8469-BD9C2109E9E3}"/>
    <cellStyle name="Normal 4" xfId="25" xr:uid="{C76C5F3A-E697-4440-B328-0B13D0052E72}"/>
    <cellStyle name="Normal 5 3" xfId="19" xr:uid="{C8A5EC90-7FDF-4DD6-B1D1-FA9CCCAD7BE0}"/>
    <cellStyle name="Normal 51" xfId="20" xr:uid="{C67A6A69-4911-43D6-A485-85A0DA484EAD}"/>
    <cellStyle name="Normal 6 11" xfId="18" xr:uid="{160358BF-ECB5-444C-8669-F87216B57CE7}"/>
    <cellStyle name="Percent" xfId="2" builtinId="5"/>
    <cellStyle name="Percent 2" xfId="13" xr:uid="{7D920FDA-C2B0-44D0-BD2F-1F06E9238E6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2.xml"/><Relationship Id="rId39" Type="http://schemas.openxmlformats.org/officeDocument/2006/relationships/sharedStrings" Target="sharedStrings.xml"/><Relationship Id="rId21" Type="http://schemas.openxmlformats.org/officeDocument/2006/relationships/worksheet" Target="worksheets/sheet21.xml"/><Relationship Id="rId34" Type="http://schemas.openxmlformats.org/officeDocument/2006/relationships/externalLink" Target="externalLinks/externalLink10.xml"/><Relationship Id="rId42" Type="http://schemas.openxmlformats.org/officeDocument/2006/relationships/customXml" Target="../customXml/item2.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externalLink" Target="externalLinks/externalLink5.xml"/><Relationship Id="rId41"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externalLink" Target="externalLinks/externalLink8.xml"/><Relationship Id="rId37" Type="http://schemas.openxmlformats.org/officeDocument/2006/relationships/theme" Target="theme/theme1.xml"/><Relationship Id="rId40"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externalLink" Target="externalLinks/externalLink4.xml"/><Relationship Id="rId36" Type="http://schemas.openxmlformats.org/officeDocument/2006/relationships/externalLink" Target="externalLinks/externalLink12.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7.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externalLink" Target="externalLinks/externalLink3.xml"/><Relationship Id="rId30" Type="http://schemas.openxmlformats.org/officeDocument/2006/relationships/externalLink" Target="externalLinks/externalLink6.xml"/><Relationship Id="rId35" Type="http://schemas.openxmlformats.org/officeDocument/2006/relationships/externalLink" Target="externalLinks/externalLink11.xml"/><Relationship Id="rId43" Type="http://schemas.openxmlformats.org/officeDocument/2006/relationships/customXml" Target="../customXml/item3.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1.xml"/><Relationship Id="rId33" Type="http://schemas.openxmlformats.org/officeDocument/2006/relationships/externalLink" Target="externalLinks/externalLink9.xml"/><Relationship Id="rId38"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profile_redirect$\Documents%20and%20Settings\bd-adija\Local%20Settings\Temporary%20Internet%20Files\Content.Outlook\U63RD855\MK_izdev_samaz_2las_2009_31%2010%2008_arESIA.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Documents%20and%20Settings\SilvijaJ\Local%20Settings\Temporary%20Internet%20Files\Content.IE5\F51GHD5U\KristineS\My%20Documents\Bud&#382;ets%202012\Budzeta%20forma%2014_05%2001%202012%20(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veselibasministrija-my.sharepoint.com/Documents%20and%20Settings/SilvijaJ/Local%20Settings/Temporary%20Internet%20Files/Content.IE5/F51GHD5U/KristineS/My%20Documents/Bud&#382;ets%202012/Budzeta%20forma%2014_05%2001%202012%20(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3/SAVA/P&#256;RPLANO&#352;ANA/parplanosana_9menesi/R0020%20-SAVA_izpilde_veiktais_darbs_092013.xls" TargetMode="External"/></Relationships>
</file>

<file path=xl/externalLinks/_rels/externalLink5.xml.rels><?xml version="1.0" encoding="UTF-8" standalone="yes"?>
<Relationships xmlns="http://schemas.openxmlformats.org/package/2006/relationships"><Relationship Id="rId2" Type="http://schemas.microsoft.com/office/2019/04/relationships/externalLinkLongPath" Target="file:///C:\Documents%20and%20Settings\Svetlana.Supulniece\Local%20Settings\Temporary%20Internet%20Files\Content.Outlook\J21U5MYL\LIC%20PP%20parrekins%20pec%202012%209m%20DB\LIC%20laboratorija\R0032%20-LIC%20darbs%20laboratorija%20citam%20ar%20palidz%20veidu%20AI%2031102012.xls?73E465BC" TargetMode="External"/><Relationship Id="rId1" Type="http://schemas.openxmlformats.org/officeDocument/2006/relationships/externalLinkPath" Target="file:///\\73E465BC\R0032%20-LIC%20darbs%20laboratorija%20citam%20ar%20palidz%20veidu%20AI%2031102012.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s://veselibasministrija-my.sharepoint.com/Ambulatoro_pakalpojumu_nodala/Planosana_2012/SAVA/!_Grozijumi%202012.gada%20laikaa/Egija_Grozijumi%20ar%2001.10.2012_NEPIENEMTIE/Apaksas%20SAVA%20rikojumam.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Ambulatoro_pakalpojumu_nodala\Planosana_2012\SAVA\!_Grozijumi%202012.gada%20laikaa\Egija_Grozijumi%20ar%2001.10.2012_NEPIENEMTIE\Apaksas%20SAVA%20rikojumam.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Finansu_planosanas_nodala\BUD&#381;ETS\2019\33_finansejums_2018_2021g.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Finansu_planosanas_nodala\BUD&#381;ETS\2019\33_finansejums_2018_2021g.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andris.skrastins\Desktop\Ivita\8_centralizeto_medikamentu_aprekini.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Users\liga.citskovska\Documents\2016\Aknu_transp_04.2016\Aknu_transp_kop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veselibasministrija-my.sharepoint.com/Users/liga.citskovska/Documents/2016/Aknu_transp_04.2016/Aknu_transp_kop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ExRepositorySheet"/>
      <sheetName val="1piel"/>
      <sheetName val="2piel"/>
      <sheetName val="HEADER"/>
      <sheetName val="FOOTER"/>
      <sheetName val="ZQZBC_PLN__04_03_10"/>
      <sheetName val="ZQZBC_PLN__04_03_11"/>
      <sheetName val="ZQZBC_PLN__04_03_12"/>
      <sheetName val="ZQZBC_PLN__04_03_14"/>
      <sheetName val="ZQZBC_PLN__04_03_13"/>
      <sheetName val="ZQZBC_PLN__04_03_15"/>
      <sheetName val="ZQZBC_PLN__04_03_201_IP7"/>
      <sheetName val="ZQZBC_PLN__04_03_211_IP7"/>
      <sheetName val="ZQZBC_PLN__04_03_212_IP7"/>
      <sheetName val="ZQZBC_PLN__04_03_213_IP7"/>
      <sheetName val="ZQZBC_PLN__04_03_214_IP7"/>
      <sheetName val="ZQZBC_PLN__04_03_215_IP7"/>
      <sheetName val="ZQZBC_PLN__04_03_216_IP7"/>
      <sheetName val="ZQZBC_PLN__04_03_217_IP7"/>
      <sheetName val="ZQZBC_PLN__04_03_218_IP7"/>
      <sheetName val="ZQZBC_PLN__04_03_219_IP7"/>
      <sheetName val="ZQZBC_PLN__04_03_220_IP7"/>
      <sheetName val="ZQZBC_PLN__04_03_221_IP7"/>
      <sheetName val="QEKK"/>
    </sheetNames>
    <sheetDataSet>
      <sheetData sheetId="0" refreshError="1"/>
      <sheetData sheetId="1" refreshError="1"/>
      <sheetData sheetId="2" refreshError="1"/>
      <sheetData sheetId="3"/>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_pamatlidzekli"/>
      <sheetName val="pec str._PL"/>
      <sheetName val="pēc izm.p. PL"/>
      <sheetName val="pamatlidzekli"/>
      <sheetName val="CITO PL"/>
      <sheetName val="pamatlidzekli (2)"/>
      <sheetName val="PT_mazv.inv."/>
      <sheetName val="pēc izm.p. MI"/>
      <sheetName val="pec str_MI"/>
      <sheetName val="mazv.inventars"/>
      <sheetName val="CITO MI"/>
      <sheetName val="mazv.inventars (2)"/>
      <sheetName val="pakalpojums"/>
      <sheetName val="strukturkodi"/>
      <sheetName val="izm.posteni"/>
      <sheetName val="pec_str__PL"/>
      <sheetName val="pec_str__PL1"/>
      <sheetName val="pēc_izm_p__PL"/>
      <sheetName val="CITO_PL"/>
      <sheetName val="pamatlidzekli_(2)"/>
      <sheetName val="PT_mazv_inv_"/>
      <sheetName val="pēc_izm_p__MI"/>
      <sheetName val="pec_str_MI"/>
      <sheetName val="mazv_inventars"/>
      <sheetName val="CITO_MI"/>
      <sheetName val="mazv_inventars_(2)"/>
      <sheetName val="izm_posten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sheetName val="Apvienota_DB"/>
      <sheetName val="Staru_terapija_1_9"/>
      <sheetName val="09"/>
      <sheetName val="08"/>
      <sheetName val="07"/>
      <sheetName val="06"/>
      <sheetName val="05"/>
      <sheetName val="04"/>
      <sheetName val="03"/>
      <sheetName val="02"/>
      <sheetName val="01"/>
      <sheetName val="Macro1"/>
      <sheetName val="PIVOT2"/>
      <sheetName val="greidots"/>
      <sheetName val="R0035.2"/>
      <sheetName val="GALA "/>
      <sheetName val="aprakst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sheetData sheetId="16"/>
      <sheetData sheetId="1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0032"/>
      <sheetName val="Macro1"/>
      <sheetName val="Datu baze bez -"/>
      <sheetName val="Tarifi 18.piel"/>
      <sheetName val="Manip ar 0 tarif"/>
      <sheetName val="LIC tarifi"/>
    </sheetNames>
    <sheetDataSet>
      <sheetData sheetId="0" refreshError="1"/>
      <sheetData sheetId="1">
        <row r="80">
          <cell r="A80" t="str">
            <v>Recover</v>
          </cell>
        </row>
      </sheetData>
      <sheetData sheetId="2" refreshError="1"/>
      <sheetData sheetId="3" refreshError="1"/>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sheetData sheetId="1"/>
      <sheetData sheetId="2"/>
      <sheetData sheetId="3">
        <row r="106">
          <cell r="A106" t="str">
            <v>Recover</v>
          </cell>
        </row>
      </sheetData>
      <sheetData sheetId="4"/>
      <sheetData sheetId="5"/>
      <sheetData sheetId="6"/>
      <sheetData sheetId="7"/>
      <sheetData sheetId="8"/>
      <sheetData sheetId="9"/>
      <sheetData sheetId="10"/>
      <sheetData sheetId="11"/>
      <sheetData sheetId="12"/>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Rikojumam"/>
      <sheetName val="Invaliditātei"/>
      <sheetName val="Sheet5"/>
      <sheetName val="Macro1"/>
      <sheetName val="ligumi kopa"/>
      <sheetName val="Datu avoti"/>
      <sheetName val="R0020"/>
      <sheetName val="trukstosie izm."/>
      <sheetName val="Pivot no Rīkoj."/>
      <sheetName val="RIKOJUMS (ar apakšām)"/>
      <sheetName val="RIKOJUMS_GALA"/>
      <sheetName val="Sadal.pa PP no 01.10.2012"/>
      <sheetName val="Pac.iem."/>
    </sheetNames>
    <sheetDataSet>
      <sheetData sheetId="0" refreshError="1"/>
      <sheetData sheetId="1" refreshError="1"/>
      <sheetData sheetId="2" refreshError="1"/>
      <sheetData sheetId="3">
        <row r="106">
          <cell r="A106" t="str">
            <v>Recover</v>
          </cell>
        </row>
      </sheetData>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19"/>
      <sheetName val="2020"/>
      <sheetName val="noZinojuma"/>
      <sheetName val="detalizēti"/>
      <sheetName val="ATSKAITE_likums_par_budžetu"/>
      <sheetName val="ATSKAITE_2v"/>
    </sheetNames>
    <sheetDataSet>
      <sheetData sheetId="0">
        <row r="16">
          <cell r="C16">
            <v>3050494</v>
          </cell>
        </row>
      </sheetData>
      <sheetData sheetId="1"/>
      <sheetData sheetId="2"/>
      <sheetData sheetId="3"/>
      <sheetData sheetId="4"/>
      <sheetData sheetId="5"/>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8.1."/>
      <sheetName val="8.2."/>
      <sheetName val="8.3."/>
      <sheetName val="8.4."/>
      <sheetName val="8.5."/>
      <sheetName val="Sheet9"/>
      <sheetName val="Sheet10"/>
      <sheetName val="Sheet11"/>
      <sheetName val="Sheet1"/>
    </sheetNames>
    <sheetDataSet>
      <sheetData sheetId="0">
        <row r="5">
          <cell r="C5">
            <v>36540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i"/>
      <sheetName val="teksts"/>
      <sheetName val="amb"/>
      <sheetName val="Opera_salidz"/>
      <sheetName val="salidzinajums"/>
      <sheetName val="p2"/>
      <sheetName val="personals"/>
      <sheetName val="pers(sakotn.versija)"/>
    </sheetNames>
    <sheetDataSet>
      <sheetData sheetId="0">
        <row r="4">
          <cell r="B4">
            <v>20.833333333333332</v>
          </cell>
        </row>
        <row r="5">
          <cell r="B5">
            <v>168</v>
          </cell>
        </row>
        <row r="6">
          <cell r="B6">
            <v>9.5833333333333339</v>
          </cell>
        </row>
        <row r="7">
          <cell r="B7">
            <v>1.25</v>
          </cell>
        </row>
      </sheetData>
      <sheetData sheetId="1" refreshError="1"/>
      <sheetData sheetId="2" refreshError="1"/>
      <sheetData sheetId="3" refreshError="1"/>
      <sheetData sheetId="4" refreshError="1"/>
      <sheetData sheetId="5"/>
      <sheetData sheetId="6" refreshError="1"/>
      <sheetData sheetId="7"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197287-6D07-404C-BB2F-996758440431}">
  <sheetPr>
    <pageSetUpPr fitToPage="1"/>
  </sheetPr>
  <dimension ref="A1:M101"/>
  <sheetViews>
    <sheetView tabSelected="1" zoomScale="90" zoomScaleNormal="90" workbookViewId="0">
      <pane ySplit="4" topLeftCell="A68" activePane="bottomLeft" state="frozen"/>
      <selection pane="bottomLeft" activeCell="B69" sqref="B69"/>
    </sheetView>
  </sheetViews>
  <sheetFormatPr defaultColWidth="9.1796875" defaultRowHeight="14" x14ac:dyDescent="0.3"/>
  <cols>
    <col min="1" max="1" width="5.7265625" style="12" customWidth="1"/>
    <col min="2" max="2" width="63.26953125" style="11" customWidth="1"/>
    <col min="3" max="3" width="17" style="12" customWidth="1"/>
    <col min="4" max="4" width="17.7265625" style="2" customWidth="1"/>
    <col min="5" max="5" width="12.26953125" style="2" customWidth="1"/>
    <col min="6" max="6" width="11.453125" style="2" customWidth="1"/>
    <col min="7" max="8" width="11.453125" style="3" customWidth="1"/>
    <col min="9" max="11" width="11.453125" style="12" customWidth="1"/>
    <col min="12" max="12" width="12.7265625" style="12" customWidth="1"/>
    <col min="13" max="13" width="90.453125" style="171" customWidth="1"/>
    <col min="14" max="14" width="9.54296875" style="3" bestFit="1" customWidth="1"/>
    <col min="15" max="16384" width="9.1796875" style="3"/>
  </cols>
  <sheetData>
    <row r="1" spans="1:13" s="11" customFormat="1" ht="19.5" customHeight="1" x14ac:dyDescent="0.35">
      <c r="A1" s="12"/>
      <c r="C1" s="12"/>
      <c r="D1" s="12"/>
      <c r="E1" s="12"/>
      <c r="F1" s="12"/>
      <c r="G1" s="12"/>
      <c r="H1" s="12"/>
      <c r="I1" s="12"/>
      <c r="J1" s="12"/>
      <c r="K1" s="12"/>
      <c r="L1" s="190"/>
      <c r="M1" s="190" t="s">
        <v>0</v>
      </c>
    </row>
    <row r="2" spans="1:13" ht="15.75" customHeight="1" x14ac:dyDescent="0.3">
      <c r="B2" s="366"/>
      <c r="C2" s="3"/>
      <c r="D2" s="3"/>
      <c r="E2" s="3"/>
      <c r="F2" s="3"/>
      <c r="I2" s="3"/>
      <c r="J2" s="3"/>
      <c r="K2" s="3"/>
      <c r="L2" s="2"/>
    </row>
    <row r="3" spans="1:13" s="1" customFormat="1" ht="31.5" customHeight="1" x14ac:dyDescent="0.35">
      <c r="A3" s="769" t="s">
        <v>1</v>
      </c>
      <c r="B3" s="769" t="s">
        <v>2</v>
      </c>
      <c r="C3" s="769" t="s">
        <v>3</v>
      </c>
      <c r="D3" s="769" t="s">
        <v>4</v>
      </c>
      <c r="E3" s="769" t="s">
        <v>5</v>
      </c>
      <c r="F3" s="781" t="s">
        <v>6</v>
      </c>
      <c r="G3" s="781"/>
      <c r="H3" s="781"/>
      <c r="I3" s="765" t="s">
        <v>7</v>
      </c>
      <c r="J3" s="765"/>
      <c r="K3" s="765"/>
      <c r="L3" s="765"/>
      <c r="M3" s="765" t="s">
        <v>691</v>
      </c>
    </row>
    <row r="4" spans="1:13" s="13" customFormat="1" ht="36" customHeight="1" x14ac:dyDescent="0.35">
      <c r="A4" s="769"/>
      <c r="B4" s="769"/>
      <c r="C4" s="769"/>
      <c r="D4" s="769"/>
      <c r="E4" s="769"/>
      <c r="F4" s="6">
        <v>2022</v>
      </c>
      <c r="G4" s="6">
        <v>2023</v>
      </c>
      <c r="H4" s="6">
        <v>2024</v>
      </c>
      <c r="I4" s="6">
        <v>2023</v>
      </c>
      <c r="J4" s="6">
        <v>2024</v>
      </c>
      <c r="K4" s="6">
        <v>2025</v>
      </c>
      <c r="L4" s="6" t="s">
        <v>8</v>
      </c>
      <c r="M4" s="765"/>
    </row>
    <row r="5" spans="1:13" s="13" customFormat="1" x14ac:dyDescent="0.35">
      <c r="A5" s="7"/>
      <c r="B5" s="211" t="s">
        <v>9</v>
      </c>
      <c r="C5" s="7"/>
      <c r="D5" s="7"/>
      <c r="E5" s="7"/>
      <c r="F5" s="189">
        <f t="shared" ref="F5:L5" si="0">F6+F8</f>
        <v>3033907</v>
      </c>
      <c r="G5" s="189">
        <f t="shared" si="0"/>
        <v>16130103</v>
      </c>
      <c r="H5" s="189">
        <f t="shared" si="0"/>
        <v>2113907</v>
      </c>
      <c r="I5" s="189">
        <f t="shared" si="0"/>
        <v>5234144.2103000004</v>
      </c>
      <c r="J5" s="189">
        <f t="shared" si="0"/>
        <v>12320225.420664387</v>
      </c>
      <c r="K5" s="189">
        <f t="shared" si="0"/>
        <v>14567595.569831451</v>
      </c>
      <c r="L5" s="189">
        <f t="shared" si="0"/>
        <v>20075213.829655338</v>
      </c>
      <c r="M5" s="6"/>
    </row>
    <row r="6" spans="1:13" s="383" customFormat="1" x14ac:dyDescent="0.35">
      <c r="A6" s="380"/>
      <c r="B6" s="728" t="s">
        <v>10</v>
      </c>
      <c r="C6" s="729"/>
      <c r="D6" s="729"/>
      <c r="E6" s="729"/>
      <c r="F6" s="730">
        <f>F7</f>
        <v>2113907</v>
      </c>
      <c r="G6" s="730">
        <f t="shared" ref="G6:L6" si="1">G7</f>
        <v>2113907</v>
      </c>
      <c r="H6" s="730">
        <f t="shared" si="1"/>
        <v>2113907</v>
      </c>
      <c r="I6" s="730">
        <f t="shared" si="1"/>
        <v>5234144.2103000004</v>
      </c>
      <c r="J6" s="730">
        <f t="shared" si="1"/>
        <v>11298948.361664386</v>
      </c>
      <c r="K6" s="730">
        <f t="shared" si="1"/>
        <v>12650529.910831451</v>
      </c>
      <c r="L6" s="730">
        <f t="shared" si="1"/>
        <v>13804693.629655337</v>
      </c>
      <c r="M6" s="382"/>
    </row>
    <row r="7" spans="1:13" s="13" customFormat="1" x14ac:dyDescent="0.35">
      <c r="A7" s="7"/>
      <c r="B7" s="725" t="s">
        <v>11</v>
      </c>
      <c r="C7" s="726"/>
      <c r="D7" s="726"/>
      <c r="E7" s="726"/>
      <c r="F7" s="727">
        <f>F25+F49+F54+F61+F12</f>
        <v>2113907</v>
      </c>
      <c r="G7" s="727">
        <f>G25+G49+G54+G61+G12</f>
        <v>2113907</v>
      </c>
      <c r="H7" s="727">
        <f>H25+H49+H54+H61+H12</f>
        <v>2113907</v>
      </c>
      <c r="I7" s="727">
        <f>I25+I49+I54+I61+I12</f>
        <v>5234144.2103000004</v>
      </c>
      <c r="J7" s="727">
        <f>J25+J49+J54+J61+J12+J67</f>
        <v>11298948.361664386</v>
      </c>
      <c r="K7" s="727">
        <f>K25+K49+K54+K61+K12+K67</f>
        <v>12650529.910831451</v>
      </c>
      <c r="L7" s="727">
        <f>L25+L49+L54+L61+L12</f>
        <v>13804693.629655337</v>
      </c>
      <c r="M7" s="6"/>
    </row>
    <row r="8" spans="1:13" s="383" customFormat="1" x14ac:dyDescent="0.3">
      <c r="A8" s="380"/>
      <c r="B8" s="722" t="s">
        <v>12</v>
      </c>
      <c r="C8" s="723"/>
      <c r="D8" s="723"/>
      <c r="E8" s="723"/>
      <c r="F8" s="724">
        <f>F9</f>
        <v>920000</v>
      </c>
      <c r="G8" s="724">
        <f t="shared" ref="G8:L8" si="2">G9</f>
        <v>14016196</v>
      </c>
      <c r="H8" s="724">
        <f t="shared" si="2"/>
        <v>0</v>
      </c>
      <c r="I8" s="724">
        <f t="shared" si="2"/>
        <v>0</v>
      </c>
      <c r="J8" s="724">
        <f t="shared" si="2"/>
        <v>1021277.0590000001</v>
      </c>
      <c r="K8" s="724">
        <f t="shared" si="2"/>
        <v>1917065.6590000002</v>
      </c>
      <c r="L8" s="724">
        <f t="shared" si="2"/>
        <v>6270520.2000000002</v>
      </c>
      <c r="M8" s="382"/>
    </row>
    <row r="9" spans="1:13" s="13" customFormat="1" x14ac:dyDescent="0.35">
      <c r="A9" s="7"/>
      <c r="B9" s="211" t="s">
        <v>11</v>
      </c>
      <c r="C9" s="7"/>
      <c r="D9" s="7"/>
      <c r="E9" s="7"/>
      <c r="F9" s="189">
        <f>F26</f>
        <v>920000</v>
      </c>
      <c r="G9" s="189">
        <f t="shared" ref="G9:L9" si="3">G26</f>
        <v>14016196</v>
      </c>
      <c r="H9" s="189">
        <f t="shared" si="3"/>
        <v>0</v>
      </c>
      <c r="I9" s="189">
        <f t="shared" si="3"/>
        <v>0</v>
      </c>
      <c r="J9" s="189">
        <f t="shared" si="3"/>
        <v>1021277.0590000001</v>
      </c>
      <c r="K9" s="189">
        <f t="shared" si="3"/>
        <v>1917065.6590000002</v>
      </c>
      <c r="L9" s="189">
        <f t="shared" si="3"/>
        <v>6270520.2000000002</v>
      </c>
      <c r="M9" s="6"/>
    </row>
    <row r="10" spans="1:13" ht="15" customHeight="1" x14ac:dyDescent="0.3">
      <c r="A10" s="770" t="s">
        <v>13</v>
      </c>
      <c r="B10" s="770"/>
      <c r="C10" s="767" t="s">
        <v>14</v>
      </c>
      <c r="D10" s="767"/>
      <c r="E10" s="767"/>
      <c r="F10" s="767"/>
      <c r="G10" s="767"/>
      <c r="H10" s="767"/>
      <c r="I10" s="767"/>
      <c r="J10" s="767"/>
      <c r="K10" s="767"/>
      <c r="L10" s="767"/>
      <c r="M10" s="180"/>
    </row>
    <row r="11" spans="1:13" ht="15" customHeight="1" x14ac:dyDescent="0.3">
      <c r="A11" s="182"/>
      <c r="B11" s="211" t="s">
        <v>9</v>
      </c>
      <c r="C11" s="212"/>
      <c r="D11" s="213"/>
      <c r="E11" s="213"/>
      <c r="F11" s="214">
        <f>F12</f>
        <v>1625404</v>
      </c>
      <c r="G11" s="214">
        <f t="shared" ref="G11:L11" si="4">G12</f>
        <v>1625404</v>
      </c>
      <c r="H11" s="214">
        <f t="shared" si="4"/>
        <v>1625404</v>
      </c>
      <c r="I11" s="214">
        <f t="shared" si="4"/>
        <v>1358706</v>
      </c>
      <c r="J11" s="214">
        <f t="shared" si="4"/>
        <v>1388510</v>
      </c>
      <c r="K11" s="214">
        <f t="shared" si="4"/>
        <v>1418551</v>
      </c>
      <c r="L11" s="214">
        <f t="shared" si="4"/>
        <v>1418551</v>
      </c>
      <c r="M11" s="209"/>
    </row>
    <row r="12" spans="1:13" s="174" customFormat="1" ht="15" customHeight="1" x14ac:dyDescent="0.3">
      <c r="A12" s="374"/>
      <c r="B12" s="375" t="s">
        <v>10</v>
      </c>
      <c r="C12" s="376"/>
      <c r="D12" s="377"/>
      <c r="E12" s="377"/>
      <c r="F12" s="378">
        <f>SUM(F14:F19)</f>
        <v>1625404</v>
      </c>
      <c r="G12" s="378">
        <f t="shared" ref="G12:L12" si="5">SUM(G14:G19)</f>
        <v>1625404</v>
      </c>
      <c r="H12" s="378">
        <f t="shared" si="5"/>
        <v>1625404</v>
      </c>
      <c r="I12" s="378">
        <f t="shared" si="5"/>
        <v>1358706</v>
      </c>
      <c r="J12" s="378">
        <f t="shared" si="5"/>
        <v>1388510</v>
      </c>
      <c r="K12" s="378">
        <f t="shared" si="5"/>
        <v>1418551</v>
      </c>
      <c r="L12" s="378">
        <f t="shared" si="5"/>
        <v>1418551</v>
      </c>
      <c r="M12" s="379"/>
    </row>
    <row r="13" spans="1:13" ht="15.75" customHeight="1" x14ac:dyDescent="0.3">
      <c r="A13" s="182"/>
      <c r="B13" s="211" t="s">
        <v>11</v>
      </c>
      <c r="C13" s="212"/>
      <c r="D13" s="213"/>
      <c r="E13" s="213"/>
      <c r="F13" s="214">
        <f>SUM(F14:F19)</f>
        <v>1625404</v>
      </c>
      <c r="G13" s="214">
        <f t="shared" ref="G13:L13" si="6">SUM(G14:G19)</f>
        <v>1625404</v>
      </c>
      <c r="H13" s="214">
        <f t="shared" si="6"/>
        <v>1625404</v>
      </c>
      <c r="I13" s="214">
        <f t="shared" si="6"/>
        <v>1358706</v>
      </c>
      <c r="J13" s="214">
        <f t="shared" si="6"/>
        <v>1388510</v>
      </c>
      <c r="K13" s="214">
        <f t="shared" si="6"/>
        <v>1418551</v>
      </c>
      <c r="L13" s="214">
        <f t="shared" si="6"/>
        <v>1418551</v>
      </c>
      <c r="M13" s="209"/>
    </row>
    <row r="14" spans="1:13" ht="28" x14ac:dyDescent="0.3">
      <c r="A14" s="9" t="s">
        <v>15</v>
      </c>
      <c r="B14" s="552" t="s">
        <v>16</v>
      </c>
      <c r="C14" s="553" t="s">
        <v>17</v>
      </c>
      <c r="D14" s="554" t="s">
        <v>18</v>
      </c>
      <c r="E14" s="553" t="s">
        <v>19</v>
      </c>
      <c r="F14" s="555">
        <v>168082</v>
      </c>
      <c r="G14" s="555">
        <v>168082</v>
      </c>
      <c r="H14" s="555">
        <v>168082</v>
      </c>
      <c r="I14" s="555">
        <v>0</v>
      </c>
      <c r="J14" s="555">
        <v>0</v>
      </c>
      <c r="K14" s="555">
        <v>0</v>
      </c>
      <c r="L14" s="555">
        <v>0</v>
      </c>
      <c r="M14" s="556" t="s">
        <v>20</v>
      </c>
    </row>
    <row r="15" spans="1:13" ht="28" x14ac:dyDescent="0.3">
      <c r="A15" s="9" t="s">
        <v>21</v>
      </c>
      <c r="B15" s="552" t="s">
        <v>22</v>
      </c>
      <c r="C15" s="553" t="s">
        <v>17</v>
      </c>
      <c r="D15" s="554" t="s">
        <v>18</v>
      </c>
      <c r="E15" s="553" t="s">
        <v>19</v>
      </c>
      <c r="F15" s="555">
        <v>618074</v>
      </c>
      <c r="G15" s="555">
        <v>618074</v>
      </c>
      <c r="H15" s="555">
        <v>618074</v>
      </c>
      <c r="I15" s="555">
        <v>0</v>
      </c>
      <c r="J15" s="555">
        <v>0</v>
      </c>
      <c r="K15" s="555">
        <v>0</v>
      </c>
      <c r="L15" s="555">
        <v>0</v>
      </c>
      <c r="M15" s="556" t="s">
        <v>23</v>
      </c>
    </row>
    <row r="16" spans="1:13" ht="28" x14ac:dyDescent="0.3">
      <c r="A16" s="168" t="s">
        <v>24</v>
      </c>
      <c r="B16" s="557" t="s">
        <v>25</v>
      </c>
      <c r="C16" s="551" t="s">
        <v>26</v>
      </c>
      <c r="D16" s="551" t="s">
        <v>18</v>
      </c>
      <c r="E16" s="551" t="s">
        <v>19</v>
      </c>
      <c r="F16" s="558">
        <v>0</v>
      </c>
      <c r="G16" s="558">
        <v>0</v>
      </c>
      <c r="H16" s="558">
        <v>0</v>
      </c>
      <c r="I16" s="558">
        <v>0</v>
      </c>
      <c r="J16" s="559">
        <f>'1.3.'!D6</f>
        <v>29804</v>
      </c>
      <c r="K16" s="559">
        <f>'1.3.'!E6</f>
        <v>59845</v>
      </c>
      <c r="L16" s="559">
        <f>'1.3.'!F6</f>
        <v>59845</v>
      </c>
      <c r="M16" s="560" t="s">
        <v>27</v>
      </c>
    </row>
    <row r="17" spans="1:13" ht="28" x14ac:dyDescent="0.3">
      <c r="A17" s="168" t="s">
        <v>28</v>
      </c>
      <c r="B17" s="557" t="s">
        <v>29</v>
      </c>
      <c r="C17" s="551" t="s">
        <v>17</v>
      </c>
      <c r="D17" s="551" t="s">
        <v>18</v>
      </c>
      <c r="E17" s="551" t="s">
        <v>19</v>
      </c>
      <c r="F17" s="558">
        <v>839248</v>
      </c>
      <c r="G17" s="558">
        <v>839248</v>
      </c>
      <c r="H17" s="558">
        <v>839248</v>
      </c>
      <c r="I17" s="558">
        <v>1182219</v>
      </c>
      <c r="J17" s="558">
        <v>1182219</v>
      </c>
      <c r="K17" s="558">
        <v>1182219</v>
      </c>
      <c r="L17" s="558">
        <f>K17</f>
        <v>1182219</v>
      </c>
      <c r="M17" s="560" t="s">
        <v>27</v>
      </c>
    </row>
    <row r="18" spans="1:13" ht="84" x14ac:dyDescent="0.3">
      <c r="A18" s="168" t="s">
        <v>30</v>
      </c>
      <c r="B18" s="557" t="s">
        <v>31</v>
      </c>
      <c r="C18" s="551" t="s">
        <v>17</v>
      </c>
      <c r="D18" s="551" t="s">
        <v>18</v>
      </c>
      <c r="E18" s="551" t="s">
        <v>19</v>
      </c>
      <c r="F18" s="558">
        <v>0</v>
      </c>
      <c r="G18" s="558">
        <v>0</v>
      </c>
      <c r="H18" s="558">
        <v>0</v>
      </c>
      <c r="I18" s="558">
        <f>'1.5.'!C10</f>
        <v>55954</v>
      </c>
      <c r="J18" s="558">
        <f>I18</f>
        <v>55954</v>
      </c>
      <c r="K18" s="558">
        <f>J18</f>
        <v>55954</v>
      </c>
      <c r="L18" s="558">
        <f>K18</f>
        <v>55954</v>
      </c>
      <c r="M18" s="560" t="s">
        <v>27</v>
      </c>
    </row>
    <row r="19" spans="1:13" ht="28" x14ac:dyDescent="0.3">
      <c r="A19" s="168" t="s">
        <v>32</v>
      </c>
      <c r="B19" s="557" t="s">
        <v>33</v>
      </c>
      <c r="C19" s="551" t="s">
        <v>34</v>
      </c>
      <c r="D19" s="551" t="s">
        <v>18</v>
      </c>
      <c r="E19" s="551" t="s">
        <v>19</v>
      </c>
      <c r="F19" s="558">
        <v>0</v>
      </c>
      <c r="G19" s="558">
        <v>0</v>
      </c>
      <c r="H19" s="558">
        <v>0</v>
      </c>
      <c r="I19" s="558">
        <f>'1.6.'!B15</f>
        <v>120533</v>
      </c>
      <c r="J19" s="558">
        <f>I19</f>
        <v>120533</v>
      </c>
      <c r="K19" s="558">
        <f>J19</f>
        <v>120533</v>
      </c>
      <c r="L19" s="558">
        <f>K19</f>
        <v>120533</v>
      </c>
      <c r="M19" s="560" t="s">
        <v>27</v>
      </c>
    </row>
    <row r="20" spans="1:13" s="667" customFormat="1" x14ac:dyDescent="0.3">
      <c r="A20" s="660"/>
      <c r="B20" s="664" t="s">
        <v>35</v>
      </c>
      <c r="C20" s="660"/>
      <c r="D20" s="665"/>
      <c r="E20" s="665"/>
      <c r="F20" s="661"/>
      <c r="G20" s="661"/>
      <c r="H20" s="661"/>
      <c r="I20" s="661"/>
      <c r="J20" s="661"/>
      <c r="K20" s="661"/>
      <c r="L20" s="661"/>
      <c r="M20" s="666"/>
    </row>
    <row r="21" spans="1:13" s="662" customFormat="1" ht="36.75" customHeight="1" x14ac:dyDescent="0.3">
      <c r="A21" s="658" t="s">
        <v>36</v>
      </c>
      <c r="B21" s="659" t="s">
        <v>37</v>
      </c>
      <c r="C21" s="660" t="s">
        <v>38</v>
      </c>
      <c r="D21" s="782" t="s">
        <v>39</v>
      </c>
      <c r="E21" s="663"/>
      <c r="F21" s="663"/>
      <c r="G21" s="663"/>
      <c r="H21" s="663"/>
      <c r="I21" s="663"/>
      <c r="J21" s="663"/>
      <c r="K21" s="663"/>
      <c r="L21" s="663"/>
      <c r="M21" s="763" t="s">
        <v>40</v>
      </c>
    </row>
    <row r="22" spans="1:13" s="662" customFormat="1" ht="41.25" customHeight="1" x14ac:dyDescent="0.3">
      <c r="A22" s="658" t="s">
        <v>41</v>
      </c>
      <c r="B22" s="659" t="s">
        <v>42</v>
      </c>
      <c r="C22" s="660" t="s">
        <v>43</v>
      </c>
      <c r="D22" s="783"/>
      <c r="E22" s="663"/>
      <c r="F22" s="663"/>
      <c r="G22" s="663"/>
      <c r="H22" s="663"/>
      <c r="I22" s="663"/>
      <c r="J22" s="663"/>
      <c r="K22" s="663"/>
      <c r="L22" s="663"/>
      <c r="M22" s="764"/>
    </row>
    <row r="23" spans="1:13" ht="15" customHeight="1" x14ac:dyDescent="0.3">
      <c r="A23" s="770" t="s">
        <v>44</v>
      </c>
      <c r="B23" s="770"/>
      <c r="C23" s="767" t="s">
        <v>45</v>
      </c>
      <c r="D23" s="767"/>
      <c r="E23" s="767"/>
      <c r="F23" s="767"/>
      <c r="G23" s="767"/>
      <c r="H23" s="767"/>
      <c r="I23" s="767"/>
      <c r="J23" s="767"/>
      <c r="K23" s="767"/>
      <c r="L23" s="767"/>
      <c r="M23" s="180"/>
    </row>
    <row r="24" spans="1:13" ht="15" customHeight="1" x14ac:dyDescent="0.3">
      <c r="A24" s="182"/>
      <c r="B24" s="211" t="s">
        <v>46</v>
      </c>
      <c r="C24" s="212"/>
      <c r="D24" s="213"/>
      <c r="E24" s="213"/>
      <c r="F24" s="214">
        <f>F25+F26</f>
        <v>1408503</v>
      </c>
      <c r="G24" s="214">
        <f>G25+G26</f>
        <v>14504699</v>
      </c>
      <c r="H24" s="214">
        <f>H25+H26</f>
        <v>488503</v>
      </c>
      <c r="I24" s="214">
        <f t="shared" ref="I24:L24" si="7">I25+I26</f>
        <v>193782</v>
      </c>
      <c r="J24" s="214">
        <f t="shared" si="7"/>
        <v>4061189.4206643868</v>
      </c>
      <c r="K24" s="214">
        <f t="shared" si="7"/>
        <v>5187642.4342790442</v>
      </c>
      <c r="L24" s="214">
        <f t="shared" si="7"/>
        <v>9855342.8296553381</v>
      </c>
      <c r="M24" s="180"/>
    </row>
    <row r="25" spans="1:13" s="174" customFormat="1" ht="15" customHeight="1" x14ac:dyDescent="0.3">
      <c r="A25" s="374"/>
      <c r="B25" s="375" t="s">
        <v>10</v>
      </c>
      <c r="C25" s="376"/>
      <c r="D25" s="377"/>
      <c r="E25" s="377"/>
      <c r="F25" s="378">
        <f t="shared" ref="F25:L25" si="8">F28+F29+F30+F31+F32+F33+F37+F41+F42+F43+F34+F44</f>
        <v>488503</v>
      </c>
      <c r="G25" s="378">
        <f t="shared" si="8"/>
        <v>488503</v>
      </c>
      <c r="H25" s="378">
        <f t="shared" si="8"/>
        <v>488503</v>
      </c>
      <c r="I25" s="378">
        <f t="shared" si="8"/>
        <v>193782</v>
      </c>
      <c r="J25" s="378">
        <f t="shared" si="8"/>
        <v>3039912.3616643865</v>
      </c>
      <c r="K25" s="700">
        <f t="shared" si="8"/>
        <v>3270576.7752790437</v>
      </c>
      <c r="L25" s="700">
        <f t="shared" si="8"/>
        <v>3584822.629655337</v>
      </c>
      <c r="M25" s="378"/>
    </row>
    <row r="26" spans="1:13" s="383" customFormat="1" x14ac:dyDescent="0.3">
      <c r="A26" s="447"/>
      <c r="B26" s="448" t="s">
        <v>12</v>
      </c>
      <c r="C26" s="447"/>
      <c r="D26" s="380"/>
      <c r="E26" s="380"/>
      <c r="F26" s="381">
        <f t="shared" ref="F26:L26" si="9">F36+F38</f>
        <v>920000</v>
      </c>
      <c r="G26" s="381">
        <f t="shared" si="9"/>
        <v>14016196</v>
      </c>
      <c r="H26" s="381">
        <f t="shared" si="9"/>
        <v>0</v>
      </c>
      <c r="I26" s="381">
        <f t="shared" si="9"/>
        <v>0</v>
      </c>
      <c r="J26" s="381">
        <f t="shared" si="9"/>
        <v>1021277.0590000001</v>
      </c>
      <c r="K26" s="381">
        <f t="shared" si="9"/>
        <v>1917065.6590000002</v>
      </c>
      <c r="L26" s="381">
        <f t="shared" si="9"/>
        <v>6270520.2000000002</v>
      </c>
      <c r="M26" s="382"/>
    </row>
    <row r="27" spans="1:13" s="12" customFormat="1" ht="28" x14ac:dyDescent="0.3">
      <c r="A27" s="449" t="s">
        <v>47</v>
      </c>
      <c r="B27" s="561" t="s">
        <v>48</v>
      </c>
      <c r="C27" s="485" t="s">
        <v>34</v>
      </c>
      <c r="D27" s="450" t="s">
        <v>18</v>
      </c>
      <c r="E27" s="9"/>
      <c r="F27" s="5">
        <f>F28+F29</f>
        <v>488503</v>
      </c>
      <c r="G27" s="5">
        <f t="shared" ref="G27:L27" si="10">G28+G29</f>
        <v>488503</v>
      </c>
      <c r="H27" s="5">
        <f t="shared" si="10"/>
        <v>488503</v>
      </c>
      <c r="I27" s="5">
        <f t="shared" si="10"/>
        <v>0</v>
      </c>
      <c r="J27" s="5">
        <f t="shared" si="10"/>
        <v>0</v>
      </c>
      <c r="K27" s="5">
        <f t="shared" si="10"/>
        <v>0</v>
      </c>
      <c r="L27" s="5">
        <f t="shared" si="10"/>
        <v>0</v>
      </c>
      <c r="M27" s="180"/>
    </row>
    <row r="28" spans="1:13" ht="28" x14ac:dyDescent="0.3">
      <c r="A28" s="453"/>
      <c r="B28" s="453"/>
      <c r="C28" s="449"/>
      <c r="D28" s="454" t="s">
        <v>18</v>
      </c>
      <c r="E28" s="451" t="s">
        <v>49</v>
      </c>
      <c r="F28" s="438">
        <v>390142</v>
      </c>
      <c r="G28" s="438">
        <v>390142</v>
      </c>
      <c r="H28" s="438">
        <v>390142</v>
      </c>
      <c r="I28" s="384">
        <v>0</v>
      </c>
      <c r="J28" s="384">
        <v>0</v>
      </c>
      <c r="K28" s="384">
        <v>0</v>
      </c>
      <c r="L28" s="384">
        <v>0</v>
      </c>
      <c r="M28" s="522" t="s">
        <v>50</v>
      </c>
    </row>
    <row r="29" spans="1:13" ht="42" x14ac:dyDescent="0.3">
      <c r="A29" s="453"/>
      <c r="B29" s="453"/>
      <c r="C29" s="449"/>
      <c r="D29" s="454" t="s">
        <v>18</v>
      </c>
      <c r="E29" s="451" t="s">
        <v>19</v>
      </c>
      <c r="F29" s="438">
        <v>98361</v>
      </c>
      <c r="G29" s="438">
        <v>98361</v>
      </c>
      <c r="H29" s="438">
        <v>98361</v>
      </c>
      <c r="I29" s="384">
        <v>0</v>
      </c>
      <c r="J29" s="384">
        <v>0</v>
      </c>
      <c r="K29" s="384">
        <v>0</v>
      </c>
      <c r="L29" s="384">
        <v>0</v>
      </c>
      <c r="M29" s="522" t="s">
        <v>51</v>
      </c>
    </row>
    <row r="30" spans="1:13" ht="28" x14ac:dyDescent="0.3">
      <c r="A30" s="452" t="s">
        <v>52</v>
      </c>
      <c r="B30" s="562" t="s">
        <v>53</v>
      </c>
      <c r="C30" s="563" t="s">
        <v>54</v>
      </c>
      <c r="D30" s="168" t="s">
        <v>18</v>
      </c>
      <c r="E30" s="168" t="s">
        <v>19</v>
      </c>
      <c r="F30" s="169">
        <v>0</v>
      </c>
      <c r="G30" s="169">
        <v>0</v>
      </c>
      <c r="H30" s="169">
        <v>0</v>
      </c>
      <c r="I30" s="558">
        <v>0</v>
      </c>
      <c r="J30" s="558">
        <f>'2.2.'!A8</f>
        <v>2536865</v>
      </c>
      <c r="K30" s="558">
        <f>'2.2.'!B8</f>
        <v>2536865</v>
      </c>
      <c r="L30" s="558">
        <f>K30</f>
        <v>2536865</v>
      </c>
      <c r="M30" s="560" t="s">
        <v>27</v>
      </c>
    </row>
    <row r="31" spans="1:13" ht="28" x14ac:dyDescent="0.3">
      <c r="A31" s="168" t="s">
        <v>55</v>
      </c>
      <c r="B31" s="557" t="s">
        <v>56</v>
      </c>
      <c r="C31" s="551" t="s">
        <v>57</v>
      </c>
      <c r="D31" s="168" t="s">
        <v>18</v>
      </c>
      <c r="E31" s="168" t="s">
        <v>19</v>
      </c>
      <c r="F31" s="169">
        <v>0</v>
      </c>
      <c r="G31" s="169">
        <v>0</v>
      </c>
      <c r="H31" s="169">
        <v>0</v>
      </c>
      <c r="I31" s="558">
        <v>0</v>
      </c>
      <c r="J31" s="558">
        <f>'2.3.'!F10</f>
        <v>1265.3264999999999</v>
      </c>
      <c r="K31" s="558">
        <f>J31</f>
        <v>1265.3264999999999</v>
      </c>
      <c r="L31" s="558">
        <f>K31</f>
        <v>1265.3264999999999</v>
      </c>
      <c r="M31" s="560" t="s">
        <v>27</v>
      </c>
    </row>
    <row r="32" spans="1:13" ht="28" x14ac:dyDescent="0.3">
      <c r="A32" s="168" t="s">
        <v>58</v>
      </c>
      <c r="B32" s="564" t="s">
        <v>59</v>
      </c>
      <c r="C32" s="551" t="s">
        <v>57</v>
      </c>
      <c r="D32" s="168" t="s">
        <v>18</v>
      </c>
      <c r="E32" s="168" t="s">
        <v>19</v>
      </c>
      <c r="F32" s="169">
        <v>0</v>
      </c>
      <c r="G32" s="169">
        <v>0</v>
      </c>
      <c r="H32" s="169">
        <v>0</v>
      </c>
      <c r="I32" s="558">
        <v>0</v>
      </c>
      <c r="J32" s="558">
        <f>'2.4.'!D9</f>
        <v>32529.850237253602</v>
      </c>
      <c r="K32" s="558">
        <f>'2.4.'!E9</f>
        <v>65059.700474507204</v>
      </c>
      <c r="L32" s="558">
        <f>K32</f>
        <v>65059.700474507204</v>
      </c>
      <c r="M32" s="560" t="s">
        <v>27</v>
      </c>
    </row>
    <row r="33" spans="1:13" ht="28" x14ac:dyDescent="0.3">
      <c r="A33" s="777" t="s">
        <v>60</v>
      </c>
      <c r="B33" s="771" t="s">
        <v>61</v>
      </c>
      <c r="C33" s="551" t="s">
        <v>62</v>
      </c>
      <c r="D33" s="168" t="s">
        <v>18</v>
      </c>
      <c r="E33" s="168" t="s">
        <v>19</v>
      </c>
      <c r="F33" s="169">
        <v>0</v>
      </c>
      <c r="G33" s="169">
        <v>0</v>
      </c>
      <c r="H33" s="169">
        <v>0</v>
      </c>
      <c r="I33" s="558">
        <v>0</v>
      </c>
      <c r="J33" s="558">
        <f>'2.5.'!G12</f>
        <v>46645.181527133325</v>
      </c>
      <c r="K33" s="558">
        <f>'2.5.'!I12</f>
        <v>47109.767535143576</v>
      </c>
      <c r="L33" s="558">
        <f>K33</f>
        <v>47109.767535143576</v>
      </c>
      <c r="M33" s="560" t="s">
        <v>27</v>
      </c>
    </row>
    <row r="34" spans="1:13" ht="28" x14ac:dyDescent="0.3">
      <c r="A34" s="778"/>
      <c r="B34" s="772"/>
      <c r="C34" s="551" t="s">
        <v>62</v>
      </c>
      <c r="D34" s="168" t="s">
        <v>18</v>
      </c>
      <c r="E34" s="168" t="s">
        <v>63</v>
      </c>
      <c r="F34" s="169">
        <v>0</v>
      </c>
      <c r="G34" s="169">
        <v>0</v>
      </c>
      <c r="H34" s="169">
        <v>0</v>
      </c>
      <c r="I34" s="558">
        <v>0</v>
      </c>
      <c r="J34" s="558">
        <f>'2.5.'!D7</f>
        <v>10000</v>
      </c>
      <c r="K34" s="558">
        <f>'2.5.'!E7</f>
        <v>10000</v>
      </c>
      <c r="L34" s="558">
        <f>'2.5.'!F7</f>
        <v>10000</v>
      </c>
      <c r="M34" s="560" t="s">
        <v>27</v>
      </c>
    </row>
    <row r="35" spans="1:13" s="167" customFormat="1" ht="28" x14ac:dyDescent="0.3">
      <c r="A35" s="551" t="s">
        <v>64</v>
      </c>
      <c r="B35" s="564" t="s">
        <v>65</v>
      </c>
      <c r="C35" s="551" t="s">
        <v>57</v>
      </c>
      <c r="D35" s="550"/>
      <c r="E35" s="550"/>
      <c r="F35" s="170">
        <v>0</v>
      </c>
      <c r="G35" s="170">
        <v>0</v>
      </c>
      <c r="H35" s="170">
        <v>0</v>
      </c>
      <c r="I35" s="170">
        <v>0</v>
      </c>
      <c r="J35" s="558">
        <f>J36+J37</f>
        <v>125488.45899999999</v>
      </c>
      <c r="K35" s="558">
        <f t="shared" ref="K35:L35" si="11">K36+K37</f>
        <v>125488.45899999999</v>
      </c>
      <c r="L35" s="558">
        <f t="shared" si="11"/>
        <v>116576.34</v>
      </c>
      <c r="M35" s="560"/>
    </row>
    <row r="36" spans="1:13" s="388" customFormat="1" x14ac:dyDescent="0.3">
      <c r="A36" s="711"/>
      <c r="B36" s="712"/>
      <c r="C36" s="711"/>
      <c r="D36" s="713" t="s">
        <v>66</v>
      </c>
      <c r="E36" s="756" t="s">
        <v>694</v>
      </c>
      <c r="F36" s="714">
        <v>0</v>
      </c>
      <c r="G36" s="714">
        <v>0</v>
      </c>
      <c r="H36" s="714">
        <v>0</v>
      </c>
      <c r="I36" s="714">
        <v>0</v>
      </c>
      <c r="J36" s="715">
        <f>'2.6.'!D7</f>
        <v>125488.45899999999</v>
      </c>
      <c r="K36" s="715">
        <f>'2.6.'!E7</f>
        <v>125488.45899999999</v>
      </c>
      <c r="L36" s="715">
        <v>0</v>
      </c>
      <c r="M36" s="716"/>
    </row>
    <row r="37" spans="1:13" s="351" customFormat="1" ht="28" x14ac:dyDescent="0.3">
      <c r="A37" s="186"/>
      <c r="B37" s="350"/>
      <c r="C37" s="186"/>
      <c r="D37" s="186" t="s">
        <v>18</v>
      </c>
      <c r="E37" s="168" t="s">
        <v>19</v>
      </c>
      <c r="F37" s="187">
        <v>0</v>
      </c>
      <c r="G37" s="187">
        <v>0</v>
      </c>
      <c r="H37" s="187">
        <v>0</v>
      </c>
      <c r="I37" s="187">
        <v>0</v>
      </c>
      <c r="J37" s="710">
        <v>0</v>
      </c>
      <c r="K37" s="710">
        <v>0</v>
      </c>
      <c r="L37" s="710">
        <f>'2.6.'!F8</f>
        <v>116576.34</v>
      </c>
      <c r="M37" s="560" t="s">
        <v>27</v>
      </c>
    </row>
    <row r="38" spans="1:13" ht="42" x14ac:dyDescent="0.3">
      <c r="A38" s="717" t="s">
        <v>67</v>
      </c>
      <c r="B38" s="718" t="s">
        <v>68</v>
      </c>
      <c r="C38" s="717" t="s">
        <v>69</v>
      </c>
      <c r="D38" s="719" t="s">
        <v>70</v>
      </c>
      <c r="E38" s="717" t="s">
        <v>695</v>
      </c>
      <c r="F38" s="720">
        <f>F39+F40</f>
        <v>920000</v>
      </c>
      <c r="G38" s="720">
        <f t="shared" ref="G38:L38" si="12">G39+G40</f>
        <v>14016196</v>
      </c>
      <c r="H38" s="720">
        <f t="shared" si="12"/>
        <v>0</v>
      </c>
      <c r="I38" s="720">
        <f t="shared" si="12"/>
        <v>0</v>
      </c>
      <c r="J38" s="720">
        <f t="shared" si="12"/>
        <v>895788.60000000009</v>
      </c>
      <c r="K38" s="720">
        <f t="shared" si="12"/>
        <v>1791577.2000000002</v>
      </c>
      <c r="L38" s="720">
        <f t="shared" si="12"/>
        <v>6270520.2000000002</v>
      </c>
      <c r="M38" s="721"/>
    </row>
    <row r="39" spans="1:13" ht="98" x14ac:dyDescent="0.3">
      <c r="A39" s="717"/>
      <c r="B39" s="717"/>
      <c r="C39" s="717" t="s">
        <v>69</v>
      </c>
      <c r="D39" s="717" t="s">
        <v>71</v>
      </c>
      <c r="E39" s="756" t="s">
        <v>696</v>
      </c>
      <c r="F39" s="720">
        <v>920000</v>
      </c>
      <c r="G39" s="720">
        <v>14016196</v>
      </c>
      <c r="H39" s="714">
        <v>0</v>
      </c>
      <c r="I39" s="720">
        <v>0</v>
      </c>
      <c r="J39" s="720">
        <v>0</v>
      </c>
      <c r="K39" s="720">
        <v>0</v>
      </c>
      <c r="L39" s="720">
        <v>0</v>
      </c>
      <c r="M39" s="721"/>
    </row>
    <row r="40" spans="1:13" ht="70" x14ac:dyDescent="0.3">
      <c r="A40" s="717"/>
      <c r="B40" s="717"/>
      <c r="C40" s="717" t="s">
        <v>72</v>
      </c>
      <c r="D40" s="717" t="s">
        <v>693</v>
      </c>
      <c r="E40" s="756" t="s">
        <v>695</v>
      </c>
      <c r="F40" s="714">
        <v>0</v>
      </c>
      <c r="G40" s="714">
        <v>0</v>
      </c>
      <c r="H40" s="714">
        <v>0</v>
      </c>
      <c r="I40" s="720">
        <v>0</v>
      </c>
      <c r="J40" s="720">
        <f>8957886*10%</f>
        <v>895788.60000000009</v>
      </c>
      <c r="K40" s="715">
        <f>8957886*20%</f>
        <v>1791577.2000000002</v>
      </c>
      <c r="L40" s="720">
        <f>8957886-J40-K40</f>
        <v>6270520.2000000002</v>
      </c>
      <c r="M40" s="721"/>
    </row>
    <row r="41" spans="1:13" s="167" customFormat="1" ht="28" x14ac:dyDescent="0.3">
      <c r="A41" s="551" t="s">
        <v>73</v>
      </c>
      <c r="B41" s="564" t="s">
        <v>74</v>
      </c>
      <c r="C41" s="551" t="s">
        <v>17</v>
      </c>
      <c r="D41" s="168" t="s">
        <v>18</v>
      </c>
      <c r="E41" s="168" t="s">
        <v>19</v>
      </c>
      <c r="F41" s="169">
        <v>0</v>
      </c>
      <c r="G41" s="169">
        <v>0</v>
      </c>
      <c r="H41" s="386">
        <v>0</v>
      </c>
      <c r="I41" s="386">
        <f>'2.8.'!B10</f>
        <v>15249</v>
      </c>
      <c r="J41" s="386">
        <f>'2.8.'!C10</f>
        <v>24398.399999999998</v>
      </c>
      <c r="K41" s="386">
        <f>'2.8.'!D10</f>
        <v>24398</v>
      </c>
      <c r="L41" s="386">
        <f>K41</f>
        <v>24398</v>
      </c>
      <c r="M41" s="560" t="s">
        <v>27</v>
      </c>
    </row>
    <row r="42" spans="1:13" ht="28" x14ac:dyDescent="0.3">
      <c r="A42" s="385" t="s">
        <v>75</v>
      </c>
      <c r="B42" s="609" t="s">
        <v>76</v>
      </c>
      <c r="C42" s="610" t="s">
        <v>77</v>
      </c>
      <c r="D42" s="385" t="s">
        <v>18</v>
      </c>
      <c r="E42" s="385" t="s">
        <v>19</v>
      </c>
      <c r="F42" s="386">
        <v>0</v>
      </c>
      <c r="G42" s="386">
        <v>0</v>
      </c>
      <c r="H42" s="386">
        <v>0</v>
      </c>
      <c r="I42" s="386"/>
      <c r="J42" s="387">
        <v>9879</v>
      </c>
      <c r="K42" s="387">
        <v>9879</v>
      </c>
      <c r="L42" s="387">
        <v>9879</v>
      </c>
      <c r="M42" s="560" t="s">
        <v>27</v>
      </c>
    </row>
    <row r="43" spans="1:13" ht="28" x14ac:dyDescent="0.3">
      <c r="A43" s="168" t="s">
        <v>78</v>
      </c>
      <c r="B43" s="564" t="s">
        <v>79</v>
      </c>
      <c r="C43" s="551" t="s">
        <v>80</v>
      </c>
      <c r="D43" s="168" t="s">
        <v>18</v>
      </c>
      <c r="E43" s="168" t="s">
        <v>19</v>
      </c>
      <c r="F43" s="169">
        <v>0</v>
      </c>
      <c r="G43" s="169">
        <v>0</v>
      </c>
      <c r="H43" s="169">
        <v>0</v>
      </c>
      <c r="I43" s="170">
        <f>'2.10.'!C5</f>
        <v>178533</v>
      </c>
      <c r="J43" s="170">
        <f>'2.10.'!D5</f>
        <v>378329.60340000002</v>
      </c>
      <c r="K43" s="170">
        <f>'2.10.'!E5</f>
        <v>378329.60340000002</v>
      </c>
      <c r="L43" s="170">
        <f>'2.10.'!F5</f>
        <v>378329.60340000002</v>
      </c>
      <c r="M43" s="560" t="s">
        <v>27</v>
      </c>
    </row>
    <row r="44" spans="1:13" s="611" customFormat="1" ht="28" x14ac:dyDescent="0.3">
      <c r="A44" s="551" t="s">
        <v>81</v>
      </c>
      <c r="B44" s="557" t="s">
        <v>82</v>
      </c>
      <c r="C44" s="551" t="s">
        <v>83</v>
      </c>
      <c r="D44" s="551" t="s">
        <v>18</v>
      </c>
      <c r="E44" s="551"/>
      <c r="F44" s="558">
        <f>F45+F46</f>
        <v>0</v>
      </c>
      <c r="G44" s="558">
        <f t="shared" ref="G44:L44" si="13">G45+G46</f>
        <v>0</v>
      </c>
      <c r="H44" s="558">
        <f t="shared" si="13"/>
        <v>0</v>
      </c>
      <c r="I44" s="558">
        <f t="shared" si="13"/>
        <v>0</v>
      </c>
      <c r="J44" s="558">
        <f t="shared" si="13"/>
        <v>0</v>
      </c>
      <c r="K44" s="558">
        <f t="shared" si="13"/>
        <v>197670.37736939295</v>
      </c>
      <c r="L44" s="558">
        <f t="shared" si="13"/>
        <v>395339.89174568641</v>
      </c>
      <c r="M44" s="560"/>
    </row>
    <row r="45" spans="1:13" s="174" customFormat="1" ht="28" x14ac:dyDescent="0.3">
      <c r="A45" s="184"/>
      <c r="B45" s="185"/>
      <c r="C45" s="186"/>
      <c r="D45" s="186" t="s">
        <v>18</v>
      </c>
      <c r="E45" s="186" t="s">
        <v>84</v>
      </c>
      <c r="F45" s="187">
        <v>0</v>
      </c>
      <c r="G45" s="187">
        <v>0</v>
      </c>
      <c r="H45" s="187">
        <v>0</v>
      </c>
      <c r="I45" s="188">
        <v>0</v>
      </c>
      <c r="J45" s="188">
        <v>0</v>
      </c>
      <c r="K45" s="188">
        <f>'2.11.'!C6</f>
        <v>75962.945872843222</v>
      </c>
      <c r="L45" s="188">
        <f>'2.11.'!D6</f>
        <v>151925.89174568644</v>
      </c>
      <c r="M45" s="560" t="s">
        <v>27</v>
      </c>
    </row>
    <row r="46" spans="1:13" s="174" customFormat="1" ht="28" x14ac:dyDescent="0.3">
      <c r="A46" s="184"/>
      <c r="B46" s="185"/>
      <c r="C46" s="186"/>
      <c r="D46" s="186" t="s">
        <v>18</v>
      </c>
      <c r="E46" s="186" t="s">
        <v>19</v>
      </c>
      <c r="F46" s="187">
        <v>0</v>
      </c>
      <c r="G46" s="187">
        <v>0</v>
      </c>
      <c r="H46" s="187">
        <v>0</v>
      </c>
      <c r="I46" s="188">
        <v>0</v>
      </c>
      <c r="J46" s="188">
        <v>0</v>
      </c>
      <c r="K46" s="188">
        <f>'2.11.'!C7</f>
        <v>121707.43149654975</v>
      </c>
      <c r="L46" s="188">
        <f>'2.11.'!D7</f>
        <v>243414</v>
      </c>
      <c r="M46" s="560" t="s">
        <v>27</v>
      </c>
    </row>
    <row r="47" spans="1:13" ht="15" customHeight="1" x14ac:dyDescent="0.3">
      <c r="A47" s="770" t="s">
        <v>85</v>
      </c>
      <c r="B47" s="770"/>
      <c r="C47" s="767" t="s">
        <v>86</v>
      </c>
      <c r="D47" s="767"/>
      <c r="E47" s="767"/>
      <c r="F47" s="767"/>
      <c r="G47" s="767"/>
      <c r="H47" s="767"/>
      <c r="I47" s="767"/>
      <c r="J47" s="767"/>
      <c r="K47" s="767"/>
      <c r="L47" s="767"/>
      <c r="M47" s="180"/>
    </row>
    <row r="48" spans="1:13" ht="15" customHeight="1" x14ac:dyDescent="0.3">
      <c r="A48" s="182"/>
      <c r="B48" s="211" t="s">
        <v>46</v>
      </c>
      <c r="C48" s="212"/>
      <c r="D48" s="213"/>
      <c r="E48" s="213"/>
      <c r="F48" s="214">
        <f>F49</f>
        <v>0</v>
      </c>
      <c r="G48" s="214">
        <f t="shared" ref="G48:L48" si="14">G49</f>
        <v>0</v>
      </c>
      <c r="H48" s="214">
        <f t="shared" si="14"/>
        <v>0</v>
      </c>
      <c r="I48" s="214">
        <f t="shared" si="14"/>
        <v>0</v>
      </c>
      <c r="J48" s="214">
        <f t="shared" si="14"/>
        <v>0</v>
      </c>
      <c r="K48" s="214">
        <f t="shared" si="14"/>
        <v>856594.13555240794</v>
      </c>
      <c r="L48" s="214">
        <f t="shared" si="14"/>
        <v>1721512</v>
      </c>
      <c r="M48" s="180"/>
    </row>
    <row r="49" spans="1:13" s="174" customFormat="1" ht="15" customHeight="1" x14ac:dyDescent="0.3">
      <c r="A49" s="374"/>
      <c r="B49" s="375" t="s">
        <v>10</v>
      </c>
      <c r="C49" s="376"/>
      <c r="D49" s="377"/>
      <c r="E49" s="377"/>
      <c r="F49" s="378">
        <f>F50+F51</f>
        <v>0</v>
      </c>
      <c r="G49" s="378">
        <f t="shared" ref="G49:L49" si="15">G50+G51</f>
        <v>0</v>
      </c>
      <c r="H49" s="378">
        <f t="shared" si="15"/>
        <v>0</v>
      </c>
      <c r="I49" s="378">
        <f t="shared" si="15"/>
        <v>0</v>
      </c>
      <c r="J49" s="378">
        <f t="shared" si="15"/>
        <v>0</v>
      </c>
      <c r="K49" s="378">
        <f t="shared" si="15"/>
        <v>856594.13555240794</v>
      </c>
      <c r="L49" s="378">
        <f t="shared" si="15"/>
        <v>1721512</v>
      </c>
      <c r="M49" s="379"/>
    </row>
    <row r="50" spans="1:13" s="611" customFormat="1" ht="28" x14ac:dyDescent="0.3">
      <c r="A50" s="551" t="s">
        <v>87</v>
      </c>
      <c r="B50" s="557" t="s">
        <v>88</v>
      </c>
      <c r="C50" s="551" t="s">
        <v>83</v>
      </c>
      <c r="D50" s="551" t="s">
        <v>18</v>
      </c>
      <c r="E50" s="549" t="s">
        <v>89</v>
      </c>
      <c r="F50" s="558">
        <v>0</v>
      </c>
      <c r="G50" s="558">
        <v>0</v>
      </c>
      <c r="H50" s="558">
        <v>0</v>
      </c>
      <c r="I50" s="558">
        <v>0</v>
      </c>
      <c r="J50" s="558">
        <v>0</v>
      </c>
      <c r="K50" s="558">
        <f>'3.1.'!C6</f>
        <v>489775</v>
      </c>
      <c r="L50" s="558">
        <f>'3.1.'!D6</f>
        <v>987874</v>
      </c>
      <c r="M50" s="560" t="s">
        <v>27</v>
      </c>
    </row>
    <row r="51" spans="1:13" ht="43.5" customHeight="1" x14ac:dyDescent="0.3">
      <c r="A51" s="551" t="s">
        <v>90</v>
      </c>
      <c r="B51" s="557" t="s">
        <v>91</v>
      </c>
      <c r="C51" s="551" t="s">
        <v>43</v>
      </c>
      <c r="D51" s="168" t="s">
        <v>18</v>
      </c>
      <c r="E51" s="168" t="s">
        <v>89</v>
      </c>
      <c r="F51" s="170">
        <v>0</v>
      </c>
      <c r="G51" s="170">
        <v>0</v>
      </c>
      <c r="H51" s="170">
        <v>0</v>
      </c>
      <c r="I51" s="170">
        <v>0</v>
      </c>
      <c r="J51" s="170">
        <v>0</v>
      </c>
      <c r="K51" s="170">
        <f>'3.2.'!F11</f>
        <v>366819.13555240794</v>
      </c>
      <c r="L51" s="170">
        <f>'3.2.'!G11</f>
        <v>733638</v>
      </c>
      <c r="M51" s="560" t="s">
        <v>27</v>
      </c>
    </row>
    <row r="52" spans="1:13" ht="15" customHeight="1" x14ac:dyDescent="0.3">
      <c r="A52" s="770" t="s">
        <v>92</v>
      </c>
      <c r="B52" s="770"/>
      <c r="C52" s="767" t="s">
        <v>93</v>
      </c>
      <c r="D52" s="767"/>
      <c r="E52" s="767"/>
      <c r="F52" s="767"/>
      <c r="G52" s="767"/>
      <c r="H52" s="767"/>
      <c r="I52" s="767"/>
      <c r="J52" s="767"/>
      <c r="K52" s="767"/>
      <c r="L52" s="767"/>
      <c r="M52" s="180"/>
    </row>
    <row r="53" spans="1:13" ht="15" customHeight="1" x14ac:dyDescent="0.3">
      <c r="A53" s="182"/>
      <c r="B53" s="211" t="s">
        <v>46</v>
      </c>
      <c r="C53" s="212"/>
      <c r="D53" s="213"/>
      <c r="E53" s="213"/>
      <c r="F53" s="214">
        <f>F54</f>
        <v>0</v>
      </c>
      <c r="G53" s="214">
        <f t="shared" ref="G53:L53" si="16">G54</f>
        <v>0</v>
      </c>
      <c r="H53" s="214">
        <f t="shared" si="16"/>
        <v>0</v>
      </c>
      <c r="I53" s="214">
        <f t="shared" si="16"/>
        <v>466577</v>
      </c>
      <c r="J53" s="214">
        <f>J54</f>
        <v>1566577</v>
      </c>
      <c r="K53" s="214">
        <f t="shared" si="16"/>
        <v>866577</v>
      </c>
      <c r="L53" s="214">
        <f t="shared" si="16"/>
        <v>866577</v>
      </c>
      <c r="M53" s="180"/>
    </row>
    <row r="54" spans="1:13" s="174" customFormat="1" ht="15" customHeight="1" x14ac:dyDescent="0.3">
      <c r="A54" s="374"/>
      <c r="B54" s="375" t="s">
        <v>10</v>
      </c>
      <c r="C54" s="376"/>
      <c r="D54" s="377"/>
      <c r="E54" s="377"/>
      <c r="F54" s="378">
        <f>F55+F56+F57+F58</f>
        <v>0</v>
      </c>
      <c r="G54" s="378">
        <f t="shared" ref="G54:L54" si="17">G55+G56+G57+G58</f>
        <v>0</v>
      </c>
      <c r="H54" s="378">
        <f t="shared" si="17"/>
        <v>0</v>
      </c>
      <c r="I54" s="378">
        <f t="shared" si="17"/>
        <v>466577</v>
      </c>
      <c r="J54" s="378">
        <f t="shared" si="17"/>
        <v>1566577</v>
      </c>
      <c r="K54" s="378">
        <f t="shared" si="17"/>
        <v>866577</v>
      </c>
      <c r="L54" s="378">
        <f t="shared" si="17"/>
        <v>866577</v>
      </c>
      <c r="M54" s="379"/>
    </row>
    <row r="55" spans="1:13" s="348" customFormat="1" ht="28" x14ac:dyDescent="0.3">
      <c r="A55" s="551" t="s">
        <v>94</v>
      </c>
      <c r="B55" s="557" t="s">
        <v>95</v>
      </c>
      <c r="C55" s="551" t="s">
        <v>54</v>
      </c>
      <c r="D55" s="168" t="s">
        <v>18</v>
      </c>
      <c r="E55" s="168" t="s">
        <v>96</v>
      </c>
      <c r="F55" s="169">
        <v>0</v>
      </c>
      <c r="G55" s="169">
        <v>0</v>
      </c>
      <c r="H55" s="169">
        <v>0</v>
      </c>
      <c r="I55" s="169">
        <v>0</v>
      </c>
      <c r="J55" s="169">
        <f>'4.1.'!H12</f>
        <v>100000</v>
      </c>
      <c r="K55" s="169">
        <f>'4.1.'!I12</f>
        <v>200000</v>
      </c>
      <c r="L55" s="169">
        <f>K55</f>
        <v>200000</v>
      </c>
      <c r="M55" s="560" t="s">
        <v>27</v>
      </c>
    </row>
    <row r="56" spans="1:13" ht="28" x14ac:dyDescent="0.3">
      <c r="A56" s="554" t="s">
        <v>97</v>
      </c>
      <c r="B56" s="652" t="s">
        <v>98</v>
      </c>
      <c r="C56" s="554" t="s">
        <v>99</v>
      </c>
      <c r="D56" s="172"/>
      <c r="E56" s="172"/>
      <c r="F56" s="173">
        <v>0</v>
      </c>
      <c r="G56" s="173">
        <v>0</v>
      </c>
      <c r="H56" s="173">
        <v>0</v>
      </c>
      <c r="I56" s="5">
        <v>0</v>
      </c>
      <c r="J56" s="5">
        <v>0</v>
      </c>
      <c r="K56" s="5">
        <v>0</v>
      </c>
      <c r="L56" s="5">
        <v>0</v>
      </c>
      <c r="M56" s="180" t="s">
        <v>100</v>
      </c>
    </row>
    <row r="57" spans="1:13" ht="70" x14ac:dyDescent="0.3">
      <c r="A57" s="551" t="s">
        <v>101</v>
      </c>
      <c r="B57" s="557" t="s">
        <v>102</v>
      </c>
      <c r="C57" s="168" t="s">
        <v>103</v>
      </c>
      <c r="D57" s="168" t="s">
        <v>18</v>
      </c>
      <c r="E57" s="168" t="s">
        <v>104</v>
      </c>
      <c r="F57" s="169">
        <v>0</v>
      </c>
      <c r="G57" s="169">
        <v>0</v>
      </c>
      <c r="H57" s="169">
        <v>0</v>
      </c>
      <c r="I57" s="170">
        <v>0</v>
      </c>
      <c r="J57" s="170">
        <f>'4.3.'!B13</f>
        <v>1000000</v>
      </c>
      <c r="K57" s="170">
        <f>'4.3.'!B15</f>
        <v>200000</v>
      </c>
      <c r="L57" s="170">
        <f>K57</f>
        <v>200000</v>
      </c>
      <c r="M57" s="560" t="s">
        <v>27</v>
      </c>
    </row>
    <row r="58" spans="1:13" s="348" customFormat="1" ht="42" x14ac:dyDescent="0.3">
      <c r="A58" s="610" t="s">
        <v>105</v>
      </c>
      <c r="B58" s="609" t="s">
        <v>106</v>
      </c>
      <c r="C58" s="385" t="s">
        <v>34</v>
      </c>
      <c r="D58" s="385" t="s">
        <v>18</v>
      </c>
      <c r="E58" s="385" t="s">
        <v>89</v>
      </c>
      <c r="F58" s="385">
        <v>0</v>
      </c>
      <c r="G58" s="385">
        <v>0</v>
      </c>
      <c r="H58" s="385">
        <v>0</v>
      </c>
      <c r="I58" s="386">
        <f>'4.4.'!M10</f>
        <v>466577</v>
      </c>
      <c r="J58" s="386">
        <f>'4.4.'!N10</f>
        <v>466577</v>
      </c>
      <c r="K58" s="386">
        <f>'4.4.'!O10</f>
        <v>466577</v>
      </c>
      <c r="L58" s="386">
        <f>K58</f>
        <v>466577</v>
      </c>
      <c r="M58" s="560" t="s">
        <v>27</v>
      </c>
    </row>
    <row r="59" spans="1:13" ht="15" customHeight="1" x14ac:dyDescent="0.3">
      <c r="A59" s="766" t="s">
        <v>107</v>
      </c>
      <c r="B59" s="766"/>
      <c r="C59" s="768" t="s">
        <v>108</v>
      </c>
      <c r="D59" s="768"/>
      <c r="E59" s="768"/>
      <c r="F59" s="768"/>
      <c r="G59" s="768"/>
      <c r="H59" s="768"/>
      <c r="I59" s="768"/>
      <c r="J59" s="768"/>
      <c r="K59" s="768"/>
      <c r="L59" s="768"/>
      <c r="M59" s="180"/>
    </row>
    <row r="60" spans="1:13" ht="15" customHeight="1" x14ac:dyDescent="0.3">
      <c r="A60" s="182"/>
      <c r="B60" s="211" t="s">
        <v>46</v>
      </c>
      <c r="C60" s="212"/>
      <c r="D60" s="213"/>
      <c r="E60" s="213"/>
      <c r="F60" s="214">
        <f>F61</f>
        <v>0</v>
      </c>
      <c r="G60" s="214">
        <f t="shared" ref="G60:L61" si="18">G61</f>
        <v>0</v>
      </c>
      <c r="H60" s="214">
        <f t="shared" si="18"/>
        <v>0</v>
      </c>
      <c r="I60" s="214">
        <f t="shared" si="18"/>
        <v>3215079.2102999999</v>
      </c>
      <c r="J60" s="214">
        <f t="shared" si="18"/>
        <v>5278949</v>
      </c>
      <c r="K60" s="214">
        <f t="shared" si="18"/>
        <v>6213231</v>
      </c>
      <c r="L60" s="214">
        <f t="shared" si="18"/>
        <v>6213231</v>
      </c>
      <c r="M60" s="3"/>
    </row>
    <row r="61" spans="1:13" s="174" customFormat="1" ht="15" customHeight="1" x14ac:dyDescent="0.3">
      <c r="A61" s="374"/>
      <c r="B61" s="375" t="s">
        <v>10</v>
      </c>
      <c r="C61" s="376"/>
      <c r="D61" s="377"/>
      <c r="E61" s="377"/>
      <c r="F61" s="378">
        <f>F62</f>
        <v>0</v>
      </c>
      <c r="G61" s="378">
        <f t="shared" si="18"/>
        <v>0</v>
      </c>
      <c r="H61" s="378">
        <f t="shared" si="18"/>
        <v>0</v>
      </c>
      <c r="I61" s="378">
        <f t="shared" si="18"/>
        <v>3215079.2102999999</v>
      </c>
      <c r="J61" s="378">
        <f t="shared" si="18"/>
        <v>5278949</v>
      </c>
      <c r="K61" s="378">
        <f t="shared" si="18"/>
        <v>6213231</v>
      </c>
      <c r="L61" s="378">
        <f t="shared" si="18"/>
        <v>6213231</v>
      </c>
      <c r="M61" s="379"/>
    </row>
    <row r="62" spans="1:13" ht="28" x14ac:dyDescent="0.3">
      <c r="A62" s="168" t="s">
        <v>109</v>
      </c>
      <c r="B62" s="183" t="s">
        <v>110</v>
      </c>
      <c r="C62" s="551" t="s">
        <v>34</v>
      </c>
      <c r="D62" s="168" t="s">
        <v>18</v>
      </c>
      <c r="E62" s="168"/>
      <c r="F62" s="170">
        <f t="shared" ref="F62:H62" si="19">F63+F64</f>
        <v>0</v>
      </c>
      <c r="G62" s="170">
        <f t="shared" si="19"/>
        <v>0</v>
      </c>
      <c r="H62" s="170">
        <f t="shared" si="19"/>
        <v>0</v>
      </c>
      <c r="I62" s="170">
        <f>I63+I64</f>
        <v>3215079.2102999999</v>
      </c>
      <c r="J62" s="170">
        <f t="shared" ref="J62:L62" si="20">J63+J64</f>
        <v>5278949</v>
      </c>
      <c r="K62" s="170">
        <f t="shared" si="20"/>
        <v>6213231</v>
      </c>
      <c r="L62" s="170">
        <f t="shared" si="20"/>
        <v>6213231</v>
      </c>
      <c r="M62" s="446"/>
    </row>
    <row r="63" spans="1:13" s="174" customFormat="1" x14ac:dyDescent="0.3">
      <c r="A63" s="186"/>
      <c r="B63" s="185"/>
      <c r="C63" s="549"/>
      <c r="D63" s="186" t="s">
        <v>18</v>
      </c>
      <c r="E63" s="186" t="s">
        <v>111</v>
      </c>
      <c r="F63" s="187">
        <v>0</v>
      </c>
      <c r="G63" s="187">
        <v>0</v>
      </c>
      <c r="H63" s="187">
        <v>0</v>
      </c>
      <c r="I63" s="188">
        <f>'5.1.1.'!E21</f>
        <v>3201580.2102999999</v>
      </c>
      <c r="J63" s="188">
        <f>'5.1.1.'!H21</f>
        <v>5265450</v>
      </c>
      <c r="K63" s="188">
        <f>'5.1.1.'!K21</f>
        <v>6199732</v>
      </c>
      <c r="L63" s="188">
        <f>K63</f>
        <v>6199732</v>
      </c>
      <c r="M63" s="446" t="s">
        <v>112</v>
      </c>
    </row>
    <row r="64" spans="1:13" s="174" customFormat="1" ht="28" x14ac:dyDescent="0.3">
      <c r="A64" s="186"/>
      <c r="B64" s="185"/>
      <c r="C64" s="549"/>
      <c r="D64" s="186" t="s">
        <v>18</v>
      </c>
      <c r="E64" s="186" t="s">
        <v>84</v>
      </c>
      <c r="F64" s="187">
        <v>0</v>
      </c>
      <c r="G64" s="187">
        <v>0</v>
      </c>
      <c r="H64" s="187">
        <v>0</v>
      </c>
      <c r="I64" s="188">
        <f>'5.1.2.'!F7</f>
        <v>13499</v>
      </c>
      <c r="J64" s="188">
        <f>I64</f>
        <v>13499</v>
      </c>
      <c r="K64" s="188">
        <f>J64</f>
        <v>13499</v>
      </c>
      <c r="L64" s="188">
        <f>K64</f>
        <v>13499</v>
      </c>
      <c r="M64" s="560" t="s">
        <v>27</v>
      </c>
    </row>
    <row r="65" spans="1:13" ht="15" customHeight="1" x14ac:dyDescent="0.3">
      <c r="A65" s="766" t="s">
        <v>113</v>
      </c>
      <c r="B65" s="766"/>
      <c r="C65" s="768" t="s">
        <v>114</v>
      </c>
      <c r="D65" s="768"/>
      <c r="E65" s="768"/>
      <c r="F65" s="768"/>
      <c r="G65" s="768"/>
      <c r="H65" s="768"/>
      <c r="I65" s="768"/>
      <c r="J65" s="768"/>
      <c r="K65" s="768"/>
      <c r="L65" s="768"/>
      <c r="M65" s="363"/>
    </row>
    <row r="66" spans="1:13" s="13" customFormat="1" x14ac:dyDescent="0.35">
      <c r="A66" s="7"/>
      <c r="B66" s="211" t="s">
        <v>46</v>
      </c>
      <c r="C66" s="7"/>
      <c r="D66" s="7"/>
      <c r="E66" s="7"/>
      <c r="F66" s="189">
        <f>F67</f>
        <v>0</v>
      </c>
      <c r="G66" s="189">
        <f t="shared" ref="G66:L66" si="21">G67</f>
        <v>0</v>
      </c>
      <c r="H66" s="189">
        <f t="shared" si="21"/>
        <v>0</v>
      </c>
      <c r="I66" s="189">
        <f t="shared" si="21"/>
        <v>0</v>
      </c>
      <c r="J66" s="189">
        <f t="shared" si="21"/>
        <v>25000</v>
      </c>
      <c r="K66" s="189">
        <f t="shared" si="21"/>
        <v>25000</v>
      </c>
      <c r="L66" s="189">
        <f t="shared" si="21"/>
        <v>0</v>
      </c>
      <c r="M66" s="6"/>
    </row>
    <row r="67" spans="1:13" s="174" customFormat="1" ht="15" customHeight="1" x14ac:dyDescent="0.3">
      <c r="A67" s="374"/>
      <c r="B67" s="375" t="s">
        <v>10</v>
      </c>
      <c r="C67" s="376"/>
      <c r="D67" s="377"/>
      <c r="E67" s="377"/>
      <c r="F67" s="378">
        <f>F68+F69+F70+F71+F72</f>
        <v>0</v>
      </c>
      <c r="G67" s="378">
        <f t="shared" ref="G67:L67" si="22">G68+G69+G70+G71+G72</f>
        <v>0</v>
      </c>
      <c r="H67" s="378">
        <f t="shared" si="22"/>
        <v>0</v>
      </c>
      <c r="I67" s="378">
        <f t="shared" si="22"/>
        <v>0</v>
      </c>
      <c r="J67" s="378">
        <f t="shared" si="22"/>
        <v>25000</v>
      </c>
      <c r="K67" s="378">
        <f t="shared" si="22"/>
        <v>25000</v>
      </c>
      <c r="L67" s="378">
        <f t="shared" si="22"/>
        <v>0</v>
      </c>
      <c r="M67" s="379"/>
    </row>
    <row r="68" spans="1:13" ht="87" customHeight="1" x14ac:dyDescent="0.3">
      <c r="A68" s="172" t="s">
        <v>115</v>
      </c>
      <c r="B68" s="175" t="s">
        <v>116</v>
      </c>
      <c r="C68" s="172" t="s">
        <v>117</v>
      </c>
      <c r="D68" s="172"/>
      <c r="E68" s="172"/>
      <c r="F68" s="173">
        <v>0</v>
      </c>
      <c r="G68" s="173">
        <v>0</v>
      </c>
      <c r="H68" s="173">
        <v>0</v>
      </c>
      <c r="I68" s="5">
        <v>0</v>
      </c>
      <c r="J68" s="5">
        <v>0</v>
      </c>
      <c r="K68" s="5">
        <v>0</v>
      </c>
      <c r="L68" s="5">
        <v>0</v>
      </c>
      <c r="M68" s="180" t="s">
        <v>100</v>
      </c>
    </row>
    <row r="69" spans="1:13" ht="28" x14ac:dyDescent="0.3">
      <c r="A69" s="4" t="s">
        <v>118</v>
      </c>
      <c r="B69" s="10" t="s">
        <v>699</v>
      </c>
      <c r="C69" s="4" t="s">
        <v>119</v>
      </c>
      <c r="D69" s="8"/>
      <c r="E69" s="8"/>
      <c r="F69" s="4">
        <v>0</v>
      </c>
      <c r="G69" s="4">
        <v>0</v>
      </c>
      <c r="H69" s="4">
        <v>0</v>
      </c>
      <c r="I69" s="4">
        <v>0</v>
      </c>
      <c r="J69" s="4">
        <v>0</v>
      </c>
      <c r="K69" s="4">
        <v>0</v>
      </c>
      <c r="L69" s="4">
        <v>0</v>
      </c>
      <c r="M69" s="180" t="s">
        <v>100</v>
      </c>
    </row>
    <row r="70" spans="1:13" ht="28" x14ac:dyDescent="0.3">
      <c r="A70" s="465" t="s">
        <v>120</v>
      </c>
      <c r="B70" s="466" t="s">
        <v>121</v>
      </c>
      <c r="C70" s="465" t="s">
        <v>119</v>
      </c>
      <c r="D70" s="168" t="s">
        <v>18</v>
      </c>
      <c r="E70" s="385" t="s">
        <v>122</v>
      </c>
      <c r="F70" s="465">
        <v>0</v>
      </c>
      <c r="G70" s="465">
        <v>0</v>
      </c>
      <c r="H70" s="465">
        <v>0</v>
      </c>
      <c r="I70" s="465">
        <v>0</v>
      </c>
      <c r="J70" s="387">
        <v>0</v>
      </c>
      <c r="K70" s="387">
        <v>25000</v>
      </c>
      <c r="L70" s="465">
        <v>0</v>
      </c>
      <c r="M70" s="560" t="s">
        <v>27</v>
      </c>
    </row>
    <row r="71" spans="1:13" ht="17.25" customHeight="1" x14ac:dyDescent="0.3">
      <c r="A71" s="4" t="s">
        <v>123</v>
      </c>
      <c r="B71" s="10" t="s">
        <v>124</v>
      </c>
      <c r="C71" s="4" t="s">
        <v>125</v>
      </c>
      <c r="D71" s="8"/>
      <c r="E71" s="8"/>
      <c r="F71" s="8">
        <v>0</v>
      </c>
      <c r="G71" s="701">
        <v>0</v>
      </c>
      <c r="H71" s="701">
        <v>0</v>
      </c>
      <c r="I71" s="701">
        <v>0</v>
      </c>
      <c r="J71" s="5">
        <v>0</v>
      </c>
      <c r="K71" s="5">
        <v>0</v>
      </c>
      <c r="L71" s="701">
        <v>0</v>
      </c>
      <c r="M71" s="180" t="s">
        <v>100</v>
      </c>
    </row>
    <row r="72" spans="1:13" ht="28" x14ac:dyDescent="0.3">
      <c r="A72" s="465" t="s">
        <v>126</v>
      </c>
      <c r="B72" s="466" t="s">
        <v>127</v>
      </c>
      <c r="C72" s="465" t="s">
        <v>77</v>
      </c>
      <c r="D72" s="168" t="s">
        <v>18</v>
      </c>
      <c r="E72" s="385" t="s">
        <v>122</v>
      </c>
      <c r="F72" s="465">
        <v>0</v>
      </c>
      <c r="G72" s="465">
        <v>0</v>
      </c>
      <c r="H72" s="465">
        <v>0</v>
      </c>
      <c r="I72" s="465">
        <v>0</v>
      </c>
      <c r="J72" s="387">
        <v>25000</v>
      </c>
      <c r="K72" s="387">
        <v>0</v>
      </c>
      <c r="L72" s="465">
        <v>0</v>
      </c>
      <c r="M72" s="560" t="s">
        <v>27</v>
      </c>
    </row>
    <row r="73" spans="1:13" ht="114.75" customHeight="1" x14ac:dyDescent="0.3">
      <c r="A73" s="748" t="s">
        <v>687</v>
      </c>
      <c r="B73" s="749" t="s">
        <v>688</v>
      </c>
      <c r="C73" s="748" t="s">
        <v>77</v>
      </c>
      <c r="D73" s="750" t="s">
        <v>689</v>
      </c>
      <c r="E73" s="755" t="s">
        <v>697</v>
      </c>
      <c r="F73" s="748">
        <v>0</v>
      </c>
      <c r="G73" s="748">
        <v>0</v>
      </c>
      <c r="H73" s="748">
        <v>0</v>
      </c>
      <c r="I73" s="748">
        <v>0</v>
      </c>
      <c r="J73" s="748">
        <v>0</v>
      </c>
      <c r="K73" s="751">
        <v>0</v>
      </c>
      <c r="L73" s="748">
        <v>0</v>
      </c>
      <c r="M73" s="752" t="s">
        <v>692</v>
      </c>
    </row>
    <row r="74" spans="1:13" ht="15.75" customHeight="1" x14ac:dyDescent="0.3">
      <c r="B74" s="779" t="s">
        <v>128</v>
      </c>
      <c r="C74" s="779"/>
      <c r="D74" s="779"/>
      <c r="E74" s="779"/>
      <c r="F74" s="779"/>
      <c r="G74" s="779"/>
      <c r="H74" s="779"/>
      <c r="I74" s="779"/>
      <c r="J74" s="779"/>
      <c r="K74" s="779"/>
      <c r="L74" s="779"/>
      <c r="M74" s="779"/>
    </row>
    <row r="75" spans="1:13" ht="31.5" customHeight="1" x14ac:dyDescent="0.3">
      <c r="B75" s="780" t="s">
        <v>690</v>
      </c>
      <c r="C75" s="780"/>
      <c r="D75" s="780"/>
      <c r="E75" s="780"/>
      <c r="F75" s="780"/>
      <c r="G75" s="780"/>
      <c r="H75" s="780"/>
      <c r="I75" s="780"/>
      <c r="J75" s="780"/>
      <c r="K75" s="780"/>
      <c r="L75" s="780"/>
      <c r="M75" s="780"/>
    </row>
    <row r="76" spans="1:13" x14ac:dyDescent="0.3">
      <c r="B76" s="704"/>
      <c r="C76" s="704"/>
      <c r="D76" s="704"/>
      <c r="E76" s="704"/>
      <c r="F76" s="704"/>
      <c r="G76" s="704"/>
      <c r="H76" s="704"/>
      <c r="I76" s="704"/>
      <c r="J76" s="704"/>
      <c r="K76" s="704"/>
      <c r="L76" s="704"/>
      <c r="M76" s="704"/>
    </row>
    <row r="77" spans="1:13" ht="29.25" customHeight="1" x14ac:dyDescent="0.3">
      <c r="B77" s="753"/>
      <c r="C77" s="753"/>
      <c r="D77" s="3"/>
      <c r="E77" s="769" t="s">
        <v>5</v>
      </c>
      <c r="F77" s="781" t="s">
        <v>6</v>
      </c>
      <c r="G77" s="781"/>
      <c r="H77" s="781"/>
      <c r="I77" s="765" t="s">
        <v>7</v>
      </c>
      <c r="J77" s="765"/>
      <c r="K77" s="765"/>
      <c r="L77" s="765"/>
      <c r="M77" s="655"/>
    </row>
    <row r="78" spans="1:13" ht="28" x14ac:dyDescent="0.3">
      <c r="B78" s="753"/>
      <c r="C78" s="753"/>
      <c r="D78" s="3"/>
      <c r="E78" s="769"/>
      <c r="F78" s="703">
        <v>2022</v>
      </c>
      <c r="G78" s="703">
        <v>2023</v>
      </c>
      <c r="H78" s="703">
        <v>2024</v>
      </c>
      <c r="I78" s="703">
        <v>2023</v>
      </c>
      <c r="J78" s="703">
        <v>2024</v>
      </c>
      <c r="K78" s="703">
        <v>2025</v>
      </c>
      <c r="L78" s="703" t="s">
        <v>8</v>
      </c>
      <c r="M78" s="655"/>
    </row>
    <row r="79" spans="1:13" x14ac:dyDescent="0.3">
      <c r="B79" s="753"/>
      <c r="C79" s="753"/>
      <c r="E79" s="765" t="s">
        <v>129</v>
      </c>
      <c r="F79" s="765"/>
      <c r="G79" s="765"/>
      <c r="H79" s="765"/>
      <c r="I79" s="765"/>
      <c r="J79" s="765"/>
      <c r="K79" s="765"/>
      <c r="L79" s="765"/>
      <c r="M79" s="754"/>
    </row>
    <row r="80" spans="1:13" x14ac:dyDescent="0.3">
      <c r="B80" s="753"/>
      <c r="C80" s="753"/>
      <c r="E80" s="776" t="s">
        <v>130</v>
      </c>
      <c r="F80" s="776"/>
      <c r="G80" s="776"/>
      <c r="H80" s="776"/>
      <c r="I80" s="776"/>
      <c r="J80" s="776"/>
      <c r="K80" s="776"/>
      <c r="L80" s="776"/>
      <c r="M80" s="754"/>
    </row>
    <row r="81" spans="1:13" x14ac:dyDescent="0.3">
      <c r="B81" s="753"/>
      <c r="C81" s="753"/>
      <c r="E81" s="683" t="s">
        <v>111</v>
      </c>
      <c r="F81" s="684">
        <f t="shared" ref="F81:L81" si="23">F63</f>
        <v>0</v>
      </c>
      <c r="G81" s="684">
        <f t="shared" si="23"/>
        <v>0</v>
      </c>
      <c r="H81" s="684">
        <f t="shared" si="23"/>
        <v>0</v>
      </c>
      <c r="I81" s="685">
        <f t="shared" si="23"/>
        <v>3201580.2102999999</v>
      </c>
      <c r="J81" s="685">
        <f t="shared" si="23"/>
        <v>5265450</v>
      </c>
      <c r="K81" s="685">
        <f t="shared" si="23"/>
        <v>6199732</v>
      </c>
      <c r="L81" s="685">
        <f t="shared" si="23"/>
        <v>6199732</v>
      </c>
      <c r="M81" s="657"/>
    </row>
    <row r="82" spans="1:13" x14ac:dyDescent="0.3">
      <c r="C82" s="11"/>
      <c r="E82" s="773" t="s">
        <v>131</v>
      </c>
      <c r="F82" s="774"/>
      <c r="G82" s="774"/>
      <c r="H82" s="774"/>
      <c r="I82" s="774"/>
      <c r="J82" s="774"/>
      <c r="K82" s="774"/>
      <c r="L82" s="775"/>
      <c r="M82" s="657"/>
    </row>
    <row r="83" spans="1:13" x14ac:dyDescent="0.3">
      <c r="E83" s="683" t="s">
        <v>49</v>
      </c>
      <c r="F83" s="684">
        <f t="shared" ref="F83:L83" si="24">F28</f>
        <v>390142</v>
      </c>
      <c r="G83" s="684">
        <f t="shared" si="24"/>
        <v>390142</v>
      </c>
      <c r="H83" s="684">
        <f t="shared" si="24"/>
        <v>390142</v>
      </c>
      <c r="I83" s="685">
        <f t="shared" si="24"/>
        <v>0</v>
      </c>
      <c r="J83" s="685">
        <f t="shared" si="24"/>
        <v>0</v>
      </c>
      <c r="K83" s="685">
        <f t="shared" si="24"/>
        <v>0</v>
      </c>
      <c r="L83" s="685">
        <f t="shared" si="24"/>
        <v>0</v>
      </c>
      <c r="M83" s="657"/>
    </row>
    <row r="84" spans="1:13" x14ac:dyDescent="0.3">
      <c r="E84" s="686" t="s">
        <v>84</v>
      </c>
      <c r="F84" s="687">
        <f t="shared" ref="F84:L84" si="25">F45+F64</f>
        <v>0</v>
      </c>
      <c r="G84" s="687">
        <f t="shared" si="25"/>
        <v>0</v>
      </c>
      <c r="H84" s="687">
        <f t="shared" si="25"/>
        <v>0</v>
      </c>
      <c r="I84" s="688">
        <f t="shared" si="25"/>
        <v>13499</v>
      </c>
      <c r="J84" s="688">
        <f t="shared" si="25"/>
        <v>13499</v>
      </c>
      <c r="K84" s="688">
        <f t="shared" si="25"/>
        <v>89461.945872843222</v>
      </c>
      <c r="L84" s="688">
        <f t="shared" si="25"/>
        <v>165424.89174568644</v>
      </c>
      <c r="M84" s="657"/>
    </row>
    <row r="85" spans="1:13" x14ac:dyDescent="0.3">
      <c r="E85" s="686" t="s">
        <v>19</v>
      </c>
      <c r="F85" s="687">
        <f t="shared" ref="F85:L85" si="26">F16+F17+F18+F19+F29+F30+F31+F32+F33+F37+F41+F42+F43+F46+F14+F15</f>
        <v>1723765</v>
      </c>
      <c r="G85" s="687">
        <f t="shared" si="26"/>
        <v>1723765</v>
      </c>
      <c r="H85" s="687">
        <f t="shared" si="26"/>
        <v>1723765</v>
      </c>
      <c r="I85" s="688">
        <f t="shared" si="26"/>
        <v>1552488</v>
      </c>
      <c r="J85" s="688">
        <f t="shared" si="26"/>
        <v>4418422.3616643865</v>
      </c>
      <c r="K85" s="688">
        <f t="shared" si="26"/>
        <v>4603164.8294062</v>
      </c>
      <c r="L85" s="688">
        <f t="shared" si="26"/>
        <v>4841447.7379096514</v>
      </c>
      <c r="M85" s="657"/>
    </row>
    <row r="86" spans="1:13" s="174" customFormat="1" x14ac:dyDescent="0.3">
      <c r="A86" s="653"/>
      <c r="B86" s="654"/>
      <c r="C86" s="654"/>
      <c r="E86" s="686" t="s">
        <v>89</v>
      </c>
      <c r="F86" s="687">
        <f t="shared" ref="F86:L86" si="27">F34+F50+F51+F58</f>
        <v>0</v>
      </c>
      <c r="G86" s="687">
        <f t="shared" si="27"/>
        <v>0</v>
      </c>
      <c r="H86" s="687">
        <f t="shared" si="27"/>
        <v>0</v>
      </c>
      <c r="I86" s="688">
        <f t="shared" si="27"/>
        <v>466577</v>
      </c>
      <c r="J86" s="688">
        <f t="shared" si="27"/>
        <v>476577</v>
      </c>
      <c r="K86" s="688">
        <f t="shared" si="27"/>
        <v>1333171.1355524079</v>
      </c>
      <c r="L86" s="688">
        <f t="shared" si="27"/>
        <v>2198089</v>
      </c>
      <c r="M86" s="656"/>
    </row>
    <row r="87" spans="1:13" s="548" customFormat="1" x14ac:dyDescent="0.3">
      <c r="A87" s="13"/>
      <c r="B87" s="1"/>
      <c r="C87" s="13"/>
      <c r="D87" s="198"/>
      <c r="E87" s="686" t="s">
        <v>104</v>
      </c>
      <c r="F87" s="687">
        <f t="shared" ref="F87:L87" si="28">F57</f>
        <v>0</v>
      </c>
      <c r="G87" s="687">
        <f t="shared" si="28"/>
        <v>0</v>
      </c>
      <c r="H87" s="687">
        <f t="shared" si="28"/>
        <v>0</v>
      </c>
      <c r="I87" s="688">
        <f t="shared" si="28"/>
        <v>0</v>
      </c>
      <c r="J87" s="688">
        <f t="shared" si="28"/>
        <v>1000000</v>
      </c>
      <c r="K87" s="688">
        <f t="shared" si="28"/>
        <v>200000</v>
      </c>
      <c r="L87" s="688">
        <f t="shared" si="28"/>
        <v>200000</v>
      </c>
      <c r="M87" s="547"/>
    </row>
    <row r="88" spans="1:13" x14ac:dyDescent="0.3">
      <c r="E88" s="686" t="s">
        <v>96</v>
      </c>
      <c r="F88" s="687">
        <f t="shared" ref="F88:L88" si="29">F55</f>
        <v>0</v>
      </c>
      <c r="G88" s="687">
        <f t="shared" si="29"/>
        <v>0</v>
      </c>
      <c r="H88" s="687">
        <f t="shared" si="29"/>
        <v>0</v>
      </c>
      <c r="I88" s="688">
        <f t="shared" si="29"/>
        <v>0</v>
      </c>
      <c r="J88" s="688">
        <f t="shared" si="29"/>
        <v>100000</v>
      </c>
      <c r="K88" s="688">
        <f t="shared" si="29"/>
        <v>200000</v>
      </c>
      <c r="L88" s="688">
        <f t="shared" si="29"/>
        <v>200000</v>
      </c>
    </row>
    <row r="89" spans="1:13" x14ac:dyDescent="0.3">
      <c r="E89" s="686" t="s">
        <v>122</v>
      </c>
      <c r="F89" s="689">
        <f t="shared" ref="F89:L89" si="30">F70+F72</f>
        <v>0</v>
      </c>
      <c r="G89" s="689">
        <f t="shared" si="30"/>
        <v>0</v>
      </c>
      <c r="H89" s="689">
        <f t="shared" si="30"/>
        <v>0</v>
      </c>
      <c r="I89" s="686">
        <f t="shared" si="30"/>
        <v>0</v>
      </c>
      <c r="J89" s="688">
        <f t="shared" si="30"/>
        <v>25000</v>
      </c>
      <c r="K89" s="688">
        <f t="shared" si="30"/>
        <v>25000</v>
      </c>
      <c r="L89" s="688">
        <f t="shared" si="30"/>
        <v>0</v>
      </c>
    </row>
    <row r="90" spans="1:13" x14ac:dyDescent="0.3">
      <c r="E90" s="690" t="s">
        <v>132</v>
      </c>
      <c r="F90" s="691">
        <f t="shared" ref="F90:L90" si="31">SUM(F83:F89)</f>
        <v>2113907</v>
      </c>
      <c r="G90" s="691">
        <f t="shared" si="31"/>
        <v>2113907</v>
      </c>
      <c r="H90" s="691">
        <f t="shared" si="31"/>
        <v>2113907</v>
      </c>
      <c r="I90" s="692">
        <f t="shared" si="31"/>
        <v>2032564</v>
      </c>
      <c r="J90" s="692">
        <f t="shared" si="31"/>
        <v>6033498.3616643865</v>
      </c>
      <c r="K90" s="692">
        <f t="shared" si="31"/>
        <v>6450797.9108314514</v>
      </c>
      <c r="L90" s="692">
        <f t="shared" si="31"/>
        <v>7604961.6296553379</v>
      </c>
    </row>
    <row r="91" spans="1:13" x14ac:dyDescent="0.3">
      <c r="E91" s="693" t="s">
        <v>133</v>
      </c>
      <c r="F91" s="694">
        <f t="shared" ref="F91:L91" si="32">F81+F83+F84+F85+F86+F87+F88+F89</f>
        <v>2113907</v>
      </c>
      <c r="G91" s="694">
        <f t="shared" si="32"/>
        <v>2113907</v>
      </c>
      <c r="H91" s="694">
        <f t="shared" si="32"/>
        <v>2113907</v>
      </c>
      <c r="I91" s="695">
        <f t="shared" si="32"/>
        <v>5234144.2103000004</v>
      </c>
      <c r="J91" s="695">
        <f t="shared" si="32"/>
        <v>11298948.361664386</v>
      </c>
      <c r="K91" s="695">
        <f t="shared" si="32"/>
        <v>12650529.910831451</v>
      </c>
      <c r="L91" s="695">
        <f t="shared" si="32"/>
        <v>13804693.629655339</v>
      </c>
      <c r="M91" s="3"/>
    </row>
    <row r="92" spans="1:13" x14ac:dyDescent="0.3">
      <c r="E92" s="696"/>
      <c r="F92" s="697">
        <f t="shared" ref="F92:L92" si="33">F7</f>
        <v>2113907</v>
      </c>
      <c r="G92" s="697">
        <f t="shared" si="33"/>
        <v>2113907</v>
      </c>
      <c r="H92" s="697">
        <f t="shared" si="33"/>
        <v>2113907</v>
      </c>
      <c r="I92" s="698">
        <f t="shared" si="33"/>
        <v>5234144.2103000004</v>
      </c>
      <c r="J92" s="698">
        <f t="shared" si="33"/>
        <v>11298948.361664386</v>
      </c>
      <c r="K92" s="698">
        <f t="shared" si="33"/>
        <v>12650529.910831451</v>
      </c>
      <c r="L92" s="698">
        <f t="shared" si="33"/>
        <v>13804693.629655337</v>
      </c>
    </row>
    <row r="93" spans="1:13" x14ac:dyDescent="0.3">
      <c r="E93" s="546"/>
      <c r="F93" s="546"/>
      <c r="G93" s="651"/>
      <c r="H93" s="611"/>
      <c r="I93" s="708"/>
      <c r="J93" s="699"/>
      <c r="K93" s="699"/>
      <c r="L93" s="14"/>
    </row>
    <row r="94" spans="1:13" x14ac:dyDescent="0.3">
      <c r="E94" s="546"/>
      <c r="F94" s="546"/>
      <c r="G94" s="651"/>
      <c r="H94" s="611"/>
      <c r="I94" s="708"/>
      <c r="J94" s="699"/>
      <c r="K94" s="699"/>
      <c r="L94" s="14"/>
    </row>
    <row r="95" spans="1:13" x14ac:dyDescent="0.3">
      <c r="E95" s="546"/>
      <c r="F95" s="546"/>
      <c r="G95" s="651"/>
      <c r="H95" s="611"/>
      <c r="I95" s="708"/>
      <c r="J95" s="699"/>
      <c r="K95" s="699"/>
      <c r="L95" s="14"/>
    </row>
    <row r="96" spans="1:13" x14ac:dyDescent="0.3">
      <c r="E96" s="546"/>
      <c r="F96" s="546"/>
      <c r="G96" s="651"/>
      <c r="H96" s="611"/>
      <c r="I96" s="708"/>
      <c r="J96" s="699"/>
      <c r="K96" s="699"/>
      <c r="L96" s="14"/>
    </row>
    <row r="97" spans="5:12" x14ac:dyDescent="0.3">
      <c r="E97" s="546"/>
      <c r="F97" s="546"/>
      <c r="G97" s="651"/>
      <c r="I97" s="651"/>
      <c r="J97" s="14"/>
      <c r="K97" s="14"/>
      <c r="L97" s="14"/>
    </row>
    <row r="99" spans="5:12" x14ac:dyDescent="0.3">
      <c r="I99" s="14"/>
      <c r="J99" s="14"/>
      <c r="K99" s="14"/>
      <c r="L99" s="14"/>
    </row>
    <row r="101" spans="5:12" x14ac:dyDescent="0.3">
      <c r="I101" s="14"/>
      <c r="J101" s="14"/>
      <c r="K101" s="14"/>
      <c r="L101" s="14"/>
    </row>
  </sheetData>
  <mergeCells count="32">
    <mergeCell ref="D21:D22"/>
    <mergeCell ref="E3:E4"/>
    <mergeCell ref="F3:H3"/>
    <mergeCell ref="B3:B4"/>
    <mergeCell ref="A3:A4"/>
    <mergeCell ref="D3:D4"/>
    <mergeCell ref="B33:B34"/>
    <mergeCell ref="E82:L82"/>
    <mergeCell ref="E79:L79"/>
    <mergeCell ref="E80:L80"/>
    <mergeCell ref="A33:A34"/>
    <mergeCell ref="B74:M74"/>
    <mergeCell ref="B75:M75"/>
    <mergeCell ref="E77:E78"/>
    <mergeCell ref="F77:H77"/>
    <mergeCell ref="I77:L77"/>
    <mergeCell ref="M21:M22"/>
    <mergeCell ref="M3:M4"/>
    <mergeCell ref="A65:B65"/>
    <mergeCell ref="C10:L10"/>
    <mergeCell ref="C23:L23"/>
    <mergeCell ref="I3:L3"/>
    <mergeCell ref="C47:L47"/>
    <mergeCell ref="C52:L52"/>
    <mergeCell ref="C59:L59"/>
    <mergeCell ref="C65:L65"/>
    <mergeCell ref="C3:C4"/>
    <mergeCell ref="A10:B10"/>
    <mergeCell ref="A23:B23"/>
    <mergeCell ref="A47:B47"/>
    <mergeCell ref="A52:B52"/>
    <mergeCell ref="A59:B59"/>
  </mergeCells>
  <pageMargins left="0.70866141732283472" right="0.70866141732283472" top="0.74803149606299213" bottom="0.74803149606299213" header="0.31496062992125984" footer="0.31496062992125984"/>
  <pageSetup paperSize="8" scale="53" orientation="portrait" r:id="rId1"/>
  <colBreaks count="1" manualBreakCount="1">
    <brk id="12" max="71"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379758-0B7F-46A7-8718-3155ED97BE18}">
  <sheetPr>
    <tabColor rgb="FFC6E0B4"/>
  </sheetPr>
  <dimension ref="A1:O18"/>
  <sheetViews>
    <sheetView zoomScale="80" zoomScaleNormal="80" workbookViewId="0">
      <selection activeCell="N14" sqref="N14"/>
    </sheetView>
  </sheetViews>
  <sheetFormatPr defaultColWidth="9.1796875" defaultRowHeight="14" x14ac:dyDescent="0.3"/>
  <cols>
    <col min="1" max="1" width="4.7265625" style="176" customWidth="1"/>
    <col min="2" max="2" width="52.1796875" style="176" customWidth="1"/>
    <col min="3" max="3" width="15.81640625" style="176" customWidth="1"/>
    <col min="4" max="4" width="19.81640625" style="176" customWidth="1"/>
    <col min="5" max="5" width="19.54296875" style="176" customWidth="1"/>
    <col min="6" max="6" width="21.1796875" style="176" customWidth="1"/>
    <col min="7" max="7" width="16.1796875" style="176" customWidth="1"/>
    <col min="8" max="8" width="19.7265625" style="176" customWidth="1"/>
    <col min="9" max="9" width="14.1796875" style="176" bestFit="1" customWidth="1"/>
    <col min="10" max="10" width="22.1796875" style="176" customWidth="1"/>
    <col min="11" max="11" width="17.7265625" style="176" customWidth="1"/>
    <col min="12" max="12" width="21.54296875" style="176" customWidth="1"/>
    <col min="13" max="13" width="14.1796875" style="176" customWidth="1"/>
    <col min="14" max="14" width="11.81640625" style="176" customWidth="1"/>
    <col min="15" max="15" width="13.453125" style="176" customWidth="1"/>
    <col min="16" max="16384" width="9.1796875" style="176"/>
  </cols>
  <sheetData>
    <row r="1" spans="1:15" x14ac:dyDescent="0.3">
      <c r="O1" s="197" t="s">
        <v>134</v>
      </c>
    </row>
    <row r="2" spans="1:15" x14ac:dyDescent="0.3">
      <c r="J2" s="197"/>
    </row>
    <row r="3" spans="1:15" ht="15" x14ac:dyDescent="0.3">
      <c r="A3" s="785" t="s">
        <v>135</v>
      </c>
      <c r="B3" s="785"/>
      <c r="C3" s="785"/>
      <c r="D3" s="785"/>
      <c r="E3" s="785"/>
      <c r="F3" s="785"/>
      <c r="G3" s="785"/>
      <c r="H3" s="785"/>
      <c r="I3" s="785"/>
      <c r="J3" s="785"/>
    </row>
    <row r="4" spans="1:15" ht="15" x14ac:dyDescent="0.3">
      <c r="A4" s="308"/>
      <c r="B4" s="308"/>
      <c r="C4" s="308"/>
      <c r="D4" s="308"/>
      <c r="E4" s="308"/>
      <c r="F4" s="308"/>
      <c r="G4" s="308"/>
      <c r="H4" s="308"/>
      <c r="I4" s="308"/>
      <c r="J4" s="308"/>
    </row>
    <row r="5" spans="1:15" ht="61.5" customHeight="1" x14ac:dyDescent="0.3">
      <c r="A5" s="788" t="s">
        <v>136</v>
      </c>
      <c r="B5" s="788"/>
      <c r="C5" s="172" t="s">
        <v>137</v>
      </c>
      <c r="D5" s="172" t="s">
        <v>138</v>
      </c>
      <c r="E5" s="172" t="s">
        <v>139</v>
      </c>
      <c r="F5" s="4" t="s">
        <v>140</v>
      </c>
      <c r="G5" s="308"/>
      <c r="H5" s="420"/>
      <c r="I5" s="308"/>
      <c r="J5" s="308"/>
    </row>
    <row r="6" spans="1:15" ht="30.75" customHeight="1" x14ac:dyDescent="0.3">
      <c r="A6" s="789" t="s">
        <v>141</v>
      </c>
      <c r="B6" s="789"/>
      <c r="C6" s="437">
        <v>0</v>
      </c>
      <c r="D6" s="436">
        <f>ROUNDUP(H17/2+H12/2,0)</f>
        <v>29804</v>
      </c>
      <c r="E6" s="437">
        <f>ROUNDUP(J12+H17,0)</f>
        <v>59845</v>
      </c>
      <c r="F6" s="437">
        <f>E6</f>
        <v>59845</v>
      </c>
      <c r="G6" s="198"/>
      <c r="H6" s="198"/>
      <c r="I6" s="198"/>
      <c r="J6" s="198"/>
    </row>
    <row r="7" spans="1:15" ht="15.5" x14ac:dyDescent="0.35">
      <c r="A7" s="679" t="s">
        <v>142</v>
      </c>
      <c r="B7" s="433"/>
      <c r="C7" s="434"/>
      <c r="E7" s="435"/>
      <c r="F7" s="435"/>
      <c r="G7" s="198"/>
      <c r="H7" s="198"/>
      <c r="I7" s="198"/>
      <c r="J7" s="198"/>
    </row>
    <row r="9" spans="1:15" x14ac:dyDescent="0.3">
      <c r="A9" s="200"/>
      <c r="B9" s="201"/>
      <c r="C9" s="786" t="s">
        <v>143</v>
      </c>
      <c r="D9" s="786"/>
      <c r="E9" s="786"/>
      <c r="F9" s="786"/>
      <c r="G9" s="786" t="s">
        <v>144</v>
      </c>
      <c r="H9" s="786"/>
      <c r="I9" s="786" t="s">
        <v>145</v>
      </c>
      <c r="J9" s="786"/>
      <c r="M9" s="458" t="s">
        <v>143</v>
      </c>
      <c r="N9" s="460" t="s">
        <v>144</v>
      </c>
      <c r="O9" s="461" t="s">
        <v>125</v>
      </c>
    </row>
    <row r="10" spans="1:15" ht="42" x14ac:dyDescent="0.3">
      <c r="A10" s="202" t="s">
        <v>146</v>
      </c>
      <c r="B10" s="203" t="s">
        <v>147</v>
      </c>
      <c r="C10" s="179" t="s">
        <v>148</v>
      </c>
      <c r="D10" s="179" t="s">
        <v>149</v>
      </c>
      <c r="E10" s="179" t="s">
        <v>150</v>
      </c>
      <c r="F10" s="179" t="s">
        <v>151</v>
      </c>
      <c r="G10" s="179" t="s">
        <v>152</v>
      </c>
      <c r="H10" s="179" t="s">
        <v>151</v>
      </c>
      <c r="I10" s="179" t="s">
        <v>152</v>
      </c>
      <c r="J10" s="179" t="s">
        <v>151</v>
      </c>
      <c r="L10" s="456" t="s">
        <v>153</v>
      </c>
      <c r="M10" s="459">
        <v>13</v>
      </c>
      <c r="N10" s="462">
        <f>(M10*0.115)+M10</f>
        <v>14.495000000000001</v>
      </c>
      <c r="O10" s="277">
        <f>(M10*0.115)+N10</f>
        <v>15.990000000000002</v>
      </c>
    </row>
    <row r="11" spans="1:15" ht="42" x14ac:dyDescent="0.3">
      <c r="A11" s="196">
        <v>1</v>
      </c>
      <c r="B11" s="204" t="s">
        <v>154</v>
      </c>
      <c r="C11" s="191">
        <f>13</f>
        <v>13</v>
      </c>
      <c r="D11" s="191">
        <v>3</v>
      </c>
      <c r="E11" s="205">
        <v>79.040000000000006</v>
      </c>
      <c r="F11" s="193">
        <f>C11*D11*E11</f>
        <v>3082.5600000000004</v>
      </c>
      <c r="G11" s="422">
        <v>15</v>
      </c>
      <c r="H11" s="193">
        <f>G11*D11*E11</f>
        <v>3556.8</v>
      </c>
      <c r="I11" s="422">
        <v>16</v>
      </c>
      <c r="J11" s="193">
        <f>I11*D11*E11</f>
        <v>3793.92</v>
      </c>
      <c r="L11" s="457"/>
      <c r="M11" s="277">
        <v>13</v>
      </c>
      <c r="N11" s="277">
        <v>15</v>
      </c>
      <c r="O11" s="277">
        <v>16</v>
      </c>
    </row>
    <row r="12" spans="1:15" x14ac:dyDescent="0.3">
      <c r="A12" s="787" t="s">
        <v>155</v>
      </c>
      <c r="B12" s="787"/>
      <c r="C12" s="194"/>
      <c r="D12" s="206"/>
      <c r="E12" s="206"/>
      <c r="F12" s="195">
        <f>SUM(F11:F11)</f>
        <v>3082.5600000000004</v>
      </c>
      <c r="G12" s="206"/>
      <c r="H12" s="195">
        <f>SUM(H11:H11)</f>
        <v>3556.8</v>
      </c>
      <c r="I12" s="195"/>
      <c r="J12" s="195">
        <f>SUM(J11:J11)</f>
        <v>3793.92</v>
      </c>
      <c r="L12" s="12"/>
      <c r="M12" s="285"/>
      <c r="N12" s="455"/>
      <c r="O12" s="455"/>
    </row>
    <row r="13" spans="1:15" x14ac:dyDescent="0.3">
      <c r="A13" s="784" t="s">
        <v>156</v>
      </c>
      <c r="B13" s="784"/>
      <c r="C13" s="784"/>
      <c r="D13" s="784"/>
      <c r="E13" s="784"/>
      <c r="F13" s="784"/>
      <c r="G13" s="784"/>
      <c r="H13" s="784"/>
      <c r="I13" s="784"/>
      <c r="J13" s="784"/>
    </row>
    <row r="14" spans="1:15" ht="34.5" customHeight="1" x14ac:dyDescent="0.3">
      <c r="A14" s="780" t="s">
        <v>157</v>
      </c>
      <c r="B14" s="780"/>
      <c r="C14" s="780"/>
      <c r="D14" s="780"/>
      <c r="E14" s="780"/>
      <c r="F14" s="780"/>
      <c r="G14" s="780"/>
      <c r="H14" s="780"/>
      <c r="I14" s="780"/>
      <c r="J14" s="780"/>
    </row>
    <row r="16" spans="1:15" ht="41.25" customHeight="1" x14ac:dyDescent="0.3">
      <c r="A16" s="4" t="s">
        <v>158</v>
      </c>
      <c r="B16" s="4" t="s">
        <v>159</v>
      </c>
      <c r="C16" s="4" t="s">
        <v>160</v>
      </c>
      <c r="D16" s="4" t="s">
        <v>161</v>
      </c>
      <c r="E16" s="4" t="s">
        <v>162</v>
      </c>
      <c r="F16" s="4" t="s">
        <v>163</v>
      </c>
      <c r="G16" s="4" t="s">
        <v>164</v>
      </c>
      <c r="H16" s="172" t="s">
        <v>165</v>
      </c>
    </row>
    <row r="17" spans="1:8" x14ac:dyDescent="0.3">
      <c r="A17" s="10" t="s">
        <v>15</v>
      </c>
      <c r="B17" s="10" t="s">
        <v>166</v>
      </c>
      <c r="C17" s="4">
        <v>3</v>
      </c>
      <c r="D17" s="216">
        <v>1</v>
      </c>
      <c r="E17" s="4">
        <v>1462.07</v>
      </c>
      <c r="F17" s="5">
        <f>E17*12*C17</f>
        <v>52634.520000000004</v>
      </c>
      <c r="G17" s="5">
        <v>3416</v>
      </c>
      <c r="H17" s="217">
        <f>F17+G17</f>
        <v>56050.520000000004</v>
      </c>
    </row>
    <row r="18" spans="1:8" x14ac:dyDescent="0.3">
      <c r="A18" s="176" t="s">
        <v>167</v>
      </c>
    </row>
  </sheetData>
  <mergeCells count="9">
    <mergeCell ref="A14:J14"/>
    <mergeCell ref="A13:J13"/>
    <mergeCell ref="A3:J3"/>
    <mergeCell ref="C9:F9"/>
    <mergeCell ref="G9:H9"/>
    <mergeCell ref="I9:J9"/>
    <mergeCell ref="A12:B12"/>
    <mergeCell ref="A5:B5"/>
    <mergeCell ref="A6:B6"/>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877237-E400-4A1C-AC8A-C287BBDB47E9}">
  <sheetPr>
    <tabColor rgb="FFC6E0B4"/>
  </sheetPr>
  <dimension ref="A1:X57"/>
  <sheetViews>
    <sheetView zoomScale="70" zoomScaleNormal="70" workbookViewId="0">
      <selection activeCell="U51" sqref="U51"/>
    </sheetView>
  </sheetViews>
  <sheetFormatPr defaultColWidth="9.1796875" defaultRowHeight="14" x14ac:dyDescent="0.3"/>
  <cols>
    <col min="1" max="1" width="13.7265625" style="17" customWidth="1"/>
    <col min="2" max="2" width="40.453125" style="16" customWidth="1"/>
    <col min="3" max="3" width="15.26953125" style="17" customWidth="1"/>
    <col min="4" max="4" width="11.81640625" style="17" customWidth="1"/>
    <col min="5" max="5" width="12.1796875" style="17" customWidth="1"/>
    <col min="6" max="6" width="12" style="17" customWidth="1"/>
    <col min="7" max="7" width="12.7265625" style="17" customWidth="1"/>
    <col min="8" max="8" width="14.54296875" style="17" customWidth="1"/>
    <col min="9" max="9" width="12.7265625" style="17" hidden="1" customWidth="1"/>
    <col min="10" max="10" width="12.7265625" style="17" customWidth="1"/>
    <col min="11" max="11" width="12.7265625" style="17" hidden="1" customWidth="1"/>
    <col min="12" max="13" width="12.7265625" style="17" customWidth="1"/>
    <col min="14" max="14" width="15.54296875" style="17" customWidth="1"/>
    <col min="15" max="15" width="16.54296875" style="17" customWidth="1"/>
    <col min="16" max="16" width="15" style="17" hidden="1" customWidth="1"/>
    <col min="17" max="17" width="17.1796875" style="17" hidden="1" customWidth="1"/>
    <col min="18" max="18" width="13.7265625" style="17" customWidth="1"/>
    <col min="19" max="19" width="12" style="17" customWidth="1"/>
    <col min="20" max="20" width="16" style="17" customWidth="1"/>
    <col min="21" max="21" width="12.54296875" style="17" bestFit="1" customWidth="1"/>
    <col min="22" max="22" width="15.1796875" style="19" customWidth="1"/>
    <col min="23" max="23" width="10.54296875" style="19" bestFit="1" customWidth="1"/>
    <col min="24" max="24" width="9.1796875" style="16"/>
    <col min="25" max="25" width="11.453125" style="16" customWidth="1"/>
    <col min="26" max="16384" width="9.1796875" style="16"/>
  </cols>
  <sheetData>
    <row r="1" spans="1:24" ht="15" customHeight="1" x14ac:dyDescent="0.3">
      <c r="A1" s="15"/>
      <c r="U1" s="197" t="s">
        <v>168</v>
      </c>
    </row>
    <row r="2" spans="1:24" ht="15" customHeight="1" x14ac:dyDescent="0.3">
      <c r="A2" s="15"/>
      <c r="U2" s="197"/>
    </row>
    <row r="3" spans="1:24" ht="15" customHeight="1" x14ac:dyDescent="0.3">
      <c r="A3" s="810" t="s">
        <v>169</v>
      </c>
      <c r="B3" s="810"/>
      <c r="C3" s="810"/>
      <c r="D3" s="810"/>
      <c r="E3" s="810"/>
      <c r="F3" s="810"/>
      <c r="G3" s="810"/>
      <c r="H3" s="810"/>
      <c r="I3" s="810"/>
      <c r="J3" s="810"/>
      <c r="K3" s="810"/>
      <c r="L3" s="810"/>
      <c r="M3" s="810"/>
      <c r="N3" s="810"/>
      <c r="O3" s="810"/>
      <c r="P3" s="810"/>
      <c r="Q3" s="810"/>
      <c r="R3" s="810"/>
      <c r="S3" s="810"/>
      <c r="T3" s="810"/>
      <c r="U3" s="810"/>
    </row>
    <row r="4" spans="1:24" ht="15" customHeight="1" x14ac:dyDescent="0.3">
      <c r="A4" s="15"/>
      <c r="U4" s="18"/>
    </row>
    <row r="5" spans="1:24" s="15" customFormat="1" ht="15" customHeight="1" x14ac:dyDescent="0.3">
      <c r="A5" s="20" t="s">
        <v>170</v>
      </c>
      <c r="B5" s="21"/>
      <c r="C5" s="22"/>
      <c r="D5" s="22"/>
      <c r="E5" s="22"/>
      <c r="F5" s="22"/>
      <c r="G5" s="22"/>
      <c r="H5" s="22"/>
      <c r="I5" s="22"/>
      <c r="J5" s="22"/>
      <c r="K5" s="23"/>
      <c r="M5" s="23"/>
      <c r="N5" s="23"/>
      <c r="O5" s="23"/>
      <c r="S5" s="23"/>
      <c r="T5" s="23"/>
      <c r="U5" s="23"/>
      <c r="V5" s="24"/>
      <c r="W5" s="25"/>
      <c r="X5" s="25"/>
    </row>
    <row r="6" spans="1:24" s="27" customFormat="1" ht="15.5" x14ac:dyDescent="0.35">
      <c r="A6" s="208" t="s">
        <v>171</v>
      </c>
      <c r="C6" s="28"/>
      <c r="D6" s="28"/>
      <c r="E6" s="28"/>
      <c r="F6" s="28"/>
      <c r="G6" s="29"/>
      <c r="H6" s="29"/>
      <c r="I6" s="29"/>
    </row>
    <row r="7" spans="1:24" s="27" customFormat="1" ht="15.5" x14ac:dyDescent="0.35">
      <c r="A7" s="210" t="s">
        <v>172</v>
      </c>
      <c r="C7" s="31"/>
      <c r="D7" s="31"/>
      <c r="E7" s="31"/>
      <c r="F7" s="31"/>
      <c r="G7" s="29"/>
      <c r="H7" s="29"/>
      <c r="I7" s="29"/>
    </row>
    <row r="8" spans="1:24" s="27" customFormat="1" ht="15.5" x14ac:dyDescent="0.35">
      <c r="A8" s="210"/>
      <c r="C8" s="31"/>
      <c r="D8" s="31"/>
      <c r="E8" s="31"/>
      <c r="F8" s="31"/>
      <c r="G8" s="29"/>
      <c r="H8" s="29"/>
      <c r="I8" s="29"/>
    </row>
    <row r="9" spans="1:24" ht="15" customHeight="1" x14ac:dyDescent="0.3">
      <c r="A9" s="811" t="s">
        <v>173</v>
      </c>
      <c r="B9" s="811"/>
      <c r="C9" s="811"/>
      <c r="D9" s="811"/>
      <c r="E9" s="811"/>
      <c r="F9" s="811"/>
      <c r="G9" s="813" t="s">
        <v>174</v>
      </c>
      <c r="H9" s="814"/>
      <c r="I9" s="814"/>
      <c r="J9" s="814"/>
      <c r="K9" s="814"/>
      <c r="L9" s="814"/>
      <c r="M9" s="815"/>
    </row>
    <row r="10" spans="1:24" s="39" customFormat="1" ht="15" customHeight="1" thickBot="1" x14ac:dyDescent="0.4">
      <c r="A10" s="812"/>
      <c r="B10" s="812"/>
      <c r="C10" s="812"/>
      <c r="D10" s="812"/>
      <c r="E10" s="812"/>
      <c r="F10" s="812"/>
      <c r="G10" s="32">
        <v>1963</v>
      </c>
      <c r="H10" s="32"/>
      <c r="I10" s="33">
        <v>405</v>
      </c>
      <c r="J10" s="32">
        <v>1183</v>
      </c>
      <c r="K10" s="33">
        <v>243</v>
      </c>
      <c r="L10" s="34"/>
      <c r="M10" s="35">
        <v>0.2359</v>
      </c>
      <c r="N10" s="36"/>
      <c r="O10" s="37"/>
      <c r="P10" s="37"/>
      <c r="Q10" s="37"/>
      <c r="R10" s="37"/>
      <c r="S10" s="37"/>
      <c r="T10" s="37"/>
      <c r="U10" s="38"/>
      <c r="V10" s="19"/>
      <c r="W10" s="19"/>
    </row>
    <row r="11" spans="1:24" s="47" customFormat="1" ht="72" customHeight="1" thickBot="1" x14ac:dyDescent="0.35">
      <c r="A11" s="40" t="s">
        <v>175</v>
      </c>
      <c r="B11" s="41" t="s">
        <v>176</v>
      </c>
      <c r="C11" s="41" t="s">
        <v>177</v>
      </c>
      <c r="D11" s="41" t="s">
        <v>178</v>
      </c>
      <c r="E11" s="41" t="s">
        <v>179</v>
      </c>
      <c r="F11" s="42" t="s">
        <v>180</v>
      </c>
      <c r="G11" s="42" t="s">
        <v>181</v>
      </c>
      <c r="H11" s="41" t="s">
        <v>182</v>
      </c>
      <c r="I11" s="41" t="s">
        <v>183</v>
      </c>
      <c r="J11" s="41" t="s">
        <v>184</v>
      </c>
      <c r="K11" s="43" t="s">
        <v>185</v>
      </c>
      <c r="L11" s="42" t="s">
        <v>186</v>
      </c>
      <c r="M11" s="43" t="s">
        <v>187</v>
      </c>
      <c r="N11" s="42" t="s">
        <v>188</v>
      </c>
      <c r="O11" s="42" t="s">
        <v>189</v>
      </c>
      <c r="P11" s="42" t="s">
        <v>190</v>
      </c>
      <c r="Q11" s="42" t="s">
        <v>191</v>
      </c>
      <c r="R11" s="43" t="s">
        <v>192</v>
      </c>
      <c r="S11" s="44" t="s">
        <v>193</v>
      </c>
      <c r="T11" s="44" t="s">
        <v>194</v>
      </c>
      <c r="U11" s="45" t="s">
        <v>195</v>
      </c>
      <c r="V11" s="46"/>
      <c r="W11" s="46"/>
    </row>
    <row r="12" spans="1:24" x14ac:dyDescent="0.3">
      <c r="A12" s="48" t="s">
        <v>196</v>
      </c>
      <c r="B12" s="49" t="s">
        <v>197</v>
      </c>
      <c r="C12" s="50">
        <v>12</v>
      </c>
      <c r="D12" s="816">
        <v>1</v>
      </c>
      <c r="E12" s="51"/>
      <c r="F12" s="51">
        <v>2.5</v>
      </c>
      <c r="G12" s="52">
        <f t="shared" ref="G12:G17" si="0">ROUND(C12*E12*$G$10,2)</f>
        <v>0</v>
      </c>
      <c r="H12" s="52"/>
      <c r="I12" s="52"/>
      <c r="J12" s="52">
        <f t="shared" ref="J12:J17" si="1">ROUND(C12*F12*$J$10,2)</f>
        <v>35490</v>
      </c>
      <c r="K12" s="52"/>
      <c r="L12" s="52">
        <f>G12+H12+I12+J12+K12</f>
        <v>35490</v>
      </c>
      <c r="M12" s="52">
        <f t="shared" ref="M12:M17" si="2">ROUND(L12*$M$10,2)</f>
        <v>8372.09</v>
      </c>
      <c r="N12" s="804">
        <v>3673</v>
      </c>
      <c r="O12" s="819">
        <v>306.08</v>
      </c>
      <c r="P12" s="53"/>
      <c r="Q12" s="53"/>
      <c r="R12" s="804">
        <f>ROUND(C12*D12*O12,2)</f>
        <v>3672.96</v>
      </c>
      <c r="S12" s="54">
        <f t="shared" ref="S12:S46" si="3">L12+M12</f>
        <v>43862.09</v>
      </c>
      <c r="T12" s="52"/>
      <c r="U12" s="807">
        <f>S12+R12+S13</f>
        <v>185821.13999999998</v>
      </c>
    </row>
    <row r="13" spans="1:24" x14ac:dyDescent="0.3">
      <c r="A13" s="55" t="s">
        <v>196</v>
      </c>
      <c r="B13" s="56" t="s">
        <v>198</v>
      </c>
      <c r="C13" s="57">
        <v>12</v>
      </c>
      <c r="D13" s="817"/>
      <c r="E13" s="58">
        <v>4.75</v>
      </c>
      <c r="F13" s="58"/>
      <c r="G13" s="59">
        <f t="shared" si="0"/>
        <v>111891</v>
      </c>
      <c r="H13" s="59"/>
      <c r="I13" s="59"/>
      <c r="J13" s="59">
        <f t="shared" si="1"/>
        <v>0</v>
      </c>
      <c r="K13" s="59"/>
      <c r="L13" s="59">
        <f>G13+H13+I13+J13+K13</f>
        <v>111891</v>
      </c>
      <c r="M13" s="59">
        <f t="shared" si="2"/>
        <v>26395.09</v>
      </c>
      <c r="N13" s="818"/>
      <c r="O13" s="820"/>
      <c r="P13" s="60"/>
      <c r="Q13" s="60"/>
      <c r="R13" s="818"/>
      <c r="S13" s="59">
        <f t="shared" si="3"/>
        <v>138286.09</v>
      </c>
      <c r="T13" s="59"/>
      <c r="U13" s="821"/>
    </row>
    <row r="14" spans="1:24" x14ac:dyDescent="0.3">
      <c r="A14" s="61" t="s">
        <v>196</v>
      </c>
      <c r="B14" s="62" t="s">
        <v>199</v>
      </c>
      <c r="C14" s="57">
        <v>12</v>
      </c>
      <c r="D14" s="63">
        <v>5</v>
      </c>
      <c r="E14" s="64">
        <v>16</v>
      </c>
      <c r="F14" s="64"/>
      <c r="G14" s="59">
        <f t="shared" si="0"/>
        <v>376896</v>
      </c>
      <c r="H14" s="65">
        <f>ROUND(C14*E14*540,2)</f>
        <v>103680</v>
      </c>
      <c r="I14" s="65"/>
      <c r="J14" s="59">
        <f t="shared" si="1"/>
        <v>0</v>
      </c>
      <c r="K14" s="65"/>
      <c r="L14" s="65">
        <f>G14+H14+I14+J14+K14</f>
        <v>480576</v>
      </c>
      <c r="M14" s="59">
        <f t="shared" si="2"/>
        <v>113367.88</v>
      </c>
      <c r="N14" s="65">
        <v>3673</v>
      </c>
      <c r="O14" s="64">
        <v>306.08</v>
      </c>
      <c r="P14" s="64"/>
      <c r="Q14" s="64"/>
      <c r="R14" s="59">
        <f>ROUND(C14*D14*O14,2)</f>
        <v>18364.8</v>
      </c>
      <c r="S14" s="59">
        <f t="shared" si="3"/>
        <v>593943.88</v>
      </c>
      <c r="T14" s="65"/>
      <c r="U14" s="66">
        <f t="shared" ref="U14:U16" si="4">S14+R14</f>
        <v>612308.68000000005</v>
      </c>
    </row>
    <row r="15" spans="1:24" x14ac:dyDescent="0.3">
      <c r="A15" s="61" t="s">
        <v>196</v>
      </c>
      <c r="B15" s="62" t="s">
        <v>200</v>
      </c>
      <c r="C15" s="57">
        <v>12</v>
      </c>
      <c r="D15" s="63">
        <v>1</v>
      </c>
      <c r="E15" s="64">
        <v>0.25</v>
      </c>
      <c r="F15" s="64"/>
      <c r="G15" s="59">
        <f t="shared" si="0"/>
        <v>5889</v>
      </c>
      <c r="H15" s="65"/>
      <c r="I15" s="65"/>
      <c r="J15" s="59">
        <f t="shared" si="1"/>
        <v>0</v>
      </c>
      <c r="K15" s="65"/>
      <c r="L15" s="65">
        <f t="shared" ref="L15:L28" si="5">ROUNDDOWN(G15+H15+I15+J15+K15,0)</f>
        <v>5889</v>
      </c>
      <c r="M15" s="59">
        <f t="shared" si="2"/>
        <v>1389.22</v>
      </c>
      <c r="N15" s="65">
        <v>3673</v>
      </c>
      <c r="O15" s="64">
        <v>306.08</v>
      </c>
      <c r="P15" s="64"/>
      <c r="Q15" s="64"/>
      <c r="R15" s="59">
        <f>ROUND(C15*E15*O15,2)</f>
        <v>918.24</v>
      </c>
      <c r="S15" s="59">
        <f t="shared" si="3"/>
        <v>7278.22</v>
      </c>
      <c r="T15" s="65"/>
      <c r="U15" s="66">
        <f t="shared" si="4"/>
        <v>8196.4600000000009</v>
      </c>
      <c r="V15" s="67"/>
    </row>
    <row r="16" spans="1:24" x14ac:dyDescent="0.3">
      <c r="A16" s="68" t="s">
        <v>196</v>
      </c>
      <c r="B16" s="69" t="s">
        <v>201</v>
      </c>
      <c r="C16" s="70">
        <v>12</v>
      </c>
      <c r="D16" s="34">
        <v>1</v>
      </c>
      <c r="E16" s="71">
        <v>0.75</v>
      </c>
      <c r="F16" s="71"/>
      <c r="G16" s="32">
        <f t="shared" si="0"/>
        <v>17667</v>
      </c>
      <c r="H16" s="72">
        <f>ROUND(C16*E16*540,2)</f>
        <v>4860</v>
      </c>
      <c r="I16" s="72"/>
      <c r="J16" s="32">
        <f t="shared" si="1"/>
        <v>0</v>
      </c>
      <c r="K16" s="72"/>
      <c r="L16" s="72">
        <f t="shared" si="5"/>
        <v>22527</v>
      </c>
      <c r="M16" s="32">
        <f t="shared" si="2"/>
        <v>5314.12</v>
      </c>
      <c r="N16" s="72">
        <v>3673</v>
      </c>
      <c r="O16" s="71">
        <v>306.08</v>
      </c>
      <c r="P16" s="71"/>
      <c r="Q16" s="71"/>
      <c r="R16" s="32">
        <f>ROUND(C16*E16*O16,2)</f>
        <v>2754.72</v>
      </c>
      <c r="S16" s="59">
        <f t="shared" si="3"/>
        <v>27841.119999999999</v>
      </c>
      <c r="T16" s="72"/>
      <c r="U16" s="73">
        <f t="shared" si="4"/>
        <v>30595.84</v>
      </c>
      <c r="V16" s="67"/>
    </row>
    <row r="17" spans="1:24" ht="14.5" thickBot="1" x14ac:dyDescent="0.35">
      <c r="A17" s="74" t="s">
        <v>196</v>
      </c>
      <c r="B17" s="75" t="s">
        <v>202</v>
      </c>
      <c r="C17" s="76">
        <v>12</v>
      </c>
      <c r="D17" s="76">
        <v>2</v>
      </c>
      <c r="E17" s="77">
        <v>3</v>
      </c>
      <c r="F17" s="78"/>
      <c r="G17" s="79">
        <f t="shared" si="0"/>
        <v>70668</v>
      </c>
      <c r="H17" s="79"/>
      <c r="I17" s="80"/>
      <c r="J17" s="79">
        <f t="shared" si="1"/>
        <v>0</v>
      </c>
      <c r="K17" s="80"/>
      <c r="L17" s="81">
        <f>G17+H17+I17+J17+K17</f>
        <v>70668</v>
      </c>
      <c r="M17" s="79">
        <f t="shared" si="2"/>
        <v>16670.580000000002</v>
      </c>
      <c r="N17" s="81">
        <v>3673</v>
      </c>
      <c r="O17" s="77">
        <v>306.08</v>
      </c>
      <c r="P17" s="77"/>
      <c r="Q17" s="77"/>
      <c r="R17" s="79">
        <f>ROUND(C17*D17*O17,2)</f>
        <v>7345.92</v>
      </c>
      <c r="S17" s="79">
        <f>L17+M17</f>
        <v>87338.58</v>
      </c>
      <c r="T17" s="79"/>
      <c r="U17" s="82">
        <f>S17+R17</f>
        <v>94684.5</v>
      </c>
      <c r="V17" s="83"/>
    </row>
    <row r="18" spans="1:24" s="19" customFormat="1" ht="14.5" thickBot="1" x14ac:dyDescent="0.35">
      <c r="A18" s="84" t="s">
        <v>196</v>
      </c>
      <c r="B18" s="75" t="s">
        <v>203</v>
      </c>
      <c r="C18" s="85"/>
      <c r="D18" s="76"/>
      <c r="E18" s="77"/>
      <c r="F18" s="77"/>
      <c r="G18" s="79"/>
      <c r="H18" s="81"/>
      <c r="I18" s="81"/>
      <c r="J18" s="79"/>
      <c r="K18" s="81"/>
      <c r="L18" s="81"/>
      <c r="M18" s="79"/>
      <c r="N18" s="81"/>
      <c r="O18" s="77"/>
      <c r="P18" s="77"/>
      <c r="Q18" s="77"/>
      <c r="R18" s="79"/>
      <c r="S18" s="86"/>
      <c r="T18" s="81">
        <v>8640</v>
      </c>
      <c r="U18" s="82">
        <f>T18</f>
        <v>8640</v>
      </c>
      <c r="X18" s="16"/>
    </row>
    <row r="19" spans="1:24" s="19" customFormat="1" x14ac:dyDescent="0.3">
      <c r="A19" s="87" t="s">
        <v>204</v>
      </c>
      <c r="B19" s="49" t="s">
        <v>197</v>
      </c>
      <c r="C19" s="50">
        <v>12</v>
      </c>
      <c r="D19" s="795">
        <v>1</v>
      </c>
      <c r="E19" s="88"/>
      <c r="F19" s="88">
        <v>1</v>
      </c>
      <c r="G19" s="52">
        <f>ROUND(C19*E19*$G$10,2)</f>
        <v>0</v>
      </c>
      <c r="H19" s="89"/>
      <c r="I19" s="89"/>
      <c r="J19" s="52">
        <f>ROUND(C19*F19*$J$10,2)</f>
        <v>14196</v>
      </c>
      <c r="K19" s="89"/>
      <c r="L19" s="90">
        <f t="shared" si="5"/>
        <v>14196</v>
      </c>
      <c r="M19" s="52">
        <f>ROUND(L19*$M$10,2)</f>
        <v>3348.84</v>
      </c>
      <c r="N19" s="798">
        <v>3673</v>
      </c>
      <c r="O19" s="801">
        <v>306.08</v>
      </c>
      <c r="P19" s="91"/>
      <c r="Q19" s="91"/>
      <c r="R19" s="804">
        <f>ROUND(C19*D19*O19,2)</f>
        <v>3672.96</v>
      </c>
      <c r="S19" s="90">
        <f>L19+M19</f>
        <v>17544.84</v>
      </c>
      <c r="T19" s="90"/>
      <c r="U19" s="807">
        <f>S19+R19+S20+S21</f>
        <v>87452.15</v>
      </c>
      <c r="X19" s="16"/>
    </row>
    <row r="20" spans="1:24" s="19" customFormat="1" x14ac:dyDescent="0.3">
      <c r="A20" s="92" t="s">
        <v>204</v>
      </c>
      <c r="B20" s="56" t="s">
        <v>198</v>
      </c>
      <c r="C20" s="57">
        <v>12</v>
      </c>
      <c r="D20" s="796"/>
      <c r="E20" s="64">
        <v>1</v>
      </c>
      <c r="F20" s="64"/>
      <c r="G20" s="59">
        <f>ROUND(C20*E20*$G$10,2)</f>
        <v>23556</v>
      </c>
      <c r="H20" s="93"/>
      <c r="I20" s="93"/>
      <c r="J20" s="59">
        <f>ROUND(C20*F20*$J$10,2)</f>
        <v>0</v>
      </c>
      <c r="K20" s="93"/>
      <c r="L20" s="65">
        <f t="shared" si="5"/>
        <v>23556</v>
      </c>
      <c r="M20" s="59">
        <f>ROUND(L20*$M$10,2)</f>
        <v>5556.86</v>
      </c>
      <c r="N20" s="799"/>
      <c r="O20" s="802"/>
      <c r="P20" s="94"/>
      <c r="Q20" s="94"/>
      <c r="R20" s="805"/>
      <c r="S20" s="65">
        <f t="shared" si="3"/>
        <v>29112.86</v>
      </c>
      <c r="T20" s="65"/>
      <c r="U20" s="808"/>
      <c r="X20" s="16"/>
    </row>
    <row r="21" spans="1:24" s="19" customFormat="1" ht="14.5" thickBot="1" x14ac:dyDescent="0.35">
      <c r="A21" s="95" t="s">
        <v>204</v>
      </c>
      <c r="B21" s="96" t="s">
        <v>199</v>
      </c>
      <c r="C21" s="70">
        <v>12</v>
      </c>
      <c r="D21" s="797"/>
      <c r="E21" s="71">
        <v>1</v>
      </c>
      <c r="F21" s="71"/>
      <c r="G21" s="32">
        <f>ROUND(C21*E21*$G$10,2)</f>
        <v>23556</v>
      </c>
      <c r="H21" s="97">
        <f>ROUND(C21*E21*540,2)</f>
        <v>6480</v>
      </c>
      <c r="I21" s="97"/>
      <c r="J21" s="32">
        <f>ROUND(C21*F21*$J$10,2)</f>
        <v>0</v>
      </c>
      <c r="K21" s="97"/>
      <c r="L21" s="72">
        <f t="shared" si="5"/>
        <v>30036</v>
      </c>
      <c r="M21" s="32">
        <f>ROUND(L21*$M$10,2)</f>
        <v>7085.49</v>
      </c>
      <c r="N21" s="800"/>
      <c r="O21" s="803"/>
      <c r="P21" s="98"/>
      <c r="Q21" s="98"/>
      <c r="R21" s="806"/>
      <c r="S21" s="72">
        <f t="shared" si="3"/>
        <v>37121.49</v>
      </c>
      <c r="T21" s="72"/>
      <c r="U21" s="809"/>
      <c r="V21" s="83"/>
      <c r="X21" s="16"/>
    </row>
    <row r="22" spans="1:24" s="19" customFormat="1" ht="14.5" thickBot="1" x14ac:dyDescent="0.35">
      <c r="A22" s="99" t="s">
        <v>204</v>
      </c>
      <c r="B22" s="100" t="s">
        <v>203</v>
      </c>
      <c r="C22" s="101"/>
      <c r="D22" s="102"/>
      <c r="E22" s="103"/>
      <c r="F22" s="103"/>
      <c r="G22" s="104"/>
      <c r="H22" s="105"/>
      <c r="I22" s="105"/>
      <c r="J22" s="104"/>
      <c r="K22" s="105"/>
      <c r="L22" s="105"/>
      <c r="M22" s="104"/>
      <c r="N22" s="105"/>
      <c r="O22" s="103"/>
      <c r="P22" s="103"/>
      <c r="Q22" s="103"/>
      <c r="R22" s="104"/>
      <c r="S22" s="104"/>
      <c r="T22" s="105">
        <v>3678</v>
      </c>
      <c r="U22" s="106">
        <f>T22</f>
        <v>3678</v>
      </c>
      <c r="X22" s="16"/>
    </row>
    <row r="23" spans="1:24" s="19" customFormat="1" x14ac:dyDescent="0.3">
      <c r="A23" s="87" t="s">
        <v>205</v>
      </c>
      <c r="B23" s="49" t="s">
        <v>197</v>
      </c>
      <c r="C23" s="50">
        <v>12</v>
      </c>
      <c r="D23" s="795">
        <v>1</v>
      </c>
      <c r="E23" s="107"/>
      <c r="F23" s="88">
        <v>1</v>
      </c>
      <c r="G23" s="52">
        <f>ROUND(C23*E23*$G$10,2)</f>
        <v>0</v>
      </c>
      <c r="H23" s="89"/>
      <c r="I23" s="89"/>
      <c r="J23" s="52">
        <f>ROUND(C23*F23*$J$10,2)</f>
        <v>14196</v>
      </c>
      <c r="K23" s="89"/>
      <c r="L23" s="90">
        <f t="shared" si="5"/>
        <v>14196</v>
      </c>
      <c r="M23" s="52">
        <f>ROUND(L23*$M$10,2)</f>
        <v>3348.84</v>
      </c>
      <c r="N23" s="798">
        <v>3673</v>
      </c>
      <c r="O23" s="801">
        <v>306.08</v>
      </c>
      <c r="P23" s="91"/>
      <c r="Q23" s="91"/>
      <c r="R23" s="804">
        <f>ROUND(C23*D23*O23,2)</f>
        <v>3672.96</v>
      </c>
      <c r="S23" s="90">
        <f t="shared" si="3"/>
        <v>17544.84</v>
      </c>
      <c r="T23" s="90"/>
      <c r="U23" s="807">
        <f>S23+R23+S24+S25</f>
        <v>131851.85999999999</v>
      </c>
      <c r="X23" s="16"/>
    </row>
    <row r="24" spans="1:24" s="19" customFormat="1" x14ac:dyDescent="0.3">
      <c r="A24" s="92" t="s">
        <v>205</v>
      </c>
      <c r="B24" s="56" t="s">
        <v>198</v>
      </c>
      <c r="C24" s="57">
        <v>12</v>
      </c>
      <c r="D24" s="796"/>
      <c r="E24" s="64">
        <v>1.25</v>
      </c>
      <c r="F24" s="108"/>
      <c r="G24" s="59">
        <f>ROUND(C24*E24*$G$10,2)</f>
        <v>29445</v>
      </c>
      <c r="H24" s="93"/>
      <c r="I24" s="93"/>
      <c r="J24" s="59">
        <f>ROUND(C24*F24*$J$10,2)</f>
        <v>0</v>
      </c>
      <c r="K24" s="93"/>
      <c r="L24" s="65">
        <f t="shared" si="5"/>
        <v>29445</v>
      </c>
      <c r="M24" s="59">
        <f>ROUND(L24*$M$10,2)</f>
        <v>6946.08</v>
      </c>
      <c r="N24" s="799"/>
      <c r="O24" s="802"/>
      <c r="P24" s="94"/>
      <c r="Q24" s="94"/>
      <c r="R24" s="805"/>
      <c r="S24" s="65">
        <f t="shared" si="3"/>
        <v>36391.08</v>
      </c>
      <c r="T24" s="65"/>
      <c r="U24" s="808"/>
      <c r="X24" s="16"/>
    </row>
    <row r="25" spans="1:24" s="19" customFormat="1" ht="14.5" thickBot="1" x14ac:dyDescent="0.35">
      <c r="A25" s="95" t="s">
        <v>205</v>
      </c>
      <c r="B25" s="96" t="s">
        <v>199</v>
      </c>
      <c r="C25" s="70">
        <v>12</v>
      </c>
      <c r="D25" s="797"/>
      <c r="E25" s="71">
        <v>2</v>
      </c>
      <c r="F25" s="109"/>
      <c r="G25" s="32">
        <f>ROUND(C25*E25*$G$10,2)</f>
        <v>47112</v>
      </c>
      <c r="H25" s="97">
        <f>ROUND(C25*E25*540,2)</f>
        <v>12960</v>
      </c>
      <c r="I25" s="97"/>
      <c r="J25" s="32">
        <f>ROUND(C25*F25*$J$10,2)</f>
        <v>0</v>
      </c>
      <c r="K25" s="97"/>
      <c r="L25" s="72">
        <f t="shared" si="5"/>
        <v>60072</v>
      </c>
      <c r="M25" s="32">
        <f>ROUND(L25*$M$10,2)</f>
        <v>14170.98</v>
      </c>
      <c r="N25" s="800"/>
      <c r="O25" s="803"/>
      <c r="P25" s="98"/>
      <c r="Q25" s="98"/>
      <c r="R25" s="806"/>
      <c r="S25" s="72">
        <f t="shared" si="3"/>
        <v>74242.98</v>
      </c>
      <c r="T25" s="72"/>
      <c r="U25" s="809"/>
      <c r="V25" s="83"/>
      <c r="X25" s="16"/>
    </row>
    <row r="26" spans="1:24" s="19" customFormat="1" ht="14.5" thickBot="1" x14ac:dyDescent="0.35">
      <c r="A26" s="99" t="s">
        <v>205</v>
      </c>
      <c r="B26" s="100" t="s">
        <v>203</v>
      </c>
      <c r="C26" s="101"/>
      <c r="D26" s="102"/>
      <c r="E26" s="103"/>
      <c r="F26" s="103"/>
      <c r="G26" s="104"/>
      <c r="H26" s="105"/>
      <c r="I26" s="105"/>
      <c r="J26" s="104"/>
      <c r="K26" s="105"/>
      <c r="L26" s="105"/>
      <c r="M26" s="104"/>
      <c r="N26" s="105"/>
      <c r="O26" s="103"/>
      <c r="P26" s="103"/>
      <c r="Q26" s="103"/>
      <c r="R26" s="104"/>
      <c r="S26" s="104"/>
      <c r="T26" s="105">
        <v>2733</v>
      </c>
      <c r="U26" s="106">
        <f>T26</f>
        <v>2733</v>
      </c>
      <c r="X26" s="16"/>
    </row>
    <row r="27" spans="1:24" s="19" customFormat="1" x14ac:dyDescent="0.3">
      <c r="A27" s="87" t="s">
        <v>206</v>
      </c>
      <c r="B27" s="49" t="s">
        <v>197</v>
      </c>
      <c r="C27" s="50">
        <v>12</v>
      </c>
      <c r="D27" s="795">
        <v>1</v>
      </c>
      <c r="E27" s="88"/>
      <c r="F27" s="88">
        <v>1</v>
      </c>
      <c r="G27" s="52">
        <f t="shared" ref="G27:G46" si="6">ROUND(C27*E27*$G$10,2)</f>
        <v>0</v>
      </c>
      <c r="H27" s="89"/>
      <c r="I27" s="89"/>
      <c r="J27" s="52">
        <f t="shared" ref="J27:J46" si="7">ROUND(C27*F27*$J$10,2)</f>
        <v>14196</v>
      </c>
      <c r="K27" s="89"/>
      <c r="L27" s="90">
        <f t="shared" si="5"/>
        <v>14196</v>
      </c>
      <c r="M27" s="52">
        <f t="shared" ref="M27:M46" si="8">ROUND(L27*$M$10,2)</f>
        <v>3348.84</v>
      </c>
      <c r="N27" s="798">
        <v>3673</v>
      </c>
      <c r="O27" s="801">
        <v>306.08</v>
      </c>
      <c r="P27" s="91"/>
      <c r="Q27" s="91"/>
      <c r="R27" s="804">
        <f>ROUND(C27*D27*O27,2)</f>
        <v>3672.96</v>
      </c>
      <c r="S27" s="90">
        <f t="shared" si="3"/>
        <v>17544.84</v>
      </c>
      <c r="T27" s="90"/>
      <c r="U27" s="807">
        <f>S27+R27+S28+S29</f>
        <v>148410.45000000001</v>
      </c>
      <c r="X27" s="16"/>
    </row>
    <row r="28" spans="1:24" s="19" customFormat="1" x14ac:dyDescent="0.3">
      <c r="A28" s="92" t="s">
        <v>206</v>
      </c>
      <c r="B28" s="56" t="s">
        <v>198</v>
      </c>
      <c r="C28" s="57">
        <v>12</v>
      </c>
      <c r="D28" s="796"/>
      <c r="E28" s="64">
        <v>1.5</v>
      </c>
      <c r="F28" s="64"/>
      <c r="G28" s="59">
        <f t="shared" si="6"/>
        <v>35334</v>
      </c>
      <c r="H28" s="93"/>
      <c r="I28" s="93"/>
      <c r="J28" s="59">
        <f t="shared" si="7"/>
        <v>0</v>
      </c>
      <c r="K28" s="93"/>
      <c r="L28" s="65">
        <f t="shared" si="5"/>
        <v>35334</v>
      </c>
      <c r="M28" s="59">
        <f t="shared" si="8"/>
        <v>8335.2900000000009</v>
      </c>
      <c r="N28" s="799"/>
      <c r="O28" s="802"/>
      <c r="P28" s="94"/>
      <c r="Q28" s="94"/>
      <c r="R28" s="805"/>
      <c r="S28" s="65">
        <f t="shared" si="3"/>
        <v>43669.29</v>
      </c>
      <c r="T28" s="65"/>
      <c r="U28" s="808"/>
      <c r="X28" s="16"/>
    </row>
    <row r="29" spans="1:24" s="19" customFormat="1" ht="14.5" thickBot="1" x14ac:dyDescent="0.35">
      <c r="A29" s="61" t="s">
        <v>206</v>
      </c>
      <c r="B29" s="62" t="s">
        <v>199</v>
      </c>
      <c r="C29" s="57">
        <v>12</v>
      </c>
      <c r="D29" s="797"/>
      <c r="E29" s="64">
        <v>2.25</v>
      </c>
      <c r="F29" s="64"/>
      <c r="G29" s="59">
        <f t="shared" si="6"/>
        <v>53001</v>
      </c>
      <c r="H29" s="65">
        <f>ROUND(C29*E29*540,2)</f>
        <v>14580</v>
      </c>
      <c r="I29" s="65"/>
      <c r="J29" s="59">
        <f t="shared" si="7"/>
        <v>0</v>
      </c>
      <c r="K29" s="65"/>
      <c r="L29" s="65">
        <f>G29+H29+I29+J29+K29</f>
        <v>67581</v>
      </c>
      <c r="M29" s="59">
        <f t="shared" si="8"/>
        <v>15942.36</v>
      </c>
      <c r="N29" s="800"/>
      <c r="O29" s="803"/>
      <c r="P29" s="98"/>
      <c r="Q29" s="98"/>
      <c r="R29" s="806"/>
      <c r="S29" s="59">
        <f t="shared" si="3"/>
        <v>83523.360000000001</v>
      </c>
      <c r="T29" s="65"/>
      <c r="U29" s="809"/>
      <c r="V29" s="83"/>
      <c r="X29" s="16"/>
    </row>
    <row r="30" spans="1:24" s="19" customFormat="1" x14ac:dyDescent="0.3">
      <c r="A30" s="87" t="s">
        <v>207</v>
      </c>
      <c r="B30" s="49" t="s">
        <v>197</v>
      </c>
      <c r="C30" s="50">
        <v>12</v>
      </c>
      <c r="D30" s="795">
        <v>1</v>
      </c>
      <c r="E30" s="88"/>
      <c r="F30" s="88">
        <v>1</v>
      </c>
      <c r="G30" s="52">
        <f t="shared" si="6"/>
        <v>0</v>
      </c>
      <c r="H30" s="89"/>
      <c r="I30" s="89"/>
      <c r="J30" s="52">
        <f t="shared" si="7"/>
        <v>14196</v>
      </c>
      <c r="K30" s="89"/>
      <c r="L30" s="90">
        <f>ROUNDDOWN(G30+H30+I30+J30+K30,0)</f>
        <v>14196</v>
      </c>
      <c r="M30" s="52">
        <f t="shared" si="8"/>
        <v>3348.84</v>
      </c>
      <c r="N30" s="798">
        <v>3673</v>
      </c>
      <c r="O30" s="801">
        <v>306.08</v>
      </c>
      <c r="P30" s="91"/>
      <c r="Q30" s="91"/>
      <c r="R30" s="804">
        <f>ROUND(C30*D30*O30,2)</f>
        <v>3672.96</v>
      </c>
      <c r="S30" s="90">
        <f t="shared" si="3"/>
        <v>17544.84</v>
      </c>
      <c r="T30" s="90"/>
      <c r="U30" s="807">
        <f>S30+R30+S31+S32</f>
        <v>127847.54999999999</v>
      </c>
      <c r="X30" s="16"/>
    </row>
    <row r="31" spans="1:24" s="19" customFormat="1" x14ac:dyDescent="0.3">
      <c r="A31" s="92" t="s">
        <v>207</v>
      </c>
      <c r="B31" s="56" t="s">
        <v>198</v>
      </c>
      <c r="C31" s="57">
        <v>12</v>
      </c>
      <c r="D31" s="796"/>
      <c r="E31" s="64">
        <v>1.75</v>
      </c>
      <c r="F31" s="64"/>
      <c r="G31" s="59">
        <f t="shared" si="6"/>
        <v>41223</v>
      </c>
      <c r="H31" s="93"/>
      <c r="I31" s="93"/>
      <c r="J31" s="59">
        <f t="shared" si="7"/>
        <v>0</v>
      </c>
      <c r="K31" s="93"/>
      <c r="L31" s="65">
        <f>ROUNDDOWN(G31+H31+I31+J31+K31,0)</f>
        <v>41223</v>
      </c>
      <c r="M31" s="59">
        <f t="shared" si="8"/>
        <v>9724.51</v>
      </c>
      <c r="N31" s="799"/>
      <c r="O31" s="802"/>
      <c r="P31" s="94"/>
      <c r="Q31" s="94"/>
      <c r="R31" s="805"/>
      <c r="S31" s="65">
        <f t="shared" si="3"/>
        <v>50947.51</v>
      </c>
      <c r="T31" s="65"/>
      <c r="U31" s="808"/>
      <c r="X31" s="16"/>
    </row>
    <row r="32" spans="1:24" s="19" customFormat="1" ht="14.5" thickBot="1" x14ac:dyDescent="0.35">
      <c r="A32" s="84" t="s">
        <v>207</v>
      </c>
      <c r="B32" s="75" t="s">
        <v>199</v>
      </c>
      <c r="C32" s="85">
        <v>12</v>
      </c>
      <c r="D32" s="797"/>
      <c r="E32" s="77">
        <v>1.5</v>
      </c>
      <c r="F32" s="77"/>
      <c r="G32" s="79">
        <f t="shared" si="6"/>
        <v>35334</v>
      </c>
      <c r="H32" s="81">
        <f>ROUND(C32*E32*540,2)</f>
        <v>9720</v>
      </c>
      <c r="I32" s="81"/>
      <c r="J32" s="79">
        <f t="shared" si="7"/>
        <v>0</v>
      </c>
      <c r="K32" s="81"/>
      <c r="L32" s="81">
        <f>G32+H32+I32+J32+K32</f>
        <v>45054</v>
      </c>
      <c r="M32" s="79">
        <f t="shared" si="8"/>
        <v>10628.24</v>
      </c>
      <c r="N32" s="800"/>
      <c r="O32" s="803"/>
      <c r="P32" s="98"/>
      <c r="Q32" s="98"/>
      <c r="R32" s="806"/>
      <c r="S32" s="79">
        <f t="shared" si="3"/>
        <v>55682.239999999998</v>
      </c>
      <c r="T32" s="81"/>
      <c r="U32" s="809"/>
      <c r="V32" s="83"/>
      <c r="X32" s="16"/>
    </row>
    <row r="33" spans="1:24" s="19" customFormat="1" x14ac:dyDescent="0.3">
      <c r="A33" s="110" t="s">
        <v>208</v>
      </c>
      <c r="B33" s="111" t="s">
        <v>197</v>
      </c>
      <c r="C33" s="112">
        <v>12</v>
      </c>
      <c r="D33" s="795">
        <v>1</v>
      </c>
      <c r="E33" s="113"/>
      <c r="F33" s="114">
        <v>1</v>
      </c>
      <c r="G33" s="115">
        <f t="shared" si="6"/>
        <v>0</v>
      </c>
      <c r="H33" s="116"/>
      <c r="I33" s="116"/>
      <c r="J33" s="115">
        <f t="shared" si="7"/>
        <v>14196</v>
      </c>
      <c r="K33" s="116"/>
      <c r="L33" s="117">
        <f t="shared" ref="L33:L38" si="9">ROUNDDOWN(G33+H33+I33+J33+K33,0)</f>
        <v>14196</v>
      </c>
      <c r="M33" s="115">
        <f t="shared" si="8"/>
        <v>3348.84</v>
      </c>
      <c r="N33" s="798">
        <v>3673</v>
      </c>
      <c r="O33" s="801">
        <v>306.08</v>
      </c>
      <c r="P33" s="91"/>
      <c r="Q33" s="91"/>
      <c r="R33" s="804">
        <f>ROUND(C33*D33*O33,2)</f>
        <v>3672.96</v>
      </c>
      <c r="S33" s="117">
        <f t="shared" si="3"/>
        <v>17544.84</v>
      </c>
      <c r="T33" s="118"/>
      <c r="U33" s="807">
        <f>S33+R33+S34+S35</f>
        <v>106012.9</v>
      </c>
      <c r="X33" s="16"/>
    </row>
    <row r="34" spans="1:24" x14ac:dyDescent="0.3">
      <c r="A34" s="92" t="s">
        <v>208</v>
      </c>
      <c r="B34" s="56" t="s">
        <v>198</v>
      </c>
      <c r="C34" s="57">
        <v>12</v>
      </c>
      <c r="D34" s="796"/>
      <c r="E34" s="64">
        <v>1</v>
      </c>
      <c r="F34" s="108"/>
      <c r="G34" s="59">
        <f t="shared" si="6"/>
        <v>23556</v>
      </c>
      <c r="H34" s="93"/>
      <c r="I34" s="93"/>
      <c r="J34" s="59">
        <f t="shared" si="7"/>
        <v>0</v>
      </c>
      <c r="K34" s="93"/>
      <c r="L34" s="65">
        <f t="shared" si="9"/>
        <v>23556</v>
      </c>
      <c r="M34" s="59">
        <f t="shared" si="8"/>
        <v>5556.86</v>
      </c>
      <c r="N34" s="799"/>
      <c r="O34" s="802"/>
      <c r="P34" s="94"/>
      <c r="Q34" s="94"/>
      <c r="R34" s="805"/>
      <c r="S34" s="65">
        <f t="shared" si="3"/>
        <v>29112.86</v>
      </c>
      <c r="T34" s="119"/>
      <c r="U34" s="808"/>
    </row>
    <row r="35" spans="1:24" ht="14.5" thickBot="1" x14ac:dyDescent="0.35">
      <c r="A35" s="74" t="s">
        <v>208</v>
      </c>
      <c r="B35" s="75" t="s">
        <v>199</v>
      </c>
      <c r="C35" s="85">
        <v>12</v>
      </c>
      <c r="D35" s="797"/>
      <c r="E35" s="77">
        <v>1.5</v>
      </c>
      <c r="F35" s="78"/>
      <c r="G35" s="79">
        <f t="shared" si="6"/>
        <v>35334</v>
      </c>
      <c r="H35" s="81">
        <f>ROUND(C35*E35*540,2)</f>
        <v>9720</v>
      </c>
      <c r="I35" s="80"/>
      <c r="J35" s="79">
        <f t="shared" si="7"/>
        <v>0</v>
      </c>
      <c r="K35" s="80"/>
      <c r="L35" s="81">
        <f t="shared" si="9"/>
        <v>45054</v>
      </c>
      <c r="M35" s="79">
        <f t="shared" si="8"/>
        <v>10628.24</v>
      </c>
      <c r="N35" s="800"/>
      <c r="O35" s="803"/>
      <c r="P35" s="98"/>
      <c r="Q35" s="98"/>
      <c r="R35" s="806"/>
      <c r="S35" s="81">
        <f t="shared" si="3"/>
        <v>55682.239999999998</v>
      </c>
      <c r="T35" s="120"/>
      <c r="U35" s="809"/>
      <c r="V35" s="83"/>
    </row>
    <row r="36" spans="1:24" x14ac:dyDescent="0.3">
      <c r="A36" s="87" t="s">
        <v>209</v>
      </c>
      <c r="B36" s="49" t="s">
        <v>198</v>
      </c>
      <c r="C36" s="50">
        <v>12</v>
      </c>
      <c r="D36" s="795">
        <v>1</v>
      </c>
      <c r="E36" s="88">
        <v>1</v>
      </c>
      <c r="F36" s="107"/>
      <c r="G36" s="52">
        <f t="shared" si="6"/>
        <v>23556</v>
      </c>
      <c r="H36" s="89"/>
      <c r="I36" s="89"/>
      <c r="J36" s="52">
        <f t="shared" si="7"/>
        <v>0</v>
      </c>
      <c r="K36" s="89"/>
      <c r="L36" s="90">
        <f t="shared" si="9"/>
        <v>23556</v>
      </c>
      <c r="M36" s="52">
        <f t="shared" si="8"/>
        <v>5556.86</v>
      </c>
      <c r="N36" s="798">
        <v>3673</v>
      </c>
      <c r="O36" s="801">
        <v>306.08</v>
      </c>
      <c r="P36" s="91"/>
      <c r="Q36" s="91"/>
      <c r="R36" s="804">
        <f>ROUND(C36*D36*O36,2)</f>
        <v>3672.96</v>
      </c>
      <c r="S36" s="90">
        <f t="shared" si="3"/>
        <v>29112.86</v>
      </c>
      <c r="T36" s="121"/>
      <c r="U36" s="807">
        <f>S36+R36+S37+S38</f>
        <v>107028.79999999999</v>
      </c>
    </row>
    <row r="37" spans="1:24" x14ac:dyDescent="0.3">
      <c r="A37" s="95" t="s">
        <v>209</v>
      </c>
      <c r="B37" s="69" t="s">
        <v>199</v>
      </c>
      <c r="C37" s="70">
        <v>12</v>
      </c>
      <c r="D37" s="796"/>
      <c r="E37" s="71">
        <v>1.75</v>
      </c>
      <c r="F37" s="109"/>
      <c r="G37" s="32">
        <f t="shared" si="6"/>
        <v>41223</v>
      </c>
      <c r="H37" s="32">
        <f>ROUND(C37*E37*540,2)</f>
        <v>11340</v>
      </c>
      <c r="I37" s="97"/>
      <c r="J37" s="32">
        <f t="shared" si="7"/>
        <v>0</v>
      </c>
      <c r="K37" s="97"/>
      <c r="L37" s="72">
        <f t="shared" si="9"/>
        <v>52563</v>
      </c>
      <c r="M37" s="32">
        <f t="shared" si="8"/>
        <v>12399.61</v>
      </c>
      <c r="N37" s="799"/>
      <c r="O37" s="802"/>
      <c r="P37" s="94"/>
      <c r="Q37" s="94"/>
      <c r="R37" s="805"/>
      <c r="S37" s="65">
        <f t="shared" si="3"/>
        <v>64962.61</v>
      </c>
      <c r="T37" s="122"/>
      <c r="U37" s="808"/>
    </row>
    <row r="38" spans="1:24" ht="14.5" thickBot="1" x14ac:dyDescent="0.35">
      <c r="A38" s="74" t="s">
        <v>209</v>
      </c>
      <c r="B38" s="75" t="s">
        <v>210</v>
      </c>
      <c r="C38" s="85">
        <v>12</v>
      </c>
      <c r="D38" s="797"/>
      <c r="E38" s="77">
        <v>0.25</v>
      </c>
      <c r="F38" s="77"/>
      <c r="G38" s="79">
        <f t="shared" si="6"/>
        <v>5889</v>
      </c>
      <c r="H38" s="81">
        <f>ROUND(C38*E38*540,2)</f>
        <v>1620</v>
      </c>
      <c r="I38" s="81"/>
      <c r="J38" s="79">
        <f t="shared" si="7"/>
        <v>0</v>
      </c>
      <c r="K38" s="81"/>
      <c r="L38" s="81">
        <f t="shared" si="9"/>
        <v>7509</v>
      </c>
      <c r="M38" s="79">
        <f t="shared" si="8"/>
        <v>1771.37</v>
      </c>
      <c r="N38" s="800"/>
      <c r="O38" s="803"/>
      <c r="P38" s="98"/>
      <c r="Q38" s="98"/>
      <c r="R38" s="806"/>
      <c r="S38" s="86">
        <f t="shared" si="3"/>
        <v>9280.369999999999</v>
      </c>
      <c r="T38" s="81"/>
      <c r="U38" s="809"/>
      <c r="V38" s="83"/>
    </row>
    <row r="39" spans="1:24" x14ac:dyDescent="0.3">
      <c r="A39" s="87" t="s">
        <v>211</v>
      </c>
      <c r="B39" s="123" t="s">
        <v>212</v>
      </c>
      <c r="C39" s="124">
        <v>12</v>
      </c>
      <c r="D39" s="795">
        <v>3</v>
      </c>
      <c r="E39" s="88"/>
      <c r="F39" s="107">
        <v>1</v>
      </c>
      <c r="G39" s="52">
        <f t="shared" si="6"/>
        <v>0</v>
      </c>
      <c r="H39" s="52"/>
      <c r="I39" s="89"/>
      <c r="J39" s="52">
        <f t="shared" si="7"/>
        <v>14196</v>
      </c>
      <c r="K39" s="89"/>
      <c r="L39" s="90">
        <f>ROUNDDOWN(G39+H39+I39+J39+K39,0)</f>
        <v>14196</v>
      </c>
      <c r="M39" s="52">
        <f t="shared" si="8"/>
        <v>3348.84</v>
      </c>
      <c r="N39" s="798">
        <v>3673</v>
      </c>
      <c r="O39" s="801">
        <v>306.08</v>
      </c>
      <c r="P39" s="91"/>
      <c r="Q39" s="91"/>
      <c r="R39" s="804">
        <f>ROUND(C39*D39*O39,2)</f>
        <v>11018.88</v>
      </c>
      <c r="S39" s="52">
        <f t="shared" si="3"/>
        <v>17544.84</v>
      </c>
      <c r="T39" s="52"/>
      <c r="U39" s="807">
        <f>S39+R39+S40+S41+S42</f>
        <v>198153.91999999998</v>
      </c>
    </row>
    <row r="40" spans="1:24" x14ac:dyDescent="0.3">
      <c r="A40" s="92" t="s">
        <v>211</v>
      </c>
      <c r="B40" s="62" t="s">
        <v>198</v>
      </c>
      <c r="C40" s="63">
        <v>12</v>
      </c>
      <c r="D40" s="796"/>
      <c r="E40" s="64">
        <v>1</v>
      </c>
      <c r="F40" s="108"/>
      <c r="G40" s="59">
        <f t="shared" si="6"/>
        <v>23556</v>
      </c>
      <c r="H40" s="59"/>
      <c r="I40" s="93"/>
      <c r="J40" s="59">
        <f t="shared" si="7"/>
        <v>0</v>
      </c>
      <c r="K40" s="93"/>
      <c r="L40" s="65">
        <f>ROUNDDOWN(G40+H40+I40+J40+K40,0)</f>
        <v>23556</v>
      </c>
      <c r="M40" s="59">
        <f t="shared" si="8"/>
        <v>5556.86</v>
      </c>
      <c r="N40" s="799"/>
      <c r="O40" s="802"/>
      <c r="P40" s="94"/>
      <c r="Q40" s="94"/>
      <c r="R40" s="805"/>
      <c r="S40" s="59">
        <f t="shared" si="3"/>
        <v>29112.86</v>
      </c>
      <c r="T40" s="59"/>
      <c r="U40" s="808"/>
    </row>
    <row r="41" spans="1:24" x14ac:dyDescent="0.3">
      <c r="A41" s="92" t="s">
        <v>211</v>
      </c>
      <c r="B41" s="62" t="s">
        <v>213</v>
      </c>
      <c r="C41" s="63">
        <v>12</v>
      </c>
      <c r="D41" s="796"/>
      <c r="E41" s="64">
        <v>3</v>
      </c>
      <c r="F41" s="108"/>
      <c r="G41" s="59">
        <f t="shared" si="6"/>
        <v>70668</v>
      </c>
      <c r="H41" s="59">
        <f>ROUND(C41*E41*540,2)</f>
        <v>19440</v>
      </c>
      <c r="I41" s="93"/>
      <c r="J41" s="59">
        <f t="shared" si="7"/>
        <v>0</v>
      </c>
      <c r="K41" s="93"/>
      <c r="L41" s="65">
        <f>G41+H41+I41+J41+K41</f>
        <v>90108</v>
      </c>
      <c r="M41" s="59">
        <f t="shared" si="8"/>
        <v>21256.48</v>
      </c>
      <c r="N41" s="799"/>
      <c r="O41" s="802"/>
      <c r="P41" s="94"/>
      <c r="Q41" s="94"/>
      <c r="R41" s="805"/>
      <c r="S41" s="59">
        <f t="shared" si="3"/>
        <v>111364.48</v>
      </c>
      <c r="T41" s="59"/>
      <c r="U41" s="808"/>
    </row>
    <row r="42" spans="1:24" ht="14.5" thickBot="1" x14ac:dyDescent="0.35">
      <c r="A42" s="74" t="s">
        <v>211</v>
      </c>
      <c r="B42" s="75" t="s">
        <v>202</v>
      </c>
      <c r="C42" s="76">
        <v>12</v>
      </c>
      <c r="D42" s="797"/>
      <c r="E42" s="77">
        <v>1</v>
      </c>
      <c r="F42" s="78"/>
      <c r="G42" s="79">
        <f t="shared" si="6"/>
        <v>23556</v>
      </c>
      <c r="H42" s="79"/>
      <c r="I42" s="80"/>
      <c r="J42" s="79">
        <f t="shared" si="7"/>
        <v>0</v>
      </c>
      <c r="K42" s="80"/>
      <c r="L42" s="81">
        <f>G42+H42+I42+J42+K42</f>
        <v>23556</v>
      </c>
      <c r="M42" s="79">
        <f t="shared" si="8"/>
        <v>5556.86</v>
      </c>
      <c r="N42" s="800"/>
      <c r="O42" s="803"/>
      <c r="P42" s="125"/>
      <c r="Q42" s="125"/>
      <c r="R42" s="806"/>
      <c r="S42" s="79">
        <f t="shared" si="3"/>
        <v>29112.86</v>
      </c>
      <c r="T42" s="79"/>
      <c r="U42" s="809"/>
      <c r="V42" s="83"/>
    </row>
    <row r="43" spans="1:24" x14ac:dyDescent="0.3">
      <c r="A43" s="87" t="s">
        <v>214</v>
      </c>
      <c r="B43" s="123" t="s">
        <v>212</v>
      </c>
      <c r="C43" s="124">
        <v>12</v>
      </c>
      <c r="D43" s="795">
        <v>3</v>
      </c>
      <c r="E43" s="88"/>
      <c r="F43" s="107">
        <v>1</v>
      </c>
      <c r="G43" s="52">
        <f t="shared" si="6"/>
        <v>0</v>
      </c>
      <c r="H43" s="52"/>
      <c r="I43" s="89"/>
      <c r="J43" s="52">
        <f t="shared" si="7"/>
        <v>14196</v>
      </c>
      <c r="K43" s="89"/>
      <c r="L43" s="90">
        <f>ROUNDDOWN(G43+H43+I43+J43+K43,0)</f>
        <v>14196</v>
      </c>
      <c r="M43" s="52">
        <f t="shared" si="8"/>
        <v>3348.84</v>
      </c>
      <c r="N43" s="798">
        <v>3673</v>
      </c>
      <c r="O43" s="801">
        <v>306.08</v>
      </c>
      <c r="P43" s="91"/>
      <c r="Q43" s="91"/>
      <c r="R43" s="804">
        <f>ROUND(C43*D43*O43,2)</f>
        <v>11018.88</v>
      </c>
      <c r="S43" s="52">
        <f t="shared" si="3"/>
        <v>17544.84</v>
      </c>
      <c r="T43" s="52"/>
      <c r="U43" s="807">
        <f>S43+R43+S44+S45+S46</f>
        <v>198153.91999999998</v>
      </c>
    </row>
    <row r="44" spans="1:24" x14ac:dyDescent="0.3">
      <c r="A44" s="92" t="s">
        <v>214</v>
      </c>
      <c r="B44" s="62" t="s">
        <v>198</v>
      </c>
      <c r="C44" s="63">
        <v>12</v>
      </c>
      <c r="D44" s="796"/>
      <c r="E44" s="64">
        <v>1</v>
      </c>
      <c r="F44" s="108"/>
      <c r="G44" s="59">
        <f t="shared" si="6"/>
        <v>23556</v>
      </c>
      <c r="H44" s="59"/>
      <c r="I44" s="93"/>
      <c r="J44" s="59">
        <f t="shared" si="7"/>
        <v>0</v>
      </c>
      <c r="K44" s="93"/>
      <c r="L44" s="65">
        <f>ROUNDDOWN(G44+H44+I44+J44+K44,0)</f>
        <v>23556</v>
      </c>
      <c r="M44" s="59">
        <f t="shared" si="8"/>
        <v>5556.86</v>
      </c>
      <c r="N44" s="799"/>
      <c r="O44" s="802"/>
      <c r="P44" s="94"/>
      <c r="Q44" s="94"/>
      <c r="R44" s="805"/>
      <c r="S44" s="59">
        <f t="shared" si="3"/>
        <v>29112.86</v>
      </c>
      <c r="T44" s="59"/>
      <c r="U44" s="808"/>
    </row>
    <row r="45" spans="1:24" x14ac:dyDescent="0.3">
      <c r="A45" s="92" t="s">
        <v>214</v>
      </c>
      <c r="B45" s="62" t="s">
        <v>213</v>
      </c>
      <c r="C45" s="63">
        <v>12</v>
      </c>
      <c r="D45" s="796"/>
      <c r="E45" s="64">
        <v>3</v>
      </c>
      <c r="F45" s="108"/>
      <c r="G45" s="59">
        <f t="shared" si="6"/>
        <v>70668</v>
      </c>
      <c r="H45" s="59">
        <f>ROUND(C45*E45*540,2)</f>
        <v>19440</v>
      </c>
      <c r="I45" s="93"/>
      <c r="J45" s="59">
        <f t="shared" si="7"/>
        <v>0</v>
      </c>
      <c r="K45" s="93"/>
      <c r="L45" s="65">
        <f>G45+H45+I45+J45+K45</f>
        <v>90108</v>
      </c>
      <c r="M45" s="59">
        <f t="shared" si="8"/>
        <v>21256.48</v>
      </c>
      <c r="N45" s="799"/>
      <c r="O45" s="802"/>
      <c r="P45" s="94"/>
      <c r="Q45" s="94"/>
      <c r="R45" s="805"/>
      <c r="S45" s="59">
        <f t="shared" si="3"/>
        <v>111364.48</v>
      </c>
      <c r="T45" s="59"/>
      <c r="U45" s="808"/>
    </row>
    <row r="46" spans="1:24" ht="14.5" thickBot="1" x14ac:dyDescent="0.35">
      <c r="A46" s="74" t="s">
        <v>214</v>
      </c>
      <c r="B46" s="75" t="s">
        <v>202</v>
      </c>
      <c r="C46" s="76">
        <v>12</v>
      </c>
      <c r="D46" s="797"/>
      <c r="E46" s="77">
        <v>1</v>
      </c>
      <c r="F46" s="78"/>
      <c r="G46" s="79">
        <f t="shared" si="6"/>
        <v>23556</v>
      </c>
      <c r="H46" s="79"/>
      <c r="I46" s="80"/>
      <c r="J46" s="79">
        <f t="shared" si="7"/>
        <v>0</v>
      </c>
      <c r="K46" s="80"/>
      <c r="L46" s="81">
        <f>G46+H46+I46+J46+K46</f>
        <v>23556</v>
      </c>
      <c r="M46" s="79">
        <f t="shared" si="8"/>
        <v>5556.86</v>
      </c>
      <c r="N46" s="800"/>
      <c r="O46" s="803"/>
      <c r="P46" s="125"/>
      <c r="Q46" s="125"/>
      <c r="R46" s="806"/>
      <c r="S46" s="79">
        <f t="shared" si="3"/>
        <v>29112.86</v>
      </c>
      <c r="T46" s="79"/>
      <c r="U46" s="809"/>
      <c r="V46" s="83"/>
    </row>
    <row r="47" spans="1:24" s="127" customFormat="1" ht="18" customHeight="1" thickBot="1" x14ac:dyDescent="0.4">
      <c r="A47" s="126" t="s">
        <v>215</v>
      </c>
      <c r="C47" s="19"/>
      <c r="G47" s="19"/>
      <c r="H47" s="19"/>
      <c r="I47" s="19"/>
      <c r="J47" s="19"/>
      <c r="K47" s="19"/>
      <c r="L47" s="19"/>
      <c r="M47" s="19"/>
      <c r="N47" s="790" t="s">
        <v>216</v>
      </c>
      <c r="O47" s="791"/>
      <c r="P47" s="791"/>
      <c r="Q47" s="791"/>
      <c r="R47" s="791"/>
      <c r="S47" s="791"/>
      <c r="T47" s="791"/>
      <c r="U47" s="128">
        <f>SUM(U12:U46)</f>
        <v>2051569.1699999997</v>
      </c>
      <c r="V47" s="129"/>
      <c r="W47" s="129"/>
    </row>
    <row r="48" spans="1:24" x14ac:dyDescent="0.3">
      <c r="A48" s="130" t="s">
        <v>217</v>
      </c>
      <c r="D48" s="17">
        <f>SUM(D12:D46)</f>
        <v>22</v>
      </c>
      <c r="E48" s="129">
        <f>SUM(E12:E46)</f>
        <v>52.5</v>
      </c>
      <c r="F48" s="129">
        <f>SUM(F12:F46)</f>
        <v>9.5</v>
      </c>
      <c r="R48" s="131"/>
    </row>
    <row r="49" spans="1:24" x14ac:dyDescent="0.3">
      <c r="E49" s="132"/>
      <c r="T49" s="133" t="s">
        <v>218</v>
      </c>
      <c r="U49" s="134">
        <v>869350</v>
      </c>
    </row>
    <row r="50" spans="1:24" s="19" customFormat="1" x14ac:dyDescent="0.3">
      <c r="A50" s="17"/>
      <c r="B50" s="16"/>
      <c r="C50" s="17"/>
      <c r="D50" s="17"/>
      <c r="E50" s="17"/>
      <c r="F50" s="131"/>
      <c r="G50" s="17"/>
      <c r="H50" s="17"/>
      <c r="I50" s="17"/>
      <c r="J50" s="17"/>
      <c r="K50" s="17"/>
      <c r="L50" s="17"/>
      <c r="M50" s="17"/>
      <c r="N50" s="17"/>
      <c r="O50" s="17"/>
      <c r="P50" s="17"/>
      <c r="Q50" s="17"/>
      <c r="R50" s="17"/>
      <c r="S50" s="17"/>
      <c r="T50" s="133"/>
      <c r="U50" s="134"/>
      <c r="X50" s="16"/>
    </row>
    <row r="51" spans="1:24" s="19" customFormat="1" ht="24.75" customHeight="1" x14ac:dyDescent="0.3">
      <c r="A51" s="17"/>
      <c r="B51" s="16"/>
      <c r="C51" s="17"/>
      <c r="D51" s="17"/>
      <c r="E51" s="17"/>
      <c r="F51" s="17"/>
      <c r="G51" s="17"/>
      <c r="H51" s="17"/>
      <c r="I51" s="17"/>
      <c r="J51" s="17"/>
      <c r="K51" s="17"/>
      <c r="L51" s="17"/>
      <c r="M51" s="17"/>
      <c r="N51" s="792" t="s">
        <v>219</v>
      </c>
      <c r="O51" s="793"/>
      <c r="P51" s="793"/>
      <c r="Q51" s="793"/>
      <c r="R51" s="793"/>
      <c r="S51" s="793"/>
      <c r="T51" s="794"/>
      <c r="U51" s="135">
        <f>ROUND(U47-U49,0)</f>
        <v>1182219</v>
      </c>
      <c r="X51" s="16"/>
    </row>
    <row r="52" spans="1:24" s="19" customFormat="1" x14ac:dyDescent="0.3">
      <c r="A52" s="17"/>
      <c r="B52" s="16"/>
      <c r="C52" s="17"/>
      <c r="D52" s="17"/>
      <c r="E52" s="17"/>
      <c r="F52" s="17"/>
      <c r="G52" s="17"/>
      <c r="H52" s="17"/>
      <c r="I52" s="17"/>
      <c r="J52" s="17"/>
      <c r="K52" s="17"/>
      <c r="L52" s="17"/>
      <c r="M52" s="17"/>
      <c r="N52" s="17"/>
      <c r="O52" s="17"/>
      <c r="P52" s="17"/>
      <c r="Q52" s="17"/>
      <c r="R52" s="17"/>
      <c r="S52" s="17"/>
      <c r="T52" s="133"/>
      <c r="U52" s="134"/>
      <c r="X52" s="16"/>
    </row>
    <row r="53" spans="1:24" s="19" customFormat="1" x14ac:dyDescent="0.3">
      <c r="A53" s="17"/>
      <c r="B53" s="16"/>
      <c r="C53" s="17"/>
      <c r="D53" s="17"/>
      <c r="E53" s="17"/>
      <c r="F53" s="17"/>
      <c r="G53" s="17"/>
      <c r="H53" s="17"/>
      <c r="I53" s="17"/>
      <c r="J53" s="17"/>
      <c r="K53" s="17"/>
      <c r="L53" s="17"/>
      <c r="M53" s="17"/>
      <c r="N53" s="17"/>
      <c r="O53" s="17"/>
      <c r="P53" s="17"/>
      <c r="Q53" s="17"/>
      <c r="R53" s="17"/>
      <c r="S53" s="17"/>
      <c r="T53" s="133"/>
      <c r="U53" s="136"/>
      <c r="V53" s="83"/>
      <c r="X53" s="16"/>
    </row>
    <row r="54" spans="1:24" s="19" customFormat="1" x14ac:dyDescent="0.3">
      <c r="A54" s="17"/>
      <c r="B54" s="16"/>
      <c r="C54" s="17"/>
      <c r="D54" s="17"/>
      <c r="E54" s="17"/>
      <c r="F54" s="17"/>
      <c r="G54" s="17"/>
      <c r="H54" s="17"/>
      <c r="I54" s="17"/>
      <c r="J54" s="17"/>
      <c r="K54" s="17"/>
      <c r="L54" s="17"/>
      <c r="M54" s="17"/>
      <c r="N54" s="17"/>
      <c r="O54" s="17"/>
      <c r="P54" s="17"/>
      <c r="Q54" s="17"/>
      <c r="R54" s="17"/>
      <c r="S54" s="17"/>
      <c r="T54" s="18"/>
      <c r="U54" s="131"/>
      <c r="X54" s="16"/>
    </row>
    <row r="55" spans="1:24" s="19" customFormat="1" x14ac:dyDescent="0.3">
      <c r="A55" s="17"/>
      <c r="B55" s="16"/>
      <c r="C55" s="17"/>
      <c r="D55" s="17"/>
      <c r="E55" s="17"/>
      <c r="F55" s="17"/>
      <c r="G55" s="17"/>
      <c r="H55" s="17"/>
      <c r="I55" s="17"/>
      <c r="J55" s="17"/>
      <c r="K55" s="17"/>
      <c r="L55" s="17"/>
      <c r="M55" s="17"/>
      <c r="N55" s="17"/>
      <c r="O55" s="17"/>
      <c r="P55" s="17"/>
      <c r="Q55" s="17"/>
      <c r="R55" s="17"/>
      <c r="S55" s="17"/>
      <c r="T55" s="137"/>
      <c r="U55" s="138"/>
      <c r="X55" s="16"/>
    </row>
    <row r="56" spans="1:24" s="19" customFormat="1" x14ac:dyDescent="0.3">
      <c r="A56" s="17"/>
      <c r="B56" s="16"/>
      <c r="C56" s="17"/>
      <c r="D56" s="17"/>
      <c r="E56" s="17"/>
      <c r="F56" s="17"/>
      <c r="G56" s="17"/>
      <c r="H56" s="17"/>
      <c r="I56" s="17"/>
      <c r="J56" s="17"/>
      <c r="K56" s="17"/>
      <c r="L56" s="17"/>
      <c r="M56" s="17"/>
      <c r="N56" s="17"/>
      <c r="O56" s="17"/>
      <c r="P56" s="17"/>
      <c r="Q56" s="17"/>
      <c r="R56" s="17"/>
      <c r="S56" s="17"/>
      <c r="T56" s="17"/>
      <c r="U56" s="131"/>
      <c r="X56" s="16"/>
    </row>
    <row r="57" spans="1:24" s="19" customFormat="1" x14ac:dyDescent="0.3">
      <c r="A57" s="17"/>
      <c r="B57" s="16"/>
      <c r="C57" s="17"/>
      <c r="D57" s="17"/>
      <c r="E57" s="17"/>
      <c r="F57" s="17"/>
      <c r="G57" s="17"/>
      <c r="H57" s="17"/>
      <c r="I57" s="17"/>
      <c r="J57" s="17"/>
      <c r="K57" s="17"/>
      <c r="L57" s="17"/>
      <c r="M57" s="17"/>
      <c r="N57" s="17"/>
      <c r="O57" s="17"/>
      <c r="P57" s="17"/>
      <c r="Q57" s="17"/>
      <c r="R57" s="17"/>
      <c r="S57" s="17"/>
      <c r="T57" s="17"/>
      <c r="U57" s="131"/>
      <c r="X57" s="16"/>
    </row>
  </sheetData>
  <mergeCells count="50">
    <mergeCell ref="A3:U3"/>
    <mergeCell ref="A9:F10"/>
    <mergeCell ref="G9:M9"/>
    <mergeCell ref="D12:D13"/>
    <mergeCell ref="N12:N13"/>
    <mergeCell ref="O12:O13"/>
    <mergeCell ref="R12:R13"/>
    <mergeCell ref="U12:U13"/>
    <mergeCell ref="D23:D25"/>
    <mergeCell ref="N23:N25"/>
    <mergeCell ref="O23:O25"/>
    <mergeCell ref="R23:R25"/>
    <mergeCell ref="U23:U25"/>
    <mergeCell ref="D19:D21"/>
    <mergeCell ref="N19:N21"/>
    <mergeCell ref="O19:O21"/>
    <mergeCell ref="R19:R21"/>
    <mergeCell ref="U19:U21"/>
    <mergeCell ref="D30:D32"/>
    <mergeCell ref="N30:N32"/>
    <mergeCell ref="O30:O32"/>
    <mergeCell ref="R30:R32"/>
    <mergeCell ref="U30:U32"/>
    <mergeCell ref="D27:D29"/>
    <mergeCell ref="N27:N29"/>
    <mergeCell ref="O27:O29"/>
    <mergeCell ref="R27:R29"/>
    <mergeCell ref="U27:U29"/>
    <mergeCell ref="D36:D38"/>
    <mergeCell ref="N36:N38"/>
    <mergeCell ref="O36:O38"/>
    <mergeCell ref="R36:R38"/>
    <mergeCell ref="U36:U38"/>
    <mergeCell ref="D33:D35"/>
    <mergeCell ref="N33:N35"/>
    <mergeCell ref="O33:O35"/>
    <mergeCell ref="R33:R35"/>
    <mergeCell ref="U33:U35"/>
    <mergeCell ref="U39:U42"/>
    <mergeCell ref="D43:D46"/>
    <mergeCell ref="N43:N46"/>
    <mergeCell ref="O43:O46"/>
    <mergeCell ref="R43:R46"/>
    <mergeCell ref="U43:U46"/>
    <mergeCell ref="N47:T47"/>
    <mergeCell ref="N51:T51"/>
    <mergeCell ref="D39:D42"/>
    <mergeCell ref="N39:N42"/>
    <mergeCell ref="O39:O42"/>
    <mergeCell ref="R39:R42"/>
  </mergeCells>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A79DF5-DE78-443C-BDF3-8B4C7705CB3E}">
  <sheetPr>
    <tabColor rgb="FFC6E0B4"/>
    <pageSetUpPr fitToPage="1"/>
  </sheetPr>
  <dimension ref="A1:L33"/>
  <sheetViews>
    <sheetView zoomScale="80" zoomScaleNormal="80" workbookViewId="0">
      <selection activeCell="C11" sqref="C11"/>
    </sheetView>
  </sheetViews>
  <sheetFormatPr defaultColWidth="9.1796875" defaultRowHeight="14" x14ac:dyDescent="0.3"/>
  <cols>
    <col min="1" max="1" width="9.54296875" style="218" customWidth="1"/>
    <col min="2" max="2" width="45.7265625" style="218" customWidth="1"/>
    <col min="3" max="3" width="12.26953125" style="218" customWidth="1"/>
    <col min="4" max="4" width="15.26953125" style="218" customWidth="1"/>
    <col min="5" max="5" width="12.81640625" style="218" customWidth="1"/>
    <col min="6" max="6" width="17.26953125" style="218" customWidth="1"/>
    <col min="7" max="7" width="20.453125" style="218" customWidth="1"/>
    <col min="8" max="8" width="16.453125" style="218" customWidth="1"/>
    <col min="9" max="9" width="23.1796875" style="218" customWidth="1"/>
    <col min="10" max="10" width="14.453125" style="218" bestFit="1" customWidth="1"/>
    <col min="11" max="11" width="16.54296875" style="218" customWidth="1"/>
    <col min="12" max="12" width="12.453125" style="218" bestFit="1" customWidth="1"/>
    <col min="13" max="16384" width="9.1796875" style="218"/>
  </cols>
  <sheetData>
    <row r="1" spans="1:12" x14ac:dyDescent="0.3">
      <c r="K1" s="197" t="s">
        <v>220</v>
      </c>
    </row>
    <row r="2" spans="1:12" x14ac:dyDescent="0.3">
      <c r="K2" s="219"/>
    </row>
    <row r="3" spans="1:12" ht="42.75" customHeight="1" x14ac:dyDescent="0.3">
      <c r="A3" s="824" t="s">
        <v>221</v>
      </c>
      <c r="B3" s="824"/>
      <c r="C3" s="824"/>
      <c r="D3" s="824"/>
      <c r="E3" s="824"/>
      <c r="F3" s="824"/>
      <c r="G3" s="824"/>
      <c r="H3" s="824"/>
      <c r="I3" s="824"/>
      <c r="J3" s="824"/>
      <c r="K3" s="824"/>
    </row>
    <row r="5" spans="1:12" s="221" customFormat="1" x14ac:dyDescent="0.3">
      <c r="A5" s="220" t="s">
        <v>171</v>
      </c>
      <c r="C5" s="220"/>
      <c r="D5" s="220"/>
      <c r="E5" s="220"/>
      <c r="F5" s="220"/>
    </row>
    <row r="6" spans="1:12" s="221" customFormat="1" x14ac:dyDescent="0.3">
      <c r="A6" s="222" t="s">
        <v>172</v>
      </c>
      <c r="C6" s="222"/>
      <c r="D6" s="222"/>
      <c r="F6" s="222"/>
    </row>
    <row r="7" spans="1:12" s="221" customFormat="1" x14ac:dyDescent="0.3">
      <c r="A7" s="222"/>
      <c r="C7" s="222"/>
      <c r="D7" s="222"/>
      <c r="E7" s="222"/>
      <c r="F7" s="222"/>
    </row>
    <row r="8" spans="1:12" s="224" customFormat="1" x14ac:dyDescent="0.3">
      <c r="A8" s="223" t="s">
        <v>222</v>
      </c>
      <c r="B8" s="223"/>
      <c r="C8" s="223"/>
      <c r="D8" s="223"/>
      <c r="E8" s="223"/>
      <c r="F8" s="223"/>
      <c r="G8" s="223"/>
      <c r="H8" s="223"/>
      <c r="J8" s="223"/>
    </row>
    <row r="9" spans="1:12" s="224" customFormat="1" ht="28" x14ac:dyDescent="0.35">
      <c r="A9" s="225" t="s">
        <v>223</v>
      </c>
      <c r="B9" s="225" t="s">
        <v>224</v>
      </c>
      <c r="C9" s="226" t="s">
        <v>225</v>
      </c>
      <c r="E9" s="227"/>
    </row>
    <row r="10" spans="1:12" s="224" customFormat="1" ht="42" x14ac:dyDescent="0.3">
      <c r="A10" s="226" t="s">
        <v>226</v>
      </c>
      <c r="B10" s="228" t="s">
        <v>227</v>
      </c>
      <c r="C10" s="229">
        <f>ROUND(L21+D33,0)</f>
        <v>55954</v>
      </c>
      <c r="D10" s="230"/>
      <c r="E10" s="223"/>
    </row>
    <row r="11" spans="1:12" x14ac:dyDescent="0.3">
      <c r="F11" s="218" t="s">
        <v>228</v>
      </c>
    </row>
    <row r="12" spans="1:12" s="224" customFormat="1" x14ac:dyDescent="0.3">
      <c r="B12" s="260" t="s">
        <v>229</v>
      </c>
      <c r="C12" s="261"/>
      <c r="D12" s="261"/>
      <c r="E12" s="262"/>
      <c r="F12" s="231">
        <v>1963</v>
      </c>
      <c r="H12" s="232"/>
      <c r="I12" s="232"/>
      <c r="J12" s="232"/>
      <c r="K12" s="232"/>
    </row>
    <row r="13" spans="1:12" s="224" customFormat="1" x14ac:dyDescent="0.3">
      <c r="B13" s="218"/>
      <c r="C13" s="218"/>
      <c r="D13" s="232"/>
      <c r="E13" s="232"/>
      <c r="F13" s="232"/>
      <c r="G13" s="233"/>
      <c r="I13" s="218"/>
      <c r="J13" s="232"/>
    </row>
    <row r="14" spans="1:12" s="224" customFormat="1" ht="63" customHeight="1" x14ac:dyDescent="0.3">
      <c r="B14" s="830" t="s">
        <v>230</v>
      </c>
      <c r="C14" s="831"/>
      <c r="D14" s="834" t="s">
        <v>231</v>
      </c>
      <c r="E14" s="835"/>
      <c r="F14" s="836"/>
      <c r="G14" s="234">
        <v>405</v>
      </c>
      <c r="H14" s="478"/>
      <c r="I14" s="218"/>
      <c r="J14" s="837"/>
      <c r="K14" s="837"/>
      <c r="L14" s="235"/>
    </row>
    <row r="15" spans="1:12" s="224" customFormat="1" ht="67.5" customHeight="1" x14ac:dyDescent="0.3">
      <c r="B15" s="832"/>
      <c r="C15" s="833"/>
      <c r="D15" s="834" t="s">
        <v>232</v>
      </c>
      <c r="E15" s="835"/>
      <c r="F15" s="836"/>
      <c r="G15" s="234">
        <v>540</v>
      </c>
      <c r="H15" s="263"/>
      <c r="I15" s="218"/>
      <c r="J15" s="837"/>
      <c r="K15" s="837"/>
      <c r="L15" s="235"/>
    </row>
    <row r="16" spans="1:12" s="224" customFormat="1" x14ac:dyDescent="0.3">
      <c r="B16" s="236"/>
      <c r="C16" s="236"/>
      <c r="D16" s="237"/>
      <c r="E16" s="237"/>
      <c r="F16" s="237"/>
      <c r="G16" s="235"/>
      <c r="I16" s="218"/>
      <c r="J16" s="237"/>
      <c r="K16" s="237"/>
      <c r="L16" s="235"/>
    </row>
    <row r="17" spans="1:12" s="224" customFormat="1" ht="21.75" customHeight="1" x14ac:dyDescent="0.35">
      <c r="B17" s="238" t="s">
        <v>233</v>
      </c>
      <c r="C17" s="227"/>
      <c r="D17" s="227"/>
      <c r="E17" s="227"/>
      <c r="F17" s="227"/>
      <c r="G17" s="227"/>
      <c r="H17" s="227"/>
      <c r="I17" s="239"/>
      <c r="J17" s="227"/>
      <c r="K17" s="227"/>
    </row>
    <row r="18" spans="1:12" s="224" customFormat="1" ht="36" customHeight="1" x14ac:dyDescent="0.3">
      <c r="A18" s="218"/>
      <c r="B18" s="240"/>
      <c r="C18" s="822" t="s">
        <v>234</v>
      </c>
      <c r="D18" s="826" t="s">
        <v>235</v>
      </c>
      <c r="E18" s="827"/>
      <c r="F18" s="828" t="s">
        <v>236</v>
      </c>
      <c r="G18" s="829"/>
      <c r="H18" s="822" t="s">
        <v>237</v>
      </c>
      <c r="I18" s="822" t="s">
        <v>238</v>
      </c>
      <c r="J18" s="822" t="s">
        <v>239</v>
      </c>
      <c r="K18" s="822" t="s">
        <v>240</v>
      </c>
      <c r="L18" s="822" t="s">
        <v>241</v>
      </c>
    </row>
    <row r="19" spans="1:12" s="224" customFormat="1" ht="28" x14ac:dyDescent="0.3">
      <c r="A19" s="218"/>
      <c r="B19" s="241"/>
      <c r="C19" s="825"/>
      <c r="D19" s="242" t="s">
        <v>242</v>
      </c>
      <c r="E19" s="243" t="s">
        <v>243</v>
      </c>
      <c r="F19" s="244" t="s">
        <v>242</v>
      </c>
      <c r="G19" s="245" t="s">
        <v>244</v>
      </c>
      <c r="H19" s="823"/>
      <c r="I19" s="823"/>
      <c r="J19" s="823"/>
      <c r="K19" s="823"/>
      <c r="L19" s="823"/>
    </row>
    <row r="20" spans="1:12" s="224" customFormat="1" x14ac:dyDescent="0.3">
      <c r="A20" s="218"/>
      <c r="B20" s="246" t="s">
        <v>245</v>
      </c>
      <c r="C20" s="247">
        <v>0</v>
      </c>
      <c r="D20" s="248">
        <v>2</v>
      </c>
      <c r="E20" s="249">
        <v>1</v>
      </c>
      <c r="F20" s="248">
        <v>0</v>
      </c>
      <c r="G20" s="249">
        <v>0</v>
      </c>
      <c r="H20" s="650">
        <f>$F$12*E20*12</f>
        <v>23556</v>
      </c>
      <c r="I20" s="248">
        <f>(G14+G15)*12*E20</f>
        <v>11340</v>
      </c>
      <c r="J20" s="650">
        <f>H20+I20</f>
        <v>34896</v>
      </c>
      <c r="K20" s="650">
        <f>ROUND(J20*0.2359,2)</f>
        <v>8231.9699999999993</v>
      </c>
      <c r="L20" s="248">
        <f>J20+K20</f>
        <v>43127.97</v>
      </c>
    </row>
    <row r="21" spans="1:12" s="224" customFormat="1" x14ac:dyDescent="0.3">
      <c r="A21" s="218"/>
      <c r="B21" s="250" t="s">
        <v>155</v>
      </c>
      <c r="C21" s="251">
        <f>SUM(C20:C20)</f>
        <v>0</v>
      </c>
      <c r="D21" s="251">
        <f>SUM(D20:D20)</f>
        <v>2</v>
      </c>
      <c r="E21" s="252">
        <v>1</v>
      </c>
      <c r="F21" s="251">
        <f>SUM(F20:F20)</f>
        <v>0</v>
      </c>
      <c r="G21" s="252">
        <v>0</v>
      </c>
      <c r="H21" s="251">
        <f t="shared" ref="H21:L21" si="0">SUM(H20:H20)</f>
        <v>23556</v>
      </c>
      <c r="I21" s="253">
        <f t="shared" si="0"/>
        <v>11340</v>
      </c>
      <c r="J21" s="251">
        <f t="shared" si="0"/>
        <v>34896</v>
      </c>
      <c r="K21" s="251">
        <f t="shared" si="0"/>
        <v>8231.9699999999993</v>
      </c>
      <c r="L21" s="678">
        <f t="shared" si="0"/>
        <v>43127.97</v>
      </c>
    </row>
    <row r="22" spans="1:12" s="224" customFormat="1" x14ac:dyDescent="0.3">
      <c r="A22" s="218"/>
      <c r="B22" s="254"/>
      <c r="C22" s="254"/>
      <c r="D22" s="254"/>
      <c r="E22" s="255"/>
      <c r="F22" s="254"/>
      <c r="G22" s="255"/>
      <c r="H22" s="254"/>
      <c r="I22" s="523"/>
      <c r="J22" s="254"/>
      <c r="K22" s="254"/>
      <c r="L22" s="254"/>
    </row>
    <row r="23" spans="1:12" s="224" customFormat="1" x14ac:dyDescent="0.3">
      <c r="A23" s="218"/>
      <c r="B23" s="256" t="s">
        <v>246</v>
      </c>
      <c r="C23" s="218"/>
      <c r="D23" s="218"/>
      <c r="E23" s="255"/>
      <c r="F23" s="254"/>
      <c r="G23" s="255"/>
      <c r="H23" s="254"/>
      <c r="I23" s="254"/>
      <c r="J23" s="254"/>
      <c r="K23" s="254"/>
      <c r="L23" s="254"/>
    </row>
    <row r="24" spans="1:12" x14ac:dyDescent="0.3">
      <c r="B24" s="257"/>
      <c r="C24" s="258" t="s">
        <v>247</v>
      </c>
      <c r="D24" s="258" t="s">
        <v>248</v>
      </c>
    </row>
    <row r="25" spans="1:12" ht="28" x14ac:dyDescent="0.3">
      <c r="B25" s="474" t="s">
        <v>249</v>
      </c>
      <c r="C25" s="475">
        <v>102.46864104150066</v>
      </c>
      <c r="D25" s="475">
        <f>C25*12</f>
        <v>1229.623692498008</v>
      </c>
    </row>
    <row r="26" spans="1:12" ht="16.5" customHeight="1" x14ac:dyDescent="0.3">
      <c r="B26" s="476" t="s">
        <v>250</v>
      </c>
      <c r="C26" s="475">
        <v>0.72000000000000008</v>
      </c>
      <c r="D26" s="475">
        <f t="shared" ref="D26:D29" si="1">C26*12</f>
        <v>8.64</v>
      </c>
    </row>
    <row r="27" spans="1:12" x14ac:dyDescent="0.3">
      <c r="B27" s="477" t="s">
        <v>251</v>
      </c>
      <c r="C27" s="475">
        <v>229.16666666666666</v>
      </c>
      <c r="D27" s="475">
        <f t="shared" si="1"/>
        <v>2750</v>
      </c>
    </row>
    <row r="28" spans="1:12" x14ac:dyDescent="0.3">
      <c r="B28" s="476" t="s">
        <v>252</v>
      </c>
      <c r="C28" s="475">
        <v>119.10166666666667</v>
      </c>
      <c r="D28" s="475">
        <f t="shared" si="1"/>
        <v>1429.22</v>
      </c>
    </row>
    <row r="29" spans="1:12" x14ac:dyDescent="0.3">
      <c r="B29" s="476" t="s">
        <v>253</v>
      </c>
      <c r="C29" s="475">
        <v>47.62531657657658</v>
      </c>
      <c r="D29" s="475">
        <f t="shared" si="1"/>
        <v>571.50379891891896</v>
      </c>
    </row>
    <row r="30" spans="1:12" x14ac:dyDescent="0.3">
      <c r="B30" s="476" t="s">
        <v>254</v>
      </c>
      <c r="C30" s="475">
        <v>20.834097898161414</v>
      </c>
      <c r="D30" s="475">
        <v>250.00917477793695</v>
      </c>
    </row>
    <row r="31" spans="1:12" x14ac:dyDescent="0.3">
      <c r="B31" s="476" t="s">
        <v>255</v>
      </c>
      <c r="C31" s="475">
        <v>96.771666666666675</v>
      </c>
      <c r="D31" s="475">
        <f>C31*12</f>
        <v>1161.2600000000002</v>
      </c>
    </row>
    <row r="32" spans="1:12" ht="42" x14ac:dyDescent="0.3">
      <c r="B32" s="474" t="s">
        <v>256</v>
      </c>
      <c r="C32" s="475">
        <v>452.17135931976998</v>
      </c>
      <c r="D32" s="475">
        <v>5426.0563118372393</v>
      </c>
    </row>
    <row r="33" spans="2:4" x14ac:dyDescent="0.3">
      <c r="B33" s="257"/>
      <c r="C33" s="259">
        <f>SUM(C25:C32)</f>
        <v>1068.8594148360085</v>
      </c>
      <c r="D33" s="259">
        <f>SUM(D25:D32)</f>
        <v>12826.312978032103</v>
      </c>
    </row>
  </sheetData>
  <mergeCells count="14">
    <mergeCell ref="K18:K19"/>
    <mergeCell ref="L18:L19"/>
    <mergeCell ref="A3:K3"/>
    <mergeCell ref="C18:C19"/>
    <mergeCell ref="D18:E18"/>
    <mergeCell ref="F18:G18"/>
    <mergeCell ref="H18:H19"/>
    <mergeCell ref="I18:I19"/>
    <mergeCell ref="J18:J19"/>
    <mergeCell ref="B14:C15"/>
    <mergeCell ref="D14:F14"/>
    <mergeCell ref="J14:K14"/>
    <mergeCell ref="D15:F15"/>
    <mergeCell ref="J15:K15"/>
  </mergeCells>
  <pageMargins left="0.25" right="0.25" top="0.75" bottom="0.75" header="0.3" footer="0.3"/>
  <pageSetup paperSize="9" scale="33" fitToHeight="0"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6B7742-E6B9-4B74-8594-31BEB19CF5E5}">
  <sheetPr>
    <tabColor rgb="FFC6E0B4"/>
  </sheetPr>
  <dimension ref="A1:N23"/>
  <sheetViews>
    <sheetView zoomScaleNormal="100" workbookViewId="0">
      <selection activeCell="B16" sqref="B16"/>
    </sheetView>
  </sheetViews>
  <sheetFormatPr defaultColWidth="8.7265625" defaultRowHeight="13" x14ac:dyDescent="0.35"/>
  <cols>
    <col min="1" max="1" width="30.26953125" style="140" customWidth="1"/>
    <col min="2" max="2" width="17.453125" style="140" customWidth="1"/>
    <col min="3" max="3" width="10.26953125" style="140" customWidth="1"/>
    <col min="4" max="4" width="10.453125" style="140" customWidth="1"/>
    <col min="5" max="5" width="10.7265625" style="140" customWidth="1"/>
    <col min="6" max="6" width="11" style="140" customWidth="1"/>
    <col min="7" max="7" width="10.7265625" style="140" customWidth="1"/>
    <col min="8" max="8" width="10.54296875" style="140" customWidth="1"/>
    <col min="9" max="9" width="9.453125" style="143" customWidth="1"/>
    <col min="10" max="16384" width="8.7265625" style="140"/>
  </cols>
  <sheetData>
    <row r="1" spans="1:14" ht="26.5" customHeight="1" x14ac:dyDescent="0.35">
      <c r="D1" s="841" t="s">
        <v>257</v>
      </c>
      <c r="E1" s="841"/>
      <c r="F1" s="841"/>
      <c r="G1" s="841"/>
      <c r="H1" s="139"/>
      <c r="I1" s="139"/>
      <c r="J1" s="139"/>
      <c r="K1" s="139"/>
      <c r="L1" s="139"/>
    </row>
    <row r="2" spans="1:14" ht="15" x14ac:dyDescent="0.35">
      <c r="A2" s="840" t="s">
        <v>258</v>
      </c>
      <c r="B2" s="840"/>
      <c r="C2" s="840"/>
      <c r="D2" s="840"/>
      <c r="E2" s="840"/>
      <c r="F2" s="840"/>
      <c r="G2" s="840"/>
      <c r="H2" s="840"/>
      <c r="I2" s="141"/>
      <c r="J2" s="141"/>
    </row>
    <row r="3" spans="1:14" ht="15" x14ac:dyDescent="0.35">
      <c r="A3" s="142"/>
      <c r="B3" s="142"/>
      <c r="C3" s="142"/>
      <c r="D3" s="142"/>
      <c r="E3" s="142"/>
      <c r="F3" s="142"/>
      <c r="G3" s="142"/>
      <c r="H3" s="142"/>
      <c r="I3" s="141"/>
      <c r="J3" s="141"/>
    </row>
    <row r="4" spans="1:14" s="27" customFormat="1" ht="14" x14ac:dyDescent="0.3">
      <c r="A4" s="26" t="s">
        <v>171</v>
      </c>
      <c r="C4" s="29"/>
      <c r="D4" s="29"/>
    </row>
    <row r="5" spans="1:14" s="27" customFormat="1" ht="14" x14ac:dyDescent="0.3">
      <c r="A5" s="30" t="s">
        <v>172</v>
      </c>
      <c r="C5" s="29"/>
      <c r="D5" s="29"/>
    </row>
    <row r="6" spans="1:14" s="27" customFormat="1" ht="14" x14ac:dyDescent="0.3">
      <c r="A6" s="30"/>
      <c r="C6" s="29"/>
      <c r="D6" s="29"/>
    </row>
    <row r="7" spans="1:14" x14ac:dyDescent="0.35">
      <c r="A7" s="838" t="s">
        <v>259</v>
      </c>
      <c r="B7" s="839"/>
      <c r="I7" s="155"/>
      <c r="J7" s="144"/>
      <c r="K7" s="144"/>
      <c r="L7" s="144"/>
      <c r="M7" s="144"/>
      <c r="N7" s="144"/>
    </row>
    <row r="8" spans="1:14" x14ac:dyDescent="0.35">
      <c r="A8" s="145"/>
      <c r="B8" s="146" t="s">
        <v>260</v>
      </c>
    </row>
    <row r="9" spans="1:14" x14ac:dyDescent="0.35">
      <c r="A9" s="147" t="s">
        <v>261</v>
      </c>
      <c r="B9" s="148">
        <v>741.14</v>
      </c>
      <c r="I9" s="156"/>
    </row>
    <row r="10" spans="1:14" x14ac:dyDescent="0.35">
      <c r="A10" s="147" t="s">
        <v>262</v>
      </c>
      <c r="B10" s="149">
        <v>180</v>
      </c>
      <c r="I10" s="156"/>
    </row>
    <row r="11" spans="1:14" x14ac:dyDescent="0.35">
      <c r="A11" s="150" t="s">
        <v>263</v>
      </c>
      <c r="B11" s="157">
        <f>B10*42</f>
        <v>7560</v>
      </c>
      <c r="I11" s="156"/>
      <c r="J11" s="144"/>
      <c r="K11" s="158"/>
      <c r="L11" s="144"/>
      <c r="M11" s="144"/>
      <c r="N11" s="144"/>
    </row>
    <row r="12" spans="1:14" s="154" customFormat="1" ht="15.75" customHeight="1" x14ac:dyDescent="0.35">
      <c r="A12" s="151" t="s">
        <v>264</v>
      </c>
      <c r="B12" s="148">
        <f t="shared" ref="B12" si="0">B11+B9</f>
        <v>8301.14</v>
      </c>
      <c r="I12" s="156"/>
      <c r="J12" s="153"/>
      <c r="K12" s="144"/>
      <c r="L12" s="144"/>
      <c r="M12" s="144"/>
      <c r="N12" s="159"/>
    </row>
    <row r="13" spans="1:14" x14ac:dyDescent="0.35">
      <c r="A13" s="160" t="s">
        <v>265</v>
      </c>
      <c r="B13" s="161">
        <f>B12*0.21</f>
        <v>1743.2393999999997</v>
      </c>
      <c r="I13" s="156"/>
      <c r="J13" s="154"/>
      <c r="K13" s="154"/>
      <c r="L13" s="154"/>
      <c r="M13" s="154"/>
    </row>
    <row r="14" spans="1:14" x14ac:dyDescent="0.35">
      <c r="A14" s="162" t="s">
        <v>266</v>
      </c>
      <c r="B14" s="163">
        <f t="shared" ref="B14" si="1">B12+B13</f>
        <v>10044.3794</v>
      </c>
      <c r="I14" s="156"/>
      <c r="J14" s="164"/>
    </row>
    <row r="15" spans="1:14" ht="26" x14ac:dyDescent="0.35">
      <c r="A15" s="677" t="s">
        <v>267</v>
      </c>
      <c r="B15" s="152">
        <f>ROUND(B14*12,0)</f>
        <v>120533</v>
      </c>
      <c r="I15" s="164"/>
      <c r="J15" s="164"/>
    </row>
    <row r="16" spans="1:14" x14ac:dyDescent="0.35">
      <c r="H16" s="166"/>
      <c r="I16" s="165"/>
      <c r="J16" s="166"/>
    </row>
    <row r="19" spans="10:10" x14ac:dyDescent="0.35">
      <c r="J19" s="166"/>
    </row>
    <row r="20" spans="10:10" x14ac:dyDescent="0.35">
      <c r="J20" s="166"/>
    </row>
    <row r="21" spans="10:10" x14ac:dyDescent="0.35">
      <c r="J21" s="164"/>
    </row>
    <row r="22" spans="10:10" x14ac:dyDescent="0.35">
      <c r="J22" s="166"/>
    </row>
    <row r="23" spans="10:10" x14ac:dyDescent="0.35">
      <c r="J23" s="166"/>
    </row>
  </sheetData>
  <mergeCells count="3">
    <mergeCell ref="A7:B7"/>
    <mergeCell ref="A2:H2"/>
    <mergeCell ref="D1:G1"/>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AA818E-FC58-48D7-9802-C09810491B0B}">
  <sheetPr>
    <tabColor rgb="FFC6E0B4"/>
  </sheetPr>
  <dimension ref="A1:L18"/>
  <sheetViews>
    <sheetView zoomScale="90" zoomScaleNormal="90" workbookViewId="0">
      <selection activeCell="G28" sqref="G28"/>
    </sheetView>
  </sheetViews>
  <sheetFormatPr defaultColWidth="8.81640625" defaultRowHeight="14.5" x14ac:dyDescent="0.35"/>
  <cols>
    <col min="1" max="1" width="25.26953125" customWidth="1"/>
    <col min="2" max="2" width="19.54296875" customWidth="1"/>
    <col min="3" max="3" width="19" customWidth="1"/>
    <col min="4" max="4" width="16.54296875" customWidth="1"/>
    <col min="5" max="5" width="18.81640625" customWidth="1"/>
    <col min="6" max="12" width="16.54296875" customWidth="1"/>
  </cols>
  <sheetData>
    <row r="1" spans="1:12" s="176" customFormat="1" ht="14" x14ac:dyDescent="0.3">
      <c r="L1" s="197" t="s">
        <v>268</v>
      </c>
    </row>
    <row r="2" spans="1:12" s="176" customFormat="1" ht="14" x14ac:dyDescent="0.3">
      <c r="G2" s="197"/>
    </row>
    <row r="3" spans="1:12" s="176" customFormat="1" ht="12.75" customHeight="1" x14ac:dyDescent="0.3">
      <c r="A3" s="785" t="s">
        <v>269</v>
      </c>
      <c r="B3" s="785"/>
      <c r="C3" s="785"/>
      <c r="D3" s="785"/>
      <c r="E3" s="785"/>
      <c r="F3" s="785"/>
      <c r="G3" s="785"/>
      <c r="H3" s="785"/>
      <c r="I3" s="785"/>
      <c r="J3" s="785"/>
      <c r="K3" s="785"/>
      <c r="L3" s="785"/>
    </row>
    <row r="4" spans="1:12" s="176" customFormat="1" ht="15" x14ac:dyDescent="0.3">
      <c r="A4" s="264"/>
      <c r="B4" s="264"/>
      <c r="C4" s="264"/>
      <c r="D4" s="264"/>
      <c r="E4" s="264"/>
      <c r="F4" s="264"/>
      <c r="G4" s="264"/>
    </row>
    <row r="5" spans="1:12" s="221" customFormat="1" ht="14" x14ac:dyDescent="0.3">
      <c r="A5" s="220" t="s">
        <v>171</v>
      </c>
      <c r="B5" s="220"/>
      <c r="C5" s="220"/>
      <c r="D5" s="220"/>
      <c r="E5" s="220"/>
    </row>
    <row r="6" spans="1:12" s="221" customFormat="1" ht="14" x14ac:dyDescent="0.3">
      <c r="A6" s="222" t="s">
        <v>172</v>
      </c>
      <c r="B6" s="222"/>
      <c r="C6" s="222"/>
      <c r="D6" s="222"/>
      <c r="E6" s="222"/>
    </row>
    <row r="7" spans="1:12" ht="75" x14ac:dyDescent="0.35">
      <c r="A7" s="463" t="s">
        <v>270</v>
      </c>
      <c r="B7" s="309" t="s">
        <v>271</v>
      </c>
      <c r="E7" s="308"/>
    </row>
    <row r="8" spans="1:12" ht="15" x14ac:dyDescent="0.35">
      <c r="A8" s="310">
        <f>L17</f>
        <v>2536865</v>
      </c>
      <c r="B8" s="310">
        <f>A8</f>
        <v>2536865</v>
      </c>
      <c r="E8" s="311"/>
    </row>
    <row r="10" spans="1:12" x14ac:dyDescent="0.35">
      <c r="A10" s="368" t="s">
        <v>272</v>
      </c>
      <c r="B10" s="313"/>
      <c r="C10" s="313"/>
      <c r="D10" s="313"/>
      <c r="E10" s="313"/>
      <c r="F10" s="313"/>
      <c r="G10" s="313"/>
      <c r="H10" s="313"/>
      <c r="I10" s="313"/>
      <c r="J10" s="313"/>
      <c r="K10" s="313"/>
      <c r="L10" s="313"/>
    </row>
    <row r="11" spans="1:12" ht="15.5" x14ac:dyDescent="0.35">
      <c r="A11" s="313"/>
      <c r="B11" s="313"/>
      <c r="C11" s="371">
        <v>1963</v>
      </c>
      <c r="D11" s="371">
        <v>945</v>
      </c>
      <c r="E11" s="371">
        <v>405</v>
      </c>
      <c r="F11" s="371">
        <v>1183</v>
      </c>
      <c r="G11" s="372">
        <v>243</v>
      </c>
      <c r="H11" s="372"/>
      <c r="I11" s="372">
        <v>0.2359</v>
      </c>
      <c r="J11" s="313"/>
      <c r="K11" s="313"/>
      <c r="L11" s="313"/>
    </row>
    <row r="12" spans="1:12" ht="56" x14ac:dyDescent="0.35">
      <c r="A12" s="312" t="s">
        <v>273</v>
      </c>
      <c r="B12" s="312" t="s">
        <v>274</v>
      </c>
      <c r="C12" s="312" t="s">
        <v>275</v>
      </c>
      <c r="D12" s="312" t="s">
        <v>276</v>
      </c>
      <c r="E12" s="312" t="s">
        <v>277</v>
      </c>
      <c r="F12" s="312" t="s">
        <v>278</v>
      </c>
      <c r="G12" s="312" t="s">
        <v>279</v>
      </c>
      <c r="H12" s="312" t="s">
        <v>241</v>
      </c>
      <c r="I12" s="312" t="s">
        <v>280</v>
      </c>
      <c r="J12" s="312" t="s">
        <v>281</v>
      </c>
      <c r="K12" s="312" t="s">
        <v>282</v>
      </c>
      <c r="L12" s="369" t="s">
        <v>283</v>
      </c>
    </row>
    <row r="13" spans="1:12" x14ac:dyDescent="0.35">
      <c r="A13" s="313" t="s">
        <v>284</v>
      </c>
      <c r="B13" s="313">
        <v>1</v>
      </c>
      <c r="C13" s="313">
        <f>B13*$C$11*12</f>
        <v>23556</v>
      </c>
      <c r="D13" s="314">
        <f>B13*$D$11*12</f>
        <v>11340</v>
      </c>
      <c r="E13" s="313"/>
      <c r="F13" s="313"/>
      <c r="G13" s="313"/>
      <c r="H13" s="313">
        <f>SUM(C13:G13)</f>
        <v>34896</v>
      </c>
      <c r="I13" s="681">
        <f>H13*$I$11</f>
        <v>8231.9663999999993</v>
      </c>
      <c r="J13" s="313">
        <v>4372</v>
      </c>
      <c r="K13" s="313">
        <f>ROUND(B13*J13,0)</f>
        <v>4372</v>
      </c>
      <c r="L13" s="373">
        <f>ROUND(H13+I13+K13,0)</f>
        <v>47500</v>
      </c>
    </row>
    <row r="14" spans="1:12" x14ac:dyDescent="0.35">
      <c r="A14" s="313" t="s">
        <v>285</v>
      </c>
      <c r="B14" s="313">
        <v>25</v>
      </c>
      <c r="C14" s="313">
        <f t="shared" ref="C14:C15" si="0">B14*$C$11*12</f>
        <v>588900</v>
      </c>
      <c r="D14" s="314">
        <f>B14*$D$11*12</f>
        <v>283500</v>
      </c>
      <c r="E14" s="313"/>
      <c r="F14" s="313"/>
      <c r="G14" s="313"/>
      <c r="H14" s="313">
        <f t="shared" ref="H14:H16" si="1">SUM(C14:G14)</f>
        <v>872400</v>
      </c>
      <c r="I14" s="681">
        <f t="shared" ref="I14:I16" si="2">H14*$I$11</f>
        <v>205799.16</v>
      </c>
      <c r="J14" s="313">
        <v>3416</v>
      </c>
      <c r="K14" s="313">
        <f t="shared" ref="K14:K16" si="3">ROUND(B14*J14,0)</f>
        <v>85400</v>
      </c>
      <c r="L14" s="373">
        <f>ROUND(H14+I14+K14,0)</f>
        <v>1163599</v>
      </c>
    </row>
    <row r="15" spans="1:12" x14ac:dyDescent="0.35">
      <c r="A15" s="313" t="s">
        <v>286</v>
      </c>
      <c r="B15" s="313">
        <v>28</v>
      </c>
      <c r="C15" s="313">
        <f t="shared" si="0"/>
        <v>659568</v>
      </c>
      <c r="D15" s="370"/>
      <c r="E15" s="313">
        <f>B15*E11*12</f>
        <v>136080</v>
      </c>
      <c r="F15" s="313"/>
      <c r="G15" s="313"/>
      <c r="H15" s="313">
        <f t="shared" si="1"/>
        <v>795648</v>
      </c>
      <c r="I15" s="681">
        <f t="shared" si="2"/>
        <v>187693.36319999999</v>
      </c>
      <c r="J15" s="313">
        <v>3416</v>
      </c>
      <c r="K15" s="313">
        <f t="shared" si="3"/>
        <v>95648</v>
      </c>
      <c r="L15" s="373">
        <f>ROUND(H15+I15+K15,0)</f>
        <v>1078989</v>
      </c>
    </row>
    <row r="16" spans="1:12" x14ac:dyDescent="0.35">
      <c r="A16" s="313" t="s">
        <v>287</v>
      </c>
      <c r="B16" s="313">
        <v>10</v>
      </c>
      <c r="C16" s="313"/>
      <c r="D16" s="370"/>
      <c r="E16" s="313"/>
      <c r="F16" s="313">
        <f>B16*F11*12</f>
        <v>141960</v>
      </c>
      <c r="G16" s="313">
        <f>B16*G11*12</f>
        <v>29160</v>
      </c>
      <c r="H16" s="313">
        <f t="shared" si="1"/>
        <v>171120</v>
      </c>
      <c r="I16" s="681">
        <f t="shared" si="2"/>
        <v>40367.207999999999</v>
      </c>
      <c r="J16" s="313">
        <v>3529</v>
      </c>
      <c r="K16" s="313">
        <f t="shared" si="3"/>
        <v>35290</v>
      </c>
      <c r="L16" s="373">
        <f>ROUND(H16+I16+K16,0)</f>
        <v>246777</v>
      </c>
    </row>
    <row r="17" spans="1:12" x14ac:dyDescent="0.35">
      <c r="A17" s="313"/>
      <c r="B17" s="313"/>
      <c r="C17" s="313"/>
      <c r="D17" s="370"/>
      <c r="E17" s="313"/>
      <c r="F17" s="313"/>
      <c r="G17" s="313"/>
      <c r="H17" s="313"/>
      <c r="I17" s="313"/>
      <c r="J17" s="313"/>
      <c r="K17" s="368" t="s">
        <v>288</v>
      </c>
      <c r="L17" s="373">
        <f>SUM(L13:L16)</f>
        <v>2536865</v>
      </c>
    </row>
    <row r="18" spans="1:12" x14ac:dyDescent="0.35">
      <c r="L18" s="352"/>
    </row>
  </sheetData>
  <mergeCells count="1">
    <mergeCell ref="A3:L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78C116-3DDC-4AAC-A65F-D224FA306195}">
  <sheetPr>
    <tabColor theme="9" tint="0.59999389629810485"/>
  </sheetPr>
  <dimension ref="A1:H13"/>
  <sheetViews>
    <sheetView zoomScale="90" zoomScaleNormal="90" workbookViewId="0">
      <selection activeCell="C20" sqref="C20"/>
    </sheetView>
  </sheetViews>
  <sheetFormatPr defaultColWidth="9.1796875" defaultRowHeight="14" x14ac:dyDescent="0.3"/>
  <cols>
    <col min="1" max="1" width="9.1796875" style="176"/>
    <col min="2" max="2" width="40.453125" style="176" customWidth="1"/>
    <col min="3" max="3" width="17.1796875" style="176" customWidth="1"/>
    <col min="4" max="5" width="17.81640625" style="176" customWidth="1"/>
    <col min="6" max="6" width="23.7265625" style="176" customWidth="1"/>
    <col min="7" max="8" width="23.453125" style="176" customWidth="1"/>
    <col min="9" max="16384" width="9.1796875" style="176"/>
  </cols>
  <sheetData>
    <row r="1" spans="1:8" x14ac:dyDescent="0.3">
      <c r="H1" s="197" t="s">
        <v>289</v>
      </c>
    </row>
    <row r="2" spans="1:8" x14ac:dyDescent="0.3">
      <c r="H2" s="197"/>
    </row>
    <row r="3" spans="1:8" ht="15" x14ac:dyDescent="0.3">
      <c r="A3" s="843" t="s">
        <v>290</v>
      </c>
      <c r="B3" s="843"/>
      <c r="C3" s="843"/>
      <c r="D3" s="843"/>
      <c r="E3" s="843"/>
      <c r="F3" s="843"/>
      <c r="G3" s="843"/>
      <c r="H3" s="843"/>
    </row>
    <row r="4" spans="1:8" ht="15" x14ac:dyDescent="0.3">
      <c r="A4" s="264"/>
      <c r="B4" s="264"/>
      <c r="C4" s="264"/>
      <c r="D4" s="264"/>
      <c r="E4" s="264"/>
      <c r="F4" s="264"/>
      <c r="G4" s="264"/>
      <c r="H4" s="264"/>
    </row>
    <row r="5" spans="1:8" s="221" customFormat="1" x14ac:dyDescent="0.3">
      <c r="A5" s="220" t="s">
        <v>171</v>
      </c>
      <c r="C5" s="220"/>
      <c r="D5" s="220"/>
      <c r="E5" s="220"/>
      <c r="F5" s="220"/>
    </row>
    <row r="6" spans="1:8" s="221" customFormat="1" x14ac:dyDescent="0.3">
      <c r="A6" s="222" t="s">
        <v>172</v>
      </c>
      <c r="C6" s="222"/>
      <c r="D6" s="222"/>
      <c r="E6" s="222"/>
      <c r="F6" s="222"/>
    </row>
    <row r="7" spans="1:8" x14ac:dyDescent="0.3">
      <c r="C7" s="215"/>
      <c r="E7" s="215"/>
    </row>
    <row r="8" spans="1:8" x14ac:dyDescent="0.3">
      <c r="A8" s="200"/>
      <c r="B8" s="201"/>
      <c r="C8" s="786" t="s">
        <v>143</v>
      </c>
      <c r="D8" s="786"/>
      <c r="E8" s="786"/>
      <c r="F8" s="786"/>
      <c r="G8" s="265" t="s">
        <v>144</v>
      </c>
      <c r="H8" s="265" t="s">
        <v>145</v>
      </c>
    </row>
    <row r="9" spans="1:8" ht="42" x14ac:dyDescent="0.3">
      <c r="A9" s="202" t="s">
        <v>146</v>
      </c>
      <c r="B9" s="203" t="s">
        <v>147</v>
      </c>
      <c r="C9" s="179" t="s">
        <v>148</v>
      </c>
      <c r="D9" s="179" t="s">
        <v>291</v>
      </c>
      <c r="E9" s="179" t="s">
        <v>292</v>
      </c>
      <c r="F9" s="179" t="s">
        <v>151</v>
      </c>
      <c r="G9" s="179" t="s">
        <v>151</v>
      </c>
      <c r="H9" s="179" t="s">
        <v>151</v>
      </c>
    </row>
    <row r="10" spans="1:8" ht="28" x14ac:dyDescent="0.3">
      <c r="A10" s="196">
        <v>1</v>
      </c>
      <c r="B10" s="204" t="s">
        <v>293</v>
      </c>
      <c r="C10" s="464">
        <v>386.95</v>
      </c>
      <c r="D10" s="191">
        <v>1</v>
      </c>
      <c r="E10" s="205">
        <v>3.27</v>
      </c>
      <c r="F10" s="266">
        <f>C10*D10*E10</f>
        <v>1265.3264999999999</v>
      </c>
      <c r="G10" s="266">
        <f>F10</f>
        <v>1265.3264999999999</v>
      </c>
      <c r="H10" s="266">
        <f>G10</f>
        <v>1265.3264999999999</v>
      </c>
    </row>
    <row r="11" spans="1:8" x14ac:dyDescent="0.3">
      <c r="A11" s="842" t="s">
        <v>155</v>
      </c>
      <c r="B11" s="842"/>
      <c r="C11" s="194"/>
      <c r="D11" s="206"/>
      <c r="E11" s="206"/>
      <c r="F11" s="267">
        <f>ROUND(SUM(F10:F10),0)</f>
        <v>1265</v>
      </c>
      <c r="G11" s="267">
        <f>ROUND(SUM(G10:G10),0)</f>
        <v>1265</v>
      </c>
      <c r="H11" s="267">
        <f>ROUND(SUM(H10:H10),0)</f>
        <v>1265</v>
      </c>
    </row>
    <row r="12" spans="1:8" x14ac:dyDescent="0.3">
      <c r="B12" s="176" t="s">
        <v>294</v>
      </c>
    </row>
    <row r="13" spans="1:8" ht="30" customHeight="1" x14ac:dyDescent="0.3">
      <c r="B13" s="844"/>
      <c r="C13" s="844"/>
      <c r="D13" s="844"/>
      <c r="E13" s="844"/>
      <c r="F13" s="844"/>
      <c r="G13" s="844"/>
      <c r="H13" s="844"/>
    </row>
  </sheetData>
  <mergeCells count="4">
    <mergeCell ref="C8:F8"/>
    <mergeCell ref="A11:B11"/>
    <mergeCell ref="A3:H3"/>
    <mergeCell ref="B13:H13"/>
  </mergeCells>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AF7235-BE8D-4069-B805-BBDB0AB3FC2F}">
  <sheetPr>
    <tabColor rgb="FFC6E0B4"/>
  </sheetPr>
  <dimension ref="A1:I18"/>
  <sheetViews>
    <sheetView zoomScale="90" zoomScaleNormal="90" workbookViewId="0">
      <selection activeCell="F14" sqref="F14"/>
    </sheetView>
  </sheetViews>
  <sheetFormatPr defaultColWidth="9.1796875" defaultRowHeight="14.5" x14ac:dyDescent="0.35"/>
  <cols>
    <col min="1" max="1" width="9.1796875" style="525"/>
    <col min="2" max="2" width="15.26953125" style="525" customWidth="1"/>
    <col min="3" max="3" width="17.1796875" style="525" customWidth="1"/>
    <col min="4" max="5" width="17.81640625" style="525" customWidth="1"/>
    <col min="6" max="6" width="14" style="525" customWidth="1"/>
    <col min="7" max="7" width="15.26953125" style="525" customWidth="1"/>
    <col min="8" max="8" width="15.81640625" style="525" customWidth="1"/>
    <col min="9" max="16384" width="9.1796875" style="525"/>
  </cols>
  <sheetData>
    <row r="1" spans="1:9" x14ac:dyDescent="0.35">
      <c r="H1" s="197" t="s">
        <v>295</v>
      </c>
    </row>
    <row r="3" spans="1:9" ht="15.5" x14ac:dyDescent="0.35">
      <c r="A3" s="845" t="s">
        <v>296</v>
      </c>
      <c r="B3" s="845"/>
      <c r="C3" s="845"/>
      <c r="D3" s="845"/>
      <c r="E3" s="845"/>
      <c r="F3" s="845"/>
      <c r="G3" s="845"/>
      <c r="H3" s="845"/>
    </row>
    <row r="5" spans="1:9" s="527" customFormat="1" ht="14" x14ac:dyDescent="0.3">
      <c r="A5" s="526" t="s">
        <v>171</v>
      </c>
      <c r="C5" s="526"/>
      <c r="D5" s="526"/>
      <c r="E5" s="526"/>
      <c r="F5" s="526"/>
    </row>
    <row r="6" spans="1:9" s="527" customFormat="1" x14ac:dyDescent="0.35">
      <c r="A6" s="528" t="s">
        <v>172</v>
      </c>
      <c r="C6" s="528"/>
      <c r="D6" s="528"/>
      <c r="E6" s="528"/>
      <c r="F6" s="528"/>
      <c r="I6" s="525"/>
    </row>
    <row r="7" spans="1:9" s="527" customFormat="1" x14ac:dyDescent="0.35">
      <c r="A7" s="528"/>
      <c r="C7" s="528"/>
      <c r="D7" s="528"/>
      <c r="E7" s="528"/>
      <c r="F7" s="528"/>
      <c r="I7" s="525"/>
    </row>
    <row r="8" spans="1:9" s="527" customFormat="1" ht="78.75" customHeight="1" x14ac:dyDescent="0.35">
      <c r="A8" s="846" t="s">
        <v>136</v>
      </c>
      <c r="B8" s="846"/>
      <c r="C8" s="846"/>
      <c r="D8" s="463" t="s">
        <v>297</v>
      </c>
      <c r="E8" s="463" t="s">
        <v>298</v>
      </c>
      <c r="F8" s="463" t="s">
        <v>140</v>
      </c>
      <c r="I8" s="525"/>
    </row>
    <row r="9" spans="1:9" s="527" customFormat="1" ht="33.75" customHeight="1" x14ac:dyDescent="0.35">
      <c r="A9" s="847" t="s">
        <v>141</v>
      </c>
      <c r="B9" s="847"/>
      <c r="C9" s="847"/>
      <c r="D9" s="472">
        <f>H15*2</f>
        <v>32529.850237253602</v>
      </c>
      <c r="E9" s="473">
        <f>D9*2</f>
        <v>65059.700474507204</v>
      </c>
      <c r="F9" s="473">
        <f>E9</f>
        <v>65059.700474507204</v>
      </c>
    </row>
    <row r="10" spans="1:9" s="527" customFormat="1" ht="14" x14ac:dyDescent="0.3">
      <c r="A10" s="528"/>
      <c r="C10" s="528"/>
      <c r="D10" s="528"/>
      <c r="E10" s="528"/>
      <c r="F10" s="528"/>
    </row>
    <row r="12" spans="1:9" ht="77.5" x14ac:dyDescent="0.35">
      <c r="A12" s="524" t="s">
        <v>158</v>
      </c>
      <c r="B12" s="524" t="s">
        <v>159</v>
      </c>
      <c r="C12" s="524" t="s">
        <v>299</v>
      </c>
      <c r="D12" s="524" t="s">
        <v>161</v>
      </c>
      <c r="E12" s="524" t="s">
        <v>162</v>
      </c>
      <c r="F12" s="524" t="s">
        <v>163</v>
      </c>
      <c r="G12" s="524" t="s">
        <v>300</v>
      </c>
      <c r="H12" s="524" t="s">
        <v>301</v>
      </c>
    </row>
    <row r="13" spans="1:9" ht="15.5" x14ac:dyDescent="0.35">
      <c r="A13" s="848" t="s">
        <v>302</v>
      </c>
      <c r="B13" s="848"/>
      <c r="C13" s="848"/>
      <c r="D13" s="848"/>
      <c r="E13" s="848"/>
      <c r="F13" s="848"/>
      <c r="G13" s="848"/>
      <c r="H13" s="848"/>
    </row>
    <row r="14" spans="1:9" ht="15.5" x14ac:dyDescent="0.35">
      <c r="A14" s="524">
        <v>1.1000000000000001</v>
      </c>
      <c r="B14" s="529" t="s">
        <v>285</v>
      </c>
      <c r="C14" s="524">
        <v>1</v>
      </c>
      <c r="D14" s="530">
        <v>0.50001700000000004</v>
      </c>
      <c r="E14" s="530">
        <f>1963*1.2359</f>
        <v>2426.0717</v>
      </c>
      <c r="F14" s="531">
        <f>C14*D14*E14*12</f>
        <v>14556.925118626801</v>
      </c>
      <c r="G14" s="531">
        <f>1708*C14</f>
        <v>1708</v>
      </c>
      <c r="H14" s="531">
        <f>F14+G14</f>
        <v>16264.925118626801</v>
      </c>
    </row>
    <row r="15" spans="1:9" ht="15.5" x14ac:dyDescent="0.35">
      <c r="A15" s="849" t="s">
        <v>303</v>
      </c>
      <c r="B15" s="849"/>
      <c r="C15" s="849"/>
      <c r="D15" s="849"/>
      <c r="E15" s="849"/>
      <c r="F15" s="531">
        <f>F14</f>
        <v>14556.925118626801</v>
      </c>
      <c r="G15" s="531">
        <f>G14</f>
        <v>1708</v>
      </c>
      <c r="H15" s="531">
        <f>H14</f>
        <v>16264.925118626801</v>
      </c>
    </row>
    <row r="16" spans="1:9" x14ac:dyDescent="0.35">
      <c r="A16" s="525" t="s">
        <v>304</v>
      </c>
    </row>
    <row r="17" spans="1:1" x14ac:dyDescent="0.35">
      <c r="A17" s="525" t="s">
        <v>305</v>
      </c>
    </row>
    <row r="18" spans="1:1" x14ac:dyDescent="0.35">
      <c r="A18" s="525" t="s">
        <v>306</v>
      </c>
    </row>
  </sheetData>
  <mergeCells count="5">
    <mergeCell ref="A3:H3"/>
    <mergeCell ref="A8:C8"/>
    <mergeCell ref="A9:C9"/>
    <mergeCell ref="A13:H13"/>
    <mergeCell ref="A15:E15"/>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29C58B-4AE6-4B66-83B5-1BCFB9CDC380}">
  <sheetPr>
    <tabColor rgb="FFC6E0B4"/>
  </sheetPr>
  <dimension ref="A1:Q38"/>
  <sheetViews>
    <sheetView zoomScale="80" zoomScaleNormal="80" workbookViewId="0">
      <selection activeCell="D23" sqref="D23"/>
    </sheetView>
  </sheetViews>
  <sheetFormatPr defaultColWidth="9.1796875" defaultRowHeight="14" x14ac:dyDescent="0.3"/>
  <cols>
    <col min="1" max="1" width="6.453125" style="199" bestFit="1" customWidth="1"/>
    <col min="2" max="2" width="44.26953125" style="176" customWidth="1"/>
    <col min="3" max="3" width="21" style="176" customWidth="1"/>
    <col min="4" max="4" width="16.54296875" style="176" customWidth="1"/>
    <col min="5" max="5" width="17.453125" style="176" customWidth="1"/>
    <col min="6" max="6" width="19.81640625" style="176" customWidth="1"/>
    <col min="7" max="7" width="18.1796875" style="176" customWidth="1"/>
    <col min="8" max="8" width="13.1796875" style="176" bestFit="1" customWidth="1"/>
    <col min="9" max="9" width="17.453125" style="176" customWidth="1"/>
    <col min="10" max="10" width="14.54296875" style="176" customWidth="1"/>
    <col min="11" max="11" width="25" style="176" customWidth="1"/>
    <col min="12" max="12" width="20.453125" style="176" customWidth="1"/>
    <col min="13" max="16" width="9.1796875" style="176"/>
    <col min="17" max="17" width="13.26953125" style="176" customWidth="1"/>
    <col min="18" max="16384" width="9.1796875" style="176"/>
  </cols>
  <sheetData>
    <row r="1" spans="1:12" ht="15.75" customHeight="1" x14ac:dyDescent="0.3">
      <c r="J1" s="197" t="s">
        <v>307</v>
      </c>
    </row>
    <row r="2" spans="1:12" ht="15.75" customHeight="1" x14ac:dyDescent="0.3">
      <c r="J2" s="197"/>
    </row>
    <row r="3" spans="1:12" ht="35.25" customHeight="1" x14ac:dyDescent="0.3">
      <c r="A3" s="785" t="s">
        <v>308</v>
      </c>
      <c r="B3" s="785"/>
      <c r="C3" s="785"/>
      <c r="D3" s="785"/>
      <c r="E3" s="785"/>
      <c r="F3" s="785"/>
      <c r="G3" s="785"/>
      <c r="H3" s="785"/>
      <c r="I3" s="785"/>
      <c r="J3" s="785"/>
    </row>
    <row r="4" spans="1:12" ht="15.75" customHeight="1" x14ac:dyDescent="0.3"/>
    <row r="5" spans="1:12" s="27" customFormat="1" ht="75" x14ac:dyDescent="0.3">
      <c r="A5" s="846" t="s">
        <v>136</v>
      </c>
      <c r="B5" s="846"/>
      <c r="C5" s="463" t="s">
        <v>137</v>
      </c>
      <c r="D5" s="463" t="s">
        <v>309</v>
      </c>
      <c r="E5" s="463" t="s">
        <v>310</v>
      </c>
      <c r="F5" s="309" t="s">
        <v>140</v>
      </c>
      <c r="G5" s="208"/>
      <c r="I5" s="208"/>
      <c r="J5" s="208"/>
      <c r="K5" s="208"/>
      <c r="L5" s="208"/>
    </row>
    <row r="6" spans="1:12" s="27" customFormat="1" ht="36.75" customHeight="1" x14ac:dyDescent="0.35">
      <c r="A6" s="852" t="s">
        <v>141</v>
      </c>
      <c r="B6" s="852"/>
      <c r="C6" s="468">
        <f>'2.5.'!C341</f>
        <v>0</v>
      </c>
      <c r="D6" s="469">
        <f>G12</f>
        <v>46645.181527133325</v>
      </c>
      <c r="E6" s="470">
        <f>ROUND(I12,0)</f>
        <v>47110</v>
      </c>
      <c r="F6" s="470">
        <f>ROUND(E6,0)</f>
        <v>47110</v>
      </c>
      <c r="G6" s="210"/>
      <c r="I6" s="210"/>
      <c r="J6" s="210"/>
      <c r="K6" s="210"/>
      <c r="L6" s="210"/>
    </row>
    <row r="7" spans="1:12" s="27" customFormat="1" ht="42.75" customHeight="1" x14ac:dyDescent="0.35">
      <c r="A7" s="853" t="s">
        <v>311</v>
      </c>
      <c r="B7" s="853"/>
      <c r="C7" s="471">
        <v>0</v>
      </c>
      <c r="D7" s="472">
        <f>G36</f>
        <v>10000</v>
      </c>
      <c r="E7" s="473">
        <f>I36</f>
        <v>10000</v>
      </c>
      <c r="F7" s="473">
        <f>E7</f>
        <v>10000</v>
      </c>
      <c r="G7" s="210"/>
      <c r="I7" s="210"/>
      <c r="J7" s="210"/>
      <c r="K7" s="210"/>
      <c r="L7" s="210"/>
    </row>
    <row r="8" spans="1:12" x14ac:dyDescent="0.3">
      <c r="E8" s="176">
        <v>47112</v>
      </c>
      <c r="F8" s="176">
        <v>47112</v>
      </c>
    </row>
    <row r="9" spans="1:12" x14ac:dyDescent="0.3">
      <c r="A9" s="200"/>
      <c r="B9" s="201"/>
      <c r="C9" s="265" t="s">
        <v>312</v>
      </c>
      <c r="D9" s="265"/>
      <c r="E9" s="265"/>
      <c r="F9" s="265" t="s">
        <v>144</v>
      </c>
      <c r="G9" s="265"/>
      <c r="H9" s="265" t="s">
        <v>145</v>
      </c>
      <c r="I9" s="265"/>
      <c r="K9" s="270"/>
      <c r="L9" s="270"/>
    </row>
    <row r="10" spans="1:12" ht="56" x14ac:dyDescent="0.3">
      <c r="A10" s="196" t="s">
        <v>146</v>
      </c>
      <c r="B10" s="203" t="s">
        <v>147</v>
      </c>
      <c r="C10" s="179" t="s">
        <v>148</v>
      </c>
      <c r="D10" s="179" t="s">
        <v>313</v>
      </c>
      <c r="E10" s="179" t="s">
        <v>151</v>
      </c>
      <c r="F10" s="179" t="s">
        <v>314</v>
      </c>
      <c r="G10" s="179" t="s">
        <v>151</v>
      </c>
      <c r="H10" s="179" t="s">
        <v>314</v>
      </c>
      <c r="I10" s="179" t="s">
        <v>151</v>
      </c>
      <c r="K10" s="467"/>
      <c r="L10" s="467"/>
    </row>
    <row r="11" spans="1:12" ht="45" customHeight="1" x14ac:dyDescent="0.3">
      <c r="A11" s="196">
        <v>1</v>
      </c>
      <c r="B11" s="204" t="s">
        <v>315</v>
      </c>
      <c r="C11" s="191">
        <f>F19+F20+F21+F22+F23+F24</f>
        <v>344.00149999999996</v>
      </c>
      <c r="D11" s="191">
        <f>AVERAGE(G19:G24)</f>
        <v>2</v>
      </c>
      <c r="E11" s="266">
        <f>H26*D11*C11</f>
        <v>46183.348046666659</v>
      </c>
      <c r="F11" s="192">
        <v>0.01</v>
      </c>
      <c r="G11" s="266">
        <f>E11+E11*F11</f>
        <v>46645.181527133325</v>
      </c>
      <c r="H11" s="192">
        <v>9.9600000000000001E-3</v>
      </c>
      <c r="I11" s="266">
        <f>G11+G11*H11</f>
        <v>47109.767535143576</v>
      </c>
      <c r="K11" s="271"/>
      <c r="L11" s="272"/>
    </row>
    <row r="12" spans="1:12" ht="22.5" customHeight="1" x14ac:dyDescent="0.3">
      <c r="A12" s="850" t="s">
        <v>155</v>
      </c>
      <c r="B12" s="851"/>
      <c r="C12" s="194"/>
      <c r="D12" s="206"/>
      <c r="E12" s="267">
        <f>SUM(E11:E11)</f>
        <v>46183.348046666659</v>
      </c>
      <c r="F12" s="206"/>
      <c r="G12" s="267">
        <f>SUM(G11:G11)</f>
        <v>46645.181527133325</v>
      </c>
      <c r="H12" s="195"/>
      <c r="I12" s="267">
        <f>SUM(I11:I11)</f>
        <v>47109.767535143576</v>
      </c>
      <c r="K12" s="273"/>
      <c r="L12" s="272"/>
    </row>
    <row r="13" spans="1:12" x14ac:dyDescent="0.3">
      <c r="B13" s="274"/>
      <c r="C13" s="274"/>
      <c r="D13" s="275"/>
      <c r="E13" s="271"/>
      <c r="F13" s="272"/>
      <c r="G13" s="275"/>
      <c r="H13" s="271"/>
      <c r="I13" s="272"/>
      <c r="J13" s="275"/>
      <c r="K13" s="271"/>
      <c r="L13" s="272"/>
    </row>
    <row r="14" spans="1:12" x14ac:dyDescent="0.3">
      <c r="B14" s="274"/>
      <c r="C14" s="274"/>
      <c r="D14" s="275"/>
      <c r="E14" s="271"/>
      <c r="F14" s="272"/>
      <c r="G14" s="275"/>
      <c r="H14" s="271"/>
      <c r="I14" s="272"/>
      <c r="J14" s="275"/>
      <c r="K14" s="271"/>
      <c r="L14" s="272"/>
    </row>
    <row r="15" spans="1:12" x14ac:dyDescent="0.3">
      <c r="A15" s="269" t="s">
        <v>316</v>
      </c>
    </row>
    <row r="17" spans="1:17" s="181" customFormat="1" ht="56" x14ac:dyDescent="0.35">
      <c r="A17" s="277" t="s">
        <v>317</v>
      </c>
      <c r="B17" s="277" t="s">
        <v>318</v>
      </c>
      <c r="C17" s="4" t="s">
        <v>319</v>
      </c>
      <c r="D17" s="776" t="s">
        <v>320</v>
      </c>
      <c r="E17" s="776"/>
      <c r="F17" s="4" t="s">
        <v>321</v>
      </c>
      <c r="G17" s="4" t="s">
        <v>322</v>
      </c>
      <c r="H17" s="776" t="s">
        <v>323</v>
      </c>
      <c r="I17" s="776"/>
      <c r="J17" s="776"/>
    </row>
    <row r="18" spans="1:17" s="181" customFormat="1" ht="12" customHeight="1" x14ac:dyDescent="0.35">
      <c r="A18" s="277"/>
      <c r="B18" s="277"/>
      <c r="C18" s="277"/>
      <c r="D18" s="4" t="s">
        <v>324</v>
      </c>
      <c r="E18" s="4" t="s">
        <v>325</v>
      </c>
      <c r="F18" s="277"/>
      <c r="G18" s="277"/>
      <c r="H18" s="277" t="s">
        <v>326</v>
      </c>
      <c r="I18" s="277" t="s">
        <v>327</v>
      </c>
      <c r="J18" s="277" t="s">
        <v>328</v>
      </c>
    </row>
    <row r="19" spans="1:17" ht="46.5" customHeight="1" x14ac:dyDescent="0.3">
      <c r="A19" s="277">
        <v>1</v>
      </c>
      <c r="B19" s="277" t="s">
        <v>329</v>
      </c>
      <c r="C19" s="277" t="s">
        <v>330</v>
      </c>
      <c r="D19" s="277"/>
      <c r="E19" s="277" t="s">
        <v>325</v>
      </c>
      <c r="F19" s="682">
        <v>130.00149999999999</v>
      </c>
      <c r="G19" s="277">
        <v>1</v>
      </c>
      <c r="H19" s="284"/>
      <c r="I19" s="284"/>
      <c r="J19" s="286">
        <v>40</v>
      </c>
      <c r="K19" s="854" t="s">
        <v>331</v>
      </c>
      <c r="L19" s="855"/>
      <c r="M19" s="855"/>
      <c r="N19" s="855"/>
      <c r="O19" s="855"/>
      <c r="P19" s="855"/>
      <c r="Q19" s="855"/>
    </row>
    <row r="20" spans="1:17" x14ac:dyDescent="0.3">
      <c r="A20" s="277">
        <v>2</v>
      </c>
      <c r="B20" s="277" t="s">
        <v>332</v>
      </c>
      <c r="C20" s="277" t="s">
        <v>330</v>
      </c>
      <c r="D20" s="277"/>
      <c r="E20" s="277" t="s">
        <v>325</v>
      </c>
      <c r="F20" s="277">
        <v>21</v>
      </c>
      <c r="G20" s="277">
        <v>2</v>
      </c>
      <c r="H20" s="286">
        <v>56</v>
      </c>
      <c r="I20" s="286">
        <v>72</v>
      </c>
      <c r="J20" s="284"/>
    </row>
    <row r="21" spans="1:17" s="181" customFormat="1" ht="28" x14ac:dyDescent="0.35">
      <c r="A21" s="277">
        <v>3</v>
      </c>
      <c r="B21" s="277" t="s">
        <v>333</v>
      </c>
      <c r="C21" s="277" t="s">
        <v>330</v>
      </c>
      <c r="D21" s="277" t="s">
        <v>324</v>
      </c>
      <c r="E21" s="4" t="s">
        <v>334</v>
      </c>
      <c r="F21" s="4">
        <v>140</v>
      </c>
      <c r="G21" s="282">
        <v>3</v>
      </c>
      <c r="H21" s="284"/>
      <c r="I21" s="284"/>
      <c r="J21" s="284">
        <v>132.52000000000001</v>
      </c>
    </row>
    <row r="22" spans="1:17" x14ac:dyDescent="0.3">
      <c r="A22" s="277">
        <v>4</v>
      </c>
      <c r="B22" s="277" t="s">
        <v>335</v>
      </c>
      <c r="C22" s="277" t="s">
        <v>330</v>
      </c>
      <c r="D22" s="277"/>
      <c r="E22" s="277" t="s">
        <v>325</v>
      </c>
      <c r="F22" s="282">
        <v>8</v>
      </c>
      <c r="G22" s="277">
        <v>2</v>
      </c>
      <c r="H22" s="284"/>
      <c r="I22" s="284"/>
      <c r="J22" s="284"/>
    </row>
    <row r="23" spans="1:17" s="181" customFormat="1" x14ac:dyDescent="0.35">
      <c r="A23" s="277">
        <v>5</v>
      </c>
      <c r="B23" s="277" t="s">
        <v>336</v>
      </c>
      <c r="C23" s="277" t="s">
        <v>330</v>
      </c>
      <c r="D23" s="277"/>
      <c r="E23" s="277" t="s">
        <v>325</v>
      </c>
      <c r="F23" s="283">
        <v>15</v>
      </c>
      <c r="G23" s="277">
        <v>2</v>
      </c>
      <c r="H23" s="284"/>
      <c r="I23" s="284"/>
      <c r="J23" s="287">
        <v>61</v>
      </c>
      <c r="K23" s="856" t="s">
        <v>337</v>
      </c>
      <c r="L23" s="857"/>
      <c r="M23" s="857"/>
      <c r="N23" s="857"/>
      <c r="O23" s="857"/>
      <c r="P23" s="857"/>
      <c r="Q23" s="857"/>
    </row>
    <row r="24" spans="1:17" s="181" customFormat="1" x14ac:dyDescent="0.35">
      <c r="A24" s="277">
        <v>6</v>
      </c>
      <c r="B24" s="277" t="s">
        <v>338</v>
      </c>
      <c r="C24" s="277" t="s">
        <v>330</v>
      </c>
      <c r="D24" s="277"/>
      <c r="E24" s="277" t="s">
        <v>325</v>
      </c>
      <c r="F24" s="282">
        <v>30</v>
      </c>
      <c r="G24" s="282">
        <v>2</v>
      </c>
      <c r="H24" s="284"/>
      <c r="I24" s="284"/>
      <c r="J24" s="287">
        <v>60</v>
      </c>
    </row>
    <row r="25" spans="1:17" x14ac:dyDescent="0.3">
      <c r="F25" s="858" t="s">
        <v>339</v>
      </c>
      <c r="G25" s="858"/>
      <c r="H25" s="284">
        <f t="shared" ref="H25:I25" si="0">AVERAGE(H19:H24)</f>
        <v>56</v>
      </c>
      <c r="I25" s="279">
        <f t="shared" si="0"/>
        <v>72</v>
      </c>
      <c r="J25" s="279">
        <f>AVERAGE(J19:J24)</f>
        <v>73.38</v>
      </c>
      <c r="K25" s="281">
        <f>J25/I25</f>
        <v>1.0191666666666666</v>
      </c>
      <c r="L25" s="176" t="s">
        <v>340</v>
      </c>
    </row>
    <row r="26" spans="1:17" x14ac:dyDescent="0.3">
      <c r="F26" s="863" t="s">
        <v>341</v>
      </c>
      <c r="G26" s="863"/>
      <c r="H26" s="280">
        <f>AVERAGE(H25:J25)</f>
        <v>67.126666666666665</v>
      </c>
      <c r="I26" s="279"/>
      <c r="J26" s="279"/>
    </row>
    <row r="28" spans="1:17" x14ac:dyDescent="0.3">
      <c r="M28" s="276"/>
    </row>
    <row r="30" spans="1:17" ht="15.5" x14ac:dyDescent="0.3">
      <c r="K30" s="421"/>
      <c r="L30" s="421"/>
    </row>
    <row r="31" spans="1:17" ht="15.5" x14ac:dyDescent="0.3">
      <c r="A31" s="269" t="s">
        <v>342</v>
      </c>
      <c r="K31" s="421"/>
    </row>
    <row r="33" spans="1:16" x14ac:dyDescent="0.3">
      <c r="A33" s="200"/>
      <c r="B33" s="201"/>
      <c r="C33" s="859" t="s">
        <v>343</v>
      </c>
      <c r="D33" s="860"/>
      <c r="E33" s="861"/>
      <c r="F33" s="859" t="s">
        <v>144</v>
      </c>
      <c r="G33" s="861"/>
      <c r="H33" s="859" t="s">
        <v>145</v>
      </c>
      <c r="I33" s="861"/>
    </row>
    <row r="34" spans="1:16" ht="88.5" customHeight="1" x14ac:dyDescent="0.3">
      <c r="A34" s="196" t="s">
        <v>146</v>
      </c>
      <c r="B34" s="203" t="s">
        <v>147</v>
      </c>
      <c r="C34" s="179" t="s">
        <v>344</v>
      </c>
      <c r="D34" s="179" t="s">
        <v>148</v>
      </c>
      <c r="E34" s="179" t="s">
        <v>151</v>
      </c>
      <c r="F34" s="179" t="s">
        <v>148</v>
      </c>
      <c r="G34" s="179" t="s">
        <v>151</v>
      </c>
      <c r="H34" s="179" t="s">
        <v>148</v>
      </c>
      <c r="I34" s="179" t="s">
        <v>151</v>
      </c>
      <c r="J34" s="862" t="s">
        <v>345</v>
      </c>
      <c r="K34" s="864"/>
      <c r="L34" s="864"/>
      <c r="M34" s="864"/>
      <c r="N34" s="864"/>
      <c r="O34" s="864"/>
      <c r="P34" s="864"/>
    </row>
    <row r="35" spans="1:16" ht="76.5" customHeight="1" x14ac:dyDescent="0.3">
      <c r="A35" s="196">
        <v>1</v>
      </c>
      <c r="B35" s="204" t="s">
        <v>342</v>
      </c>
      <c r="C35" s="191">
        <v>100</v>
      </c>
      <c r="D35" s="191">
        <v>0</v>
      </c>
      <c r="E35" s="266">
        <f>C35*D35</f>
        <v>0</v>
      </c>
      <c r="F35" s="422">
        <v>100</v>
      </c>
      <c r="G35" s="266">
        <f>F35*C35</f>
        <v>10000</v>
      </c>
      <c r="H35" s="422">
        <v>100</v>
      </c>
      <c r="I35" s="266">
        <f>H35*C35</f>
        <v>10000</v>
      </c>
      <c r="J35" s="862"/>
    </row>
    <row r="36" spans="1:16" x14ac:dyDescent="0.3">
      <c r="A36" s="850" t="s">
        <v>155</v>
      </c>
      <c r="B36" s="851"/>
      <c r="C36" s="194"/>
      <c r="D36" s="206"/>
      <c r="E36" s="267">
        <v>0</v>
      </c>
      <c r="F36" s="206"/>
      <c r="G36" s="267">
        <v>10000</v>
      </c>
      <c r="H36" s="195"/>
      <c r="I36" s="267">
        <v>10000</v>
      </c>
    </row>
    <row r="38" spans="1:16" x14ac:dyDescent="0.3">
      <c r="B38" s="176" t="s">
        <v>346</v>
      </c>
    </row>
  </sheetData>
  <mergeCells count="17">
    <mergeCell ref="K19:Q19"/>
    <mergeCell ref="K23:Q23"/>
    <mergeCell ref="F25:G25"/>
    <mergeCell ref="A36:B36"/>
    <mergeCell ref="C33:E33"/>
    <mergeCell ref="F33:G33"/>
    <mergeCell ref="H33:I33"/>
    <mergeCell ref="J34:J35"/>
    <mergeCell ref="F26:G26"/>
    <mergeCell ref="K34:P34"/>
    <mergeCell ref="D17:E17"/>
    <mergeCell ref="H17:J17"/>
    <mergeCell ref="A3:J3"/>
    <mergeCell ref="A12:B12"/>
    <mergeCell ref="A5:B5"/>
    <mergeCell ref="A6:B6"/>
    <mergeCell ref="A7:B7"/>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F64DFD-F403-4436-95B8-2A8D76C1E179}">
  <sheetPr>
    <tabColor theme="5" tint="0.79998168889431442"/>
  </sheetPr>
  <dimension ref="A1:Q36"/>
  <sheetViews>
    <sheetView zoomScale="90" zoomScaleNormal="90" workbookViewId="0">
      <selection activeCell="B8" sqref="B8:C8"/>
    </sheetView>
  </sheetViews>
  <sheetFormatPr defaultColWidth="9.1796875" defaultRowHeight="14" x14ac:dyDescent="0.3"/>
  <cols>
    <col min="1" max="1" width="9.1796875" style="220"/>
    <col min="2" max="2" width="33.7265625" style="220" customWidth="1"/>
    <col min="3" max="3" width="46.26953125" style="220" customWidth="1"/>
    <col min="4" max="4" width="20.26953125" style="220" customWidth="1"/>
    <col min="5" max="5" width="29.453125" style="220" customWidth="1"/>
    <col min="6" max="6" width="23" style="220" customWidth="1"/>
    <col min="7" max="7" width="22.54296875" style="220" customWidth="1"/>
    <col min="8" max="8" width="14" style="220" customWidth="1"/>
    <col min="9" max="9" width="24.1796875" style="220" customWidth="1"/>
    <col min="10" max="10" width="18.1796875" style="220" customWidth="1"/>
    <col min="11" max="11" width="20.54296875" style="220" customWidth="1"/>
    <col min="12" max="12" width="24.1796875" style="220" customWidth="1"/>
    <col min="13" max="13" width="15.26953125" style="220" customWidth="1"/>
    <col min="14" max="16384" width="9.1796875" style="220"/>
  </cols>
  <sheetData>
    <row r="1" spans="1:17" x14ac:dyDescent="0.3">
      <c r="L1" s="197" t="s">
        <v>347</v>
      </c>
    </row>
    <row r="2" spans="1:17" x14ac:dyDescent="0.3">
      <c r="A2" s="565"/>
      <c r="B2" s="565"/>
      <c r="C2" s="565"/>
      <c r="D2" s="565"/>
      <c r="E2" s="565"/>
      <c r="F2" s="565"/>
      <c r="G2" s="565"/>
      <c r="H2" s="565"/>
      <c r="I2" s="565"/>
      <c r="J2" s="565"/>
      <c r="K2" s="565"/>
      <c r="L2" s="565"/>
      <c r="M2" s="565"/>
      <c r="N2" s="565"/>
      <c r="O2" s="565"/>
      <c r="P2" s="565"/>
      <c r="Q2" s="565"/>
    </row>
    <row r="3" spans="1:17" ht="20.25" customHeight="1" x14ac:dyDescent="0.3">
      <c r="A3" s="865" t="s">
        <v>348</v>
      </c>
      <c r="B3" s="865"/>
      <c r="C3" s="865"/>
      <c r="D3" s="865"/>
      <c r="E3" s="865"/>
      <c r="F3" s="865"/>
      <c r="G3" s="865"/>
      <c r="H3" s="865"/>
      <c r="I3" s="865"/>
      <c r="J3" s="865"/>
    </row>
    <row r="4" spans="1:17" x14ac:dyDescent="0.3">
      <c r="A4" s="565"/>
      <c r="B4" s="565"/>
      <c r="C4" s="565"/>
      <c r="D4" s="565"/>
      <c r="E4" s="565"/>
      <c r="F4" s="565"/>
      <c r="G4" s="565"/>
      <c r="H4" s="565"/>
      <c r="I4" s="565"/>
      <c r="J4" s="565"/>
      <c r="K4" s="565"/>
      <c r="L4" s="565"/>
      <c r="M4" s="565"/>
      <c r="N4" s="565"/>
      <c r="O4" s="565"/>
      <c r="P4" s="565"/>
      <c r="Q4" s="565"/>
    </row>
    <row r="5" spans="1:17" s="566" customFormat="1" x14ac:dyDescent="0.3">
      <c r="B5" s="873"/>
      <c r="C5" s="874"/>
      <c r="D5" s="877" t="s">
        <v>349</v>
      </c>
      <c r="E5" s="879" t="s">
        <v>139</v>
      </c>
      <c r="F5" s="872" t="s">
        <v>350</v>
      </c>
      <c r="G5" s="872"/>
    </row>
    <row r="6" spans="1:17" s="566" customFormat="1" ht="26.25" customHeight="1" x14ac:dyDescent="0.3">
      <c r="B6" s="875"/>
      <c r="C6" s="876"/>
      <c r="D6" s="878"/>
      <c r="E6" s="880"/>
      <c r="F6" s="731" t="s">
        <v>351</v>
      </c>
      <c r="G6" s="731" t="s">
        <v>352</v>
      </c>
    </row>
    <row r="7" spans="1:17" s="566" customFormat="1" ht="118.5" customHeight="1" x14ac:dyDescent="0.3">
      <c r="B7" s="885" t="s">
        <v>353</v>
      </c>
      <c r="C7" s="886"/>
      <c r="D7" s="492">
        <f>G16+G17+L26+L36</f>
        <v>125488.45899999999</v>
      </c>
      <c r="E7" s="732">
        <f>G16+G17+L26+L36</f>
        <v>125488.45899999999</v>
      </c>
      <c r="F7" s="733">
        <v>0</v>
      </c>
      <c r="G7" s="733">
        <v>0</v>
      </c>
    </row>
    <row r="8" spans="1:17" s="566" customFormat="1" x14ac:dyDescent="0.3">
      <c r="B8" s="892" t="s">
        <v>141</v>
      </c>
      <c r="C8" s="893"/>
      <c r="D8" s="492">
        <v>0</v>
      </c>
      <c r="E8" s="732">
        <v>0</v>
      </c>
      <c r="F8" s="734">
        <v>116576.34</v>
      </c>
      <c r="G8" s="735">
        <v>8912.4589999999898</v>
      </c>
    </row>
    <row r="9" spans="1:17" s="566" customFormat="1" x14ac:dyDescent="0.3">
      <c r="B9" s="573"/>
      <c r="C9" s="573"/>
      <c r="D9" s="680"/>
      <c r="E9" s="680"/>
      <c r="F9" s="680"/>
    </row>
    <row r="10" spans="1:17" ht="15.5" x14ac:dyDescent="0.35">
      <c r="B10" s="567"/>
      <c r="C10" s="567"/>
      <c r="D10" s="568"/>
      <c r="E10" s="568"/>
      <c r="F10" s="568"/>
    </row>
    <row r="11" spans="1:17" x14ac:dyDescent="0.3">
      <c r="A11" s="565"/>
      <c r="B11" s="569" t="s">
        <v>354</v>
      </c>
      <c r="C11" s="569"/>
      <c r="D11" s="569"/>
      <c r="E11" s="569"/>
      <c r="F11" s="570" t="s">
        <v>355</v>
      </c>
      <c r="G11" s="570" t="s">
        <v>355</v>
      </c>
      <c r="H11" s="565"/>
      <c r="I11" s="565"/>
      <c r="J11" s="565"/>
      <c r="K11" s="565"/>
      <c r="L11" s="565"/>
      <c r="M11" s="565"/>
      <c r="N11" s="565"/>
      <c r="O11" s="565"/>
      <c r="P11" s="565"/>
      <c r="Q11" s="565"/>
    </row>
    <row r="12" spans="1:17" x14ac:dyDescent="0.3">
      <c r="A12" s="565"/>
      <c r="B12" s="565"/>
      <c r="C12" s="565"/>
      <c r="D12" s="565"/>
      <c r="E12" s="565"/>
      <c r="F12" s="565"/>
      <c r="G12" s="565"/>
      <c r="H12" s="565"/>
      <c r="I12" s="565"/>
      <c r="J12" s="565"/>
      <c r="K12" s="565"/>
      <c r="L12" s="565"/>
      <c r="M12" s="565"/>
      <c r="N12" s="565"/>
      <c r="O12" s="565"/>
      <c r="P12" s="565"/>
      <c r="Q12" s="565"/>
    </row>
    <row r="13" spans="1:17" x14ac:dyDescent="0.3">
      <c r="A13" s="565"/>
      <c r="B13" s="571" t="s">
        <v>356</v>
      </c>
      <c r="C13" s="571"/>
      <c r="D13" s="571"/>
      <c r="E13" s="571"/>
      <c r="F13" s="572">
        <v>15.12</v>
      </c>
      <c r="G13" s="571"/>
      <c r="H13" s="565"/>
      <c r="I13" s="565"/>
      <c r="J13" s="565"/>
      <c r="K13" s="565"/>
      <c r="L13" s="565"/>
      <c r="M13" s="565"/>
      <c r="N13" s="565"/>
      <c r="O13" s="565"/>
      <c r="P13" s="565"/>
      <c r="Q13" s="565"/>
    </row>
    <row r="14" spans="1:17" s="576" customFormat="1" ht="72" customHeight="1" x14ac:dyDescent="0.35">
      <c r="A14" s="573"/>
      <c r="B14" s="574" t="s">
        <v>357</v>
      </c>
      <c r="C14" s="574">
        <v>60542</v>
      </c>
      <c r="D14" s="574" t="s">
        <v>355</v>
      </c>
      <c r="E14" s="574" t="s">
        <v>358</v>
      </c>
      <c r="F14" s="575"/>
      <c r="G14" s="574" t="s">
        <v>359</v>
      </c>
      <c r="H14" s="573"/>
      <c r="I14" s="573"/>
      <c r="J14" s="573"/>
      <c r="K14" s="573"/>
      <c r="L14" s="573"/>
      <c r="M14" s="573"/>
      <c r="N14" s="573"/>
      <c r="O14" s="573"/>
      <c r="P14" s="573"/>
      <c r="Q14" s="573"/>
    </row>
    <row r="15" spans="1:17" s="576" customFormat="1" ht="28" x14ac:dyDescent="0.35">
      <c r="A15" s="573"/>
      <c r="B15" s="574" t="s">
        <v>360</v>
      </c>
      <c r="C15" s="574" t="s">
        <v>361</v>
      </c>
      <c r="D15" s="574" t="s">
        <v>362</v>
      </c>
      <c r="E15" s="574" t="s">
        <v>363</v>
      </c>
      <c r="F15" s="574" t="s">
        <v>364</v>
      </c>
      <c r="G15" s="574" t="s">
        <v>365</v>
      </c>
      <c r="H15" s="573"/>
      <c r="I15" s="573"/>
      <c r="J15" s="573"/>
      <c r="K15" s="573"/>
      <c r="L15" s="573"/>
      <c r="M15" s="573"/>
      <c r="N15" s="573"/>
      <c r="O15" s="573"/>
      <c r="P15" s="573"/>
      <c r="Q15" s="573"/>
    </row>
    <row r="16" spans="1:17" ht="56" x14ac:dyDescent="0.3">
      <c r="A16" s="565"/>
      <c r="B16" s="574" t="s">
        <v>366</v>
      </c>
      <c r="C16" s="574">
        <v>15.12</v>
      </c>
      <c r="D16" s="574">
        <v>90</v>
      </c>
      <c r="E16" s="574">
        <v>2</v>
      </c>
      <c r="F16" s="574">
        <f>E16*D16</f>
        <v>180</v>
      </c>
      <c r="G16" s="574">
        <f>F16*C16</f>
        <v>2721.6</v>
      </c>
      <c r="H16" s="565"/>
      <c r="I16" s="565"/>
      <c r="J16" s="565"/>
      <c r="K16" s="565"/>
      <c r="L16" s="565"/>
      <c r="M16" s="565"/>
      <c r="N16" s="565"/>
      <c r="O16" s="565"/>
      <c r="P16" s="565"/>
      <c r="Q16" s="565"/>
    </row>
    <row r="17" spans="1:17" ht="42" x14ac:dyDescent="0.3">
      <c r="A17" s="565"/>
      <c r="B17" s="574" t="s">
        <v>367</v>
      </c>
      <c r="C17" s="574">
        <v>27.02</v>
      </c>
      <c r="D17" s="574">
        <v>90</v>
      </c>
      <c r="E17" s="574">
        <v>2</v>
      </c>
      <c r="F17" s="574">
        <f>E17*D17</f>
        <v>180</v>
      </c>
      <c r="G17" s="574">
        <f>F17*C17</f>
        <v>4863.6000000000004</v>
      </c>
      <c r="H17" s="565"/>
      <c r="I17" s="565"/>
      <c r="J17" s="565"/>
      <c r="K17" s="565"/>
      <c r="L17" s="565"/>
      <c r="M17" s="565"/>
      <c r="N17" s="565"/>
      <c r="O17" s="565"/>
      <c r="P17" s="565"/>
      <c r="Q17" s="565"/>
    </row>
    <row r="18" spans="1:17" x14ac:dyDescent="0.3">
      <c r="A18" s="565"/>
      <c r="B18" s="565"/>
      <c r="C18" s="565"/>
      <c r="D18" s="565"/>
      <c r="E18" s="565"/>
      <c r="F18" s="565"/>
      <c r="G18" s="565"/>
      <c r="H18" s="565"/>
      <c r="I18" s="565"/>
      <c r="J18" s="565"/>
      <c r="K18" s="565"/>
      <c r="L18" s="565"/>
      <c r="M18" s="565"/>
      <c r="N18" s="565"/>
      <c r="O18" s="565"/>
      <c r="P18" s="565"/>
      <c r="Q18" s="565"/>
    </row>
    <row r="19" spans="1:17" x14ac:dyDescent="0.3">
      <c r="A19" s="565"/>
      <c r="B19" s="565"/>
      <c r="C19" s="565"/>
      <c r="D19" s="565"/>
      <c r="E19" s="565"/>
      <c r="F19" s="565"/>
      <c r="G19" s="565"/>
      <c r="H19" s="565"/>
      <c r="I19" s="565"/>
      <c r="J19" s="565"/>
      <c r="K19" s="565"/>
      <c r="L19" s="565"/>
      <c r="M19" s="565"/>
      <c r="N19" s="565"/>
      <c r="O19" s="565"/>
      <c r="P19" s="565"/>
      <c r="Q19" s="565"/>
    </row>
    <row r="20" spans="1:17" x14ac:dyDescent="0.3">
      <c r="A20" s="565"/>
      <c r="B20" s="887" t="s">
        <v>368</v>
      </c>
      <c r="C20" s="887"/>
      <c r="D20" s="887"/>
      <c r="E20" s="887"/>
      <c r="F20" s="565"/>
      <c r="G20" s="565"/>
      <c r="H20" s="565"/>
      <c r="I20" s="565"/>
      <c r="J20" s="565"/>
      <c r="K20" s="565"/>
      <c r="L20" s="577"/>
      <c r="M20" s="565"/>
      <c r="N20" s="565"/>
      <c r="O20" s="565"/>
      <c r="P20" s="565"/>
      <c r="Q20" s="565"/>
    </row>
    <row r="21" spans="1:17" s="578" customFormat="1" ht="45" customHeight="1" x14ac:dyDescent="0.35">
      <c r="B21" s="579" t="s">
        <v>355</v>
      </c>
      <c r="C21" s="888" t="s">
        <v>234</v>
      </c>
      <c r="D21" s="866" t="s">
        <v>235</v>
      </c>
      <c r="E21" s="867"/>
      <c r="F21" s="868" t="s">
        <v>236</v>
      </c>
      <c r="G21" s="869"/>
      <c r="H21" s="870" t="s">
        <v>369</v>
      </c>
      <c r="I21" s="870" t="s">
        <v>370</v>
      </c>
      <c r="J21" s="888" t="s">
        <v>371</v>
      </c>
      <c r="K21" s="888" t="s">
        <v>372</v>
      </c>
      <c r="L21" s="883" t="s">
        <v>373</v>
      </c>
    </row>
    <row r="22" spans="1:17" s="578" customFormat="1" ht="22.5" customHeight="1" x14ac:dyDescent="0.35">
      <c r="B22" s="580"/>
      <c r="C22" s="889"/>
      <c r="D22" s="581" t="s">
        <v>242</v>
      </c>
      <c r="E22" s="581" t="s">
        <v>243</v>
      </c>
      <c r="F22" s="581" t="s">
        <v>242</v>
      </c>
      <c r="G22" s="581" t="s">
        <v>244</v>
      </c>
      <c r="H22" s="871"/>
      <c r="I22" s="890"/>
      <c r="J22" s="891"/>
      <c r="K22" s="891"/>
      <c r="L22" s="884"/>
    </row>
    <row r="23" spans="1:17" ht="14.5" customHeight="1" x14ac:dyDescent="0.3">
      <c r="B23" s="582" t="s">
        <v>374</v>
      </c>
      <c r="C23" s="583">
        <v>1</v>
      </c>
      <c r="D23" s="583">
        <v>1</v>
      </c>
      <c r="E23" s="583">
        <v>1</v>
      </c>
      <c r="F23" s="583" t="s">
        <v>355</v>
      </c>
      <c r="G23" s="583" t="s">
        <v>355</v>
      </c>
      <c r="H23" s="584">
        <f>(E23*1963)*12</f>
        <v>23556</v>
      </c>
      <c r="I23" s="584">
        <f>945*12</f>
        <v>11340</v>
      </c>
      <c r="J23" s="584">
        <f>(H23)*0.2359</f>
        <v>5556.8603999999996</v>
      </c>
      <c r="K23" s="585">
        <v>4372</v>
      </c>
      <c r="L23" s="586">
        <f>H23+I23+J23+K23</f>
        <v>44824.860399999998</v>
      </c>
    </row>
    <row r="24" spans="1:17" ht="14.5" customHeight="1" x14ac:dyDescent="0.3">
      <c r="B24" s="587" t="s">
        <v>375</v>
      </c>
      <c r="C24" s="588">
        <v>1</v>
      </c>
      <c r="D24" s="583" t="s">
        <v>355</v>
      </c>
      <c r="E24" s="583" t="s">
        <v>355</v>
      </c>
      <c r="F24" s="583">
        <v>1</v>
      </c>
      <c r="G24" s="583">
        <v>0.5</v>
      </c>
      <c r="H24" s="584">
        <f>(G24*1183)*12</f>
        <v>7098</v>
      </c>
      <c r="I24" s="589">
        <f>945/2*12</f>
        <v>5670</v>
      </c>
      <c r="J24" s="584">
        <f>(H24)*0.2359</f>
        <v>1674.4182000000001</v>
      </c>
      <c r="K24" s="585">
        <v>1765</v>
      </c>
      <c r="L24" s="586">
        <f>H24+I24+J24+K24</f>
        <v>16207.4182</v>
      </c>
    </row>
    <row r="25" spans="1:17" ht="14.5" customHeight="1" x14ac:dyDescent="0.3">
      <c r="B25" s="587" t="s">
        <v>376</v>
      </c>
      <c r="C25" s="581">
        <v>1</v>
      </c>
      <c r="D25" s="581">
        <v>1</v>
      </c>
      <c r="E25" s="589">
        <v>1</v>
      </c>
      <c r="F25" s="581" t="s">
        <v>355</v>
      </c>
      <c r="G25" s="581" t="s">
        <v>355</v>
      </c>
      <c r="H25" s="584">
        <f>(E25*1963)*12</f>
        <v>23556</v>
      </c>
      <c r="I25" s="584">
        <f>945*12</f>
        <v>11340</v>
      </c>
      <c r="J25" s="584">
        <f>(H25)*0.2359</f>
        <v>5556.8603999999996</v>
      </c>
      <c r="K25" s="585">
        <v>3416</v>
      </c>
      <c r="L25" s="586">
        <f>H25+I25+J25+K25</f>
        <v>43868.860399999998</v>
      </c>
    </row>
    <row r="26" spans="1:17" ht="14.5" customHeight="1" x14ac:dyDescent="0.3">
      <c r="B26" s="590" t="s">
        <v>288</v>
      </c>
      <c r="C26" s="591">
        <v>3</v>
      </c>
      <c r="D26" s="591">
        <v>2</v>
      </c>
      <c r="E26" s="591">
        <v>2</v>
      </c>
      <c r="F26" s="591">
        <v>1</v>
      </c>
      <c r="G26" s="591">
        <v>0.5</v>
      </c>
      <c r="H26" s="592">
        <f>SUM(H23:H25)</f>
        <v>54210</v>
      </c>
      <c r="I26" s="592">
        <v>21106</v>
      </c>
      <c r="J26" s="592">
        <f>SUM(J23:J25)</f>
        <v>12788.138999999999</v>
      </c>
      <c r="K26" s="593">
        <f>K23+K24+K25</f>
        <v>9553</v>
      </c>
      <c r="L26" s="594">
        <f>SUM(L23:L25)</f>
        <v>104901.139</v>
      </c>
    </row>
    <row r="27" spans="1:17" ht="14.5" customHeight="1" x14ac:dyDescent="0.3">
      <c r="B27" s="220" t="s">
        <v>377</v>
      </c>
      <c r="D27" s="577"/>
      <c r="E27" s="577"/>
      <c r="F27" s="577"/>
      <c r="G27" s="577"/>
      <c r="H27" s="577"/>
      <c r="I27" s="577"/>
      <c r="J27" s="577"/>
    </row>
    <row r="29" spans="1:17" x14ac:dyDescent="0.3">
      <c r="B29" s="220" t="s">
        <v>378</v>
      </c>
    </row>
    <row r="30" spans="1:17" ht="28" x14ac:dyDescent="0.3">
      <c r="B30" s="595" t="s">
        <v>379</v>
      </c>
      <c r="C30" s="596" t="s">
        <v>380</v>
      </c>
      <c r="D30" s="597" t="s">
        <v>381</v>
      </c>
      <c r="E30" s="597" t="s">
        <v>382</v>
      </c>
      <c r="F30" s="597" t="s">
        <v>383</v>
      </c>
      <c r="G30" s="597" t="s">
        <v>384</v>
      </c>
      <c r="H30" s="597" t="s">
        <v>385</v>
      </c>
      <c r="I30" s="597" t="s">
        <v>386</v>
      </c>
      <c r="J30" s="598" t="s">
        <v>387</v>
      </c>
      <c r="K30" s="736" t="s">
        <v>388</v>
      </c>
      <c r="L30" s="599" t="s">
        <v>389</v>
      </c>
    </row>
    <row r="31" spans="1:17" ht="28.5" x14ac:dyDescent="0.35">
      <c r="B31" s="600" t="s">
        <v>390</v>
      </c>
      <c r="C31" s="601" t="s">
        <v>391</v>
      </c>
      <c r="D31" s="602">
        <v>15.97</v>
      </c>
      <c r="E31" s="603">
        <v>3.77</v>
      </c>
      <c r="F31" s="603">
        <v>19.559999999999999</v>
      </c>
      <c r="G31" s="603">
        <v>4.74</v>
      </c>
      <c r="H31" s="603">
        <v>0.38</v>
      </c>
      <c r="I31" s="603">
        <v>1.1200000000000001</v>
      </c>
      <c r="J31" s="603">
        <v>45.54</v>
      </c>
      <c r="K31" s="604">
        <f>(180+90)/5</f>
        <v>54</v>
      </c>
      <c r="L31" s="605">
        <f>K31*J31</f>
        <v>2459.16</v>
      </c>
    </row>
    <row r="32" spans="1:17" ht="28.5" x14ac:dyDescent="0.35">
      <c r="B32" s="600" t="s">
        <v>390</v>
      </c>
      <c r="C32" s="606" t="s">
        <v>392</v>
      </c>
      <c r="D32" s="602">
        <v>15.97</v>
      </c>
      <c r="E32" s="603">
        <v>3.77</v>
      </c>
      <c r="F32" s="603">
        <v>26.66</v>
      </c>
      <c r="G32" s="603">
        <v>4.74</v>
      </c>
      <c r="H32" s="603">
        <v>0.38</v>
      </c>
      <c r="I32" s="603">
        <v>1.1000000000000001</v>
      </c>
      <c r="J32" s="603">
        <v>52.62</v>
      </c>
      <c r="K32" s="604">
        <v>54</v>
      </c>
      <c r="L32" s="605">
        <f>K32*J32</f>
        <v>2841.48</v>
      </c>
    </row>
    <row r="33" spans="2:12" ht="28.5" x14ac:dyDescent="0.35">
      <c r="B33" s="600" t="s">
        <v>390</v>
      </c>
      <c r="C33" s="606" t="s">
        <v>393</v>
      </c>
      <c r="D33" s="602">
        <v>15.97</v>
      </c>
      <c r="E33" s="603">
        <v>3.77</v>
      </c>
      <c r="F33" s="603">
        <v>19.059999999999999</v>
      </c>
      <c r="G33" s="603">
        <v>4.74</v>
      </c>
      <c r="H33" s="603">
        <v>0.38</v>
      </c>
      <c r="I33" s="603">
        <v>1.28</v>
      </c>
      <c r="J33" s="603">
        <v>45.2</v>
      </c>
      <c r="K33" s="604">
        <v>54</v>
      </c>
      <c r="L33" s="605">
        <f>K33*J33</f>
        <v>2440.8000000000002</v>
      </c>
    </row>
    <row r="34" spans="2:12" ht="28.5" x14ac:dyDescent="0.35">
      <c r="B34" s="600" t="s">
        <v>390</v>
      </c>
      <c r="C34" s="606" t="s">
        <v>394</v>
      </c>
      <c r="D34" s="602">
        <v>15.97</v>
      </c>
      <c r="E34" s="603">
        <v>3.77</v>
      </c>
      <c r="F34" s="603">
        <v>21.04</v>
      </c>
      <c r="G34" s="603">
        <v>4.74</v>
      </c>
      <c r="H34" s="603">
        <v>0.38</v>
      </c>
      <c r="I34" s="603">
        <v>1.1200000000000001</v>
      </c>
      <c r="J34" s="603">
        <v>47.02</v>
      </c>
      <c r="K34" s="604">
        <v>54</v>
      </c>
      <c r="L34" s="605">
        <f>K34*J34</f>
        <v>2539.0800000000004</v>
      </c>
    </row>
    <row r="35" spans="2:12" ht="28.5" x14ac:dyDescent="0.35">
      <c r="B35" s="600" t="s">
        <v>390</v>
      </c>
      <c r="C35" s="606" t="s">
        <v>395</v>
      </c>
      <c r="D35" s="602">
        <v>15.97</v>
      </c>
      <c r="E35" s="603">
        <v>3.77</v>
      </c>
      <c r="F35" s="603">
        <v>24.26</v>
      </c>
      <c r="G35" s="603">
        <v>4.74</v>
      </c>
      <c r="H35" s="603">
        <v>0.38</v>
      </c>
      <c r="I35" s="603">
        <v>1.28</v>
      </c>
      <c r="J35" s="603">
        <v>50.4</v>
      </c>
      <c r="K35" s="604">
        <v>54</v>
      </c>
      <c r="L35" s="605">
        <f>K35*J35</f>
        <v>2721.6</v>
      </c>
    </row>
    <row r="36" spans="2:12" ht="14.15" customHeight="1" x14ac:dyDescent="0.35">
      <c r="B36" s="607"/>
      <c r="C36" s="607"/>
      <c r="D36" s="607"/>
      <c r="E36" s="607"/>
      <c r="F36" s="607"/>
      <c r="G36" s="607"/>
      <c r="H36" s="607"/>
      <c r="I36" s="607"/>
      <c r="J36" s="881" t="s">
        <v>396</v>
      </c>
      <c r="K36" s="882"/>
      <c r="L36" s="608">
        <f>SUM(L31:L35)</f>
        <v>13002.12</v>
      </c>
    </row>
  </sheetData>
  <mergeCells count="17">
    <mergeCell ref="J36:K36"/>
    <mergeCell ref="L21:L22"/>
    <mergeCell ref="B7:C7"/>
    <mergeCell ref="B20:E20"/>
    <mergeCell ref="C21:C22"/>
    <mergeCell ref="I21:I22"/>
    <mergeCell ref="J21:J22"/>
    <mergeCell ref="K21:K22"/>
    <mergeCell ref="B8:C8"/>
    <mergeCell ref="A3:J3"/>
    <mergeCell ref="D21:E21"/>
    <mergeCell ref="F21:G21"/>
    <mergeCell ref="H21:H22"/>
    <mergeCell ref="F5:G5"/>
    <mergeCell ref="B5:C6"/>
    <mergeCell ref="D5:D6"/>
    <mergeCell ref="E5:E6"/>
  </mergeCells>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C9B066-5FAC-4A04-9673-E541CA53E12C}">
  <sheetPr>
    <tabColor theme="5" tint="0.79998168889431442"/>
  </sheetPr>
  <dimension ref="B1:J10"/>
  <sheetViews>
    <sheetView workbookViewId="0">
      <selection activeCell="Q5" sqref="Q5"/>
    </sheetView>
  </sheetViews>
  <sheetFormatPr defaultColWidth="9.1796875" defaultRowHeight="14" x14ac:dyDescent="0.3"/>
  <cols>
    <col min="1" max="1" width="4.54296875" style="176" customWidth="1"/>
    <col min="2" max="2" width="57.453125" style="176" customWidth="1"/>
    <col min="3" max="3" width="11.81640625" style="176" bestFit="1" customWidth="1"/>
    <col min="4" max="4" width="10.54296875" style="176" customWidth="1"/>
    <col min="5" max="8" width="11" style="176" customWidth="1"/>
    <col min="9" max="9" width="16" style="176" customWidth="1"/>
    <col min="10" max="10" width="11.26953125" style="176" bestFit="1" customWidth="1"/>
    <col min="11" max="16384" width="9.1796875" style="176"/>
  </cols>
  <sheetData>
    <row r="1" spans="2:10" x14ac:dyDescent="0.3">
      <c r="J1" s="197" t="s">
        <v>400</v>
      </c>
    </row>
    <row r="3" spans="2:10" ht="30" customHeight="1" x14ac:dyDescent="0.3">
      <c r="B3" s="894" t="s">
        <v>684</v>
      </c>
      <c r="C3" s="894"/>
      <c r="D3" s="894"/>
      <c r="E3" s="894"/>
      <c r="F3" s="894"/>
      <c r="G3" s="894"/>
      <c r="H3" s="894"/>
      <c r="I3" s="894"/>
      <c r="J3" s="894"/>
    </row>
    <row r="5" spans="2:10" s="747" customFormat="1" ht="42" customHeight="1" x14ac:dyDescent="0.35">
      <c r="B5" s="742" t="s">
        <v>4</v>
      </c>
      <c r="C5" s="743" t="s">
        <v>3</v>
      </c>
      <c r="D5" s="744" t="s">
        <v>5</v>
      </c>
      <c r="E5" s="745" t="s">
        <v>397</v>
      </c>
      <c r="F5" s="745" t="s">
        <v>343</v>
      </c>
      <c r="G5" s="745" t="s">
        <v>72</v>
      </c>
      <c r="H5" s="745" t="s">
        <v>125</v>
      </c>
      <c r="I5" s="746" t="s">
        <v>686</v>
      </c>
      <c r="J5" s="745" t="s">
        <v>398</v>
      </c>
    </row>
    <row r="6" spans="2:10" ht="84" x14ac:dyDescent="0.3">
      <c r="B6" s="757" t="s">
        <v>685</v>
      </c>
      <c r="C6" s="758" t="s">
        <v>69</v>
      </c>
      <c r="D6" s="759" t="s">
        <v>696</v>
      </c>
      <c r="E6" s="737">
        <v>920000</v>
      </c>
      <c r="F6" s="737">
        <v>14016196</v>
      </c>
      <c r="G6" s="737">
        <v>0</v>
      </c>
      <c r="H6" s="737">
        <v>0</v>
      </c>
      <c r="I6" s="737">
        <v>0</v>
      </c>
      <c r="J6" s="738">
        <f t="shared" ref="J6:J7" si="0">SUM(E6:I6)</f>
        <v>14936196</v>
      </c>
    </row>
    <row r="7" spans="2:10" ht="42" x14ac:dyDescent="0.3">
      <c r="B7" s="760" t="s">
        <v>698</v>
      </c>
      <c r="C7" s="761" t="s">
        <v>72</v>
      </c>
      <c r="D7" s="762" t="s">
        <v>695</v>
      </c>
      <c r="E7" s="739">
        <v>0</v>
      </c>
      <c r="F7" s="739">
        <v>0</v>
      </c>
      <c r="G7" s="739">
        <v>895788.60000000009</v>
      </c>
      <c r="H7" s="739">
        <v>1791577.2000000002</v>
      </c>
      <c r="I7" s="739">
        <v>6270520.2000000002</v>
      </c>
      <c r="J7" s="740">
        <f t="shared" si="0"/>
        <v>8957886</v>
      </c>
    </row>
    <row r="8" spans="2:10" x14ac:dyDescent="0.3">
      <c r="B8" s="895" t="s">
        <v>587</v>
      </c>
      <c r="C8" s="895"/>
      <c r="D8" s="895"/>
      <c r="E8" s="741">
        <f>SUM(E6+E7)</f>
        <v>920000</v>
      </c>
      <c r="F8" s="741">
        <f t="shared" ref="F8:J8" si="1">SUM(F6+F7)</f>
        <v>14016196</v>
      </c>
      <c r="G8" s="741">
        <f t="shared" si="1"/>
        <v>895788.60000000009</v>
      </c>
      <c r="H8" s="741">
        <f t="shared" si="1"/>
        <v>1791577.2000000002</v>
      </c>
      <c r="I8" s="741">
        <f t="shared" si="1"/>
        <v>6270520.2000000002</v>
      </c>
      <c r="J8" s="741">
        <f t="shared" si="1"/>
        <v>23894082</v>
      </c>
    </row>
    <row r="9" spans="2:10" x14ac:dyDescent="0.3">
      <c r="B9" s="207" t="s">
        <v>128</v>
      </c>
    </row>
    <row r="10" spans="2:10" x14ac:dyDescent="0.3">
      <c r="I10" s="197"/>
    </row>
  </sheetData>
  <mergeCells count="2">
    <mergeCell ref="B3:J3"/>
    <mergeCell ref="B8:D8"/>
  </mergeCells>
  <pageMargins left="0.7" right="0.7" top="0.75" bottom="0.75" header="0.3" footer="0.3"/>
  <pageSetup paperSize="9" orientation="portrait"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58B7F6-D676-4A8B-B16C-CE2C86A81927}">
  <sheetPr>
    <tabColor rgb="FFC6E0B4"/>
  </sheetPr>
  <dimension ref="A1:O68"/>
  <sheetViews>
    <sheetView zoomScale="90" zoomScaleNormal="90" workbookViewId="0">
      <selection activeCell="R15" sqref="R15"/>
    </sheetView>
  </sheetViews>
  <sheetFormatPr defaultColWidth="9.1796875" defaultRowHeight="14.5" x14ac:dyDescent="0.35"/>
  <cols>
    <col min="1" max="1" width="22.26953125" customWidth="1"/>
    <col min="2" max="2" width="24.453125" customWidth="1"/>
    <col min="3" max="3" width="24.54296875" customWidth="1"/>
    <col min="4" max="5" width="17.7265625" customWidth="1"/>
    <col min="6" max="6" width="18.7265625" customWidth="1"/>
    <col min="7" max="7" width="15.7265625" customWidth="1"/>
    <col min="8" max="8" width="13.453125" customWidth="1"/>
    <col min="9" max="11" width="10.1796875" hidden="1" customWidth="1"/>
    <col min="12" max="12" width="10.1796875" bestFit="1" customWidth="1"/>
    <col min="13" max="13" width="12.26953125" customWidth="1"/>
    <col min="14" max="15" width="9.26953125" bestFit="1" customWidth="1"/>
    <col min="16" max="18" width="10.1796875" bestFit="1" customWidth="1"/>
    <col min="19" max="19" width="10.453125" bestFit="1" customWidth="1"/>
    <col min="20" max="21" width="10.1796875" bestFit="1" customWidth="1"/>
    <col min="22" max="23" width="9.26953125" bestFit="1" customWidth="1"/>
    <col min="24" max="26" width="10.1796875" bestFit="1" customWidth="1"/>
    <col min="27" max="27" width="9.26953125" bestFit="1" customWidth="1"/>
    <col min="28" max="28" width="10.1796875" bestFit="1" customWidth="1"/>
  </cols>
  <sheetData>
    <row r="1" spans="1:15" s="176" customFormat="1" ht="14" x14ac:dyDescent="0.3">
      <c r="A1" s="294" t="s">
        <v>399</v>
      </c>
      <c r="L1" s="197" t="s">
        <v>501</v>
      </c>
    </row>
    <row r="2" spans="1:15" s="176" customFormat="1" ht="14" x14ac:dyDescent="0.3">
      <c r="L2" s="197"/>
    </row>
    <row r="3" spans="1:15" s="176" customFormat="1" ht="15" x14ac:dyDescent="0.3">
      <c r="A3" s="840" t="s">
        <v>401</v>
      </c>
      <c r="B3" s="840"/>
      <c r="C3" s="840"/>
      <c r="D3" s="840"/>
      <c r="E3" s="840"/>
      <c r="F3" s="840"/>
      <c r="G3" s="840"/>
      <c r="H3" s="840"/>
      <c r="I3" s="840"/>
      <c r="J3" s="840"/>
      <c r="K3" s="840"/>
      <c r="L3" s="840"/>
    </row>
    <row r="4" spans="1:15" ht="15.5" x14ac:dyDescent="0.35">
      <c r="A4" s="315"/>
      <c r="B4" s="315"/>
      <c r="C4" s="315"/>
      <c r="D4" s="315"/>
      <c r="E4" s="315"/>
      <c r="F4" s="315"/>
      <c r="G4" s="315"/>
      <c r="H4" s="315"/>
      <c r="I4" s="315"/>
      <c r="J4" s="315"/>
      <c r="K4" s="315"/>
    </row>
    <row r="5" spans="1:15" s="27" customFormat="1" ht="14" x14ac:dyDescent="0.3">
      <c r="A5" s="208" t="s">
        <v>171</v>
      </c>
      <c r="C5" s="208"/>
      <c r="D5" s="208"/>
      <c r="E5" s="208"/>
      <c r="F5" s="208"/>
    </row>
    <row r="6" spans="1:15" s="27" customFormat="1" ht="14" x14ac:dyDescent="0.3">
      <c r="A6" s="210" t="s">
        <v>172</v>
      </c>
      <c r="C6" s="210"/>
      <c r="D6" s="210"/>
      <c r="E6" s="210"/>
      <c r="F6" s="210"/>
    </row>
    <row r="7" spans="1:15" ht="15.5" x14ac:dyDescent="0.35">
      <c r="A7" s="315"/>
      <c r="B7" s="315"/>
      <c r="C7" s="315"/>
      <c r="D7" s="315"/>
      <c r="E7" s="315"/>
      <c r="F7" s="315"/>
      <c r="G7" s="315"/>
      <c r="H7" s="315"/>
      <c r="I7" s="315"/>
      <c r="J7" s="315"/>
      <c r="K7" s="315"/>
    </row>
    <row r="8" spans="1:15" s="285" customFormat="1" ht="28" x14ac:dyDescent="0.35">
      <c r="A8" s="288" t="s">
        <v>402</v>
      </c>
      <c r="B8" s="289" t="s">
        <v>403</v>
      </c>
      <c r="C8" s="289" t="s">
        <v>404</v>
      </c>
      <c r="D8" s="289" t="s">
        <v>405</v>
      </c>
    </row>
    <row r="9" spans="1:15" s="285" customFormat="1" ht="14" x14ac:dyDescent="0.35">
      <c r="A9" s="277">
        <f>M15+M16+M17+M18+M19+M20</f>
        <v>304.97999999999996</v>
      </c>
      <c r="B9" s="277">
        <v>50</v>
      </c>
      <c r="C9" s="277">
        <v>80</v>
      </c>
      <c r="D9" s="285">
        <f>C9</f>
        <v>80</v>
      </c>
    </row>
    <row r="10" spans="1:15" s="285" customFormat="1" ht="14" x14ac:dyDescent="0.35">
      <c r="A10" s="291" t="s">
        <v>406</v>
      </c>
      <c r="B10" s="290">
        <f>ROUND(B9*A9,0)</f>
        <v>15249</v>
      </c>
      <c r="C10" s="290">
        <f>C9*A9</f>
        <v>24398.399999999998</v>
      </c>
      <c r="D10" s="290">
        <f>ROUND(C10,0)</f>
        <v>24398</v>
      </c>
    </row>
    <row r="11" spans="1:15" ht="27" customHeight="1" x14ac:dyDescent="0.35"/>
    <row r="12" spans="1:15" ht="27" customHeight="1" x14ac:dyDescent="0.35">
      <c r="B12" s="923" t="s">
        <v>379</v>
      </c>
      <c r="C12" s="923" t="s">
        <v>407</v>
      </c>
    </row>
    <row r="13" spans="1:15" ht="14.5" customHeight="1" x14ac:dyDescent="0.35">
      <c r="B13" s="924"/>
      <c r="C13" s="924"/>
    </row>
    <row r="14" spans="1:15" ht="14.5" customHeight="1" x14ac:dyDescent="0.35">
      <c r="B14" s="925"/>
      <c r="C14" s="925"/>
      <c r="D14" s="316" t="s">
        <v>381</v>
      </c>
      <c r="E14" s="316" t="s">
        <v>382</v>
      </c>
      <c r="F14" s="316" t="s">
        <v>383</v>
      </c>
      <c r="G14" s="316" t="s">
        <v>384</v>
      </c>
      <c r="H14" s="316" t="s">
        <v>385</v>
      </c>
      <c r="I14" s="316" t="s">
        <v>386</v>
      </c>
      <c r="J14" s="316" t="s">
        <v>408</v>
      </c>
      <c r="K14" s="316" t="s">
        <v>409</v>
      </c>
      <c r="L14" s="316" t="s">
        <v>386</v>
      </c>
      <c r="M14" s="316" t="s">
        <v>409</v>
      </c>
    </row>
    <row r="15" spans="1:15" ht="56" x14ac:dyDescent="0.5">
      <c r="B15" s="317" t="s">
        <v>410</v>
      </c>
      <c r="C15" s="318" t="s">
        <v>411</v>
      </c>
      <c r="D15" s="319">
        <v>15.75</v>
      </c>
      <c r="E15" s="319">
        <v>3.72</v>
      </c>
      <c r="F15" s="319">
        <v>0</v>
      </c>
      <c r="G15" s="319">
        <v>4.68</v>
      </c>
      <c r="H15" s="319">
        <v>0.37</v>
      </c>
      <c r="I15" s="319">
        <v>0.6</v>
      </c>
      <c r="J15" s="319"/>
      <c r="K15" s="319">
        <v>19.569999999999997</v>
      </c>
      <c r="L15" s="319">
        <v>0.47</v>
      </c>
      <c r="M15" s="320">
        <f>L15+H15+G15+F15+E15+D15</f>
        <v>24.990000000000002</v>
      </c>
      <c r="N15" s="321"/>
      <c r="O15" s="321"/>
    </row>
    <row r="16" spans="1:15" ht="70" x14ac:dyDescent="0.35">
      <c r="B16" s="317" t="s">
        <v>412</v>
      </c>
      <c r="C16" s="318" t="s">
        <v>413</v>
      </c>
      <c r="D16" s="319">
        <v>45.43</v>
      </c>
      <c r="E16" s="319">
        <v>10.72</v>
      </c>
      <c r="F16" s="319">
        <v>0</v>
      </c>
      <c r="G16" s="319">
        <v>13.49</v>
      </c>
      <c r="H16" s="319">
        <v>1.08</v>
      </c>
      <c r="I16" s="319">
        <v>1.73</v>
      </c>
      <c r="J16" s="319"/>
      <c r="K16" s="319">
        <v>48.669999999999995</v>
      </c>
      <c r="L16" s="319">
        <v>1.17</v>
      </c>
      <c r="M16" s="320">
        <f t="shared" ref="M16:M20" si="0">L16+H16+G16+F16+E16+D16</f>
        <v>71.89</v>
      </c>
    </row>
    <row r="17" spans="2:13" ht="84" x14ac:dyDescent="0.35">
      <c r="B17" s="317" t="s">
        <v>414</v>
      </c>
      <c r="C17" s="318" t="s">
        <v>415</v>
      </c>
      <c r="D17" s="319">
        <v>48.9</v>
      </c>
      <c r="E17" s="319">
        <v>11.54</v>
      </c>
      <c r="F17" s="319">
        <v>0</v>
      </c>
      <c r="G17" s="319">
        <v>14.52</v>
      </c>
      <c r="H17" s="319">
        <v>1.1599999999999999</v>
      </c>
      <c r="I17" s="319">
        <v>1.86</v>
      </c>
      <c r="J17" s="319"/>
      <c r="K17" s="319">
        <v>56.460000000000008</v>
      </c>
      <c r="L17" s="319">
        <v>1.35</v>
      </c>
      <c r="M17" s="320">
        <f t="shared" si="0"/>
        <v>77.47</v>
      </c>
    </row>
    <row r="18" spans="2:13" ht="49.15" customHeight="1" x14ac:dyDescent="0.35">
      <c r="B18" s="317" t="s">
        <v>416</v>
      </c>
      <c r="C18" s="318" t="s">
        <v>417</v>
      </c>
      <c r="D18" s="319">
        <v>53.78</v>
      </c>
      <c r="E18" s="319">
        <v>12.69</v>
      </c>
      <c r="F18" s="319">
        <v>0</v>
      </c>
      <c r="G18" s="319">
        <v>15.98</v>
      </c>
      <c r="H18" s="319">
        <v>1.28</v>
      </c>
      <c r="I18" s="319">
        <v>2.0499999999999998</v>
      </c>
      <c r="J18" s="319"/>
      <c r="K18" s="319">
        <v>68.22</v>
      </c>
      <c r="L18" s="319">
        <v>1.63</v>
      </c>
      <c r="M18" s="320">
        <f t="shared" si="0"/>
        <v>85.36</v>
      </c>
    </row>
    <row r="19" spans="2:13" ht="42" x14ac:dyDescent="0.35">
      <c r="B19" s="317" t="s">
        <v>418</v>
      </c>
      <c r="C19" s="318" t="s">
        <v>419</v>
      </c>
      <c r="D19" s="319">
        <v>0</v>
      </c>
      <c r="E19" s="319">
        <v>0</v>
      </c>
      <c r="F19" s="319">
        <v>0</v>
      </c>
      <c r="G19" s="319">
        <v>0</v>
      </c>
      <c r="H19" s="319">
        <v>0</v>
      </c>
      <c r="I19" s="319">
        <v>0</v>
      </c>
      <c r="J19" s="319"/>
      <c r="K19" s="319">
        <v>0</v>
      </c>
      <c r="L19" s="319">
        <v>0</v>
      </c>
      <c r="M19" s="320">
        <f t="shared" si="0"/>
        <v>0</v>
      </c>
    </row>
    <row r="20" spans="2:13" ht="70" x14ac:dyDescent="0.35">
      <c r="B20" s="317" t="s">
        <v>420</v>
      </c>
      <c r="C20" s="318" t="s">
        <v>421</v>
      </c>
      <c r="D20" s="319">
        <v>28.63</v>
      </c>
      <c r="E20" s="319">
        <v>6.75</v>
      </c>
      <c r="F20" s="319">
        <v>0</v>
      </c>
      <c r="G20" s="319">
        <v>8.51</v>
      </c>
      <c r="H20" s="319">
        <v>0.68</v>
      </c>
      <c r="I20" s="319">
        <v>1.0900000000000001</v>
      </c>
      <c r="J20" s="319"/>
      <c r="K20" s="319">
        <v>29.36</v>
      </c>
      <c r="L20" s="319">
        <v>0.7</v>
      </c>
      <c r="M20" s="320">
        <f t="shared" si="0"/>
        <v>45.269999999999996</v>
      </c>
    </row>
    <row r="21" spans="2:13" ht="43.5" x14ac:dyDescent="0.35">
      <c r="C21" s="322" t="s">
        <v>422</v>
      </c>
      <c r="D21" s="323" t="s">
        <v>423</v>
      </c>
    </row>
    <row r="22" spans="2:13" ht="70" x14ac:dyDescent="0.35">
      <c r="C22" s="322" t="s">
        <v>424</v>
      </c>
      <c r="D22" s="323" t="s">
        <v>425</v>
      </c>
    </row>
    <row r="23" spans="2:13" ht="43.5" x14ac:dyDescent="0.35">
      <c r="C23" s="322" t="s">
        <v>426</v>
      </c>
      <c r="D23" s="323" t="s">
        <v>425</v>
      </c>
    </row>
    <row r="24" spans="2:13" ht="56" x14ac:dyDescent="0.35">
      <c r="C24" s="322" t="s">
        <v>427</v>
      </c>
      <c r="D24" s="323" t="s">
        <v>425</v>
      </c>
    </row>
    <row r="25" spans="2:13" ht="70" x14ac:dyDescent="0.35">
      <c r="C25" s="322" t="s">
        <v>428</v>
      </c>
      <c r="D25" s="323" t="s">
        <v>429</v>
      </c>
    </row>
    <row r="26" spans="2:13" x14ac:dyDescent="0.35">
      <c r="B26" t="s">
        <v>430</v>
      </c>
    </row>
    <row r="29" spans="2:13" ht="15" thickBot="1" x14ac:dyDescent="0.4"/>
    <row r="30" spans="2:13" ht="72" customHeight="1" thickBot="1" x14ac:dyDescent="0.4">
      <c r="B30" s="926" t="s">
        <v>431</v>
      </c>
      <c r="C30" s="927"/>
      <c r="D30" s="927"/>
      <c r="E30" s="927"/>
      <c r="F30" s="927"/>
      <c r="G30" s="928"/>
    </row>
    <row r="31" spans="2:13" ht="15" thickTop="1" x14ac:dyDescent="0.35">
      <c r="B31" s="324" t="s">
        <v>432</v>
      </c>
      <c r="C31" s="921" t="s">
        <v>284</v>
      </c>
      <c r="D31" s="921" t="s">
        <v>433</v>
      </c>
      <c r="E31" s="921" t="s">
        <v>285</v>
      </c>
      <c r="F31" s="921" t="s">
        <v>434</v>
      </c>
      <c r="G31" s="921" t="s">
        <v>435</v>
      </c>
    </row>
    <row r="32" spans="2:13" ht="15" thickBot="1" x14ac:dyDescent="0.4">
      <c r="B32" s="325" t="s">
        <v>436</v>
      </c>
      <c r="C32" s="922"/>
      <c r="D32" s="922"/>
      <c r="E32" s="922"/>
      <c r="F32" s="922"/>
      <c r="G32" s="922"/>
    </row>
    <row r="33" spans="2:7" x14ac:dyDescent="0.35">
      <c r="B33" s="913">
        <v>1</v>
      </c>
      <c r="C33" s="326" t="s">
        <v>437</v>
      </c>
      <c r="D33" s="913" t="s">
        <v>438</v>
      </c>
      <c r="E33" s="917"/>
      <c r="F33" s="917"/>
      <c r="G33" s="913"/>
    </row>
    <row r="34" spans="2:7" ht="15" thickBot="1" x14ac:dyDescent="0.4">
      <c r="B34" s="914"/>
      <c r="C34" s="328" t="s">
        <v>439</v>
      </c>
      <c r="D34" s="914"/>
      <c r="E34" s="918"/>
      <c r="F34" s="918"/>
      <c r="G34" s="914"/>
    </row>
    <row r="35" spans="2:7" x14ac:dyDescent="0.35">
      <c r="B35" s="915">
        <v>2</v>
      </c>
      <c r="C35" s="330" t="s">
        <v>439</v>
      </c>
      <c r="D35" s="919"/>
      <c r="E35" s="915" t="s">
        <v>440</v>
      </c>
      <c r="F35" s="915" t="s">
        <v>441</v>
      </c>
      <c r="G35" s="915" t="s">
        <v>442</v>
      </c>
    </row>
    <row r="36" spans="2:7" ht="15" thickBot="1" x14ac:dyDescent="0.4">
      <c r="B36" s="916"/>
      <c r="C36" s="332" t="s">
        <v>443</v>
      </c>
      <c r="D36" s="920"/>
      <c r="E36" s="916"/>
      <c r="F36" s="916"/>
      <c r="G36" s="916"/>
    </row>
    <row r="37" spans="2:7" x14ac:dyDescent="0.35">
      <c r="B37" s="913">
        <v>3</v>
      </c>
      <c r="C37" s="326" t="s">
        <v>443</v>
      </c>
      <c r="D37" s="913" t="s">
        <v>444</v>
      </c>
      <c r="E37" s="913" t="s">
        <v>440</v>
      </c>
      <c r="F37" s="326" t="s">
        <v>445</v>
      </c>
      <c r="G37" s="913"/>
    </row>
    <row r="38" spans="2:7" ht="15" thickBot="1" x14ac:dyDescent="0.4">
      <c r="B38" s="914"/>
      <c r="C38" s="328" t="s">
        <v>443</v>
      </c>
      <c r="D38" s="914"/>
      <c r="E38" s="914"/>
      <c r="F38" s="328" t="s">
        <v>446</v>
      </c>
      <c r="G38" s="914"/>
    </row>
    <row r="39" spans="2:7" x14ac:dyDescent="0.35">
      <c r="B39" s="915">
        <v>4</v>
      </c>
      <c r="C39" s="330" t="s">
        <v>447</v>
      </c>
      <c r="D39" s="915" t="s">
        <v>448</v>
      </c>
      <c r="E39" s="915" t="s">
        <v>440</v>
      </c>
      <c r="F39" s="915" t="s">
        <v>449</v>
      </c>
      <c r="G39" s="330" t="s">
        <v>450</v>
      </c>
    </row>
    <row r="40" spans="2:7" ht="15" thickBot="1" x14ac:dyDescent="0.4">
      <c r="B40" s="916"/>
      <c r="C40" s="332" t="s">
        <v>447</v>
      </c>
      <c r="D40" s="916"/>
      <c r="E40" s="916"/>
      <c r="F40" s="916"/>
      <c r="G40" s="332" t="s">
        <v>446</v>
      </c>
    </row>
    <row r="41" spans="2:7" ht="15" thickBot="1" x14ac:dyDescent="0.4">
      <c r="B41" s="327">
        <v>5</v>
      </c>
      <c r="C41" s="328" t="s">
        <v>447</v>
      </c>
      <c r="D41" s="334"/>
      <c r="E41" s="334"/>
      <c r="F41" s="334"/>
      <c r="G41" s="328"/>
    </row>
    <row r="42" spans="2:7" ht="38.5" customHeight="1" thickBot="1" x14ac:dyDescent="0.4">
      <c r="B42" s="331">
        <v>6</v>
      </c>
      <c r="C42" s="332" t="s">
        <v>447</v>
      </c>
      <c r="D42" s="332" t="s">
        <v>451</v>
      </c>
      <c r="E42" s="332" t="s">
        <v>451</v>
      </c>
      <c r="F42" s="335"/>
      <c r="G42" s="332"/>
    </row>
    <row r="44" spans="2:7" ht="15" thickBot="1" x14ac:dyDescent="0.4"/>
    <row r="45" spans="2:7" ht="16.5" customHeight="1" thickBot="1" x14ac:dyDescent="0.4">
      <c r="B45" s="908" t="s">
        <v>431</v>
      </c>
      <c r="C45" s="909"/>
      <c r="D45" s="909"/>
      <c r="E45" s="909"/>
      <c r="F45" s="909"/>
      <c r="G45" s="910"/>
    </row>
    <row r="46" spans="2:7" ht="16.5" customHeight="1" thickTop="1" x14ac:dyDescent="0.35">
      <c r="B46" s="336" t="s">
        <v>432</v>
      </c>
      <c r="C46" s="911" t="s">
        <v>284</v>
      </c>
      <c r="D46" s="911" t="s">
        <v>433</v>
      </c>
      <c r="E46" s="911" t="s">
        <v>285</v>
      </c>
      <c r="F46" s="911" t="s">
        <v>434</v>
      </c>
      <c r="G46" s="911" t="s">
        <v>435</v>
      </c>
    </row>
    <row r="47" spans="2:7" ht="16" thickBot="1" x14ac:dyDescent="0.4">
      <c r="B47" s="337" t="s">
        <v>436</v>
      </c>
      <c r="C47" s="912"/>
      <c r="D47" s="912"/>
      <c r="E47" s="912"/>
      <c r="F47" s="912"/>
      <c r="G47" s="912"/>
    </row>
    <row r="48" spans="2:7" ht="15.75" customHeight="1" x14ac:dyDescent="0.35">
      <c r="B48" s="900">
        <v>1</v>
      </c>
      <c r="C48" s="338" t="s">
        <v>452</v>
      </c>
      <c r="D48" s="338" t="s">
        <v>453</v>
      </c>
      <c r="E48" s="904"/>
      <c r="F48" s="904"/>
      <c r="G48" s="900"/>
    </row>
    <row r="49" spans="2:7" ht="15.5" x14ac:dyDescent="0.35">
      <c r="B49" s="901"/>
      <c r="C49" s="340" t="s">
        <v>454</v>
      </c>
      <c r="D49" s="339" t="s">
        <v>455</v>
      </c>
      <c r="E49" s="906"/>
      <c r="F49" s="906"/>
      <c r="G49" s="901"/>
    </row>
    <row r="50" spans="2:7" ht="31" x14ac:dyDescent="0.35">
      <c r="B50" s="901"/>
      <c r="C50" s="340" t="s">
        <v>456</v>
      </c>
      <c r="D50" s="340" t="s">
        <v>457</v>
      </c>
      <c r="E50" s="906"/>
      <c r="F50" s="906"/>
      <c r="G50" s="901"/>
    </row>
    <row r="51" spans="2:7" ht="16.5" customHeight="1" thickBot="1" x14ac:dyDescent="0.4">
      <c r="B51" s="902"/>
      <c r="C51" s="341" t="s">
        <v>458</v>
      </c>
      <c r="D51" s="329"/>
      <c r="E51" s="905"/>
      <c r="F51" s="905"/>
      <c r="G51" s="902"/>
    </row>
    <row r="52" spans="2:7" ht="15.75" customHeight="1" x14ac:dyDescent="0.35">
      <c r="B52" s="896">
        <v>2</v>
      </c>
      <c r="C52" s="343" t="s">
        <v>456</v>
      </c>
      <c r="D52" s="898"/>
      <c r="E52" s="343" t="s">
        <v>452</v>
      </c>
      <c r="F52" s="342" t="s">
        <v>453</v>
      </c>
      <c r="G52" s="342" t="s">
        <v>459</v>
      </c>
    </row>
    <row r="53" spans="2:7" ht="15.75" customHeight="1" x14ac:dyDescent="0.35">
      <c r="B53" s="903"/>
      <c r="C53" s="345" t="s">
        <v>460</v>
      </c>
      <c r="D53" s="907"/>
      <c r="E53" s="345" t="s">
        <v>461</v>
      </c>
      <c r="F53" s="344" t="s">
        <v>441</v>
      </c>
      <c r="G53" s="344" t="s">
        <v>441</v>
      </c>
    </row>
    <row r="54" spans="2:7" ht="15.75" customHeight="1" x14ac:dyDescent="0.35">
      <c r="B54" s="903"/>
      <c r="C54" s="345" t="s">
        <v>456</v>
      </c>
      <c r="D54" s="907"/>
      <c r="E54" s="345" t="s">
        <v>452</v>
      </c>
      <c r="F54" s="345" t="s">
        <v>462</v>
      </c>
      <c r="G54" s="345" t="s">
        <v>462</v>
      </c>
    </row>
    <row r="55" spans="2:7" ht="16.5" customHeight="1" thickBot="1" x14ac:dyDescent="0.4">
      <c r="B55" s="897"/>
      <c r="C55" s="346" t="s">
        <v>463</v>
      </c>
      <c r="D55" s="899"/>
      <c r="E55" s="346" t="s">
        <v>464</v>
      </c>
      <c r="F55" s="333"/>
      <c r="G55" s="333"/>
    </row>
    <row r="56" spans="2:7" ht="15.5" x14ac:dyDescent="0.35">
      <c r="B56" s="900">
        <v>3</v>
      </c>
      <c r="C56" s="347" t="s">
        <v>456</v>
      </c>
      <c r="D56" s="338" t="s">
        <v>453</v>
      </c>
      <c r="E56" s="347" t="s">
        <v>452</v>
      </c>
      <c r="F56" s="338" t="s">
        <v>453</v>
      </c>
      <c r="G56" s="900"/>
    </row>
    <row r="57" spans="2:7" ht="15.5" x14ac:dyDescent="0.35">
      <c r="B57" s="901"/>
      <c r="C57" s="340" t="s">
        <v>465</v>
      </c>
      <c r="D57" s="339" t="s">
        <v>466</v>
      </c>
      <c r="E57" s="340" t="s">
        <v>467</v>
      </c>
      <c r="F57" s="339" t="s">
        <v>468</v>
      </c>
      <c r="G57" s="901"/>
    </row>
    <row r="58" spans="2:7" ht="31" x14ac:dyDescent="0.35">
      <c r="B58" s="901"/>
      <c r="C58" s="340" t="s">
        <v>456</v>
      </c>
      <c r="D58" s="340" t="s">
        <v>457</v>
      </c>
      <c r="E58" s="340" t="s">
        <v>452</v>
      </c>
      <c r="F58" s="340" t="s">
        <v>462</v>
      </c>
      <c r="G58" s="901"/>
    </row>
    <row r="59" spans="2:7" ht="16" thickBot="1" x14ac:dyDescent="0.4">
      <c r="B59" s="902"/>
      <c r="C59" s="341" t="s">
        <v>469</v>
      </c>
      <c r="D59" s="329"/>
      <c r="E59" s="341" t="s">
        <v>470</v>
      </c>
      <c r="F59" s="329"/>
      <c r="G59" s="902"/>
    </row>
    <row r="60" spans="2:7" ht="15.5" x14ac:dyDescent="0.35">
      <c r="B60" s="896">
        <v>4</v>
      </c>
      <c r="C60" s="343" t="s">
        <v>456</v>
      </c>
      <c r="D60" s="342" t="s">
        <v>453</v>
      </c>
      <c r="E60" s="343" t="s">
        <v>452</v>
      </c>
      <c r="F60" s="896" t="s">
        <v>449</v>
      </c>
      <c r="G60" s="342" t="s">
        <v>459</v>
      </c>
    </row>
    <row r="61" spans="2:7" ht="31" x14ac:dyDescent="0.35">
      <c r="B61" s="903"/>
      <c r="C61" s="345" t="s">
        <v>471</v>
      </c>
      <c r="D61" s="344" t="s">
        <v>472</v>
      </c>
      <c r="E61" s="345" t="s">
        <v>473</v>
      </c>
      <c r="F61" s="903"/>
      <c r="G61" s="344" t="s">
        <v>474</v>
      </c>
    </row>
    <row r="62" spans="2:7" ht="31" x14ac:dyDescent="0.35">
      <c r="B62" s="903"/>
      <c r="C62" s="345" t="s">
        <v>456</v>
      </c>
      <c r="D62" s="345" t="s">
        <v>457</v>
      </c>
      <c r="E62" s="345" t="s">
        <v>452</v>
      </c>
      <c r="F62" s="903"/>
      <c r="G62" s="345" t="s">
        <v>462</v>
      </c>
    </row>
    <row r="63" spans="2:7" ht="16" thickBot="1" x14ac:dyDescent="0.4">
      <c r="B63" s="897"/>
      <c r="C63" s="346" t="s">
        <v>475</v>
      </c>
      <c r="D63" s="333"/>
      <c r="E63" s="346" t="s">
        <v>476</v>
      </c>
      <c r="F63" s="897"/>
      <c r="G63" s="333"/>
    </row>
    <row r="64" spans="2:7" ht="15.75" customHeight="1" x14ac:dyDescent="0.35">
      <c r="B64" s="900">
        <v>5</v>
      </c>
      <c r="C64" s="347" t="s">
        <v>456</v>
      </c>
      <c r="D64" s="904"/>
      <c r="E64" s="904"/>
      <c r="F64" s="904"/>
      <c r="G64" s="900"/>
    </row>
    <row r="65" spans="2:7" ht="16.5" customHeight="1" thickBot="1" x14ac:dyDescent="0.4">
      <c r="B65" s="902"/>
      <c r="C65" s="341" t="s">
        <v>477</v>
      </c>
      <c r="D65" s="905"/>
      <c r="E65" s="905"/>
      <c r="F65" s="905"/>
      <c r="G65" s="902"/>
    </row>
    <row r="66" spans="2:7" ht="46.5" customHeight="1" x14ac:dyDescent="0.35">
      <c r="B66" s="896">
        <v>6</v>
      </c>
      <c r="C66" s="343" t="s">
        <v>456</v>
      </c>
      <c r="D66" s="896" t="s">
        <v>478</v>
      </c>
      <c r="E66" s="896" t="s">
        <v>479</v>
      </c>
      <c r="F66" s="898"/>
      <c r="G66" s="896"/>
    </row>
    <row r="67" spans="2:7" ht="16" thickBot="1" x14ac:dyDescent="0.4">
      <c r="B67" s="897"/>
      <c r="C67" s="346" t="s">
        <v>480</v>
      </c>
      <c r="D67" s="897"/>
      <c r="E67" s="897"/>
      <c r="F67" s="899"/>
      <c r="G67" s="897"/>
    </row>
    <row r="68" spans="2:7" x14ac:dyDescent="0.35">
      <c r="D68">
        <v>77</v>
      </c>
      <c r="E68">
        <v>63</v>
      </c>
      <c r="F68" t="s">
        <v>481</v>
      </c>
      <c r="G68" t="s">
        <v>482</v>
      </c>
    </row>
  </sheetData>
  <mergeCells count="53">
    <mergeCell ref="A3:L3"/>
    <mergeCell ref="C31:C32"/>
    <mergeCell ref="D31:D32"/>
    <mergeCell ref="E31:E32"/>
    <mergeCell ref="F31:F32"/>
    <mergeCell ref="G31:G32"/>
    <mergeCell ref="B12:B14"/>
    <mergeCell ref="C12:C14"/>
    <mergeCell ref="B30:G30"/>
    <mergeCell ref="B35:B36"/>
    <mergeCell ref="D35:D36"/>
    <mergeCell ref="E35:E36"/>
    <mergeCell ref="F35:F36"/>
    <mergeCell ref="G35:G36"/>
    <mergeCell ref="B33:B34"/>
    <mergeCell ref="D33:D34"/>
    <mergeCell ref="E33:E34"/>
    <mergeCell ref="F33:F34"/>
    <mergeCell ref="G33:G34"/>
    <mergeCell ref="B37:B38"/>
    <mergeCell ref="D37:D38"/>
    <mergeCell ref="E37:E38"/>
    <mergeCell ref="G37:G38"/>
    <mergeCell ref="B39:B40"/>
    <mergeCell ref="D39:D40"/>
    <mergeCell ref="E39:E40"/>
    <mergeCell ref="F39:F40"/>
    <mergeCell ref="B45:G45"/>
    <mergeCell ref="C46:C47"/>
    <mergeCell ref="D46:D47"/>
    <mergeCell ref="E46:E47"/>
    <mergeCell ref="F46:F47"/>
    <mergeCell ref="G46:G47"/>
    <mergeCell ref="B48:B51"/>
    <mergeCell ref="E48:E51"/>
    <mergeCell ref="F48:F51"/>
    <mergeCell ref="G48:G51"/>
    <mergeCell ref="B52:B55"/>
    <mergeCell ref="D52:D55"/>
    <mergeCell ref="B56:B59"/>
    <mergeCell ref="G56:G59"/>
    <mergeCell ref="B60:B63"/>
    <mergeCell ref="F60:F63"/>
    <mergeCell ref="B64:B65"/>
    <mergeCell ref="D64:D65"/>
    <mergeCell ref="E64:E65"/>
    <mergeCell ref="F64:F65"/>
    <mergeCell ref="G64:G65"/>
    <mergeCell ref="B66:B67"/>
    <mergeCell ref="D66:D67"/>
    <mergeCell ref="E66:E67"/>
    <mergeCell ref="F66:F67"/>
    <mergeCell ref="G66:G67"/>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15B67E-45E2-4FCC-9D53-BD95F07941FB}">
  <sheetPr>
    <tabColor rgb="FFC6E0B4"/>
  </sheetPr>
  <dimension ref="A1:L34"/>
  <sheetViews>
    <sheetView zoomScale="80" zoomScaleNormal="80" workbookViewId="0">
      <selection activeCell="H1" sqref="H1:J1"/>
    </sheetView>
  </sheetViews>
  <sheetFormatPr defaultRowHeight="14.5" x14ac:dyDescent="0.35"/>
  <cols>
    <col min="1" max="1" width="35.1796875" bestFit="1" customWidth="1"/>
    <col min="2" max="2" width="35.7265625" bestFit="1" customWidth="1"/>
    <col min="3" max="3" width="18" customWidth="1"/>
    <col min="4" max="4" width="17.1796875" bestFit="1" customWidth="1"/>
    <col min="5" max="5" width="21.81640625" customWidth="1"/>
    <col min="6" max="6" width="16.7265625" customWidth="1"/>
    <col min="7" max="7" width="18" customWidth="1"/>
    <col min="8" max="8" width="15.26953125" customWidth="1"/>
    <col min="9" max="9" width="16.81640625" customWidth="1"/>
    <col min="10" max="10" width="17.1796875" customWidth="1"/>
    <col min="15" max="15" width="94.54296875" customWidth="1"/>
  </cols>
  <sheetData>
    <row r="1" spans="1:12" ht="35.25" customHeight="1" x14ac:dyDescent="0.35">
      <c r="H1" s="929" t="s">
        <v>483</v>
      </c>
      <c r="I1" s="929"/>
      <c r="J1" s="929"/>
      <c r="K1" s="3"/>
      <c r="L1" s="3"/>
    </row>
    <row r="2" spans="1:12" ht="26.25" customHeight="1" x14ac:dyDescent="0.35">
      <c r="A2" s="824" t="s">
        <v>484</v>
      </c>
      <c r="B2" s="824"/>
      <c r="C2" s="824"/>
      <c r="D2" s="824"/>
      <c r="E2" s="824"/>
      <c r="F2" s="824"/>
      <c r="G2" s="824"/>
      <c r="H2" s="824"/>
      <c r="I2" s="353"/>
      <c r="J2" s="353"/>
    </row>
    <row r="3" spans="1:12" ht="36" customHeight="1" x14ac:dyDescent="0.35">
      <c r="A3" s="482"/>
      <c r="B3" s="482"/>
      <c r="C3" s="482"/>
      <c r="D3" s="482"/>
      <c r="E3" s="482"/>
      <c r="F3" s="482"/>
      <c r="G3" s="482"/>
      <c r="H3" s="482"/>
    </row>
    <row r="4" spans="1:12" ht="75" x14ac:dyDescent="0.35">
      <c r="A4" s="846" t="s">
        <v>136</v>
      </c>
      <c r="B4" s="846"/>
      <c r="C4" s="463" t="s">
        <v>137</v>
      </c>
      <c r="D4" s="463" t="s">
        <v>309</v>
      </c>
      <c r="E4" s="463" t="s">
        <v>310</v>
      </c>
      <c r="F4" s="309" t="s">
        <v>140</v>
      </c>
      <c r="G4" s="482"/>
      <c r="H4" s="518"/>
    </row>
    <row r="5" spans="1:12" ht="36" customHeight="1" x14ac:dyDescent="0.35">
      <c r="A5" s="934" t="s">
        <v>141</v>
      </c>
      <c r="B5" s="934"/>
      <c r="C5" s="471">
        <f>ROUND((E10+E11+J18+E28)/2,0)</f>
        <v>178533</v>
      </c>
      <c r="D5" s="472">
        <f>G10+G11+J18+E28</f>
        <v>378329.60340000002</v>
      </c>
      <c r="E5" s="473">
        <f>D5</f>
        <v>378329.60340000002</v>
      </c>
      <c r="F5" s="473">
        <f>D5</f>
        <v>378329.60340000002</v>
      </c>
      <c r="G5" s="482"/>
      <c r="H5" s="482"/>
    </row>
    <row r="6" spans="1:12" ht="15.5" x14ac:dyDescent="0.35">
      <c r="A6" s="392"/>
      <c r="B6" s="392"/>
      <c r="C6" s="392"/>
      <c r="D6" s="392"/>
      <c r="E6" s="392"/>
      <c r="F6" s="392"/>
      <c r="G6" s="392"/>
      <c r="H6" s="392"/>
    </row>
    <row r="7" spans="1:12" ht="15.5" x14ac:dyDescent="0.35">
      <c r="A7" s="392"/>
      <c r="B7" s="392"/>
      <c r="C7" s="392"/>
      <c r="D7" s="392"/>
      <c r="E7" s="392"/>
      <c r="F7" s="392"/>
      <c r="G7" s="392"/>
      <c r="H7" s="392"/>
    </row>
    <row r="8" spans="1:12" ht="15.75" customHeight="1" x14ac:dyDescent="0.35">
      <c r="A8" s="497" t="s">
        <v>485</v>
      </c>
      <c r="B8" s="497"/>
      <c r="C8" s="497"/>
      <c r="D8" s="935" t="s">
        <v>343</v>
      </c>
      <c r="E8" s="935"/>
      <c r="F8" s="935" t="s">
        <v>72</v>
      </c>
      <c r="G8" s="935"/>
      <c r="H8" s="935" t="s">
        <v>125</v>
      </c>
      <c r="I8" s="935"/>
    </row>
    <row r="9" spans="1:12" ht="60" x14ac:dyDescent="0.35">
      <c r="A9" s="423" t="s">
        <v>486</v>
      </c>
      <c r="B9" s="668" t="s">
        <v>487</v>
      </c>
      <c r="C9" s="668" t="s">
        <v>488</v>
      </c>
      <c r="D9" s="668" t="s">
        <v>489</v>
      </c>
      <c r="E9" s="668" t="s">
        <v>490</v>
      </c>
      <c r="F9" s="668" t="s">
        <v>489</v>
      </c>
      <c r="G9" s="668" t="s">
        <v>490</v>
      </c>
      <c r="H9" s="668" t="s">
        <v>489</v>
      </c>
      <c r="I9" s="668" t="s">
        <v>490</v>
      </c>
    </row>
    <row r="10" spans="1:12" ht="17.5" x14ac:dyDescent="0.35">
      <c r="A10" s="424" t="s">
        <v>491</v>
      </c>
      <c r="B10" s="520">
        <v>14486</v>
      </c>
      <c r="C10" s="496">
        <v>11.76</v>
      </c>
      <c r="D10" s="496">
        <f>1448.6+B10</f>
        <v>15934.6</v>
      </c>
      <c r="E10" s="519">
        <f>C10*D10</f>
        <v>187390.89600000001</v>
      </c>
      <c r="F10" s="496">
        <f>1593.415+D10</f>
        <v>17528.014999999999</v>
      </c>
      <c r="G10" s="519">
        <f>C10*F10</f>
        <v>206129.4564</v>
      </c>
      <c r="H10" s="496">
        <f>1752.806+F10</f>
        <v>19280.821</v>
      </c>
      <c r="I10" s="519">
        <f>C10*H10</f>
        <v>226742.45496</v>
      </c>
    </row>
    <row r="11" spans="1:12" ht="17.5" x14ac:dyDescent="0.35">
      <c r="A11" s="424" t="s">
        <v>492</v>
      </c>
      <c r="B11" s="520">
        <v>1715</v>
      </c>
      <c r="C11" s="496">
        <v>13.38</v>
      </c>
      <c r="D11" s="496">
        <f>171.5+B11</f>
        <v>1886.5</v>
      </c>
      <c r="E11" s="519">
        <f>C11*D11</f>
        <v>25241.370000000003</v>
      </c>
      <c r="F11" s="496">
        <f>188.65+D11</f>
        <v>2075.15</v>
      </c>
      <c r="G11" s="519">
        <f>C11*F11</f>
        <v>27765.507000000001</v>
      </c>
      <c r="H11" s="496">
        <f>207.515+F11</f>
        <v>2282.665</v>
      </c>
      <c r="I11" s="519">
        <f>C11*H11</f>
        <v>30542.057700000001</v>
      </c>
    </row>
    <row r="12" spans="1:12" ht="15.5" x14ac:dyDescent="0.35">
      <c r="A12" s="933" t="s">
        <v>493</v>
      </c>
      <c r="B12" s="933"/>
      <c r="C12" s="392"/>
      <c r="D12" s="392"/>
      <c r="E12" s="392"/>
      <c r="F12" s="392"/>
      <c r="G12" s="392"/>
      <c r="H12" s="392"/>
    </row>
    <row r="13" spans="1:12" ht="15.5" x14ac:dyDescent="0.35">
      <c r="A13" s="495"/>
      <c r="B13" s="495"/>
      <c r="C13" s="392"/>
      <c r="D13" s="392"/>
      <c r="E13" s="392"/>
      <c r="F13" s="392"/>
      <c r="G13" s="392"/>
      <c r="H13" s="392"/>
    </row>
    <row r="14" spans="1:12" ht="15.5" x14ac:dyDescent="0.35">
      <c r="A14" s="392"/>
      <c r="B14" s="392"/>
      <c r="C14" s="392"/>
      <c r="D14" s="392"/>
      <c r="E14" s="392"/>
      <c r="F14" s="392"/>
      <c r="G14" s="392"/>
      <c r="H14" s="392"/>
    </row>
    <row r="15" spans="1:12" x14ac:dyDescent="0.35">
      <c r="A15" s="939" t="s">
        <v>494</v>
      </c>
      <c r="B15" s="939"/>
      <c r="C15" s="940"/>
      <c r="D15" s="498"/>
      <c r="E15" s="498"/>
      <c r="F15" s="498"/>
      <c r="G15" s="498"/>
      <c r="H15" s="498"/>
      <c r="I15" s="498"/>
      <c r="J15" s="498"/>
    </row>
    <row r="16" spans="1:12" ht="15.5" x14ac:dyDescent="0.35">
      <c r="A16" s="937"/>
      <c r="B16" s="938"/>
      <c r="C16" s="498"/>
      <c r="D16" s="499">
        <v>1963</v>
      </c>
      <c r="E16" s="499">
        <v>945</v>
      </c>
      <c r="F16" s="499"/>
      <c r="G16" s="505">
        <v>0.2359</v>
      </c>
      <c r="H16" s="500"/>
      <c r="I16" s="500"/>
      <c r="J16" s="500"/>
    </row>
    <row r="17" spans="1:10" ht="70" x14ac:dyDescent="0.35">
      <c r="A17" s="936" t="s">
        <v>273</v>
      </c>
      <c r="B17" s="936"/>
      <c r="C17" s="501" t="s">
        <v>274</v>
      </c>
      <c r="D17" s="501" t="s">
        <v>275</v>
      </c>
      <c r="E17" s="501" t="s">
        <v>276</v>
      </c>
      <c r="F17" s="501" t="s">
        <v>241</v>
      </c>
      <c r="G17" s="501" t="s">
        <v>280</v>
      </c>
      <c r="H17" s="501" t="s">
        <v>281</v>
      </c>
      <c r="I17" s="501" t="s">
        <v>282</v>
      </c>
      <c r="J17" s="501" t="s">
        <v>283</v>
      </c>
    </row>
    <row r="18" spans="1:10" ht="30.75" customHeight="1" x14ac:dyDescent="0.35">
      <c r="A18" s="941" t="s">
        <v>284</v>
      </c>
      <c r="B18" s="941"/>
      <c r="C18" s="498">
        <v>3</v>
      </c>
      <c r="D18" s="670">
        <f>C18*$D$16*12</f>
        <v>70668</v>
      </c>
      <c r="E18" s="671">
        <f>C18*$E$16*12</f>
        <v>34020</v>
      </c>
      <c r="F18" s="670">
        <f>SUM(D18:E18)</f>
        <v>104688</v>
      </c>
      <c r="G18" s="670">
        <f>ROUND(F18*G16,0)</f>
        <v>24696</v>
      </c>
      <c r="H18" s="670">
        <v>4372</v>
      </c>
      <c r="I18" s="670">
        <f>ROUND(H18*C18,0)</f>
        <v>13116</v>
      </c>
      <c r="J18" s="672">
        <f>F18+G18+I18</f>
        <v>142500</v>
      </c>
    </row>
    <row r="20" spans="1:10" ht="15.5" x14ac:dyDescent="0.35">
      <c r="A20" s="932" t="s">
        <v>495</v>
      </c>
      <c r="B20" s="932"/>
      <c r="C20" s="932"/>
      <c r="D20" s="932"/>
      <c r="E20" s="932"/>
      <c r="F20" s="932"/>
      <c r="G20" s="932"/>
      <c r="H20" s="932"/>
    </row>
    <row r="21" spans="1:10" ht="46.5" x14ac:dyDescent="0.35">
      <c r="A21" s="430" t="s">
        <v>317</v>
      </c>
      <c r="B21" s="669" t="s">
        <v>318</v>
      </c>
      <c r="C21" s="669" t="s">
        <v>496</v>
      </c>
      <c r="D21" s="669" t="s">
        <v>497</v>
      </c>
      <c r="E21" s="669" t="s">
        <v>151</v>
      </c>
      <c r="F21" s="392"/>
      <c r="G21" s="392"/>
      <c r="H21" s="392"/>
    </row>
    <row r="22" spans="1:10" ht="15.5" x14ac:dyDescent="0.35">
      <c r="A22" s="424">
        <v>1</v>
      </c>
      <c r="B22" s="424" t="s">
        <v>329</v>
      </c>
      <c r="C22" s="673">
        <v>4</v>
      </c>
      <c r="D22" s="425">
        <v>80.61</v>
      </c>
      <c r="E22" s="673">
        <f>C22*D22</f>
        <v>322.44</v>
      </c>
      <c r="F22" s="392"/>
      <c r="G22" s="392"/>
      <c r="H22" s="392"/>
    </row>
    <row r="23" spans="1:10" ht="15.5" x14ac:dyDescent="0.35">
      <c r="A23" s="424">
        <v>2</v>
      </c>
      <c r="B23" s="424" t="s">
        <v>332</v>
      </c>
      <c r="C23" s="673">
        <v>4</v>
      </c>
      <c r="D23" s="425">
        <v>80.61</v>
      </c>
      <c r="E23" s="673">
        <f>D23*C23</f>
        <v>322.44</v>
      </c>
      <c r="F23" s="392"/>
      <c r="G23" s="392"/>
      <c r="H23" s="392"/>
    </row>
    <row r="24" spans="1:10" ht="15.5" x14ac:dyDescent="0.35">
      <c r="A24" s="424">
        <v>3</v>
      </c>
      <c r="B24" s="424" t="s">
        <v>333</v>
      </c>
      <c r="C24" s="673">
        <v>4</v>
      </c>
      <c r="D24" s="425">
        <v>80.61</v>
      </c>
      <c r="E24" s="673">
        <f>D24*C24</f>
        <v>322.44</v>
      </c>
      <c r="F24" s="392"/>
      <c r="G24" s="392"/>
      <c r="H24" s="392"/>
    </row>
    <row r="25" spans="1:10" ht="15.5" x14ac:dyDescent="0.35">
      <c r="A25" s="424">
        <v>4</v>
      </c>
      <c r="B25" s="424" t="s">
        <v>335</v>
      </c>
      <c r="C25" s="673">
        <v>4</v>
      </c>
      <c r="D25" s="425">
        <v>80.61</v>
      </c>
      <c r="E25" s="673">
        <f>D25*C25</f>
        <v>322.44</v>
      </c>
      <c r="F25" s="392"/>
      <c r="G25" s="392"/>
      <c r="H25" s="392"/>
    </row>
    <row r="26" spans="1:10" ht="15.5" x14ac:dyDescent="0.35">
      <c r="A26" s="426">
        <v>5</v>
      </c>
      <c r="B26" s="426" t="s">
        <v>336</v>
      </c>
      <c r="C26" s="674">
        <v>4</v>
      </c>
      <c r="D26" s="425">
        <v>80.61</v>
      </c>
      <c r="E26" s="674">
        <f>D26*C26</f>
        <v>322.44</v>
      </c>
      <c r="F26" s="392"/>
      <c r="G26" s="392"/>
      <c r="H26" s="392"/>
    </row>
    <row r="27" spans="1:10" ht="15.5" x14ac:dyDescent="0.35">
      <c r="A27" s="429">
        <v>6</v>
      </c>
      <c r="B27" s="429" t="s">
        <v>338</v>
      </c>
      <c r="C27" s="675">
        <v>4</v>
      </c>
      <c r="D27" s="425">
        <v>80.61</v>
      </c>
      <c r="E27" s="675">
        <f>D27*C27</f>
        <v>322.44</v>
      </c>
      <c r="F27" s="427"/>
      <c r="G27" s="427"/>
      <c r="H27" s="427"/>
    </row>
    <row r="28" spans="1:10" ht="17.5" x14ac:dyDescent="0.35">
      <c r="A28" s="428"/>
      <c r="B28" s="428"/>
      <c r="C28" s="428"/>
      <c r="D28" s="428" t="s">
        <v>498</v>
      </c>
      <c r="E28" s="676">
        <f>SUM(E22:E27)</f>
        <v>1934.64</v>
      </c>
      <c r="F28" s="427"/>
      <c r="G28" s="427"/>
      <c r="H28" s="427"/>
    </row>
    <row r="29" spans="1:10" ht="15.5" x14ac:dyDescent="0.35">
      <c r="A29" s="930" t="s">
        <v>499</v>
      </c>
      <c r="B29" s="930"/>
      <c r="C29" s="930"/>
      <c r="D29" s="930"/>
      <c r="E29" s="930"/>
      <c r="F29" s="392"/>
      <c r="G29" s="392"/>
      <c r="H29" s="392"/>
    </row>
    <row r="30" spans="1:10" ht="31" customHeight="1" x14ac:dyDescent="0.35">
      <c r="A30" s="931" t="s">
        <v>500</v>
      </c>
      <c r="B30" s="931"/>
      <c r="C30" s="931"/>
      <c r="D30" s="931"/>
      <c r="E30" s="931"/>
      <c r="F30" s="392"/>
      <c r="G30" s="392"/>
      <c r="H30" s="392"/>
    </row>
    <row r="31" spans="1:10" ht="15.5" x14ac:dyDescent="0.35">
      <c r="A31" s="392"/>
      <c r="B31" s="392"/>
      <c r="C31" s="392"/>
      <c r="D31" s="392"/>
      <c r="E31" s="392"/>
      <c r="F31" s="392"/>
      <c r="G31" s="392"/>
      <c r="H31" s="392"/>
    </row>
    <row r="32" spans="1:10" ht="15.5" x14ac:dyDescent="0.35">
      <c r="A32" s="392"/>
      <c r="B32" s="392"/>
      <c r="C32" s="392"/>
      <c r="D32" s="392"/>
      <c r="E32" s="392"/>
      <c r="F32" s="392"/>
      <c r="G32" s="392"/>
      <c r="H32" s="392"/>
    </row>
    <row r="33" spans="1:8" ht="15.5" x14ac:dyDescent="0.35">
      <c r="A33" s="392"/>
      <c r="B33" s="392"/>
      <c r="C33" s="392"/>
      <c r="D33" s="392"/>
      <c r="E33" s="392"/>
      <c r="F33" s="392"/>
      <c r="G33" s="392"/>
      <c r="H33" s="392"/>
    </row>
    <row r="34" spans="1:8" ht="15.5" x14ac:dyDescent="0.35">
      <c r="A34" s="392"/>
      <c r="B34" s="392"/>
      <c r="C34" s="392"/>
      <c r="D34" s="392"/>
      <c r="E34" s="392"/>
      <c r="F34" s="392"/>
      <c r="G34" s="392"/>
      <c r="H34" s="392"/>
    </row>
  </sheetData>
  <mergeCells count="15">
    <mergeCell ref="H1:J1"/>
    <mergeCell ref="A29:E29"/>
    <mergeCell ref="A30:E30"/>
    <mergeCell ref="A2:H2"/>
    <mergeCell ref="A20:H20"/>
    <mergeCell ref="A12:B12"/>
    <mergeCell ref="A4:B4"/>
    <mergeCell ref="A5:B5"/>
    <mergeCell ref="D8:E8"/>
    <mergeCell ref="F8:G8"/>
    <mergeCell ref="H8:I8"/>
    <mergeCell ref="A17:B17"/>
    <mergeCell ref="A16:B16"/>
    <mergeCell ref="A15:C15"/>
    <mergeCell ref="A18:B18"/>
  </mergeCell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019773-1E47-46BC-9482-876140399785}">
  <sheetPr>
    <tabColor rgb="FFC6E0B4"/>
  </sheetPr>
  <dimension ref="A1:K13"/>
  <sheetViews>
    <sheetView zoomScale="90" zoomScaleNormal="90" workbookViewId="0">
      <selection activeCell="E28" sqref="E28:E29"/>
    </sheetView>
  </sheetViews>
  <sheetFormatPr defaultRowHeight="14.5" x14ac:dyDescent="0.35"/>
  <cols>
    <col min="1" max="1" width="18.54296875" customWidth="1"/>
    <col min="2" max="2" width="27.1796875" customWidth="1"/>
    <col min="3" max="3" width="26" customWidth="1"/>
    <col min="4" max="4" width="35.54296875" customWidth="1"/>
    <col min="5" max="5" width="12" customWidth="1"/>
    <col min="8" max="8" width="35.1796875" customWidth="1"/>
    <col min="9" max="9" width="27.453125" customWidth="1"/>
  </cols>
  <sheetData>
    <row r="1" spans="1:11" ht="31.5" customHeight="1" x14ac:dyDescent="0.35">
      <c r="D1" s="929" t="s">
        <v>510</v>
      </c>
      <c r="E1" s="929"/>
      <c r="F1" s="929"/>
      <c r="G1" s="3"/>
      <c r="H1" s="3"/>
      <c r="I1" s="3"/>
      <c r="J1" s="3"/>
    </row>
    <row r="2" spans="1:11" x14ac:dyDescent="0.35">
      <c r="A2" s="354"/>
      <c r="B2" s="354"/>
      <c r="C2" s="354"/>
      <c r="D2" s="354"/>
      <c r="E2" s="354"/>
      <c r="F2" s="354"/>
      <c r="G2" s="354"/>
      <c r="H2" s="354"/>
      <c r="I2" s="354"/>
      <c r="J2" s="354"/>
      <c r="K2" s="354"/>
    </row>
    <row r="3" spans="1:11" ht="15.5" x14ac:dyDescent="0.35">
      <c r="A3" s="356" t="s">
        <v>502</v>
      </c>
      <c r="B3" s="521"/>
      <c r="C3" s="521"/>
      <c r="D3" s="521"/>
      <c r="E3" s="521"/>
      <c r="F3" s="521"/>
      <c r="G3" s="521"/>
      <c r="H3" s="521"/>
      <c r="I3" s="521"/>
      <c r="J3" s="521"/>
      <c r="K3" s="521"/>
    </row>
    <row r="4" spans="1:11" ht="15.5" x14ac:dyDescent="0.35">
      <c r="A4" s="943"/>
      <c r="B4" s="943"/>
      <c r="C4" s="943"/>
      <c r="D4" s="943"/>
      <c r="E4" s="943"/>
      <c r="F4" s="943"/>
      <c r="G4" s="943"/>
      <c r="H4" s="943"/>
      <c r="I4" s="943"/>
      <c r="J4" s="354"/>
      <c r="K4" s="354"/>
    </row>
    <row r="5" spans="1:11" ht="37" customHeight="1" x14ac:dyDescent="0.35">
      <c r="A5" s="942" t="s">
        <v>171</v>
      </c>
      <c r="B5" s="942"/>
      <c r="C5" s="942"/>
      <c r="D5" s="362" t="s">
        <v>503</v>
      </c>
      <c r="E5" s="26"/>
      <c r="F5" s="26"/>
      <c r="G5" s="26"/>
      <c r="H5" s="208"/>
      <c r="I5" s="208"/>
      <c r="J5" s="208"/>
      <c r="K5" s="354"/>
    </row>
    <row r="6" spans="1:11" ht="30.75" customHeight="1" x14ac:dyDescent="0.35">
      <c r="A6" s="944" t="s">
        <v>172</v>
      </c>
      <c r="B6" s="944"/>
      <c r="C6" s="944"/>
      <c r="D6" s="483">
        <f>ROUND(C10,0)</f>
        <v>9878</v>
      </c>
      <c r="E6" s="26"/>
      <c r="F6" s="26"/>
      <c r="G6" s="26"/>
      <c r="H6" s="208"/>
      <c r="I6" s="208"/>
      <c r="J6" s="208"/>
      <c r="K6" s="354"/>
    </row>
    <row r="7" spans="1:11" ht="15.5" x14ac:dyDescent="0.35">
      <c r="A7" s="355"/>
      <c r="B7" s="355"/>
      <c r="C7" s="355"/>
      <c r="D7" s="355"/>
      <c r="E7" s="355"/>
      <c r="F7" s="355"/>
      <c r="G7" s="355"/>
      <c r="H7" s="354"/>
      <c r="I7" s="354"/>
      <c r="J7" s="354"/>
      <c r="K7" s="354"/>
    </row>
    <row r="8" spans="1:11" ht="15.5" x14ac:dyDescent="0.35">
      <c r="A8" s="356" t="s">
        <v>504</v>
      </c>
      <c r="B8" s="356"/>
      <c r="C8" s="356"/>
      <c r="D8" s="356"/>
      <c r="E8" s="354"/>
    </row>
    <row r="9" spans="1:11" s="353" customFormat="1" ht="101.15" customHeight="1" x14ac:dyDescent="0.35">
      <c r="A9" s="358" t="s">
        <v>505</v>
      </c>
      <c r="B9" s="359" t="s">
        <v>506</v>
      </c>
      <c r="C9" s="359" t="s">
        <v>503</v>
      </c>
      <c r="D9" s="357"/>
      <c r="E9" s="357"/>
    </row>
    <row r="10" spans="1:11" s="353" customFormat="1" ht="15.5" x14ac:dyDescent="0.35">
      <c r="A10" s="360" t="s">
        <v>507</v>
      </c>
      <c r="B10" s="361">
        <v>11.76</v>
      </c>
      <c r="C10" s="480">
        <f>ROUND(70*B10*12,0)</f>
        <v>9878</v>
      </c>
      <c r="D10" s="357"/>
      <c r="E10" s="357"/>
    </row>
    <row r="11" spans="1:11" ht="15.5" x14ac:dyDescent="0.35">
      <c r="A11" s="355"/>
      <c r="C11" s="355"/>
      <c r="D11" s="354"/>
      <c r="E11" s="354"/>
    </row>
    <row r="12" spans="1:11" ht="15.5" x14ac:dyDescent="0.35">
      <c r="A12" s="355" t="s">
        <v>508</v>
      </c>
      <c r="B12" s="354"/>
      <c r="C12" s="354"/>
      <c r="D12" s="354"/>
      <c r="E12" s="354"/>
    </row>
    <row r="13" spans="1:11" ht="15.5" x14ac:dyDescent="0.35">
      <c r="A13" s="355" t="s">
        <v>509</v>
      </c>
    </row>
  </sheetData>
  <mergeCells count="4">
    <mergeCell ref="A5:C5"/>
    <mergeCell ref="A4:I4"/>
    <mergeCell ref="A6:C6"/>
    <mergeCell ref="D1:F1"/>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116E5A-192D-4DEB-BE80-AF7C026BE848}">
  <sheetPr>
    <tabColor theme="9" tint="0.59999389629810485"/>
  </sheetPr>
  <dimension ref="A1:K63"/>
  <sheetViews>
    <sheetView zoomScale="90" zoomScaleNormal="90" workbookViewId="0">
      <selection activeCell="K21" sqref="K21"/>
    </sheetView>
  </sheetViews>
  <sheetFormatPr defaultColWidth="9.1796875" defaultRowHeight="14" x14ac:dyDescent="0.3"/>
  <cols>
    <col min="1" max="1" width="9.1796875" style="364"/>
    <col min="2" max="2" width="56" style="364" customWidth="1"/>
    <col min="3" max="3" width="36.7265625" style="364" customWidth="1"/>
    <col min="4" max="4" width="18" style="364" customWidth="1"/>
    <col min="5" max="5" width="18.7265625" style="364" customWidth="1"/>
    <col min="6" max="6" width="12.7265625" style="364" customWidth="1"/>
    <col min="7" max="7" width="16.26953125" style="364" customWidth="1"/>
    <col min="8" max="16384" width="9.1796875" style="364"/>
  </cols>
  <sheetData>
    <row r="1" spans="1:11" ht="31.5" customHeight="1" x14ac:dyDescent="0.3">
      <c r="A1" s="176"/>
      <c r="B1" s="176"/>
      <c r="C1" s="176"/>
      <c r="D1" s="176"/>
      <c r="E1" s="176"/>
      <c r="F1" s="929" t="s">
        <v>591</v>
      </c>
      <c r="G1" s="929"/>
      <c r="H1" s="929"/>
      <c r="I1" s="929"/>
      <c r="J1" s="929"/>
      <c r="K1" s="929"/>
    </row>
    <row r="3" spans="1:11" ht="15" x14ac:dyDescent="0.3">
      <c r="A3" s="176"/>
      <c r="B3" s="843" t="s">
        <v>511</v>
      </c>
      <c r="C3" s="843"/>
      <c r="D3" s="843"/>
      <c r="E3" s="843"/>
      <c r="F3" s="843"/>
      <c r="G3" s="843"/>
      <c r="H3" s="843"/>
      <c r="I3" s="843"/>
      <c r="J3" s="843"/>
      <c r="K3" s="843"/>
    </row>
    <row r="5" spans="1:11" ht="46.5" x14ac:dyDescent="0.3">
      <c r="A5" s="613"/>
      <c r="B5" s="614"/>
      <c r="C5" s="615" t="s">
        <v>512</v>
      </c>
      <c r="D5" s="615" t="s">
        <v>513</v>
      </c>
      <c r="E5" s="615" t="s">
        <v>140</v>
      </c>
      <c r="F5" s="176"/>
      <c r="G5" s="176"/>
      <c r="H5" s="176"/>
      <c r="I5" s="176"/>
      <c r="J5" s="176"/>
      <c r="K5" s="176"/>
    </row>
    <row r="6" spans="1:11" ht="28" x14ac:dyDescent="0.3">
      <c r="A6" s="176"/>
      <c r="B6" s="616" t="s">
        <v>514</v>
      </c>
      <c r="C6" s="617">
        <f>D58/2</f>
        <v>75962.945872843222</v>
      </c>
      <c r="D6" s="617">
        <f>C6*2</f>
        <v>151925.89174568644</v>
      </c>
      <c r="E6" s="617">
        <f>D58</f>
        <v>151925.89174568644</v>
      </c>
      <c r="F6" s="176"/>
      <c r="G6" s="176"/>
      <c r="H6" s="176"/>
      <c r="I6" s="176"/>
      <c r="J6" s="176"/>
      <c r="K6" s="176"/>
    </row>
    <row r="7" spans="1:11" ht="28" x14ac:dyDescent="0.3">
      <c r="A7" s="176"/>
      <c r="B7" s="616" t="s">
        <v>141</v>
      </c>
      <c r="C7" s="617">
        <f>D22/2+D59/2</f>
        <v>121707.43149654975</v>
      </c>
      <c r="D7" s="617">
        <f>121707*2</f>
        <v>243414</v>
      </c>
      <c r="E7" s="617">
        <f>D7</f>
        <v>243414</v>
      </c>
      <c r="F7" s="176"/>
      <c r="G7" s="176"/>
      <c r="H7" s="176"/>
      <c r="I7" s="176"/>
      <c r="J7" s="176"/>
      <c r="K7" s="176"/>
    </row>
    <row r="8" spans="1:11" ht="15" x14ac:dyDescent="0.3">
      <c r="A8" s="176"/>
      <c r="B8" s="618" t="s">
        <v>155</v>
      </c>
      <c r="C8" s="619">
        <f>C6+C7</f>
        <v>197670.37736939295</v>
      </c>
      <c r="D8" s="619">
        <f t="shared" ref="D8:E8" si="0">D6+D7</f>
        <v>395339.89174568641</v>
      </c>
      <c r="E8" s="619">
        <f t="shared" si="0"/>
        <v>395339.89174568641</v>
      </c>
      <c r="F8" s="176"/>
      <c r="G8" s="176"/>
      <c r="H8" s="176"/>
      <c r="I8" s="176"/>
      <c r="J8" s="176"/>
      <c r="K8" s="176"/>
    </row>
    <row r="11" spans="1:11" s="365" customFormat="1" ht="25.5" customHeight="1" x14ac:dyDescent="0.35">
      <c r="A11" s="285"/>
      <c r="B11" s="620" t="s">
        <v>380</v>
      </c>
      <c r="C11" s="620" t="s">
        <v>515</v>
      </c>
      <c r="D11" s="620" t="s">
        <v>382</v>
      </c>
      <c r="E11" s="620" t="s">
        <v>516</v>
      </c>
      <c r="F11" s="620" t="s">
        <v>384</v>
      </c>
      <c r="G11" s="620" t="s">
        <v>385</v>
      </c>
      <c r="H11" s="620" t="s">
        <v>386</v>
      </c>
      <c r="I11" s="620" t="s">
        <v>361</v>
      </c>
      <c r="J11" s="285"/>
      <c r="K11" s="285"/>
    </row>
    <row r="12" spans="1:11" ht="27.75" customHeight="1" x14ac:dyDescent="0.3">
      <c r="A12" s="176"/>
      <c r="B12" s="621" t="s">
        <v>517</v>
      </c>
      <c r="C12" s="622">
        <v>11.09</v>
      </c>
      <c r="D12" s="622">
        <v>2.62</v>
      </c>
      <c r="E12" s="622">
        <v>2.5499999999999998</v>
      </c>
      <c r="F12" s="622">
        <v>3.28</v>
      </c>
      <c r="G12" s="622">
        <v>0.26</v>
      </c>
      <c r="H12" s="622">
        <v>0.49</v>
      </c>
      <c r="I12" s="623">
        <f>C12+D12+E12+F12+G12+H12</f>
        <v>20.290000000000003</v>
      </c>
      <c r="J12" s="176"/>
      <c r="K12" s="176"/>
    </row>
    <row r="13" spans="1:11" x14ac:dyDescent="0.3">
      <c r="A13" s="176"/>
      <c r="B13" s="176"/>
      <c r="C13" s="176"/>
      <c r="D13" s="176"/>
      <c r="E13" s="176"/>
      <c r="F13" s="176"/>
      <c r="G13" s="176"/>
      <c r="H13" s="176"/>
      <c r="I13" s="624"/>
      <c r="J13" s="176"/>
      <c r="K13" s="176"/>
    </row>
    <row r="15" spans="1:11" ht="28" x14ac:dyDescent="0.3">
      <c r="A15" s="176"/>
      <c r="B15" s="176"/>
      <c r="C15" s="277" t="s">
        <v>518</v>
      </c>
      <c r="D15" s="4" t="s">
        <v>519</v>
      </c>
      <c r="E15" s="4" t="s">
        <v>520</v>
      </c>
      <c r="F15" s="176"/>
      <c r="G15" s="176"/>
      <c r="H15" s="176"/>
      <c r="I15" s="176"/>
      <c r="J15" s="176"/>
      <c r="K15" s="176"/>
    </row>
    <row r="16" spans="1:11" x14ac:dyDescent="0.3">
      <c r="A16" s="176"/>
      <c r="B16" s="176"/>
      <c r="C16" s="278">
        <v>1893223</v>
      </c>
      <c r="D16" s="278">
        <f>C16*0.02</f>
        <v>37864.46</v>
      </c>
      <c r="E16" s="625">
        <f>D16*0.1700009</f>
        <v>6436.9922780140005</v>
      </c>
      <c r="F16" s="176"/>
      <c r="G16" s="176"/>
      <c r="H16" s="176"/>
      <c r="I16" s="176"/>
      <c r="J16" s="176"/>
      <c r="K16" s="176"/>
    </row>
    <row r="17" spans="2:6" x14ac:dyDescent="0.3">
      <c r="B17" s="176" t="s">
        <v>521</v>
      </c>
      <c r="C17" s="176"/>
      <c r="D17" s="176"/>
      <c r="E17" s="176"/>
      <c r="F17" s="176"/>
    </row>
    <row r="18" spans="2:6" x14ac:dyDescent="0.3">
      <c r="B18" s="176" t="s">
        <v>522</v>
      </c>
      <c r="C18" s="176"/>
      <c r="D18" s="176"/>
      <c r="E18" s="176"/>
      <c r="F18" s="176"/>
    </row>
    <row r="21" spans="2:6" x14ac:dyDescent="0.3">
      <c r="B21" s="285"/>
      <c r="C21" s="626" t="s">
        <v>523</v>
      </c>
      <c r="D21" s="626" t="s">
        <v>524</v>
      </c>
      <c r="E21" s="176"/>
      <c r="F21" s="176"/>
    </row>
    <row r="22" spans="2:6" ht="28" x14ac:dyDescent="0.3">
      <c r="B22" s="627" t="s">
        <v>525</v>
      </c>
      <c r="C22" s="628">
        <f>E16*0.1*6*3</f>
        <v>11586.586100425202</v>
      </c>
      <c r="D22" s="629">
        <f>I12*C22</f>
        <v>235091.83197762739</v>
      </c>
      <c r="E22" s="176"/>
      <c r="F22" s="176"/>
    </row>
    <row r="27" spans="2:6" ht="27" customHeight="1" x14ac:dyDescent="0.3">
      <c r="B27" s="945" t="s">
        <v>526</v>
      </c>
      <c r="C27" s="945"/>
      <c r="D27" s="945"/>
      <c r="E27" s="946" t="s">
        <v>527</v>
      </c>
      <c r="F27" s="630"/>
    </row>
    <row r="28" spans="2:6" x14ac:dyDescent="0.3">
      <c r="B28" s="631" t="s">
        <v>528</v>
      </c>
      <c r="C28" s="632" t="s">
        <v>529</v>
      </c>
      <c r="D28" s="633" t="s">
        <v>361</v>
      </c>
      <c r="E28" s="947"/>
      <c r="F28" s="630"/>
    </row>
    <row r="29" spans="2:6" ht="84" x14ac:dyDescent="0.3">
      <c r="B29" s="634" t="s">
        <v>530</v>
      </c>
      <c r="C29" s="635" t="s">
        <v>531</v>
      </c>
      <c r="D29" s="636">
        <v>4.38</v>
      </c>
      <c r="E29" s="636">
        <v>17.52</v>
      </c>
      <c r="F29" s="630" t="s">
        <v>532</v>
      </c>
    </row>
    <row r="30" spans="2:6" x14ac:dyDescent="0.3">
      <c r="B30" s="634" t="s">
        <v>533</v>
      </c>
      <c r="C30" s="637" t="s">
        <v>534</v>
      </c>
      <c r="D30" s="636">
        <v>1.59</v>
      </c>
      <c r="E30" s="636">
        <v>6.36</v>
      </c>
      <c r="F30" s="630" t="s">
        <v>532</v>
      </c>
    </row>
    <row r="31" spans="2:6" x14ac:dyDescent="0.3">
      <c r="B31" s="638" t="s">
        <v>535</v>
      </c>
      <c r="C31" s="637" t="s">
        <v>536</v>
      </c>
      <c r="D31" s="636">
        <v>1.3</v>
      </c>
      <c r="E31" s="636">
        <v>5.2</v>
      </c>
      <c r="F31" s="630" t="s">
        <v>532</v>
      </c>
    </row>
    <row r="32" spans="2:6" x14ac:dyDescent="0.3">
      <c r="B32" s="639" t="s">
        <v>537</v>
      </c>
      <c r="C32" s="637" t="s">
        <v>538</v>
      </c>
      <c r="D32" s="636">
        <v>1.3</v>
      </c>
      <c r="E32" s="636">
        <v>5.2</v>
      </c>
      <c r="F32" s="630" t="s">
        <v>532</v>
      </c>
    </row>
    <row r="33" spans="2:6" x14ac:dyDescent="0.3">
      <c r="B33" s="638" t="s">
        <v>539</v>
      </c>
      <c r="C33" s="637" t="s">
        <v>540</v>
      </c>
      <c r="D33" s="636">
        <v>1.97</v>
      </c>
      <c r="E33" s="636">
        <v>7.88</v>
      </c>
      <c r="F33" s="630" t="s">
        <v>532</v>
      </c>
    </row>
    <row r="34" spans="2:6" x14ac:dyDescent="0.3">
      <c r="B34" s="638" t="s">
        <v>541</v>
      </c>
      <c r="C34" s="637" t="s">
        <v>542</v>
      </c>
      <c r="D34" s="636">
        <v>1.42</v>
      </c>
      <c r="E34" s="636">
        <v>5.68</v>
      </c>
      <c r="F34" s="630" t="s">
        <v>532</v>
      </c>
    </row>
    <row r="35" spans="2:6" x14ac:dyDescent="0.3">
      <c r="B35" s="638" t="s">
        <v>543</v>
      </c>
      <c r="C35" s="637" t="s">
        <v>544</v>
      </c>
      <c r="D35" s="636">
        <v>1.58</v>
      </c>
      <c r="E35" s="636">
        <v>6.32</v>
      </c>
      <c r="F35" s="630" t="s">
        <v>532</v>
      </c>
    </row>
    <row r="36" spans="2:6" x14ac:dyDescent="0.3">
      <c r="B36" s="638" t="s">
        <v>545</v>
      </c>
      <c r="C36" s="637" t="s">
        <v>546</v>
      </c>
      <c r="D36" s="636">
        <v>1.58</v>
      </c>
      <c r="E36" s="636">
        <v>6.32</v>
      </c>
      <c r="F36" s="630" t="s">
        <v>532</v>
      </c>
    </row>
    <row r="37" spans="2:6" x14ac:dyDescent="0.3">
      <c r="B37" s="638" t="s">
        <v>547</v>
      </c>
      <c r="C37" s="637" t="s">
        <v>548</v>
      </c>
      <c r="D37" s="636">
        <v>2.66</v>
      </c>
      <c r="E37" s="636">
        <v>10.64</v>
      </c>
      <c r="F37" s="630" t="s">
        <v>532</v>
      </c>
    </row>
    <row r="38" spans="2:6" x14ac:dyDescent="0.3">
      <c r="B38" s="638" t="s">
        <v>549</v>
      </c>
      <c r="C38" s="637" t="s">
        <v>550</v>
      </c>
      <c r="D38" s="636">
        <v>1.62</v>
      </c>
      <c r="E38" s="636">
        <v>6.48</v>
      </c>
      <c r="F38" s="630" t="s">
        <v>532</v>
      </c>
    </row>
    <row r="39" spans="2:6" x14ac:dyDescent="0.3">
      <c r="B39" s="638" t="s">
        <v>551</v>
      </c>
      <c r="C39" s="637" t="s">
        <v>552</v>
      </c>
      <c r="D39" s="636">
        <v>1.3</v>
      </c>
      <c r="E39" s="636">
        <v>5.2</v>
      </c>
      <c r="F39" s="630" t="s">
        <v>532</v>
      </c>
    </row>
    <row r="40" spans="2:6" x14ac:dyDescent="0.3">
      <c r="B40" s="638" t="s">
        <v>553</v>
      </c>
      <c r="C40" s="637" t="s">
        <v>554</v>
      </c>
      <c r="D40" s="636">
        <v>1.3</v>
      </c>
      <c r="E40" s="636">
        <v>5.2</v>
      </c>
      <c r="F40" s="630" t="s">
        <v>532</v>
      </c>
    </row>
    <row r="41" spans="2:6" x14ac:dyDescent="0.3">
      <c r="B41" s="638" t="s">
        <v>555</v>
      </c>
      <c r="C41" s="637" t="s">
        <v>556</v>
      </c>
      <c r="D41" s="636">
        <v>1.3</v>
      </c>
      <c r="E41" s="636">
        <v>5.2</v>
      </c>
      <c r="F41" s="630" t="s">
        <v>532</v>
      </c>
    </row>
    <row r="42" spans="2:6" x14ac:dyDescent="0.3">
      <c r="B42" s="634" t="s">
        <v>557</v>
      </c>
      <c r="C42" s="637" t="s">
        <v>558</v>
      </c>
      <c r="D42" s="636">
        <v>1.6</v>
      </c>
      <c r="E42" s="636">
        <v>6.4</v>
      </c>
      <c r="F42" s="630" t="s">
        <v>532</v>
      </c>
    </row>
    <row r="43" spans="2:6" x14ac:dyDescent="0.3">
      <c r="B43" s="638" t="s">
        <v>559</v>
      </c>
      <c r="C43" s="637" t="s">
        <v>560</v>
      </c>
      <c r="D43" s="636">
        <v>1.6</v>
      </c>
      <c r="E43" s="636">
        <v>6.4</v>
      </c>
      <c r="F43" s="630" t="s">
        <v>532</v>
      </c>
    </row>
    <row r="44" spans="2:6" x14ac:dyDescent="0.3">
      <c r="B44" s="634" t="s">
        <v>561</v>
      </c>
      <c r="C44" s="637" t="s">
        <v>562</v>
      </c>
      <c r="D44" s="636">
        <v>2.5499999999999998</v>
      </c>
      <c r="E44" s="636">
        <v>10.199999999999999</v>
      </c>
      <c r="F44" s="630" t="s">
        <v>532</v>
      </c>
    </row>
    <row r="45" spans="2:6" ht="56" x14ac:dyDescent="0.3">
      <c r="B45" s="638" t="s">
        <v>563</v>
      </c>
      <c r="C45" s="635" t="s">
        <v>564</v>
      </c>
      <c r="D45" s="636">
        <v>1.51</v>
      </c>
      <c r="E45" s="636">
        <v>6.04</v>
      </c>
      <c r="F45" s="630" t="s">
        <v>532</v>
      </c>
    </row>
    <row r="46" spans="2:6" x14ac:dyDescent="0.3">
      <c r="B46" s="638" t="s">
        <v>565</v>
      </c>
      <c r="C46" s="635" t="s">
        <v>566</v>
      </c>
      <c r="D46" s="636">
        <v>3.24</v>
      </c>
      <c r="E46" s="636">
        <v>12.96</v>
      </c>
      <c r="F46" s="630" t="s">
        <v>532</v>
      </c>
    </row>
    <row r="47" spans="2:6" ht="98" x14ac:dyDescent="0.3">
      <c r="B47" s="638" t="s">
        <v>567</v>
      </c>
      <c r="C47" s="635" t="s">
        <v>568</v>
      </c>
      <c r="D47" s="636">
        <v>3.63</v>
      </c>
      <c r="E47" s="636">
        <v>14.52</v>
      </c>
      <c r="F47" s="630" t="s">
        <v>532</v>
      </c>
    </row>
    <row r="48" spans="2:6" x14ac:dyDescent="0.3">
      <c r="B48" s="638" t="s">
        <v>569</v>
      </c>
      <c r="C48" s="637" t="s">
        <v>570</v>
      </c>
      <c r="D48" s="636">
        <v>2.08</v>
      </c>
      <c r="E48" s="636">
        <v>8.32</v>
      </c>
      <c r="F48" s="709" t="s">
        <v>532</v>
      </c>
    </row>
    <row r="49" spans="2:6" x14ac:dyDescent="0.3">
      <c r="B49" s="638" t="s">
        <v>571</v>
      </c>
      <c r="C49" s="637" t="s">
        <v>572</v>
      </c>
      <c r="D49" s="636">
        <v>7.42</v>
      </c>
      <c r="E49" s="636">
        <v>14.84</v>
      </c>
      <c r="F49" s="709" t="s">
        <v>573</v>
      </c>
    </row>
    <row r="50" spans="2:6" x14ac:dyDescent="0.3">
      <c r="B50" s="638" t="s">
        <v>574</v>
      </c>
      <c r="C50" s="637" t="s">
        <v>575</v>
      </c>
      <c r="D50" s="636">
        <v>9.0399999999999991</v>
      </c>
      <c r="E50" s="636">
        <v>18.079999999999998</v>
      </c>
      <c r="F50" s="709" t="s">
        <v>573</v>
      </c>
    </row>
    <row r="51" spans="2:6" x14ac:dyDescent="0.3">
      <c r="B51" s="638" t="s">
        <v>576</v>
      </c>
      <c r="C51" s="637" t="s">
        <v>577</v>
      </c>
      <c r="D51" s="636">
        <v>8.23</v>
      </c>
      <c r="E51" s="636">
        <v>8.23</v>
      </c>
      <c r="F51" s="709" t="s">
        <v>578</v>
      </c>
    </row>
    <row r="52" spans="2:6" x14ac:dyDescent="0.3">
      <c r="B52" s="638" t="s">
        <v>579</v>
      </c>
      <c r="C52" s="637" t="s">
        <v>580</v>
      </c>
      <c r="D52" s="636">
        <v>1.79</v>
      </c>
      <c r="E52" s="636">
        <v>1.79</v>
      </c>
      <c r="F52" s="709" t="s">
        <v>578</v>
      </c>
    </row>
    <row r="53" spans="2:6" x14ac:dyDescent="0.3">
      <c r="B53" s="638" t="s">
        <v>581</v>
      </c>
      <c r="C53" s="637" t="s">
        <v>582</v>
      </c>
      <c r="D53" s="636">
        <v>8.76</v>
      </c>
      <c r="E53" s="636">
        <v>35.04</v>
      </c>
      <c r="F53" s="709" t="s">
        <v>532</v>
      </c>
    </row>
    <row r="54" spans="2:6" x14ac:dyDescent="0.3">
      <c r="B54" s="638" t="s">
        <v>583</v>
      </c>
      <c r="C54" s="637" t="s">
        <v>584</v>
      </c>
      <c r="D54" s="636">
        <v>3.94</v>
      </c>
      <c r="E54" s="636">
        <v>3.94</v>
      </c>
      <c r="F54" s="709" t="s">
        <v>578</v>
      </c>
    </row>
    <row r="55" spans="2:6" x14ac:dyDescent="0.3">
      <c r="B55" s="638" t="s">
        <v>585</v>
      </c>
      <c r="C55" s="637" t="s">
        <v>586</v>
      </c>
      <c r="D55" s="636">
        <v>8.99</v>
      </c>
      <c r="E55" s="636">
        <v>8.99</v>
      </c>
      <c r="F55" s="630" t="s">
        <v>578</v>
      </c>
    </row>
    <row r="56" spans="2:6" x14ac:dyDescent="0.3">
      <c r="B56" s="640"/>
      <c r="C56" s="641" t="s">
        <v>587</v>
      </c>
      <c r="D56" s="642">
        <v>87.680000000000021</v>
      </c>
      <c r="E56" s="642">
        <v>248.95</v>
      </c>
      <c r="F56" s="630"/>
    </row>
    <row r="57" spans="2:6" x14ac:dyDescent="0.3">
      <c r="B57" s="630"/>
      <c r="C57" s="612" t="s">
        <v>588</v>
      </c>
      <c r="D57" s="643">
        <f>0.1*E16*E56</f>
        <v>160248.92276115855</v>
      </c>
      <c r="E57" s="644"/>
      <c r="F57" s="630"/>
    </row>
    <row r="58" spans="2:6" x14ac:dyDescent="0.3">
      <c r="B58" s="630"/>
      <c r="C58" s="645" t="s">
        <v>589</v>
      </c>
      <c r="D58" s="646">
        <f>SUM(E29:E53)*E16*0.1</f>
        <v>151925.89174568644</v>
      </c>
      <c r="E58" s="647"/>
      <c r="F58" s="630"/>
    </row>
    <row r="59" spans="2:6" x14ac:dyDescent="0.3">
      <c r="B59" s="630"/>
      <c r="C59" s="645" t="s">
        <v>590</v>
      </c>
      <c r="D59" s="646">
        <f>0.1*E16*SUM(E54:E55)</f>
        <v>8323.0310154721028</v>
      </c>
      <c r="E59" s="648"/>
      <c r="F59" s="630"/>
    </row>
    <row r="63" spans="2:6" x14ac:dyDescent="0.3">
      <c r="B63" s="176"/>
      <c r="C63" s="176"/>
      <c r="D63" s="649"/>
      <c r="E63" s="176"/>
      <c r="F63" s="176"/>
    </row>
  </sheetData>
  <mergeCells count="4">
    <mergeCell ref="B3:K3"/>
    <mergeCell ref="B27:D27"/>
    <mergeCell ref="E27:E28"/>
    <mergeCell ref="F1:K1"/>
  </mergeCells>
  <pageMargins left="0.7" right="0.7" top="0.75" bottom="0.75" header="0.3" footer="0.3"/>
  <pageSetup paperSize="9" orientation="portrait" verticalDpi="0"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EB3A96-C02D-4374-B82B-C6F989D70E3F}">
  <sheetPr>
    <tabColor theme="9" tint="0.59999389629810485"/>
  </sheetPr>
  <dimension ref="A1:K62"/>
  <sheetViews>
    <sheetView zoomScale="90" zoomScaleNormal="90" workbookViewId="0">
      <selection activeCell="G14" sqref="G14"/>
    </sheetView>
  </sheetViews>
  <sheetFormatPr defaultColWidth="9.1796875" defaultRowHeight="14" x14ac:dyDescent="0.3"/>
  <cols>
    <col min="1" max="1" width="9.1796875" style="176"/>
    <col min="2" max="2" width="56" style="176" customWidth="1"/>
    <col min="3" max="3" width="33.54296875" style="176" customWidth="1"/>
    <col min="4" max="4" width="17.7265625" style="176" customWidth="1"/>
    <col min="5" max="5" width="16.453125" style="176" customWidth="1"/>
    <col min="6" max="6" width="10.81640625" style="176" customWidth="1"/>
    <col min="7" max="8" width="10.453125" style="176" customWidth="1"/>
    <col min="9" max="9" width="10.81640625" style="176" customWidth="1"/>
    <col min="10" max="16384" width="9.1796875" style="176"/>
  </cols>
  <sheetData>
    <row r="1" spans="1:11" x14ac:dyDescent="0.3">
      <c r="I1" s="197" t="s">
        <v>594</v>
      </c>
    </row>
    <row r="3" spans="1:11" ht="15" x14ac:dyDescent="0.3">
      <c r="B3" s="843" t="s">
        <v>592</v>
      </c>
      <c r="C3" s="843"/>
      <c r="D3" s="843"/>
      <c r="E3" s="843"/>
      <c r="F3" s="843"/>
      <c r="G3" s="843"/>
      <c r="H3" s="843"/>
      <c r="I3" s="843"/>
      <c r="J3" s="843"/>
      <c r="K3" s="843"/>
    </row>
    <row r="5" spans="1:11" ht="46.5" x14ac:dyDescent="0.3">
      <c r="A5" s="613"/>
      <c r="B5" s="614"/>
      <c r="C5" s="615" t="s">
        <v>512</v>
      </c>
      <c r="D5" s="615" t="s">
        <v>513</v>
      </c>
      <c r="E5" s="615" t="s">
        <v>140</v>
      </c>
    </row>
    <row r="6" spans="1:11" ht="28" x14ac:dyDescent="0.3">
      <c r="B6" s="616" t="s">
        <v>311</v>
      </c>
      <c r="C6" s="617">
        <f>ROUND(D21/2,0)</f>
        <v>489775</v>
      </c>
      <c r="D6" s="617">
        <f>ROUND(D21+D58,0)</f>
        <v>987874</v>
      </c>
      <c r="E6" s="617">
        <f>D6</f>
        <v>987874</v>
      </c>
    </row>
    <row r="7" spans="1:11" ht="15" x14ac:dyDescent="0.3">
      <c r="B7" s="618" t="s">
        <v>155</v>
      </c>
      <c r="C7" s="619">
        <f>C6</f>
        <v>489775</v>
      </c>
      <c r="D7" s="619">
        <f t="shared" ref="D7:E7" si="0">D6</f>
        <v>987874</v>
      </c>
      <c r="E7" s="619">
        <f t="shared" si="0"/>
        <v>987874</v>
      </c>
    </row>
    <row r="10" spans="1:11" s="285" customFormat="1" ht="28" x14ac:dyDescent="0.35">
      <c r="B10" s="620" t="s">
        <v>380</v>
      </c>
      <c r="C10" s="620" t="s">
        <v>515</v>
      </c>
      <c r="D10" s="620" t="s">
        <v>382</v>
      </c>
      <c r="E10" s="620" t="s">
        <v>516</v>
      </c>
      <c r="F10" s="620" t="s">
        <v>384</v>
      </c>
      <c r="G10" s="620" t="s">
        <v>385</v>
      </c>
      <c r="H10" s="620" t="s">
        <v>386</v>
      </c>
      <c r="I10" s="620" t="s">
        <v>361</v>
      </c>
    </row>
    <row r="11" spans="1:11" ht="27.75" customHeight="1" x14ac:dyDescent="0.3">
      <c r="B11" s="621" t="s">
        <v>517</v>
      </c>
      <c r="C11" s="622">
        <v>11.09</v>
      </c>
      <c r="D11" s="622">
        <v>2.62</v>
      </c>
      <c r="E11" s="622">
        <v>2.5499999999999998</v>
      </c>
      <c r="F11" s="622">
        <v>3.28</v>
      </c>
      <c r="G11" s="622">
        <v>0.26</v>
      </c>
      <c r="H11" s="622">
        <v>0.49</v>
      </c>
      <c r="I11" s="623">
        <f>C11+D11+E11+F11+G11+H11</f>
        <v>20.290000000000003</v>
      </c>
    </row>
    <row r="12" spans="1:11" x14ac:dyDescent="0.3">
      <c r="I12" s="624"/>
    </row>
    <row r="14" spans="1:11" ht="28" x14ac:dyDescent="0.3">
      <c r="C14" s="4" t="s">
        <v>518</v>
      </c>
      <c r="D14" s="4" t="s">
        <v>519</v>
      </c>
      <c r="E14" s="4" t="s">
        <v>520</v>
      </c>
    </row>
    <row r="15" spans="1:11" x14ac:dyDescent="0.3">
      <c r="C15" s="278">
        <v>1893223</v>
      </c>
      <c r="D15" s="278">
        <f>ROUND(C15*0.02,0)</f>
        <v>37864</v>
      </c>
      <c r="E15" s="625">
        <f>ROUND(D15*0.17,0)</f>
        <v>6437</v>
      </c>
    </row>
    <row r="16" spans="1:11" x14ac:dyDescent="0.3">
      <c r="B16" s="176" t="s">
        <v>521</v>
      </c>
    </row>
    <row r="17" spans="2:6" x14ac:dyDescent="0.3">
      <c r="B17" s="176" t="s">
        <v>522</v>
      </c>
    </row>
    <row r="20" spans="2:6" x14ac:dyDescent="0.3">
      <c r="B20" s="285"/>
      <c r="C20" s="626" t="s">
        <v>523</v>
      </c>
      <c r="D20" s="626" t="s">
        <v>524</v>
      </c>
    </row>
    <row r="21" spans="2:6" ht="28" x14ac:dyDescent="0.3">
      <c r="B21" s="627" t="s">
        <v>593</v>
      </c>
      <c r="C21" s="628">
        <f>E15*0.1*2.5*30</f>
        <v>48277.5</v>
      </c>
      <c r="D21" s="629">
        <f>I11*C21</f>
        <v>979550.47500000009</v>
      </c>
    </row>
    <row r="26" spans="2:6" ht="27" customHeight="1" x14ac:dyDescent="0.3">
      <c r="B26" s="945" t="s">
        <v>526</v>
      </c>
      <c r="C26" s="945"/>
      <c r="D26" s="945"/>
      <c r="E26" s="946" t="s">
        <v>527</v>
      </c>
      <c r="F26" s="630"/>
    </row>
    <row r="27" spans="2:6" x14ac:dyDescent="0.3">
      <c r="B27" s="631" t="s">
        <v>528</v>
      </c>
      <c r="C27" s="632" t="s">
        <v>529</v>
      </c>
      <c r="D27" s="633" t="s">
        <v>361</v>
      </c>
      <c r="E27" s="947"/>
      <c r="F27" s="630"/>
    </row>
    <row r="28" spans="2:6" ht="90" customHeight="1" x14ac:dyDescent="0.3">
      <c r="B28" s="634" t="s">
        <v>530</v>
      </c>
      <c r="C28" s="635" t="s">
        <v>531</v>
      </c>
      <c r="D28" s="636">
        <v>4.38</v>
      </c>
      <c r="E28" s="636">
        <v>17.52</v>
      </c>
      <c r="F28" s="630" t="s">
        <v>532</v>
      </c>
    </row>
    <row r="29" spans="2:6" x14ac:dyDescent="0.3">
      <c r="B29" s="634" t="s">
        <v>533</v>
      </c>
      <c r="C29" s="637" t="s">
        <v>534</v>
      </c>
      <c r="D29" s="636">
        <v>1.59</v>
      </c>
      <c r="E29" s="636">
        <v>6.36</v>
      </c>
      <c r="F29" s="630" t="s">
        <v>532</v>
      </c>
    </row>
    <row r="30" spans="2:6" x14ac:dyDescent="0.3">
      <c r="B30" s="638" t="s">
        <v>535</v>
      </c>
      <c r="C30" s="637" t="s">
        <v>536</v>
      </c>
      <c r="D30" s="636">
        <v>1.3</v>
      </c>
      <c r="E30" s="636">
        <v>5.2</v>
      </c>
      <c r="F30" s="630" t="s">
        <v>532</v>
      </c>
    </row>
    <row r="31" spans="2:6" x14ac:dyDescent="0.3">
      <c r="B31" s="639" t="s">
        <v>537</v>
      </c>
      <c r="C31" s="637" t="s">
        <v>538</v>
      </c>
      <c r="D31" s="636">
        <v>1.3</v>
      </c>
      <c r="E31" s="636">
        <v>5.2</v>
      </c>
      <c r="F31" s="630" t="s">
        <v>532</v>
      </c>
    </row>
    <row r="32" spans="2:6" x14ac:dyDescent="0.3">
      <c r="B32" s="638" t="s">
        <v>539</v>
      </c>
      <c r="C32" s="637" t="s">
        <v>540</v>
      </c>
      <c r="D32" s="636">
        <v>1.97</v>
      </c>
      <c r="E32" s="636">
        <v>7.88</v>
      </c>
      <c r="F32" s="630" t="s">
        <v>532</v>
      </c>
    </row>
    <row r="33" spans="2:6" x14ac:dyDescent="0.3">
      <c r="B33" s="638" t="s">
        <v>541</v>
      </c>
      <c r="C33" s="637" t="s">
        <v>542</v>
      </c>
      <c r="D33" s="636">
        <v>1.42</v>
      </c>
      <c r="E33" s="636">
        <v>5.68</v>
      </c>
      <c r="F33" s="630" t="s">
        <v>532</v>
      </c>
    </row>
    <row r="34" spans="2:6" x14ac:dyDescent="0.3">
      <c r="B34" s="638" t="s">
        <v>543</v>
      </c>
      <c r="C34" s="637" t="s">
        <v>544</v>
      </c>
      <c r="D34" s="636">
        <v>1.58</v>
      </c>
      <c r="E34" s="636">
        <v>6.32</v>
      </c>
      <c r="F34" s="630" t="s">
        <v>532</v>
      </c>
    </row>
    <row r="35" spans="2:6" x14ac:dyDescent="0.3">
      <c r="B35" s="638" t="s">
        <v>545</v>
      </c>
      <c r="C35" s="637" t="s">
        <v>546</v>
      </c>
      <c r="D35" s="636">
        <v>1.58</v>
      </c>
      <c r="E35" s="636">
        <v>6.32</v>
      </c>
      <c r="F35" s="630" t="s">
        <v>532</v>
      </c>
    </row>
    <row r="36" spans="2:6" x14ac:dyDescent="0.3">
      <c r="B36" s="638" t="s">
        <v>547</v>
      </c>
      <c r="C36" s="637" t="s">
        <v>548</v>
      </c>
      <c r="D36" s="636">
        <v>2.66</v>
      </c>
      <c r="E36" s="636">
        <v>10.64</v>
      </c>
      <c r="F36" s="630" t="s">
        <v>532</v>
      </c>
    </row>
    <row r="37" spans="2:6" x14ac:dyDescent="0.3">
      <c r="B37" s="638" t="s">
        <v>549</v>
      </c>
      <c r="C37" s="637" t="s">
        <v>550</v>
      </c>
      <c r="D37" s="636">
        <v>1.62</v>
      </c>
      <c r="E37" s="636">
        <v>6.48</v>
      </c>
      <c r="F37" s="630" t="s">
        <v>532</v>
      </c>
    </row>
    <row r="38" spans="2:6" x14ac:dyDescent="0.3">
      <c r="B38" s="638" t="s">
        <v>551</v>
      </c>
      <c r="C38" s="637" t="s">
        <v>552</v>
      </c>
      <c r="D38" s="636">
        <v>1.3</v>
      </c>
      <c r="E38" s="636">
        <v>5.2</v>
      </c>
      <c r="F38" s="630" t="s">
        <v>532</v>
      </c>
    </row>
    <row r="39" spans="2:6" x14ac:dyDescent="0.3">
      <c r="B39" s="638" t="s">
        <v>553</v>
      </c>
      <c r="C39" s="637" t="s">
        <v>554</v>
      </c>
      <c r="D39" s="636">
        <v>1.3</v>
      </c>
      <c r="E39" s="636">
        <v>5.2</v>
      </c>
      <c r="F39" s="630" t="s">
        <v>532</v>
      </c>
    </row>
    <row r="40" spans="2:6" x14ac:dyDescent="0.3">
      <c r="B40" s="638" t="s">
        <v>555</v>
      </c>
      <c r="C40" s="637" t="s">
        <v>556</v>
      </c>
      <c r="D40" s="636">
        <v>1.3</v>
      </c>
      <c r="E40" s="636">
        <v>5.2</v>
      </c>
      <c r="F40" s="630" t="s">
        <v>532</v>
      </c>
    </row>
    <row r="41" spans="2:6" x14ac:dyDescent="0.3">
      <c r="B41" s="634" t="s">
        <v>557</v>
      </c>
      <c r="C41" s="637" t="s">
        <v>558</v>
      </c>
      <c r="D41" s="636">
        <v>1.6</v>
      </c>
      <c r="E41" s="636">
        <v>6.4</v>
      </c>
      <c r="F41" s="630" t="s">
        <v>532</v>
      </c>
    </row>
    <row r="42" spans="2:6" x14ac:dyDescent="0.3">
      <c r="B42" s="638" t="s">
        <v>559</v>
      </c>
      <c r="C42" s="637" t="s">
        <v>560</v>
      </c>
      <c r="D42" s="636">
        <v>1.6</v>
      </c>
      <c r="E42" s="636">
        <v>6.4</v>
      </c>
      <c r="F42" s="630" t="s">
        <v>532</v>
      </c>
    </row>
    <row r="43" spans="2:6" x14ac:dyDescent="0.3">
      <c r="B43" s="634" t="s">
        <v>561</v>
      </c>
      <c r="C43" s="637" t="s">
        <v>562</v>
      </c>
      <c r="D43" s="636">
        <v>2.5499999999999998</v>
      </c>
      <c r="E43" s="636">
        <v>10.199999999999999</v>
      </c>
      <c r="F43" s="630" t="s">
        <v>532</v>
      </c>
    </row>
    <row r="44" spans="2:6" ht="70" x14ac:dyDescent="0.3">
      <c r="B44" s="638" t="s">
        <v>563</v>
      </c>
      <c r="C44" s="635" t="s">
        <v>564</v>
      </c>
      <c r="D44" s="636">
        <v>1.51</v>
      </c>
      <c r="E44" s="636">
        <v>6.04</v>
      </c>
      <c r="F44" s="630" t="s">
        <v>532</v>
      </c>
    </row>
    <row r="45" spans="2:6" ht="28" x14ac:dyDescent="0.3">
      <c r="B45" s="638" t="s">
        <v>565</v>
      </c>
      <c r="C45" s="635" t="s">
        <v>566</v>
      </c>
      <c r="D45" s="636">
        <v>3.24</v>
      </c>
      <c r="E45" s="636">
        <v>12.96</v>
      </c>
      <c r="F45" s="630" t="s">
        <v>532</v>
      </c>
    </row>
    <row r="46" spans="2:6" ht="98" x14ac:dyDescent="0.3">
      <c r="B46" s="638" t="s">
        <v>567</v>
      </c>
      <c r="C46" s="635" t="s">
        <v>568</v>
      </c>
      <c r="D46" s="636">
        <v>3.63</v>
      </c>
      <c r="E46" s="636">
        <v>14.52</v>
      </c>
      <c r="F46" s="630" t="s">
        <v>532</v>
      </c>
    </row>
    <row r="47" spans="2:6" x14ac:dyDescent="0.3">
      <c r="B47" s="638" t="s">
        <v>569</v>
      </c>
      <c r="C47" s="637" t="s">
        <v>570</v>
      </c>
      <c r="D47" s="636">
        <v>2.08</v>
      </c>
      <c r="E47" s="636">
        <v>8.32</v>
      </c>
      <c r="F47" s="630" t="s">
        <v>532</v>
      </c>
    </row>
    <row r="48" spans="2:6" x14ac:dyDescent="0.3">
      <c r="B48" s="638" t="s">
        <v>571</v>
      </c>
      <c r="C48" s="637" t="s">
        <v>572</v>
      </c>
      <c r="D48" s="636">
        <v>7.42</v>
      </c>
      <c r="E48" s="636">
        <v>14.84</v>
      </c>
      <c r="F48" s="709" t="s">
        <v>573</v>
      </c>
    </row>
    <row r="49" spans="2:6" x14ac:dyDescent="0.3">
      <c r="B49" s="638" t="s">
        <v>574</v>
      </c>
      <c r="C49" s="637" t="s">
        <v>575</v>
      </c>
      <c r="D49" s="636">
        <v>9.0399999999999991</v>
      </c>
      <c r="E49" s="636">
        <v>18.079999999999998</v>
      </c>
      <c r="F49" s="709" t="s">
        <v>573</v>
      </c>
    </row>
    <row r="50" spans="2:6" x14ac:dyDescent="0.3">
      <c r="B50" s="638" t="s">
        <v>576</v>
      </c>
      <c r="C50" s="637" t="s">
        <v>577</v>
      </c>
      <c r="D50" s="636">
        <v>8.23</v>
      </c>
      <c r="E50" s="636">
        <v>8.23</v>
      </c>
      <c r="F50" s="709" t="s">
        <v>578</v>
      </c>
    </row>
    <row r="51" spans="2:6" x14ac:dyDescent="0.3">
      <c r="B51" s="638" t="s">
        <v>579</v>
      </c>
      <c r="C51" s="637" t="s">
        <v>580</v>
      </c>
      <c r="D51" s="636">
        <v>1.79</v>
      </c>
      <c r="E51" s="636">
        <v>1.79</v>
      </c>
      <c r="F51" s="709" t="s">
        <v>578</v>
      </c>
    </row>
    <row r="52" spans="2:6" x14ac:dyDescent="0.3">
      <c r="B52" s="638" t="s">
        <v>581</v>
      </c>
      <c r="C52" s="637" t="s">
        <v>582</v>
      </c>
      <c r="D52" s="636">
        <v>8.76</v>
      </c>
      <c r="E52" s="636">
        <v>35.04</v>
      </c>
      <c r="F52" s="709" t="s">
        <v>532</v>
      </c>
    </row>
    <row r="53" spans="2:6" x14ac:dyDescent="0.3">
      <c r="B53" s="638" t="s">
        <v>583</v>
      </c>
      <c r="C53" s="637" t="s">
        <v>584</v>
      </c>
      <c r="D53" s="636">
        <v>3.94</v>
      </c>
      <c r="E53" s="636">
        <v>3.94</v>
      </c>
      <c r="F53" s="630" t="s">
        <v>578</v>
      </c>
    </row>
    <row r="54" spans="2:6" x14ac:dyDescent="0.3">
      <c r="B54" s="638" t="s">
        <v>585</v>
      </c>
      <c r="C54" s="637" t="s">
        <v>586</v>
      </c>
      <c r="D54" s="636">
        <v>8.99</v>
      </c>
      <c r="E54" s="636">
        <v>8.99</v>
      </c>
      <c r="F54" s="630" t="s">
        <v>578</v>
      </c>
    </row>
    <row r="55" spans="2:6" x14ac:dyDescent="0.3">
      <c r="B55" s="640"/>
      <c r="C55" s="641" t="s">
        <v>587</v>
      </c>
      <c r="D55" s="642">
        <v>87.680000000000021</v>
      </c>
      <c r="E55" s="642">
        <v>248.95000000000002</v>
      </c>
      <c r="F55" s="630"/>
    </row>
    <row r="56" spans="2:6" x14ac:dyDescent="0.3">
      <c r="B56" s="630"/>
      <c r="C56" s="612" t="s">
        <v>588</v>
      </c>
      <c r="D56" s="643">
        <f>0.1*E15*E55</f>
        <v>160249.11500000002</v>
      </c>
      <c r="E56" s="644"/>
      <c r="F56" s="630"/>
    </row>
    <row r="57" spans="2:6" x14ac:dyDescent="0.3">
      <c r="B57" s="630"/>
      <c r="C57" s="645" t="s">
        <v>589</v>
      </c>
      <c r="D57" s="646">
        <f>SUM(E28:E52)*E15*0.1</f>
        <v>151926.07399999999</v>
      </c>
      <c r="E57" s="647"/>
      <c r="F57" s="630"/>
    </row>
    <row r="58" spans="2:6" x14ac:dyDescent="0.3">
      <c r="B58" s="630"/>
      <c r="C58" s="645" t="s">
        <v>590</v>
      </c>
      <c r="D58" s="646">
        <f>0.1*E15*SUM(E53:E54)</f>
        <v>8323.0410000000011</v>
      </c>
      <c r="E58" s="648"/>
      <c r="F58" s="630"/>
    </row>
    <row r="62" spans="2:6" x14ac:dyDescent="0.3">
      <c r="D62" s="649"/>
    </row>
  </sheetData>
  <mergeCells count="3">
    <mergeCell ref="B26:D26"/>
    <mergeCell ref="E26:E27"/>
    <mergeCell ref="B3:K3"/>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A412CA-9F7F-451B-8FE7-288643BDBCAE}">
  <sheetPr>
    <tabColor rgb="FFC6E0B4"/>
  </sheetPr>
  <dimension ref="A1:H13"/>
  <sheetViews>
    <sheetView workbookViewId="0">
      <selection activeCell="H20" sqref="H20"/>
    </sheetView>
  </sheetViews>
  <sheetFormatPr defaultColWidth="9.1796875" defaultRowHeight="14" x14ac:dyDescent="0.3"/>
  <cols>
    <col min="1" max="1" width="26.26953125" style="176" customWidth="1"/>
    <col min="2" max="2" width="20.26953125" style="176" customWidth="1"/>
    <col min="3" max="4" width="17.7265625" style="176" customWidth="1"/>
    <col min="5" max="5" width="19.26953125" style="176" customWidth="1"/>
    <col min="6" max="8" width="22" style="176" customWidth="1"/>
    <col min="9" max="16384" width="9.1796875" style="176"/>
  </cols>
  <sheetData>
    <row r="1" spans="1:8" x14ac:dyDescent="0.3">
      <c r="H1" s="197" t="s">
        <v>604</v>
      </c>
    </row>
    <row r="3" spans="1:8" x14ac:dyDescent="0.3">
      <c r="A3" s="949" t="s">
        <v>595</v>
      </c>
      <c r="B3" s="949"/>
      <c r="C3" s="949"/>
      <c r="D3" s="949"/>
      <c r="E3" s="949"/>
      <c r="F3" s="949"/>
      <c r="G3" s="949"/>
      <c r="H3" s="949"/>
    </row>
    <row r="5" spans="1:8" s="27" customFormat="1" x14ac:dyDescent="0.3">
      <c r="A5" s="208" t="s">
        <v>171</v>
      </c>
      <c r="C5" s="208"/>
      <c r="D5" s="208"/>
      <c r="E5" s="208"/>
      <c r="F5" s="208"/>
    </row>
    <row r="6" spans="1:8" s="297" customFormat="1" x14ac:dyDescent="0.3">
      <c r="A6" s="367" t="s">
        <v>596</v>
      </c>
      <c r="C6" s="296"/>
      <c r="D6" s="296"/>
      <c r="E6" s="296"/>
      <c r="F6" s="296"/>
    </row>
    <row r="7" spans="1:8" s="27" customFormat="1" x14ac:dyDescent="0.3">
      <c r="A7" s="210"/>
      <c r="C7" s="210"/>
      <c r="D7" s="210"/>
      <c r="E7" s="210"/>
      <c r="F7" s="210"/>
    </row>
    <row r="8" spans="1:8" x14ac:dyDescent="0.3">
      <c r="A8" s="201"/>
      <c r="B8" s="948" t="s">
        <v>143</v>
      </c>
      <c r="C8" s="948"/>
      <c r="D8" s="948"/>
      <c r="E8" s="948"/>
      <c r="F8" s="265" t="s">
        <v>125</v>
      </c>
      <c r="G8" s="265" t="s">
        <v>597</v>
      </c>
    </row>
    <row r="9" spans="1:8" ht="42" x14ac:dyDescent="0.3">
      <c r="A9" s="203" t="s">
        <v>147</v>
      </c>
      <c r="B9" s="179" t="s">
        <v>598</v>
      </c>
      <c r="C9" s="179" t="s">
        <v>599</v>
      </c>
      <c r="D9" s="179" t="s">
        <v>600</v>
      </c>
      <c r="E9" s="179" t="s">
        <v>151</v>
      </c>
      <c r="F9" s="179" t="s">
        <v>151</v>
      </c>
      <c r="G9" s="179" t="s">
        <v>151</v>
      </c>
    </row>
    <row r="10" spans="1:8" ht="28" x14ac:dyDescent="0.3">
      <c r="A10" s="204" t="s">
        <v>601</v>
      </c>
      <c r="B10" s="191">
        <v>270</v>
      </c>
      <c r="C10" s="191">
        <v>1</v>
      </c>
      <c r="D10" s="191">
        <v>2717.1787818696885</v>
      </c>
      <c r="E10" s="191">
        <f>ROUND(B10*C10*D10,0)</f>
        <v>733638</v>
      </c>
      <c r="F10" s="191">
        <f>ROUND(B10/12*6,0)*D10</f>
        <v>366819.13555240794</v>
      </c>
      <c r="G10" s="191">
        <f>E10</f>
        <v>733638</v>
      </c>
    </row>
    <row r="11" spans="1:8" x14ac:dyDescent="0.3">
      <c r="A11" s="295" t="s">
        <v>155</v>
      </c>
      <c r="B11" s="194"/>
      <c r="C11" s="206"/>
      <c r="D11" s="194"/>
      <c r="E11" s="194">
        <f>SUM(E10:E10)</f>
        <v>733638</v>
      </c>
      <c r="F11" s="267">
        <f>SUM(F10:F10)</f>
        <v>366819.13555240794</v>
      </c>
      <c r="G11" s="267">
        <f>SUM(G10:G10)</f>
        <v>733638</v>
      </c>
    </row>
    <row r="12" spans="1:8" x14ac:dyDescent="0.3">
      <c r="A12" s="207" t="s">
        <v>602</v>
      </c>
    </row>
    <row r="13" spans="1:8" x14ac:dyDescent="0.3">
      <c r="A13" s="207" t="s">
        <v>603</v>
      </c>
    </row>
  </sheetData>
  <mergeCells count="2">
    <mergeCell ref="B8:E8"/>
    <mergeCell ref="A3:H3"/>
  </mergeCells>
  <pageMargins left="0.7" right="0.7" top="0.75" bottom="0.75" header="0.3" footer="0.3"/>
  <pageSetup paperSize="9" orientation="portrait"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0E1105-55F6-4BB6-878D-B4A9E46EF368}">
  <sheetPr>
    <tabColor rgb="FFC6E0B4"/>
  </sheetPr>
  <dimension ref="A1:J15"/>
  <sheetViews>
    <sheetView workbookViewId="0">
      <selection activeCell="J2" sqref="J2"/>
    </sheetView>
  </sheetViews>
  <sheetFormatPr defaultRowHeight="14.5" x14ac:dyDescent="0.35"/>
  <cols>
    <col min="1" max="1" width="17.81640625" customWidth="1"/>
    <col min="2" max="2" width="15.54296875" customWidth="1"/>
    <col min="3" max="3" width="16.26953125" customWidth="1"/>
    <col min="4" max="4" width="13.81640625" customWidth="1"/>
    <col min="5" max="5" width="14.26953125" bestFit="1" customWidth="1"/>
    <col min="6" max="6" width="17.1796875" customWidth="1"/>
    <col min="7" max="7" width="11.453125" bestFit="1" customWidth="1"/>
    <col min="8" max="8" width="14.81640625" customWidth="1"/>
    <col min="9" max="9" width="11.54296875" customWidth="1"/>
    <col min="10" max="10" width="13.453125" customWidth="1"/>
    <col min="11" max="11" width="16.54296875" customWidth="1"/>
  </cols>
  <sheetData>
    <row r="1" spans="1:10" x14ac:dyDescent="0.35">
      <c r="A1" s="176"/>
      <c r="B1" s="176"/>
      <c r="C1" s="176"/>
      <c r="D1" s="176"/>
      <c r="E1" s="176"/>
      <c r="F1" s="176"/>
      <c r="G1" s="176"/>
      <c r="H1" s="176"/>
      <c r="I1" s="176"/>
      <c r="J1" s="197" t="s">
        <v>618</v>
      </c>
    </row>
    <row r="2" spans="1:10" x14ac:dyDescent="0.35">
      <c r="A2" s="176"/>
      <c r="B2" s="176"/>
      <c r="C2" s="176"/>
      <c r="D2" s="176"/>
      <c r="E2" s="176"/>
      <c r="F2" s="176"/>
      <c r="G2" s="176"/>
      <c r="H2" s="176"/>
      <c r="I2" s="176"/>
      <c r="J2" s="176"/>
    </row>
    <row r="3" spans="1:10" x14ac:dyDescent="0.35">
      <c r="A3" s="950" t="s">
        <v>605</v>
      </c>
      <c r="B3" s="950"/>
      <c r="C3" s="950"/>
      <c r="D3" s="950"/>
      <c r="E3" s="950"/>
      <c r="F3" s="950"/>
      <c r="G3" s="950"/>
      <c r="H3" s="950"/>
      <c r="I3" s="950"/>
      <c r="J3" s="950"/>
    </row>
    <row r="4" spans="1:10" x14ac:dyDescent="0.35">
      <c r="A4" s="199"/>
      <c r="B4" s="199"/>
      <c r="C4" s="199"/>
      <c r="D4" s="199"/>
      <c r="E4" s="199"/>
      <c r="F4" s="199"/>
      <c r="G4" s="199"/>
      <c r="H4" s="199"/>
      <c r="I4" s="199"/>
      <c r="J4" s="199"/>
    </row>
    <row r="5" spans="1:10" x14ac:dyDescent="0.35">
      <c r="A5" s="208" t="s">
        <v>171</v>
      </c>
      <c r="B5" s="199"/>
      <c r="C5" s="199"/>
      <c r="D5" s="199"/>
      <c r="E5" s="199"/>
      <c r="F5" s="199"/>
      <c r="G5" s="199"/>
      <c r="H5" s="199"/>
      <c r="I5" s="199"/>
      <c r="J5" s="199"/>
    </row>
    <row r="6" spans="1:10" x14ac:dyDescent="0.35">
      <c r="A6" s="176" t="s">
        <v>606</v>
      </c>
      <c r="B6" s="298"/>
      <c r="C6" s="298"/>
      <c r="D6" s="298"/>
      <c r="E6" s="298"/>
      <c r="F6" s="298"/>
      <c r="G6" s="176"/>
      <c r="H6" s="176"/>
      <c r="I6" s="176"/>
      <c r="J6" s="176"/>
    </row>
    <row r="7" spans="1:10" x14ac:dyDescent="0.35">
      <c r="A7" s="176"/>
      <c r="B7" s="298"/>
      <c r="C7" s="298"/>
      <c r="D7" s="298"/>
      <c r="E7" s="298"/>
      <c r="F7" s="298"/>
      <c r="G7" s="176"/>
      <c r="H7" s="176"/>
      <c r="I7" s="176"/>
      <c r="J7" s="176"/>
    </row>
    <row r="8" spans="1:10" x14ac:dyDescent="0.35">
      <c r="A8" s="951" t="s">
        <v>607</v>
      </c>
      <c r="B8" s="951"/>
      <c r="C8" s="951"/>
      <c r="D8" s="951"/>
      <c r="E8" s="951"/>
      <c r="F8" s="951"/>
      <c r="G8" s="951"/>
      <c r="H8" s="951"/>
      <c r="I8" s="176"/>
      <c r="J8" s="176"/>
    </row>
    <row r="9" spans="1:10" x14ac:dyDescent="0.35">
      <c r="A9" s="176"/>
      <c r="B9" s="176"/>
      <c r="C9" s="176"/>
      <c r="D9" s="176"/>
      <c r="E9" s="176"/>
      <c r="F9" s="176"/>
      <c r="G9" s="176"/>
      <c r="H9" s="176"/>
      <c r="I9" s="176"/>
      <c r="J9" s="176"/>
    </row>
    <row r="10" spans="1:10" ht="28" x14ac:dyDescent="0.35">
      <c r="A10" s="952" t="s">
        <v>608</v>
      </c>
      <c r="B10" s="953"/>
      <c r="C10" s="954"/>
      <c r="D10" s="952" t="s">
        <v>609</v>
      </c>
      <c r="E10" s="953"/>
      <c r="F10" s="954"/>
      <c r="G10" s="440"/>
      <c r="H10" s="441" t="s">
        <v>610</v>
      </c>
      <c r="I10" s="441" t="s">
        <v>611</v>
      </c>
      <c r="J10" s="441" t="s">
        <v>612</v>
      </c>
    </row>
    <row r="11" spans="1:10" ht="28" x14ac:dyDescent="0.35">
      <c r="A11" s="442" t="s">
        <v>159</v>
      </c>
      <c r="B11" s="442" t="s">
        <v>613</v>
      </c>
      <c r="C11" s="442" t="s">
        <v>614</v>
      </c>
      <c r="D11" s="442" t="s">
        <v>165</v>
      </c>
      <c r="E11" s="442" t="s">
        <v>613</v>
      </c>
      <c r="F11" s="442" t="s">
        <v>614</v>
      </c>
      <c r="G11" s="442" t="s">
        <v>165</v>
      </c>
      <c r="H11" s="439"/>
      <c r="I11" s="439"/>
      <c r="J11" s="439"/>
    </row>
    <row r="12" spans="1:10" s="353" customFormat="1" x14ac:dyDescent="0.35">
      <c r="A12" s="441" t="s">
        <v>615</v>
      </c>
      <c r="B12" s="441">
        <v>2</v>
      </c>
      <c r="C12" s="443">
        <v>50000</v>
      </c>
      <c r="D12" s="444">
        <f>C12*B12</f>
        <v>100000</v>
      </c>
      <c r="E12" s="441">
        <v>4</v>
      </c>
      <c r="F12" s="444">
        <v>50000</v>
      </c>
      <c r="G12" s="444">
        <f>F12*E12</f>
        <v>200000</v>
      </c>
      <c r="H12" s="445">
        <f>(F12*E12)/2</f>
        <v>100000</v>
      </c>
      <c r="I12" s="445">
        <f>F12*E12</f>
        <v>200000</v>
      </c>
      <c r="J12" s="445">
        <f>F12*4</f>
        <v>200000</v>
      </c>
    </row>
    <row r="13" spans="1:10" x14ac:dyDescent="0.35">
      <c r="A13" s="218" t="s">
        <v>616</v>
      </c>
    </row>
    <row r="14" spans="1:10" x14ac:dyDescent="0.35">
      <c r="A14" s="176" t="s">
        <v>617</v>
      </c>
    </row>
    <row r="15" spans="1:10" ht="14.15" customHeight="1" x14ac:dyDescent="0.35">
      <c r="B15" s="268"/>
    </row>
  </sheetData>
  <mergeCells count="4">
    <mergeCell ref="A3:J3"/>
    <mergeCell ref="A8:H8"/>
    <mergeCell ref="D10:F10"/>
    <mergeCell ref="A10:C10"/>
  </mergeCells>
  <pageMargins left="0.7" right="0.7" top="0.75" bottom="0.75" header="0.3" footer="0.3"/>
  <pageSetup paperSize="9" orientation="portrait"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0A5B2F-EFDD-4240-9F24-44A03EF0C7E2}">
  <sheetPr>
    <tabColor rgb="FFC6E0B4"/>
  </sheetPr>
  <dimension ref="A1:I23"/>
  <sheetViews>
    <sheetView workbookViewId="0">
      <selection activeCell="H2" sqref="H2"/>
    </sheetView>
  </sheetViews>
  <sheetFormatPr defaultColWidth="9.1796875" defaultRowHeight="14" x14ac:dyDescent="0.3"/>
  <cols>
    <col min="1" max="1" width="56.26953125" style="176" customWidth="1"/>
    <col min="2" max="2" width="14.7265625" style="176" customWidth="1"/>
    <col min="3" max="16384" width="9.1796875" style="176"/>
  </cols>
  <sheetData>
    <row r="1" spans="1:9" x14ac:dyDescent="0.3">
      <c r="F1" s="197"/>
      <c r="H1" s="197" t="s">
        <v>629</v>
      </c>
    </row>
    <row r="2" spans="1:9" x14ac:dyDescent="0.3">
      <c r="F2" s="197"/>
      <c r="H2" s="197"/>
    </row>
    <row r="3" spans="1:9" ht="50.25" customHeight="1" x14ac:dyDescent="0.3">
      <c r="A3" s="894" t="s">
        <v>619</v>
      </c>
      <c r="B3" s="894"/>
      <c r="C3" s="894"/>
      <c r="D3" s="894"/>
      <c r="E3" s="894"/>
      <c r="F3" s="894"/>
      <c r="G3" s="894"/>
      <c r="H3" s="894"/>
      <c r="I3" s="894"/>
    </row>
    <row r="4" spans="1:9" x14ac:dyDescent="0.3">
      <c r="F4" s="197"/>
      <c r="H4" s="197"/>
    </row>
    <row r="5" spans="1:9" x14ac:dyDescent="0.3">
      <c r="A5" s="208" t="s">
        <v>171</v>
      </c>
      <c r="F5" s="197"/>
      <c r="H5" s="197"/>
    </row>
    <row r="6" spans="1:9" x14ac:dyDescent="0.3">
      <c r="A6" s="679" t="s">
        <v>620</v>
      </c>
      <c r="F6" s="197"/>
      <c r="H6" s="197"/>
    </row>
    <row r="7" spans="1:9" x14ac:dyDescent="0.3">
      <c r="A7" s="679"/>
      <c r="F7" s="197"/>
      <c r="H7" s="197"/>
    </row>
    <row r="8" spans="1:9" x14ac:dyDescent="0.3">
      <c r="A8" s="293" t="s">
        <v>621</v>
      </c>
      <c r="B8" s="199" t="s">
        <v>622</v>
      </c>
    </row>
    <row r="9" spans="1:9" x14ac:dyDescent="0.3">
      <c r="A9" s="299" t="s">
        <v>623</v>
      </c>
      <c r="B9" s="278">
        <v>200000</v>
      </c>
    </row>
    <row r="10" spans="1:9" x14ac:dyDescent="0.3">
      <c r="A10" s="299" t="s">
        <v>624</v>
      </c>
      <c r="B10" s="278">
        <v>200000</v>
      </c>
    </row>
    <row r="11" spans="1:9" x14ac:dyDescent="0.3">
      <c r="A11" s="299" t="s">
        <v>625</v>
      </c>
      <c r="B11" s="278">
        <v>450000</v>
      </c>
    </row>
    <row r="12" spans="1:9" x14ac:dyDescent="0.3">
      <c r="A12" s="299" t="s">
        <v>626</v>
      </c>
      <c r="B12" s="278">
        <v>150000</v>
      </c>
    </row>
    <row r="13" spans="1:9" x14ac:dyDescent="0.3">
      <c r="A13" s="305" t="s">
        <v>406</v>
      </c>
      <c r="B13" s="306">
        <f>B12+B11+B10+B9</f>
        <v>1000000</v>
      </c>
    </row>
    <row r="14" spans="1:9" x14ac:dyDescent="0.3">
      <c r="A14" s="293" t="s">
        <v>627</v>
      </c>
      <c r="B14" s="292"/>
    </row>
    <row r="15" spans="1:9" x14ac:dyDescent="0.3">
      <c r="A15" s="299" t="s">
        <v>628</v>
      </c>
      <c r="B15" s="300">
        <v>200000</v>
      </c>
    </row>
    <row r="17" spans="1:1" x14ac:dyDescent="0.3">
      <c r="A17" s="301"/>
    </row>
    <row r="21" spans="1:1" x14ac:dyDescent="0.3">
      <c r="A21" s="302"/>
    </row>
    <row r="22" spans="1:1" x14ac:dyDescent="0.3">
      <c r="A22" s="303"/>
    </row>
    <row r="23" spans="1:1" x14ac:dyDescent="0.3">
      <c r="A23" s="304"/>
    </row>
  </sheetData>
  <mergeCells count="1">
    <mergeCell ref="A3:I3"/>
  </mergeCells>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44120D-FF74-4911-B1E5-891A57F2B840}">
  <sheetPr>
    <tabColor rgb="FFC6E0B4"/>
  </sheetPr>
  <dimension ref="A1:O11"/>
  <sheetViews>
    <sheetView zoomScale="90" zoomScaleNormal="90" workbookViewId="0">
      <selection activeCell="I21" sqref="I21"/>
    </sheetView>
  </sheetViews>
  <sheetFormatPr defaultRowHeight="14.5" x14ac:dyDescent="0.35"/>
  <cols>
    <col min="1" max="1" width="6.81640625" style="349" customWidth="1"/>
    <col min="2" max="2" width="38.1796875" customWidth="1"/>
    <col min="3" max="3" width="8.54296875" customWidth="1"/>
    <col min="4" max="4" width="15.1796875" customWidth="1"/>
    <col min="5" max="5" width="13" customWidth="1"/>
    <col min="6" max="6" width="14.1796875" customWidth="1"/>
    <col min="7" max="7" width="9.54296875" customWidth="1"/>
    <col min="9" max="9" width="20.1796875" customWidth="1"/>
    <col min="10" max="10" width="13.26953125" customWidth="1"/>
    <col min="11" max="11" width="13.1796875" customWidth="1"/>
    <col min="12" max="12" width="8.453125" bestFit="1" customWidth="1"/>
    <col min="13" max="15" width="12.54296875" customWidth="1"/>
  </cols>
  <sheetData>
    <row r="1" spans="1:15" x14ac:dyDescent="0.35">
      <c r="C1" s="176"/>
      <c r="D1" s="176"/>
      <c r="E1" s="176"/>
      <c r="F1" s="176"/>
      <c r="G1" s="176"/>
      <c r="O1" s="197" t="s">
        <v>639</v>
      </c>
    </row>
    <row r="3" spans="1:15" ht="35.25" customHeight="1" x14ac:dyDescent="0.35">
      <c r="A3" s="824" t="s">
        <v>630</v>
      </c>
      <c r="B3" s="824"/>
      <c r="C3" s="824"/>
      <c r="D3" s="824"/>
      <c r="E3" s="824"/>
      <c r="F3" s="824"/>
      <c r="G3" s="824"/>
      <c r="H3" s="824"/>
      <c r="I3" s="824"/>
      <c r="J3" s="824"/>
      <c r="K3" s="824"/>
      <c r="L3" s="824"/>
      <c r="M3" s="824"/>
      <c r="N3" s="824"/>
      <c r="O3" s="824"/>
    </row>
    <row r="4" spans="1:15" ht="15.5" x14ac:dyDescent="0.35">
      <c r="A4" s="432"/>
      <c r="B4" s="432"/>
      <c r="C4" s="432"/>
      <c r="D4" s="432"/>
      <c r="E4" s="432"/>
      <c r="F4" s="432"/>
      <c r="G4" s="432"/>
      <c r="H4" s="432"/>
      <c r="I4" s="432"/>
      <c r="J4" s="432"/>
      <c r="K4" s="432"/>
      <c r="L4" s="432"/>
      <c r="M4" s="432"/>
      <c r="N4" s="432"/>
      <c r="O4" s="432"/>
    </row>
    <row r="5" spans="1:15" x14ac:dyDescent="0.35">
      <c r="A5" s="208" t="s">
        <v>171</v>
      </c>
    </row>
    <row r="6" spans="1:15" ht="15.5" x14ac:dyDescent="0.35">
      <c r="A6" s="679" t="s">
        <v>311</v>
      </c>
      <c r="B6" s="393"/>
      <c r="C6" s="392"/>
      <c r="D6" s="392"/>
      <c r="E6" s="392"/>
      <c r="F6" s="392"/>
      <c r="G6" s="392"/>
      <c r="H6" s="392"/>
      <c r="I6" s="392"/>
      <c r="J6" s="392"/>
      <c r="K6" s="392"/>
      <c r="L6" s="392"/>
    </row>
    <row r="7" spans="1:15" ht="15.5" x14ac:dyDescent="0.35">
      <c r="A7" s="679"/>
      <c r="B7" s="393"/>
      <c r="C7" s="392"/>
      <c r="D7" s="392"/>
      <c r="E7" s="392"/>
      <c r="F7" s="392"/>
      <c r="G7" s="392"/>
      <c r="H7" s="392"/>
      <c r="I7" s="392"/>
      <c r="J7" s="392"/>
      <c r="K7" s="392"/>
      <c r="L7" s="392"/>
    </row>
    <row r="8" spans="1:15" ht="27.75" customHeight="1" x14ac:dyDescent="0.35">
      <c r="A8" s="431"/>
      <c r="B8" s="392"/>
      <c r="C8" s="955" t="s">
        <v>631</v>
      </c>
      <c r="D8" s="956"/>
      <c r="E8" s="956"/>
      <c r="F8" s="956"/>
      <c r="G8" s="957"/>
      <c r="H8" s="955" t="s">
        <v>609</v>
      </c>
      <c r="I8" s="956"/>
      <c r="J8" s="956"/>
      <c r="K8" s="956"/>
      <c r="L8" s="957"/>
      <c r="M8" s="958" t="s">
        <v>632</v>
      </c>
      <c r="N8" s="959"/>
      <c r="O8" s="959"/>
    </row>
    <row r="9" spans="1:15" ht="62" x14ac:dyDescent="0.35">
      <c r="A9" s="390" t="s">
        <v>158</v>
      </c>
      <c r="B9" s="394" t="s">
        <v>159</v>
      </c>
      <c r="C9" s="395" t="s">
        <v>633</v>
      </c>
      <c r="D9" s="390" t="s">
        <v>634</v>
      </c>
      <c r="E9" s="390" t="s">
        <v>635</v>
      </c>
      <c r="F9" s="390" t="s">
        <v>163</v>
      </c>
      <c r="G9" s="396" t="s">
        <v>636</v>
      </c>
      <c r="H9" s="395" t="s">
        <v>633</v>
      </c>
      <c r="I9" s="390" t="s">
        <v>162</v>
      </c>
      <c r="J9" s="390" t="s">
        <v>635</v>
      </c>
      <c r="K9" s="390" t="s">
        <v>163</v>
      </c>
      <c r="L9" s="396" t="s">
        <v>636</v>
      </c>
      <c r="M9" s="397" t="s">
        <v>343</v>
      </c>
      <c r="N9" s="389" t="s">
        <v>144</v>
      </c>
      <c r="O9" s="389" t="s">
        <v>125</v>
      </c>
    </row>
    <row r="10" spans="1:15" ht="15.5" x14ac:dyDescent="0.35">
      <c r="A10" s="391" t="s">
        <v>15</v>
      </c>
      <c r="B10" s="398" t="s">
        <v>637</v>
      </c>
      <c r="C10" s="399">
        <v>5</v>
      </c>
      <c r="D10" s="400">
        <f>2426.07</f>
        <v>2426.0700000000002</v>
      </c>
      <c r="E10" s="401">
        <f>C10*D10</f>
        <v>12130.35</v>
      </c>
      <c r="F10" s="402">
        <f>E10*12</f>
        <v>145564.20000000001</v>
      </c>
      <c r="G10" s="960">
        <f>F10+F11</f>
        <v>233288.40000000002</v>
      </c>
      <c r="H10" s="403">
        <f>C10*2</f>
        <v>10</v>
      </c>
      <c r="I10" s="404">
        <f>D10</f>
        <v>2426.0700000000002</v>
      </c>
      <c r="J10" s="405">
        <f>H10*I10</f>
        <v>24260.7</v>
      </c>
      <c r="K10" s="406">
        <f>J10*12</f>
        <v>291128.40000000002</v>
      </c>
      <c r="L10" s="962">
        <f>ROUND(K10+K11,0)</f>
        <v>466577</v>
      </c>
      <c r="M10" s="418">
        <f>ROUND(L10,0)</f>
        <v>466577</v>
      </c>
      <c r="N10" s="419">
        <f>L10</f>
        <v>466577</v>
      </c>
      <c r="O10" s="419">
        <f>L10</f>
        <v>466577</v>
      </c>
    </row>
    <row r="11" spans="1:15" ht="15.5" x14ac:dyDescent="0.35">
      <c r="A11" s="391" t="s">
        <v>21</v>
      </c>
      <c r="B11" s="407" t="s">
        <v>638</v>
      </c>
      <c r="C11" s="408">
        <v>5</v>
      </c>
      <c r="D11" s="409">
        <f>1462.07</f>
        <v>1462.07</v>
      </c>
      <c r="E11" s="410">
        <f>D11*C11</f>
        <v>7310.3499999999995</v>
      </c>
      <c r="F11" s="411">
        <f>E11*12</f>
        <v>87724.2</v>
      </c>
      <c r="G11" s="961"/>
      <c r="H11" s="412">
        <f>C11*2</f>
        <v>10</v>
      </c>
      <c r="I11" s="413">
        <f>D11</f>
        <v>1462.07</v>
      </c>
      <c r="J11" s="414">
        <f>I11*H11</f>
        <v>14620.699999999999</v>
      </c>
      <c r="K11" s="415">
        <f>J11*12</f>
        <v>175448.4</v>
      </c>
      <c r="L11" s="963"/>
      <c r="M11" s="416"/>
      <c r="N11" s="417"/>
      <c r="O11" s="417"/>
    </row>
  </sheetData>
  <mergeCells count="6">
    <mergeCell ref="A3:O3"/>
    <mergeCell ref="C8:G8"/>
    <mergeCell ref="H8:L8"/>
    <mergeCell ref="M8:O8"/>
    <mergeCell ref="G10:G11"/>
    <mergeCell ref="L10:L11"/>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7364D9-E00A-42A6-9E30-8A1251AE881B}">
  <sheetPr>
    <tabColor rgb="FFC6E0B4"/>
  </sheetPr>
  <dimension ref="A1:K23"/>
  <sheetViews>
    <sheetView zoomScale="80" zoomScaleNormal="80" workbookViewId="0">
      <selection activeCell="K2" sqref="K2"/>
    </sheetView>
  </sheetViews>
  <sheetFormatPr defaultColWidth="9.1796875" defaultRowHeight="14" x14ac:dyDescent="0.3"/>
  <cols>
    <col min="1" max="1" width="38" style="208" customWidth="1"/>
    <col min="2" max="2" width="35.54296875" style="208" customWidth="1"/>
    <col min="3" max="3" width="15.54296875" style="208" customWidth="1"/>
    <col min="4" max="4" width="15.453125" style="208" customWidth="1"/>
    <col min="5" max="5" width="16.453125" style="208" customWidth="1"/>
    <col min="6" max="6" width="15" style="208" customWidth="1"/>
    <col min="7" max="7" width="13.7265625" style="208" customWidth="1"/>
    <col min="8" max="8" width="15.26953125" style="208" customWidth="1"/>
    <col min="9" max="9" width="13.7265625" style="208" customWidth="1"/>
    <col min="10" max="10" width="14.453125" style="208" customWidth="1"/>
    <col min="11" max="11" width="18.453125" style="208" customWidth="1"/>
    <col min="12" max="16384" width="9.1796875" style="208"/>
  </cols>
  <sheetData>
    <row r="1" spans="1:11" x14ac:dyDescent="0.3">
      <c r="K1" s="307" t="s">
        <v>665</v>
      </c>
    </row>
    <row r="2" spans="1:11" x14ac:dyDescent="0.3">
      <c r="I2" s="307"/>
    </row>
    <row r="3" spans="1:11" x14ac:dyDescent="0.3">
      <c r="B3" s="964" t="s">
        <v>640</v>
      </c>
      <c r="C3" s="964"/>
      <c r="D3" s="964"/>
      <c r="E3" s="964"/>
      <c r="F3" s="964"/>
      <c r="G3" s="964"/>
      <c r="H3" s="964"/>
      <c r="I3" s="964"/>
    </row>
    <row r="4" spans="1:11" x14ac:dyDescent="0.3">
      <c r="B4" s="965" t="s">
        <v>641</v>
      </c>
      <c r="C4" s="965"/>
      <c r="D4" s="965"/>
      <c r="E4" s="965"/>
      <c r="F4" s="965"/>
      <c r="G4" s="965"/>
      <c r="H4" s="965"/>
      <c r="I4" s="965"/>
    </row>
    <row r="5" spans="1:11" x14ac:dyDescent="0.3">
      <c r="J5" s="307"/>
    </row>
    <row r="6" spans="1:11" ht="56" x14ac:dyDescent="0.3">
      <c r="A6" s="490" t="s">
        <v>171</v>
      </c>
      <c r="B6" s="537" t="s">
        <v>642</v>
      </c>
      <c r="C6" s="179" t="s">
        <v>643</v>
      </c>
      <c r="D6" s="179" t="s">
        <v>644</v>
      </c>
      <c r="E6" s="533" t="s">
        <v>645</v>
      </c>
      <c r="F6" s="179" t="s">
        <v>646</v>
      </c>
      <c r="G6" s="179" t="s">
        <v>644</v>
      </c>
      <c r="H6" s="533" t="s">
        <v>647</v>
      </c>
      <c r="I6" s="179" t="s">
        <v>648</v>
      </c>
      <c r="J6" s="179" t="s">
        <v>644</v>
      </c>
      <c r="K6" s="533" t="s">
        <v>649</v>
      </c>
    </row>
    <row r="7" spans="1:11" ht="34.5" customHeight="1" x14ac:dyDescent="0.3">
      <c r="A7" s="536" t="s">
        <v>650</v>
      </c>
      <c r="B7" s="538" t="s">
        <v>651</v>
      </c>
      <c r="C7" s="484"/>
      <c r="D7" s="484"/>
      <c r="E7" s="484"/>
      <c r="F7" s="484"/>
      <c r="G7" s="484"/>
      <c r="H7" s="484"/>
      <c r="I7" s="484"/>
      <c r="J7" s="484"/>
      <c r="K7" s="484"/>
    </row>
    <row r="8" spans="1:11" ht="28" x14ac:dyDescent="0.3">
      <c r="B8" s="494" t="s">
        <v>652</v>
      </c>
      <c r="C8" s="509">
        <v>434</v>
      </c>
      <c r="D8" s="509">
        <v>3739.1590000000001</v>
      </c>
      <c r="E8" s="509">
        <f>C8*D8</f>
        <v>1622795.0060000001</v>
      </c>
      <c r="F8" s="509">
        <v>500</v>
      </c>
      <c r="G8" s="502">
        <v>3382.652</v>
      </c>
      <c r="H8" s="534">
        <f>G8*F8</f>
        <v>1691326</v>
      </c>
      <c r="I8" s="509">
        <v>500</v>
      </c>
      <c r="J8" s="502">
        <v>3382.652</v>
      </c>
      <c r="K8" s="509">
        <f>J8*I8</f>
        <v>1691326</v>
      </c>
    </row>
    <row r="9" spans="1:11" x14ac:dyDescent="0.3">
      <c r="B9" s="485" t="s">
        <v>653</v>
      </c>
      <c r="C9" s="509"/>
      <c r="D9" s="481"/>
      <c r="E9" s="481"/>
      <c r="F9" s="481"/>
      <c r="G9" s="481"/>
      <c r="I9" s="513">
        <v>50</v>
      </c>
      <c r="J9" s="535">
        <v>4452.5</v>
      </c>
      <c r="K9" s="506">
        <f>I9*J9</f>
        <v>222625</v>
      </c>
    </row>
    <row r="10" spans="1:11" ht="41.25" customHeight="1" x14ac:dyDescent="0.3">
      <c r="B10" s="484" t="s">
        <v>654</v>
      </c>
      <c r="C10" s="510"/>
      <c r="D10" s="510"/>
      <c r="E10" s="510"/>
      <c r="F10" s="510"/>
      <c r="G10" s="510"/>
      <c r="H10" s="510"/>
      <c r="I10" s="510"/>
      <c r="J10" s="510"/>
      <c r="K10" s="510"/>
    </row>
    <row r="11" spans="1:11" ht="28" x14ac:dyDescent="0.3">
      <c r="B11" s="494" t="s">
        <v>655</v>
      </c>
      <c r="C11" s="511">
        <v>75</v>
      </c>
      <c r="D11" s="511">
        <v>17004.746999999999</v>
      </c>
      <c r="E11" s="511">
        <f>C11*D11</f>
        <v>1275356.0249999999</v>
      </c>
      <c r="F11" s="511">
        <v>120</v>
      </c>
      <c r="G11" s="515">
        <v>20740.308000000001</v>
      </c>
      <c r="H11" s="511">
        <f>F11*G11</f>
        <v>2488836.96</v>
      </c>
      <c r="I11" s="511">
        <v>150</v>
      </c>
      <c r="J11" s="515">
        <v>19772.133000000002</v>
      </c>
      <c r="K11" s="511">
        <f>I11*J11</f>
        <v>2965819.95</v>
      </c>
    </row>
    <row r="12" spans="1:11" x14ac:dyDescent="0.3">
      <c r="B12" s="485" t="s">
        <v>656</v>
      </c>
      <c r="C12" s="509"/>
      <c r="D12" s="481"/>
      <c r="E12" s="481"/>
      <c r="F12" s="513">
        <v>100</v>
      </c>
      <c r="G12" s="506">
        <v>1009.09</v>
      </c>
      <c r="H12" s="506">
        <f>G12*F12</f>
        <v>100909</v>
      </c>
      <c r="I12" s="514">
        <v>150</v>
      </c>
      <c r="J12" s="506">
        <v>1009.09</v>
      </c>
      <c r="K12" s="514">
        <f>I12*J12</f>
        <v>151363.5</v>
      </c>
    </row>
    <row r="13" spans="1:11" ht="28" x14ac:dyDescent="0.3">
      <c r="B13" s="485" t="s">
        <v>657</v>
      </c>
      <c r="C13" s="509"/>
      <c r="D13" s="481"/>
      <c r="E13" s="481"/>
      <c r="F13" s="513">
        <v>100</v>
      </c>
      <c r="G13" s="506">
        <v>2496.33</v>
      </c>
      <c r="H13" s="506">
        <f>F13*G13</f>
        <v>249633</v>
      </c>
      <c r="I13" s="514">
        <v>150</v>
      </c>
      <c r="J13" s="506">
        <v>2496.33</v>
      </c>
      <c r="K13" s="514">
        <f>I13*J13</f>
        <v>374449.5</v>
      </c>
    </row>
    <row r="14" spans="1:11" ht="54.75" customHeight="1" x14ac:dyDescent="0.3">
      <c r="B14" s="484" t="s">
        <v>658</v>
      </c>
      <c r="C14" s="510"/>
      <c r="D14" s="510"/>
      <c r="E14" s="510"/>
      <c r="F14" s="510"/>
      <c r="G14" s="510"/>
      <c r="H14" s="510"/>
      <c r="I14" s="510"/>
      <c r="J14" s="510"/>
      <c r="K14" s="510"/>
    </row>
    <row r="15" spans="1:11" x14ac:dyDescent="0.3">
      <c r="B15" s="494" t="s">
        <v>659</v>
      </c>
      <c r="C15" s="509">
        <v>1723</v>
      </c>
      <c r="D15" s="509">
        <v>14.5091</v>
      </c>
      <c r="E15" s="509">
        <f>C15*D15</f>
        <v>24999.1793</v>
      </c>
      <c r="F15" s="509">
        <v>1800</v>
      </c>
      <c r="G15" s="516">
        <v>14.509</v>
      </c>
      <c r="H15" s="509">
        <f>F15*G15</f>
        <v>26116.2</v>
      </c>
      <c r="I15" s="509">
        <v>1850</v>
      </c>
      <c r="J15" s="516">
        <v>14.509</v>
      </c>
      <c r="K15" s="509">
        <f>I15*J15</f>
        <v>26841.65</v>
      </c>
    </row>
    <row r="16" spans="1:11" x14ac:dyDescent="0.3">
      <c r="B16" s="494" t="s">
        <v>660</v>
      </c>
      <c r="C16" s="509">
        <v>600</v>
      </c>
      <c r="D16" s="509">
        <v>464.05</v>
      </c>
      <c r="E16" s="509">
        <f>C16*D16</f>
        <v>278430</v>
      </c>
      <c r="F16" s="509">
        <v>700</v>
      </c>
      <c r="G16" s="516">
        <v>464.05</v>
      </c>
      <c r="H16" s="509">
        <f>F16*G16</f>
        <v>324835</v>
      </c>
      <c r="I16" s="509">
        <v>800</v>
      </c>
      <c r="J16" s="517">
        <v>464.05</v>
      </c>
      <c r="K16" s="509">
        <f>I16*J16</f>
        <v>371240</v>
      </c>
    </row>
    <row r="17" spans="2:11" x14ac:dyDescent="0.3">
      <c r="B17" s="488" t="s">
        <v>661</v>
      </c>
      <c r="C17" s="512"/>
      <c r="D17" s="512"/>
      <c r="E17" s="488"/>
      <c r="F17" s="488"/>
      <c r="G17" s="488"/>
      <c r="H17" s="512"/>
      <c r="I17" s="512"/>
      <c r="J17" s="512"/>
      <c r="K17" s="512"/>
    </row>
    <row r="18" spans="2:11" ht="42" x14ac:dyDescent="0.3">
      <c r="B18" s="489" t="s">
        <v>662</v>
      </c>
      <c r="C18" s="509"/>
      <c r="D18" s="481"/>
      <c r="E18" s="481"/>
      <c r="F18" s="487"/>
      <c r="G18" s="481"/>
      <c r="H18" s="513"/>
      <c r="I18" s="507">
        <v>100</v>
      </c>
      <c r="J18" s="506">
        <v>122.72</v>
      </c>
      <c r="K18" s="506">
        <f>I18*J18</f>
        <v>12272</v>
      </c>
    </row>
    <row r="19" spans="2:11" x14ac:dyDescent="0.3">
      <c r="B19" s="488" t="s">
        <v>663</v>
      </c>
      <c r="C19" s="488"/>
      <c r="D19" s="488"/>
      <c r="E19" s="488"/>
      <c r="F19" s="488"/>
      <c r="G19" s="488"/>
      <c r="H19" s="512"/>
      <c r="I19" s="488"/>
      <c r="J19" s="488"/>
      <c r="K19" s="508"/>
    </row>
    <row r="20" spans="2:11" x14ac:dyDescent="0.3">
      <c r="B20" s="490" t="s">
        <v>664</v>
      </c>
      <c r="C20" s="493"/>
      <c r="D20" s="486"/>
      <c r="E20" s="486"/>
      <c r="F20" s="486"/>
      <c r="G20" s="481"/>
      <c r="H20" s="506">
        <v>383794</v>
      </c>
      <c r="I20" s="486"/>
      <c r="J20" s="481"/>
      <c r="K20" s="504">
        <v>383794</v>
      </c>
    </row>
    <row r="21" spans="2:11" x14ac:dyDescent="0.3">
      <c r="B21" s="491" t="s">
        <v>133</v>
      </c>
      <c r="C21" s="503">
        <f>C16+C15+C11+C8</f>
        <v>2832</v>
      </c>
      <c r="D21" s="492"/>
      <c r="E21" s="492">
        <f>E8+E11+E15+E16</f>
        <v>3201580.2102999999</v>
      </c>
      <c r="F21" s="492">
        <f>F8+F11+F12+F13+F15+F16</f>
        <v>3320</v>
      </c>
      <c r="G21" s="481"/>
      <c r="H21" s="492">
        <f>ROUND(H8+H11+H12+H13+H15+H16+H20,0)</f>
        <v>5265450</v>
      </c>
      <c r="I21" s="492">
        <f>I8+I9+I11+I12+I13+I15+I16+I18</f>
        <v>3750</v>
      </c>
      <c r="J21" s="481"/>
      <c r="K21" s="492">
        <f>ROUND(K8+K9+K11+K12+K13+K15+K16+K18+K20,0)</f>
        <v>6199732</v>
      </c>
    </row>
    <row r="23" spans="2:11" x14ac:dyDescent="0.3">
      <c r="E23" s="215"/>
    </row>
  </sheetData>
  <mergeCells count="2">
    <mergeCell ref="B3:I3"/>
    <mergeCell ref="B4:I4"/>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9AA0AD-0BE0-489D-B82B-00E41875EC80}">
  <sheetPr>
    <tabColor rgb="FFC6E0B4"/>
  </sheetPr>
  <dimension ref="A1:I7"/>
  <sheetViews>
    <sheetView zoomScale="90" zoomScaleNormal="90" workbookViewId="0">
      <selection activeCell="F2" sqref="F2"/>
    </sheetView>
  </sheetViews>
  <sheetFormatPr defaultColWidth="9.1796875" defaultRowHeight="14" x14ac:dyDescent="0.3"/>
  <cols>
    <col min="1" max="1" width="35.54296875" style="208" customWidth="1"/>
    <col min="2" max="2" width="39.7265625" style="208" customWidth="1"/>
    <col min="3" max="3" width="15.453125" style="208" customWidth="1"/>
    <col min="4" max="4" width="14.54296875" style="208" customWidth="1"/>
    <col min="5" max="5" width="22.7265625" style="208" customWidth="1"/>
    <col min="6" max="6" width="18.453125" style="208" customWidth="1"/>
    <col min="7" max="7" width="15.26953125" style="208" customWidth="1"/>
    <col min="8" max="8" width="13.7265625" style="208" customWidth="1"/>
    <col min="9" max="9" width="14.453125" style="208" customWidth="1"/>
    <col min="10" max="10" width="13.26953125" style="208" customWidth="1"/>
    <col min="11" max="16384" width="9.1796875" style="208"/>
  </cols>
  <sheetData>
    <row r="1" spans="1:9" x14ac:dyDescent="0.3">
      <c r="F1" s="307" t="s">
        <v>672</v>
      </c>
    </row>
    <row r="2" spans="1:9" x14ac:dyDescent="0.3">
      <c r="H2" s="307"/>
    </row>
    <row r="3" spans="1:9" ht="15" customHeight="1" x14ac:dyDescent="0.3">
      <c r="A3" s="964" t="s">
        <v>640</v>
      </c>
      <c r="B3" s="964"/>
      <c r="C3" s="964"/>
      <c r="D3" s="964"/>
      <c r="E3" s="964"/>
      <c r="F3" s="964"/>
      <c r="G3" s="544"/>
      <c r="H3" s="544"/>
    </row>
    <row r="4" spans="1:9" x14ac:dyDescent="0.3">
      <c r="A4" s="965" t="s">
        <v>666</v>
      </c>
      <c r="B4" s="965"/>
      <c r="C4" s="965"/>
      <c r="D4" s="965"/>
      <c r="E4" s="965"/>
      <c r="F4" s="965"/>
      <c r="G4" s="545"/>
      <c r="H4" s="545"/>
    </row>
    <row r="5" spans="1:9" x14ac:dyDescent="0.3">
      <c r="I5" s="307"/>
    </row>
    <row r="6" spans="1:9" ht="28" x14ac:dyDescent="0.3">
      <c r="A6" s="490" t="s">
        <v>171</v>
      </c>
      <c r="B6" s="539" t="s">
        <v>380</v>
      </c>
      <c r="C6" s="177" t="s">
        <v>667</v>
      </c>
      <c r="D6" s="177" t="s">
        <v>361</v>
      </c>
      <c r="E6" s="541" t="s">
        <v>668</v>
      </c>
      <c r="F6" s="532" t="s">
        <v>669</v>
      </c>
    </row>
    <row r="7" spans="1:9" s="540" customFormat="1" ht="52" x14ac:dyDescent="0.35">
      <c r="A7" s="542" t="s">
        <v>670</v>
      </c>
      <c r="B7" s="543" t="s">
        <v>671</v>
      </c>
      <c r="C7" s="178">
        <v>40042</v>
      </c>
      <c r="D7" s="178">
        <v>4.38</v>
      </c>
      <c r="E7" s="178">
        <v>3082</v>
      </c>
      <c r="F7" s="479">
        <f>ROUND(E7*D7,0)</f>
        <v>13499</v>
      </c>
    </row>
  </sheetData>
  <mergeCells count="2">
    <mergeCell ref="A3:F3"/>
    <mergeCell ref="A4:F4"/>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E9D2D3-E6FF-48BD-8178-0C6DF4ABE32C}">
  <sheetPr>
    <tabColor theme="9" tint="0.59999389629810485"/>
  </sheetPr>
  <dimension ref="A1:N13"/>
  <sheetViews>
    <sheetView workbookViewId="0">
      <selection activeCell="L26" sqref="L26"/>
    </sheetView>
  </sheetViews>
  <sheetFormatPr defaultRowHeight="14.5" x14ac:dyDescent="0.35"/>
  <cols>
    <col min="1" max="1" width="18" customWidth="1"/>
  </cols>
  <sheetData>
    <row r="1" spans="1:14" x14ac:dyDescent="0.35">
      <c r="J1" s="307"/>
      <c r="N1" s="307" t="s">
        <v>679</v>
      </c>
    </row>
    <row r="2" spans="1:14" x14ac:dyDescent="0.35">
      <c r="J2" s="307"/>
    </row>
    <row r="3" spans="1:14" x14ac:dyDescent="0.35">
      <c r="A3" s="969" t="s">
        <v>673</v>
      </c>
      <c r="B3" s="969"/>
      <c r="C3" s="969"/>
      <c r="D3" s="969"/>
      <c r="E3" s="969"/>
      <c r="F3" s="969"/>
      <c r="G3" s="969"/>
      <c r="H3" s="969"/>
      <c r="I3" s="969"/>
      <c r="J3" s="969"/>
      <c r="K3" s="969"/>
      <c r="L3" s="969"/>
      <c r="M3" s="969"/>
      <c r="N3" s="969"/>
    </row>
    <row r="5" spans="1:14" x14ac:dyDescent="0.35">
      <c r="A5" s="208" t="s">
        <v>171</v>
      </c>
    </row>
    <row r="6" spans="1:14" x14ac:dyDescent="0.35">
      <c r="A6" s="367" t="s">
        <v>674</v>
      </c>
    </row>
    <row r="8" spans="1:14" x14ac:dyDescent="0.35">
      <c r="A8" s="298" t="s">
        <v>675</v>
      </c>
    </row>
    <row r="9" spans="1:14" x14ac:dyDescent="0.35">
      <c r="H9" s="707" t="s">
        <v>682</v>
      </c>
    </row>
    <row r="10" spans="1:14" x14ac:dyDescent="0.35">
      <c r="A10" s="966" t="s">
        <v>676</v>
      </c>
      <c r="B10" s="967"/>
      <c r="C10" s="967"/>
      <c r="D10" s="967"/>
      <c r="E10" s="967"/>
      <c r="F10" s="968"/>
      <c r="G10" s="705">
        <v>0.2</v>
      </c>
      <c r="H10" s="706">
        <v>5000</v>
      </c>
    </row>
    <row r="11" spans="1:14" x14ac:dyDescent="0.35">
      <c r="A11" s="966" t="s">
        <v>677</v>
      </c>
      <c r="B11" s="967"/>
      <c r="C11" s="967"/>
      <c r="D11" s="967"/>
      <c r="E11" s="967"/>
      <c r="F11" s="968"/>
      <c r="G11" s="705">
        <v>0.5</v>
      </c>
      <c r="H11" s="706">
        <v>12500</v>
      </c>
    </row>
    <row r="12" spans="1:14" x14ac:dyDescent="0.35">
      <c r="A12" s="966" t="s">
        <v>678</v>
      </c>
      <c r="B12" s="967"/>
      <c r="C12" s="967"/>
      <c r="D12" s="967"/>
      <c r="E12" s="967"/>
      <c r="F12" s="968"/>
      <c r="G12" s="705">
        <v>0.3</v>
      </c>
      <c r="H12" s="706">
        <v>7500</v>
      </c>
    </row>
    <row r="13" spans="1:14" x14ac:dyDescent="0.35">
      <c r="H13" s="702">
        <f>SUM(H10:H12)</f>
        <v>25000</v>
      </c>
    </row>
  </sheetData>
  <mergeCells count="4">
    <mergeCell ref="A10:F10"/>
    <mergeCell ref="A11:F11"/>
    <mergeCell ref="A12:F12"/>
    <mergeCell ref="A3:N3"/>
  </mergeCells>
  <pageMargins left="0.7" right="0.7" top="0.75" bottom="0.75" header="0.3" footer="0.3"/>
  <pageSetup paperSize="9" orientation="portrait"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44D0EC-D5C2-48C9-9484-DB4B03813325}">
  <sheetPr>
    <tabColor theme="9" tint="0.59999389629810485"/>
  </sheetPr>
  <dimension ref="A1:N13"/>
  <sheetViews>
    <sheetView workbookViewId="0">
      <selection activeCell="G10" sqref="G10"/>
    </sheetView>
  </sheetViews>
  <sheetFormatPr defaultRowHeight="14.5" x14ac:dyDescent="0.35"/>
  <cols>
    <col min="1" max="1" width="18" customWidth="1"/>
  </cols>
  <sheetData>
    <row r="1" spans="1:14" x14ac:dyDescent="0.35">
      <c r="J1" s="307"/>
      <c r="N1" s="307" t="s">
        <v>683</v>
      </c>
    </row>
    <row r="2" spans="1:14" ht="15" customHeight="1" x14ac:dyDescent="0.35">
      <c r="J2" s="307"/>
    </row>
    <row r="3" spans="1:14" ht="28.5" customHeight="1" x14ac:dyDescent="0.35">
      <c r="A3" s="970" t="s">
        <v>680</v>
      </c>
      <c r="B3" s="970"/>
      <c r="C3" s="970"/>
      <c r="D3" s="970"/>
      <c r="E3" s="970"/>
      <c r="F3" s="970"/>
      <c r="G3" s="970"/>
      <c r="H3" s="970"/>
      <c r="I3" s="970"/>
      <c r="J3" s="970"/>
      <c r="K3" s="970"/>
      <c r="L3" s="970"/>
      <c r="M3" s="970"/>
    </row>
    <row r="5" spans="1:14" x14ac:dyDescent="0.35">
      <c r="A5" s="208" t="s">
        <v>171</v>
      </c>
    </row>
    <row r="6" spans="1:14" x14ac:dyDescent="0.35">
      <c r="A6" s="367" t="s">
        <v>674</v>
      </c>
    </row>
    <row r="8" spans="1:14" x14ac:dyDescent="0.35">
      <c r="A8" s="298" t="s">
        <v>681</v>
      </c>
    </row>
    <row r="9" spans="1:14" x14ac:dyDescent="0.35">
      <c r="H9" s="707" t="s">
        <v>682</v>
      </c>
    </row>
    <row r="10" spans="1:14" x14ac:dyDescent="0.35">
      <c r="A10" s="966" t="s">
        <v>676</v>
      </c>
      <c r="B10" s="967"/>
      <c r="C10" s="967"/>
      <c r="D10" s="967"/>
      <c r="E10" s="967"/>
      <c r="F10" s="968"/>
      <c r="G10" s="705">
        <v>0.2</v>
      </c>
      <c r="H10" s="706">
        <v>5000</v>
      </c>
    </row>
    <row r="11" spans="1:14" x14ac:dyDescent="0.35">
      <c r="A11" s="966" t="s">
        <v>677</v>
      </c>
      <c r="B11" s="967"/>
      <c r="C11" s="967"/>
      <c r="D11" s="967"/>
      <c r="E11" s="967"/>
      <c r="F11" s="968"/>
      <c r="G11" s="705">
        <v>0.5</v>
      </c>
      <c r="H11" s="706">
        <v>12500</v>
      </c>
    </row>
    <row r="12" spans="1:14" x14ac:dyDescent="0.35">
      <c r="A12" s="966" t="s">
        <v>678</v>
      </c>
      <c r="B12" s="967"/>
      <c r="C12" s="967"/>
      <c r="D12" s="967"/>
      <c r="E12" s="967"/>
      <c r="F12" s="968"/>
      <c r="G12" s="705">
        <v>0.3</v>
      </c>
      <c r="H12" s="706">
        <v>7500</v>
      </c>
    </row>
    <row r="13" spans="1:14" x14ac:dyDescent="0.35">
      <c r="H13" s="702">
        <f>SUM(H10:H12)</f>
        <v>25000</v>
      </c>
    </row>
  </sheetData>
  <mergeCells count="4">
    <mergeCell ref="A10:F10"/>
    <mergeCell ref="A11:F11"/>
    <mergeCell ref="A12:F12"/>
    <mergeCell ref="A3:M3"/>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kuments" ma:contentTypeID="0x010100D6643F8A34BD6C44A9BEB40244D1388A" ma:contentTypeVersion="2" ma:contentTypeDescription="Izveidot jaunu dokumentu." ma:contentTypeScope="" ma:versionID="b83da555a1e2855beffe617c6aa487a6">
  <xsd:schema xmlns:xsd="http://www.w3.org/2001/XMLSchema" xmlns:xs="http://www.w3.org/2001/XMLSchema" xmlns:p="http://schemas.microsoft.com/office/2006/metadata/properties" xmlns:ns2="20b4c3ea-baa5-48bc-93fe-3087858bfbf1" targetNamespace="http://schemas.microsoft.com/office/2006/metadata/properties" ma:root="true" ma:fieldsID="0ff076a82427928ec1ffd08956abbeca" ns2:_="">
    <xsd:import namespace="20b4c3ea-baa5-48bc-93fe-3087858bfbf1"/>
    <xsd:element name="properties">
      <xsd:complexType>
        <xsd:sequence>
          <xsd:element name="documentManagement">
            <xsd:complexType>
              <xsd:all>
                <xsd:element ref="ns2:MediaServiceMetadata" minOccurs="0"/>
                <xsd:element ref="ns2: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0b4c3ea-baa5-48bc-93fe-3087858bfbf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C381BFFA-5760-48D2-AF74-30CEC31E22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20b4c3ea-baa5-48bc-93fe-3087858bfbf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7778BA4-009A-4DB6-A7E9-358D3347DA0E}">
  <ds:schemaRefs>
    <ds:schemaRef ds:uri="http://schemas.microsoft.com/sharepoint/v3/contenttype/forms"/>
  </ds:schemaRefs>
</ds:datastoreItem>
</file>

<file path=customXml/itemProps3.xml><?xml version="1.0" encoding="utf-8"?>
<ds:datastoreItem xmlns:ds="http://schemas.openxmlformats.org/officeDocument/2006/customXml" ds:itemID="{92A26644-A089-4E74-B714-D0986E87A3D5}">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1</vt:i4>
      </vt:variant>
    </vt:vector>
  </HeadingPairs>
  <TitlesOfParts>
    <vt:vector size="25" baseType="lpstr">
      <vt:lpstr>Kopsavilkums</vt:lpstr>
      <vt:lpstr>1.3.</vt:lpstr>
      <vt:lpstr>1.4.</vt:lpstr>
      <vt:lpstr>1.5.</vt:lpstr>
      <vt:lpstr>1.6.</vt:lpstr>
      <vt:lpstr>2.2.</vt:lpstr>
      <vt:lpstr>2.3.</vt:lpstr>
      <vt:lpstr>2.4.</vt:lpstr>
      <vt:lpstr>2.5.</vt:lpstr>
      <vt:lpstr>2.6.</vt:lpstr>
      <vt:lpstr>2.7.</vt:lpstr>
      <vt:lpstr>2.8.</vt:lpstr>
      <vt:lpstr>2.10.</vt:lpstr>
      <vt:lpstr>2.9.</vt:lpstr>
      <vt:lpstr>2.11.</vt:lpstr>
      <vt:lpstr>3.1.</vt:lpstr>
      <vt:lpstr>3.2.</vt:lpstr>
      <vt:lpstr>4.1.</vt:lpstr>
      <vt:lpstr>4.3.</vt:lpstr>
      <vt:lpstr>4.4.</vt:lpstr>
      <vt:lpstr>5.1.1.</vt:lpstr>
      <vt:lpstr>5.1.2.</vt:lpstr>
      <vt:lpstr>6.3.</vt:lpstr>
      <vt:lpstr>6.5.</vt:lpstr>
      <vt:lpstr>Kopsavilkums!Print_Area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Anete Baškevica</dc:creator>
  <cp:keywords/>
  <dc:description/>
  <cp:lastModifiedBy>Rimma Beļikova</cp:lastModifiedBy>
  <cp:revision/>
  <cp:lastPrinted>2022-10-31T10:11:37Z</cp:lastPrinted>
  <dcterms:created xsi:type="dcterms:W3CDTF">2022-04-25T14:07:27Z</dcterms:created>
  <dcterms:modified xsi:type="dcterms:W3CDTF">2022-12-07T06:38:05Z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0x010100D6643F8A34BD6C44A9BEB40244D1388A</vt:lpwstr>
  </property>
</Properties>
</file>