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hidePivotFieldList="1" defaultThemeVersion="166925"/>
  <mc:AlternateContent xmlns:mc="http://schemas.openxmlformats.org/markup-compatibility/2006">
    <mc:Choice Requires="x15">
      <x15ac:absPath xmlns:x15ac="http://schemas.microsoft.com/office/spreadsheetml/2010/11/ac" url="Q:\2021_gads_zaud.komp\Pilsētas_MK_protokollēmums_Covid_19\MK Protokollēmuma izpilde 2021_atskaites\VARAM_apkopojumi\"/>
    </mc:Choice>
  </mc:AlternateContent>
  <xr:revisionPtr revIDLastSave="0" documentId="13_ncr:1_{49EAFD30-382A-4621-840D-E28809D5E4A7}" xr6:coauthVersionLast="47" xr6:coauthVersionMax="47" xr10:uidLastSave="{00000000-0000-0000-0000-000000000000}"/>
  <bookViews>
    <workbookView xWindow="-120" yWindow="-120" windowWidth="29040" windowHeight="15840" activeTab="4" xr2:uid="{00000000-000D-0000-FFFF-FFFF00000000}"/>
  </bookViews>
  <sheets>
    <sheet name="09.03-31.03" sheetId="2" r:id="rId1"/>
    <sheet name="aprīlis" sheetId="3" r:id="rId2"/>
    <sheet name="maijs" sheetId="4" r:id="rId3"/>
    <sheet name="junijs" sheetId="5" r:id="rId4"/>
    <sheet name="PIVOT_apkopojums" sheetId="9" r:id="rId5"/>
    <sheet name="PIVOT" sheetId="8" r:id="rId6"/>
    <sheet name="atskaites_jedox" sheetId="7" state="hidden" r:id="rId7"/>
  </sheets>
  <definedNames>
    <definedName name="_palopasteviewstyle" hidden="1">"White"</definedName>
  </definedNames>
  <calcPr calcId="181029"/>
  <pivotCaches>
    <pivotCache cacheId="0" r:id="rId8"/>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1" i="5" l="1"/>
  <c r="D10" i="3"/>
  <c r="E3" i="3"/>
  <c r="E10" i="3"/>
  <c r="E12" i="3"/>
  <c r="E7" i="3"/>
  <c r="E6" i="3"/>
  <c r="D29" i="5" l="1"/>
  <c r="D14" i="5"/>
  <c r="D3" i="5"/>
  <c r="D29" i="4"/>
  <c r="D14" i="4"/>
  <c r="D3" i="4"/>
  <c r="D29" i="3"/>
  <c r="D14" i="3"/>
  <c r="D3" i="3"/>
  <c r="B3" i="7"/>
  <c r="X7" i="7"/>
  <c r="N6" i="7"/>
  <c r="AH7" i="7"/>
  <c r="R6" i="7"/>
  <c r="F2" i="7"/>
  <c r="AL7" i="7"/>
  <c r="H2" i="7"/>
  <c r="O6" i="7"/>
  <c r="D6" i="7"/>
  <c r="H7" i="7"/>
  <c r="I7" i="7"/>
  <c r="I2" i="7"/>
  <c r="E3" i="7"/>
  <c r="AF7" i="7"/>
  <c r="G7" i="7"/>
  <c r="V6" i="7"/>
  <c r="Z6" i="7"/>
  <c r="Y7" i="7"/>
  <c r="Q6" i="7"/>
  <c r="J2" i="7"/>
  <c r="I3" i="7"/>
  <c r="O7" i="7"/>
  <c r="D3" i="7"/>
  <c r="L6" i="7"/>
  <c r="AE7" i="7"/>
  <c r="V7" i="7"/>
  <c r="AB7" i="7"/>
  <c r="W7" i="7"/>
  <c r="AA6" i="7"/>
  <c r="D2" i="7"/>
  <c r="AL6" i="7"/>
  <c r="AF6" i="7"/>
  <c r="AD6" i="7"/>
  <c r="H6" i="7"/>
  <c r="AB6" i="7"/>
  <c r="AD7" i="7"/>
  <c r="K7" i="7"/>
  <c r="C7" i="7"/>
  <c r="AG6" i="7"/>
  <c r="AI7" i="7"/>
  <c r="AC6" i="7"/>
  <c r="AK7" i="7"/>
  <c r="E2" i="7"/>
  <c r="H3" i="7"/>
  <c r="R7" i="7"/>
  <c r="S7" i="7"/>
  <c r="Q7" i="7"/>
  <c r="T6" i="7"/>
  <c r="J6" i="7"/>
  <c r="U6" i="7"/>
  <c r="G3" i="7"/>
  <c r="AH6" i="7"/>
  <c r="Z7" i="7"/>
  <c r="I6" i="7"/>
  <c r="Y6" i="7"/>
  <c r="AE6" i="7"/>
  <c r="F6" i="7"/>
  <c r="AK6" i="7"/>
  <c r="E7" i="7"/>
  <c r="U7" i="7"/>
  <c r="F3" i="7"/>
  <c r="P7" i="7"/>
  <c r="L7" i="7"/>
  <c r="B8" i="7"/>
  <c r="T7" i="7"/>
  <c r="G2" i="7"/>
  <c r="AJ7" i="7"/>
  <c r="X6" i="7"/>
  <c r="S6" i="7"/>
  <c r="K6" i="7"/>
  <c r="P6" i="7"/>
  <c r="M6" i="7"/>
  <c r="AA7" i="7"/>
  <c r="M7" i="7"/>
  <c r="F7" i="7"/>
  <c r="D7" i="7"/>
  <c r="G6" i="7"/>
  <c r="AC7" i="7"/>
  <c r="W6" i="7"/>
  <c r="AI6" i="7"/>
  <c r="J3" i="7"/>
  <c r="E6" i="7"/>
  <c r="E8" i="7" s="1"/>
  <c r="N7" i="7"/>
  <c r="C6" i="7"/>
  <c r="C8" i="7" s="1"/>
  <c r="AG7" i="7"/>
  <c r="AJ6" i="7"/>
  <c r="AJ8" i="7" s="1"/>
  <c r="J7" i="7"/>
  <c r="AK8" i="7"/>
  <c r="F8" i="7"/>
  <c r="Y8" i="7"/>
  <c r="I8" i="7"/>
  <c r="AH8" i="7"/>
  <c r="U8" i="7"/>
  <c r="J8" i="7"/>
  <c r="T8" i="7"/>
  <c r="R8" i="7"/>
  <c r="Q8" i="7"/>
  <c r="AC8" i="7"/>
  <c r="AB8" i="7"/>
  <c r="H8" i="7"/>
  <c r="AD8" i="7"/>
  <c r="AF8" i="7"/>
  <c r="AL8" i="7"/>
  <c r="AA8" i="7"/>
  <c r="L8" i="7"/>
  <c r="O8" i="7"/>
  <c r="Z8" i="7"/>
  <c r="V8" i="7"/>
  <c r="D8" i="7"/>
  <c r="N8" i="7"/>
  <c r="W8" i="7"/>
  <c r="M8" i="7"/>
  <c r="X8" i="7"/>
  <c r="E31" i="5" l="1"/>
  <c r="E30" i="5"/>
  <c r="E10" i="5"/>
  <c r="E13" i="5"/>
  <c r="E33" i="5"/>
  <c r="E32" i="5"/>
  <c r="E33" i="4"/>
  <c r="E32" i="4"/>
  <c r="E31" i="4"/>
  <c r="F32" i="3"/>
  <c r="F30" i="3"/>
  <c r="F13" i="3"/>
  <c r="E33" i="2"/>
  <c r="E32" i="2"/>
  <c r="E31" i="2"/>
  <c r="E30" i="2"/>
  <c r="E13" i="2"/>
  <c r="D10" i="2"/>
  <c r="D29" i="2"/>
  <c r="D14" i="2"/>
  <c r="P8" i="7"/>
  <c r="AG8" i="7"/>
  <c r="AI8" i="7"/>
  <c r="S8" i="7"/>
  <c r="G8" i="7"/>
  <c r="K8" i="7"/>
  <c r="AE8" i="7"/>
  <c r="E13" i="4" l="1"/>
  <c r="F33" i="3"/>
  <c r="E30" i="4"/>
  <c r="F31" i="3"/>
  <c r="D6" i="2"/>
  <c r="D3" i="2" l="1"/>
</calcChain>
</file>

<file path=xl/sharedStrings.xml><?xml version="1.0" encoding="utf-8"?>
<sst xmlns="http://schemas.openxmlformats.org/spreadsheetml/2006/main" count="853" uniqueCount="103">
  <si>
    <t>Dezinfekcijas līdzekļi</t>
  </si>
  <si>
    <t>Autobusi</t>
  </si>
  <si>
    <t xml:space="preserve">Periods </t>
  </si>
  <si>
    <t xml:space="preserve">Vienības </t>
  </si>
  <si>
    <t>skaits</t>
  </si>
  <si>
    <t>09.03.2021.- 31.03.2021.</t>
  </si>
  <si>
    <t>km</t>
  </si>
  <si>
    <t>EUR/km</t>
  </si>
  <si>
    <t>Transportlīdzekļu dezinfekcija</t>
  </si>
  <si>
    <t xml:space="preserve">Iesaistīto transportlīdzekļu vienības </t>
  </si>
  <si>
    <t>Sejas maskas</t>
  </si>
  <si>
    <t>Citi izdevumi (norādīt kādi)</t>
  </si>
  <si>
    <t>01.03.2021.-31.03.2021.</t>
  </si>
  <si>
    <t>1.SADAĻA</t>
  </si>
  <si>
    <t>2.SADAĻA</t>
  </si>
  <si>
    <t xml:space="preserve">Sociālā distancēšanās sabiedriskā transportā </t>
  </si>
  <si>
    <t>Transportlīdzekļu dezinfekcija, to starpā darba spēka izmaksas</t>
  </si>
  <si>
    <t>Transportlīdzekļu papildu mazgāšana</t>
  </si>
  <si>
    <t>Transportlīdzekļu papildu mazgāšana, to starpā darba spēka izmaksas</t>
  </si>
  <si>
    <t xml:space="preserve">skaits (jānorāda atbilstoša mērvienība gab., litri, reižu skaits, darba stundas u.c.) </t>
  </si>
  <si>
    <t>EUR/vien bez PVN</t>
  </si>
  <si>
    <t>3.SADAĻA</t>
  </si>
  <si>
    <t>09.03.2021.-31.03.2021.</t>
  </si>
  <si>
    <t>09.03.2019.-31.03.2019.</t>
  </si>
  <si>
    <t>EUR bez PVN</t>
  </si>
  <si>
    <t xml:space="preserve">(A) No pasažieriem, t.sk., personām, kurām noteikti pašvaldības noteiktie braukšanas maksas atvieglojumi, saņemtie ieņēmumi par sniegto sabiedriskā transporta pakalpojumu </t>
  </si>
  <si>
    <t xml:space="preserve">(C) No pasažieriem, t.sk., personām, kurām noteikti pašvaldības noteiktie braukšanas maksas atvieglojumi, saņemtie ieņēmumi par sniegto sabiedriskā transporta pakalpojumu </t>
  </si>
  <si>
    <t xml:space="preserve">(D) Faktiskais nobraukums </t>
  </si>
  <si>
    <t xml:space="preserve">(Z) Pakalpojumi, pasākumi un materiāli Covid-19 pandēmijas ierobežošanai </t>
  </si>
  <si>
    <t xml:space="preserve">(K) Faktiskās izmaksas Covid-19 pandēmijas ierobežošanai, t.sk. </t>
  </si>
  <si>
    <t>KOPSUMMA (1 vienības cenas reizinājums ar preču/pakalpojumu skaitu; summa ( K x Z))</t>
  </si>
  <si>
    <t xml:space="preserve">(P) Plānotais nobraukums </t>
  </si>
  <si>
    <t xml:space="preserve">(Izm) 1 km pašizmaksa </t>
  </si>
  <si>
    <t>to starpā papildu reisi (RP)</t>
  </si>
  <si>
    <t>to starpā atceltie reisi (RA)</t>
  </si>
  <si>
    <t>to starpā papildu reisos veiktais nobraukums (NP)</t>
  </si>
  <si>
    <t>to starpā atcelto reisu nobraukums (NA)</t>
  </si>
  <si>
    <t>(S) Plānotais reisu skaits</t>
  </si>
  <si>
    <t xml:space="preserve">(R) Faktiskais reisu skaits (S + RP-RA) </t>
  </si>
  <si>
    <t>(N) Faktiskais nobraukums (P + NP-NA)</t>
  </si>
  <si>
    <t>KOPSUMMA ((N - P) x Izm)</t>
  </si>
  <si>
    <t xml:space="preserve">(N) Faktiskais nobraukums </t>
  </si>
  <si>
    <t>KOPSUMMA ((C/D-A/N) x N)</t>
  </si>
  <si>
    <t xml:space="preserve">Pārskats par sabiedriskā transporta pakalpojumos radītajiem izdevumiem un zaudējumiem
sakarā ar noteiktajiem ierobežojumiem </t>
  </si>
  <si>
    <t>01.04.2021.- 30.04.2021.</t>
  </si>
  <si>
    <t>01.04.2021.-30.04.2021.</t>
  </si>
  <si>
    <t>01.04.2019.-30.04.2019.</t>
  </si>
  <si>
    <t>01.05.2021.- 31.05.2021.</t>
  </si>
  <si>
    <t>01.05.2021.-31.05.2021.</t>
  </si>
  <si>
    <t>01.05.2019.-31.05.2019.</t>
  </si>
  <si>
    <t>Informāciju aizpilda katra pašvaldība par pārvadājumu veidiem, kādi ir noteikti attiecīgā pilsētā</t>
  </si>
  <si>
    <t>Tabulā iekļauj norādītajā laika periodā radušās pamatotās izmaksas, kas attiecināmas uz sabiedriskā transporta pakalpojuma izpildē noteiktajiem drošības pasākumiem Covid-19 infekcijas izplatības ierobežošanai.</t>
  </si>
  <si>
    <t xml:space="preserve">Pašvaldībai ir pienākums pārliecināties par izmaksu pamatotību, to apjomu vai attiecināto apmēru. </t>
  </si>
  <si>
    <t>1.SADAĻĀ tiek aprēķināti faktiskie izdevumi, kas radušies saistībā ar atcelto reisu vai/un papildu reisu nodrošināšanu sakarā ar pakalpojuma apjoma ierobežošanu un 50% pasažieru piepildījuma noteikšanu</t>
  </si>
  <si>
    <t xml:space="preserve">2.SADAĻĀ nosakāmi kopējie izdevumi par Covid-19 infekcijas ierobežošanas pasākumiem, kas izpildāmi atbilstoši MK 09.06.2020. noteikumiem Nr.360; MK 06.11.2020. rīkojumam Nr.655 </t>
  </si>
  <si>
    <t>3.SADAĻĀ nosakāma kopējā ietekme uz ieņēmumu apgrozījumu, ko radījusi Covid-19 infekcijas apkarošanā radītā iedzīvotāju mobilitātes ierobežošana, pakalpojuma apjoma ierobežošana, kā arī citi ārkārtējās situācijas laikā un pēc tās noteiktie ierobežojumi atsevišķām nozarēm</t>
  </si>
  <si>
    <t>Paskaidrojumi</t>
  </si>
  <si>
    <r>
      <rPr>
        <u/>
        <sz val="11"/>
        <rFont val="Times New Roman"/>
        <family val="1"/>
        <charset val="186"/>
      </rPr>
      <t>1 km pašizmaksa</t>
    </r>
    <r>
      <rPr>
        <sz val="11"/>
        <rFont val="Times New Roman"/>
        <family val="1"/>
        <charset val="186"/>
      </rPr>
      <t xml:space="preserve"> - atbilstoši MK 28.07.2015. noteikumu Nr.435 3.pielikumā norādītās izmaksas, izņemot šajā tabulā 2.sadaļas izmaksas par Covid-19 pandēmijas ierobežošanas pasākumiem, dalītas ar faktisko nobraukumu</t>
    </r>
  </si>
  <si>
    <r>
      <rPr>
        <u/>
        <sz val="11"/>
        <rFont val="Times New Roman"/>
        <family val="1"/>
        <charset val="186"/>
      </rPr>
      <t>Dezinfekcijas līdzekļi</t>
    </r>
    <r>
      <rPr>
        <sz val="11"/>
        <rFont val="Times New Roman"/>
        <family val="1"/>
        <charset val="186"/>
      </rPr>
      <t xml:space="preserve"> - roku higiēnai  šķidrās ziepes un roku susināšanas līdzekļi vai spirtu saturoši roku dezinfekcijas līdzekļi (kas satur vismaz 70 % etanola) - MK noteikumu Nr.360 7.1.punkts</t>
    </r>
  </si>
  <si>
    <r>
      <rPr>
        <u/>
        <sz val="11"/>
        <rFont val="Times New Roman"/>
        <family val="1"/>
        <charset val="186"/>
      </rPr>
      <t>Sejas maskas</t>
    </r>
    <r>
      <rPr>
        <sz val="11"/>
        <rFont val="Times New Roman"/>
        <family val="1"/>
        <charset val="186"/>
      </rPr>
      <t xml:space="preserve"> - sabiedriskajā transportlīdzeklī, ar kuru veic pasažieru komercpārvadājumus, transportlīdzekļa vadītāji, kuri nav atdalīti ar fizisku barjeru no pasažieriem, kā arī pasažieri, lieto mutes un deguna aizsegus - MK noteikumu Nr.360 6.3.</t>
    </r>
    <r>
      <rPr>
        <vertAlign val="superscript"/>
        <sz val="11"/>
        <rFont val="Times New Roman"/>
        <family val="1"/>
        <charset val="186"/>
      </rPr>
      <t>1</t>
    </r>
    <r>
      <rPr>
        <sz val="11"/>
        <rFont val="Times New Roman"/>
        <family val="1"/>
        <charset val="186"/>
      </rPr>
      <t>punkts</t>
    </r>
  </si>
  <si>
    <r>
      <rPr>
        <u/>
        <sz val="11"/>
        <rFont val="Times New Roman"/>
        <family val="1"/>
        <charset val="186"/>
      </rPr>
      <t>Sociālā distancēšanās sabiedriskā transportā</t>
    </r>
    <r>
      <rPr>
        <sz val="11"/>
        <rFont val="Times New Roman"/>
        <family val="1"/>
        <charset val="186"/>
      </rPr>
      <t xml:space="preserve"> - sabiedriskā transporta pārvadātājam organizēt iekāpšanu un izkāpšanu tā, lai pasažieru skaits transportīdzeklī nepārsniedz 50 % no tā ietilpības. Ja transportlīdzeklī tā specifikas dēļ nav iespējams kontrolēt pasažieru iekāpšanu un izkāpšanu, transportlīdzeklī tiek marķētas sēdvietas, nodrošinot distancēšanās prasību ievērošanu - MK rīkojuma Nr.655 5.42.punkts. Ar minētajām izmaksām saprot sēdvietu marķēšanu, dažādu tam nepieciešamo materiālu izmaksas, piktogrammu vai informācijas izvietošanu. </t>
    </r>
  </si>
  <si>
    <r>
      <rPr>
        <u/>
        <sz val="11"/>
        <rFont val="Times New Roman"/>
        <family val="1"/>
        <charset val="186"/>
      </rPr>
      <t>Transportlīdzekļu dezinfekcija</t>
    </r>
    <r>
      <rPr>
        <sz val="11"/>
        <rFont val="Times New Roman"/>
        <family val="1"/>
        <charset val="186"/>
      </rPr>
      <t xml:space="preserve"> -  regulāra saimnieciskā vai publiskā pakalpojuma nodrošināšanai izmantotā transportlīdzekļa salona un kabīnes virsmu dezinfekcija - MK noteikumu Nr.360 7.5.punkts</t>
    </r>
  </si>
  <si>
    <r>
      <rPr>
        <u/>
        <sz val="11"/>
        <rFont val="Times New Roman"/>
        <family val="1"/>
        <charset val="186"/>
      </rPr>
      <t xml:space="preserve">Transportlīdzekļu papildu mazgāšana </t>
    </r>
    <r>
      <rPr>
        <sz val="11"/>
        <rFont val="Times New Roman"/>
        <family val="1"/>
        <charset val="186"/>
      </rPr>
      <t>- veic regulāru telpu un virsmu, tai skaitā inventāra un darba aprīkojuma, tīrīšanu un dezinfekciju, īpašu uzmanību pievēršot virsmām un priekšmetiem, ar kuriem cilvēki bieži saskaras (piemēram, durvju rokturi, galdu virsmas, krēslu roku balsti, virsmas tualetēs, krāni) - MK noteikumu Nr.360 7.4.punkts.</t>
    </r>
  </si>
  <si>
    <r>
      <rPr>
        <u/>
        <sz val="11"/>
        <rFont val="Times New Roman"/>
        <family val="1"/>
        <charset val="186"/>
      </rPr>
      <t>Citi izdevumi</t>
    </r>
    <r>
      <rPr>
        <sz val="11"/>
        <rFont val="Times New Roman"/>
        <family val="1"/>
        <charset val="186"/>
      </rPr>
      <t xml:space="preserve"> - minētajā rindā norādāmas pamatotās izmaksas, kas nepieciešamas Covid-19 infekcijas izplatības ierobežošanai, to starpā var būt citi materiāli, piemēram, cimdi, mitrās salvetes, atbilstoši MK noteikumu Nr.360 5.punktā noteiktās informācijas izplatīšanas izmaksas, u.c. izmaksas.</t>
    </r>
  </si>
  <si>
    <r>
      <rPr>
        <u/>
        <sz val="11"/>
        <rFont val="Times New Roman"/>
        <family val="1"/>
        <charset val="186"/>
      </rPr>
      <t>No pasažieriem, t.sk., personām, kurām noteikti pašvaldības noteiktie braukšanas maksas atvieglojumi, saņemtie ieņēmumi</t>
    </r>
    <r>
      <rPr>
        <sz val="11"/>
        <rFont val="Times New Roman"/>
        <family val="1"/>
        <charset val="186"/>
      </rPr>
      <t xml:space="preserve"> - norāda ieņēmumi no pārdotajām biļetēm un abonementa biļetēm, kurus pārvadātājs saņem no pasažiera. Norāda arī ieņēmumu daļu, ko maksā pasažieris, ja tam pašvaldība ir noteikusi braukšanas maksas atvieglojumus. </t>
    </r>
  </si>
  <si>
    <t>01.06.2021.- 30.06.2021.</t>
  </si>
  <si>
    <t>01.06.2021.-30.06.2021.</t>
  </si>
  <si>
    <t>01.06.2019.-30.06.2019.</t>
  </si>
  <si>
    <t>servers_ATD/STIFSS</t>
  </si>
  <si>
    <t>[Edit View]</t>
  </si>
  <si>
    <t>[Swap]</t>
  </si>
  <si>
    <t>Vērtība</t>
  </si>
  <si>
    <t>Pilsēta</t>
  </si>
  <si>
    <t>Rādītājs</t>
  </si>
  <si>
    <t>Pārvadājumu veids</t>
  </si>
  <si>
    <t>Autobuss</t>
  </si>
  <si>
    <t>Jelgava</t>
  </si>
  <si>
    <t>(A) No pasažieriem, t.sk., personām, kurām noteikti pašvaldības noteiktie braukšanas maksas atvieglojumi, saņemtie ieņēmumi par sniegto sabiedriskā transporta pakalpojumu - 09.03.2021.-31.03.2021.</t>
  </si>
  <si>
    <t>(N) Faktiskais nobraukums - 09.03.2021.-31.03.2021.</t>
  </si>
  <si>
    <t>(C) No pasažieriem, t.sk., personām, kurām noteikti pašvaldības noteiktie braukšanas maksas atvieglojumi, saņemtie ieņēmumi par sniegto sabiedriskā transporta pakalpojumu - 09.03.2019.-31.03.2019.</t>
  </si>
  <si>
    <t>(D) Faktiskais nobraukums - 09.03.2019.-31.03.2019.</t>
  </si>
  <si>
    <t>1. Faktiskie izdevumi, kas radušies saistībā ar reisu atcelšanu vai papild reisu nodrošināšanu - KOPSUMMA ((N - P) x Izm)</t>
  </si>
  <si>
    <t>2. Kopējie izdevumi par Covid-19 infekcijas ierobežošanas pasākumiem - KOPSUMMA (1 vienības cenas reizinājums ar preču/pakalpojumu skaitu; summa ( K x Z))</t>
  </si>
  <si>
    <t>3. Kopējā ietekme uz ieņēmumu apgrozījumu - KOPSUMMA ((C/D-A/N) x N)</t>
  </si>
  <si>
    <t>Aprīlis</t>
  </si>
  <si>
    <t>(A) No pasažieriem, t.sk., personām, kurām noteikti pašvaldības noteiktie braukšanas maksas atvieglojumi, saņemtie ieņēmumi par sniegto sabiedriskā transporta pakalpojumu - 01.04.2021.-30.04.2021.</t>
  </si>
  <si>
    <t>(N) Faktiskais nobraukums - 01.04.2021.-30.04.2021.</t>
  </si>
  <si>
    <t>(C) No pasažieriem, t.sk., personām, kurām noteikti pašvaldības noteiktie braukšanas maksas atvieglojumi, saņemtie ieņēmumi par sniegto sabiedriskā transporta pakalpojumu - 01.04.2019.-30.04.2019.</t>
  </si>
  <si>
    <t>(D) Faktiskais nobraukums - 01.04.2019.-30.04.2019.</t>
  </si>
  <si>
    <t>Maijs</t>
  </si>
  <si>
    <t>Jūnijs</t>
  </si>
  <si>
    <t>(A) No pasažieriem, t.sk., personām, kurām noteikti pašvaldības noteiktie braukšanas maksas atvieglojumi, saņemtie ieņēmumi par sniegto sabiedriskā transporta pakalpojumu - 01.05.2021.-31.05.2021.</t>
  </si>
  <si>
    <t>(N) Faktiskais nobraukums - 01.05.2021.-31.05.2021.</t>
  </si>
  <si>
    <t>(C) No pasažieriem, t.sk., personām, kurām noteikti pašvaldības noteiktie braukšanas maksas atvieglojumi, saņemtie ieņēmumi par sniegto sabiedriskā transporta pakalpojumu - 01.05.2019.-31.05.2019.</t>
  </si>
  <si>
    <t>(D) Faktiskais nobraukums - 01.05.2019.-31.05.2019.</t>
  </si>
  <si>
    <t>(A) No pasažieriem, t.sk., personām, kurām noteikti pašvaldības noteiktie braukšanas maksas atvieglojumi, saņemtie ieņēmumi par sniegto sabiedriskā transporta pakalpojumu - 01.06.2021.-30.06.2021.</t>
  </si>
  <si>
    <t>(N) Faktiskais nobraukums - 01.06.2021.-30.06.2021.</t>
  </si>
  <si>
    <t>(C) No pasažieriem, t.sk., personām, kurām noteikti pašvaldības noteiktie braukšanas maksas atvieglojumi, saņemtie ieņēmumi par sniegto sabiedriskā transporta pakalpojumu - 01.06.2019.-30.06.2019.</t>
  </si>
  <si>
    <t>(D) Faktiskais nobraukums - 01.06.2019.-30.06.2019.</t>
  </si>
  <si>
    <t>Row Labels</t>
  </si>
  <si>
    <t>Grand Total</t>
  </si>
  <si>
    <t>Column Labels</t>
  </si>
  <si>
    <t>Sum of Vērtība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</si>
</sst>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quot;DB: &quot;@"/>
    <numFmt numFmtId="165" formatCode="&quot;&quot;;;;&quot;Cube: PnL_&quot;"/>
    <numFmt numFmtId="166" formatCode=";;;"/>
  </numFmts>
  <fonts count="21" x14ac:knownFonts="1">
    <font>
      <sz val="11"/>
      <name val="Calibri"/>
      <family val="2"/>
    </font>
    <font>
      <sz val="11"/>
      <color theme="1"/>
      <name val="Times New Roman"/>
      <family val="1"/>
      <charset val="186"/>
    </font>
    <font>
      <b/>
      <sz val="11"/>
      <color theme="1"/>
      <name val="Times New Roman"/>
      <family val="1"/>
      <charset val="186"/>
    </font>
    <font>
      <b/>
      <sz val="11"/>
      <name val="Times New Roman"/>
      <family val="1"/>
      <charset val="186"/>
    </font>
    <font>
      <sz val="11"/>
      <name val="Times New Roman"/>
      <family val="1"/>
      <charset val="186"/>
    </font>
    <font>
      <b/>
      <sz val="14"/>
      <color theme="1"/>
      <name val="Times New Roman"/>
      <family val="1"/>
      <charset val="186"/>
    </font>
    <font>
      <sz val="11"/>
      <color rgb="FFFF0000"/>
      <name val="Times New Roman"/>
      <family val="1"/>
      <charset val="186"/>
    </font>
    <font>
      <u/>
      <sz val="11"/>
      <name val="Times New Roman"/>
      <family val="1"/>
      <charset val="186"/>
    </font>
    <font>
      <vertAlign val="superscript"/>
      <sz val="11"/>
      <name val="Times New Roman"/>
      <family val="1"/>
      <charset val="186"/>
    </font>
    <font>
      <sz val="9"/>
      <color rgb="FF004C93"/>
      <name val="Segoe UI"/>
      <family val="2"/>
    </font>
    <font>
      <sz val="11"/>
      <name val="Calibri"/>
      <family val="2"/>
    </font>
    <font>
      <b/>
      <sz val="9"/>
      <color rgb="FF004C93"/>
      <name val="Segoe UI"/>
      <family val="2"/>
      <charset val="186"/>
    </font>
    <font>
      <sz val="9"/>
      <color rgb="FF004C93"/>
      <name val="Segoe UI"/>
      <family val="2"/>
      <charset val="186"/>
    </font>
    <font>
      <sz val="9"/>
      <color theme="0"/>
      <name val="Segoe UI"/>
      <family val="2"/>
    </font>
    <font>
      <sz val="9"/>
      <name val="Segoe UI"/>
      <family val="2"/>
    </font>
    <font>
      <b/>
      <sz val="10"/>
      <color indexed="9"/>
      <name val="Arial"/>
      <family val="2"/>
    </font>
    <font>
      <i/>
      <sz val="9"/>
      <name val="Segoe UI"/>
      <family val="2"/>
    </font>
    <font>
      <b/>
      <sz val="12"/>
      <name val="Calibri"/>
      <family val="2"/>
      <charset val="186"/>
    </font>
    <font>
      <b/>
      <sz val="12"/>
      <name val="Times New Roman"/>
      <family val="1"/>
      <charset val="186"/>
    </font>
    <font>
      <sz val="8"/>
      <name val="Calibri"/>
      <family val="2"/>
    </font>
    <font>
      <b/>
      <sz val="11"/>
      <name val="Calibri"/>
      <family val="2"/>
      <charset val="186"/>
    </font>
  </fonts>
  <fills count="8">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rgb="FF0072AB"/>
        <bgColor indexed="64"/>
      </patternFill>
    </fill>
    <fill>
      <patternFill patternType="solid">
        <fgColor indexed="9"/>
        <bgColor indexed="64"/>
      </patternFill>
    </fill>
    <fill>
      <patternFill patternType="solid">
        <fgColor rgb="FFD2D2D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top/>
      <bottom style="thin">
        <color indexed="64"/>
      </bottom>
      <diagonal/>
    </border>
    <border>
      <left/>
      <right/>
      <top/>
      <bottom style="thin">
        <color rgb="FFE8F7FE"/>
      </bottom>
      <diagonal/>
    </border>
    <border>
      <left/>
      <right/>
      <top style="thin">
        <color rgb="FFE8F7FE"/>
      </top>
      <bottom/>
      <diagonal/>
    </border>
    <border>
      <left style="thin">
        <color rgb="FFE8F7FE"/>
      </left>
      <right style="thin">
        <color rgb="FFE8F7FE"/>
      </right>
      <top style="thin">
        <color rgb="FFE8F7FE"/>
      </top>
      <bottom style="thin">
        <color rgb="FFE8F7FE"/>
      </bottom>
      <diagonal/>
    </border>
    <border>
      <left style="thin">
        <color theme="0"/>
      </left>
      <right style="thin">
        <color theme="0"/>
      </right>
      <top/>
      <bottom/>
      <diagonal/>
    </border>
    <border>
      <left/>
      <right/>
      <top/>
      <bottom style="hair">
        <color rgb="FF004C93"/>
      </bottom>
      <diagonal/>
    </border>
    <border>
      <left/>
      <right/>
      <top style="hair">
        <color rgb="FF004C93"/>
      </top>
      <bottom style="hair">
        <color rgb="FFE8F7FE"/>
      </bottom>
      <diagonal/>
    </border>
    <border>
      <left/>
      <right/>
      <top style="hair">
        <color rgb="FFD7F1FD"/>
      </top>
      <bottom/>
      <diagonal/>
    </border>
    <border>
      <left/>
      <right style="thin">
        <color theme="0"/>
      </right>
      <top style="hair">
        <color rgb="FFD7F1FD"/>
      </top>
      <bottom/>
      <diagonal/>
    </border>
    <border>
      <left/>
      <right/>
      <top style="thin">
        <color theme="0"/>
      </top>
      <bottom style="thin">
        <color theme="0"/>
      </bottom>
      <diagonal/>
    </border>
    <border>
      <left/>
      <right style="thin">
        <color theme="0"/>
      </right>
      <top style="thin">
        <color theme="0"/>
      </top>
      <bottom/>
      <diagonal/>
    </border>
  </borders>
  <cellStyleXfs count="26">
    <xf numFmtId="0" fontId="0" fillId="0" borderId="0"/>
    <xf numFmtId="0" fontId="9" fillId="0" borderId="0">
      <alignment horizontal="center"/>
    </xf>
    <xf numFmtId="0" fontId="10" fillId="0" borderId="0"/>
    <xf numFmtId="0" fontId="9" fillId="0" borderId="20">
      <alignment horizontal="center"/>
    </xf>
    <xf numFmtId="0" fontId="9" fillId="0" borderId="21">
      <alignment horizontal="center"/>
    </xf>
    <xf numFmtId="0" fontId="13" fillId="5" borderId="22">
      <alignment horizontal="center" vertical="center"/>
    </xf>
    <xf numFmtId="0" fontId="9" fillId="0" borderId="0">
      <alignment horizontal="right"/>
    </xf>
    <xf numFmtId="166" fontId="9" fillId="0" borderId="23">
      <alignment horizontal="left"/>
    </xf>
    <xf numFmtId="0" fontId="9" fillId="0" borderId="24">
      <alignment horizontal="right"/>
    </xf>
    <xf numFmtId="0" fontId="9" fillId="0" borderId="25">
      <alignment horizontal="left"/>
    </xf>
    <xf numFmtId="3" fontId="14" fillId="6" borderId="26"/>
    <xf numFmtId="0" fontId="9" fillId="0" borderId="0">
      <alignment horizontal="right"/>
    </xf>
    <xf numFmtId="0" fontId="9" fillId="0" borderId="0">
      <alignment horizontal="right"/>
    </xf>
    <xf numFmtId="0" fontId="9" fillId="0" borderId="20">
      <alignment horizontal="left"/>
    </xf>
    <xf numFmtId="0" fontId="9" fillId="0" borderId="27">
      <alignment horizontal="left"/>
    </xf>
    <xf numFmtId="0" fontId="9" fillId="0" borderId="27">
      <alignment horizontal="left"/>
    </xf>
    <xf numFmtId="166" fontId="9" fillId="0" borderId="23">
      <alignment horizontal="left"/>
    </xf>
    <xf numFmtId="166" fontId="15" fillId="0" borderId="23">
      <alignment horizontal="left"/>
    </xf>
    <xf numFmtId="166" fontId="9" fillId="0" borderId="28"/>
    <xf numFmtId="166" fontId="9" fillId="0" borderId="29"/>
    <xf numFmtId="166" fontId="9" fillId="0" borderId="29"/>
    <xf numFmtId="0" fontId="9" fillId="0" borderId="0">
      <alignment horizontal="right"/>
    </xf>
    <xf numFmtId="0" fontId="9" fillId="0" borderId="0">
      <alignment horizontal="right"/>
    </xf>
    <xf numFmtId="3" fontId="16" fillId="7" borderId="0"/>
    <xf numFmtId="0" fontId="9" fillId="0" borderId="25">
      <alignment horizontal="left"/>
    </xf>
    <xf numFmtId="0" fontId="9" fillId="0" borderId="25">
      <alignment horizontal="left"/>
    </xf>
  </cellStyleXfs>
  <cellXfs count="130">
    <xf numFmtId="0" fontId="0" fillId="0" borderId="0" xfId="0"/>
    <xf numFmtId="0" fontId="1" fillId="0" borderId="0" xfId="0" applyFont="1"/>
    <xf numFmtId="0" fontId="2" fillId="0" borderId="0" xfId="0" applyFont="1"/>
    <xf numFmtId="0" fontId="2" fillId="0" borderId="1" xfId="0" applyFont="1" applyBorder="1" applyAlignment="1">
      <alignment vertical="center"/>
    </xf>
    <xf numFmtId="0" fontId="4" fillId="0" borderId="0" xfId="0" applyFont="1"/>
    <xf numFmtId="2" fontId="1" fillId="2" borderId="1" xfId="0" applyNumberFormat="1" applyFont="1" applyFill="1" applyBorder="1" applyAlignment="1">
      <alignment horizontal="center"/>
    </xf>
    <xf numFmtId="2" fontId="4" fillId="3" borderId="1" xfId="0" applyNumberFormat="1" applyFont="1" applyFill="1" applyBorder="1" applyAlignment="1">
      <alignment horizontal="center"/>
    </xf>
    <xf numFmtId="0" fontId="4" fillId="0" borderId="0" xfId="0" applyFont="1" applyAlignment="1">
      <alignment horizontal="left" wrapText="1"/>
    </xf>
    <xf numFmtId="3" fontId="1" fillId="4" borderId="1" xfId="0" applyNumberFormat="1" applyFont="1" applyFill="1" applyBorder="1" applyAlignment="1">
      <alignment horizontal="center"/>
    </xf>
    <xf numFmtId="0" fontId="3" fillId="0" borderId="0" xfId="0" applyFont="1"/>
    <xf numFmtId="0" fontId="4" fillId="3" borderId="7" xfId="0" applyFont="1" applyFill="1" applyBorder="1" applyAlignment="1">
      <alignment wrapText="1"/>
    </xf>
    <xf numFmtId="2" fontId="4" fillId="3" borderId="9" xfId="0" applyNumberFormat="1" applyFont="1" applyFill="1" applyBorder="1" applyAlignment="1">
      <alignment horizontal="center"/>
    </xf>
    <xf numFmtId="0" fontId="4" fillId="3" borderId="10" xfId="0" applyFont="1" applyFill="1" applyBorder="1" applyAlignment="1">
      <alignment horizontal="right"/>
    </xf>
    <xf numFmtId="0" fontId="4" fillId="3" borderId="10" xfId="0" applyFont="1" applyFill="1" applyBorder="1" applyAlignment="1">
      <alignment horizontal="right" wrapText="1"/>
    </xf>
    <xf numFmtId="0" fontId="4" fillId="3" borderId="11" xfId="0" applyFont="1" applyFill="1" applyBorder="1" applyAlignment="1">
      <alignment horizontal="right"/>
    </xf>
    <xf numFmtId="2" fontId="4" fillId="3" borderId="13" xfId="0" applyNumberFormat="1" applyFont="1" applyFill="1" applyBorder="1" applyAlignment="1">
      <alignment horizontal="center"/>
    </xf>
    <xf numFmtId="0" fontId="3" fillId="3" borderId="14" xfId="0" applyFont="1" applyFill="1" applyBorder="1"/>
    <xf numFmtId="0" fontId="4" fillId="3" borderId="15" xfId="0" applyFont="1" applyFill="1" applyBorder="1" applyAlignment="1">
      <alignment wrapText="1"/>
    </xf>
    <xf numFmtId="2" fontId="4" fillId="3" borderId="4" xfId="0" applyNumberFormat="1" applyFont="1" applyFill="1" applyBorder="1" applyAlignment="1">
      <alignment horizontal="center"/>
    </xf>
    <xf numFmtId="0" fontId="3" fillId="3" borderId="16" xfId="0" applyFont="1" applyFill="1" applyBorder="1" applyAlignment="1">
      <alignment wrapText="1"/>
    </xf>
    <xf numFmtId="0" fontId="3" fillId="3" borderId="17" xfId="0" applyFont="1" applyFill="1" applyBorder="1" applyAlignment="1">
      <alignment horizontal="center"/>
    </xf>
    <xf numFmtId="2" fontId="3" fillId="3" borderId="17" xfId="0" applyNumberFormat="1" applyFont="1" applyFill="1" applyBorder="1" applyAlignment="1">
      <alignment horizontal="center"/>
    </xf>
    <xf numFmtId="0" fontId="2" fillId="2" borderId="14" xfId="0" applyFont="1" applyFill="1" applyBorder="1" applyAlignment="1">
      <alignment vertical="center"/>
    </xf>
    <xf numFmtId="0" fontId="2" fillId="0" borderId="2" xfId="0" applyFont="1" applyBorder="1" applyAlignment="1">
      <alignment vertical="center"/>
    </xf>
    <xf numFmtId="0" fontId="2" fillId="0" borderId="2" xfId="0" applyFont="1" applyBorder="1" applyAlignment="1">
      <alignment horizontal="center" vertical="center"/>
    </xf>
    <xf numFmtId="0" fontId="1" fillId="2" borderId="10" xfId="0" applyFont="1" applyFill="1" applyBorder="1"/>
    <xf numFmtId="0" fontId="1" fillId="2" borderId="10" xfId="0" applyFont="1" applyFill="1" applyBorder="1" applyAlignment="1">
      <alignment horizontal="right"/>
    </xf>
    <xf numFmtId="0" fontId="1" fillId="2" borderId="10" xfId="0" applyFont="1" applyFill="1" applyBorder="1" applyAlignment="1">
      <alignment horizontal="right" wrapText="1"/>
    </xf>
    <xf numFmtId="0" fontId="1" fillId="2" borderId="11" xfId="0" applyFont="1" applyFill="1" applyBorder="1"/>
    <xf numFmtId="0" fontId="1" fillId="2" borderId="13" xfId="0" applyFont="1" applyFill="1" applyBorder="1" applyAlignment="1">
      <alignment horizontal="center"/>
    </xf>
    <xf numFmtId="2" fontId="1" fillId="2" borderId="13" xfId="0" applyNumberFormat="1" applyFont="1" applyFill="1" applyBorder="1" applyAlignment="1">
      <alignment horizontal="center"/>
    </xf>
    <xf numFmtId="0" fontId="2" fillId="4" borderId="18" xfId="0" applyFont="1" applyFill="1" applyBorder="1"/>
    <xf numFmtId="0" fontId="1" fillId="2" borderId="15" xfId="0" applyFont="1" applyFill="1" applyBorder="1" applyAlignment="1">
      <alignment wrapText="1"/>
    </xf>
    <xf numFmtId="2" fontId="1" fillId="2" borderId="4" xfId="0" applyNumberFormat="1" applyFont="1" applyFill="1" applyBorder="1" applyAlignment="1">
      <alignment horizontal="center"/>
    </xf>
    <xf numFmtId="0" fontId="2" fillId="2" borderId="16" xfId="0" applyFont="1" applyFill="1" applyBorder="1" applyAlignment="1">
      <alignment vertical="center"/>
    </xf>
    <xf numFmtId="0" fontId="2" fillId="2" borderId="17" xfId="0" applyFont="1" applyFill="1" applyBorder="1" applyAlignment="1">
      <alignment horizontal="center" vertical="center"/>
    </xf>
    <xf numFmtId="2" fontId="2" fillId="2" borderId="17" xfId="0" applyNumberFormat="1" applyFont="1" applyFill="1" applyBorder="1" applyAlignment="1">
      <alignment horizontal="center" vertical="center"/>
    </xf>
    <xf numFmtId="0" fontId="1" fillId="4" borderId="13"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2" borderId="18" xfId="0" applyFont="1" applyFill="1" applyBorder="1" applyAlignment="1">
      <alignment horizontal="center" wrapText="1"/>
    </xf>
    <xf numFmtId="0" fontId="2" fillId="4" borderId="7" xfId="0" applyFont="1" applyFill="1" applyBorder="1"/>
    <xf numFmtId="0" fontId="2" fillId="4" borderId="9" xfId="0" applyFont="1" applyFill="1" applyBorder="1"/>
    <xf numFmtId="4" fontId="2" fillId="4" borderId="9" xfId="0" applyNumberFormat="1" applyFont="1" applyFill="1" applyBorder="1" applyAlignment="1">
      <alignment horizontal="center"/>
    </xf>
    <xf numFmtId="0" fontId="1" fillId="4" borderId="10" xfId="0" applyFont="1" applyFill="1" applyBorder="1" applyAlignment="1">
      <alignment wrapText="1"/>
    </xf>
    <xf numFmtId="0" fontId="1" fillId="4" borderId="11" xfId="0" applyFont="1" applyFill="1" applyBorder="1" applyAlignment="1">
      <alignment wrapText="1"/>
    </xf>
    <xf numFmtId="3" fontId="1" fillId="4" borderId="13" xfId="0" applyNumberFormat="1" applyFont="1" applyFill="1" applyBorder="1" applyAlignment="1">
      <alignment horizontal="center"/>
    </xf>
    <xf numFmtId="2" fontId="4" fillId="2" borderId="4" xfId="0" applyNumberFormat="1" applyFont="1" applyFill="1" applyBorder="1" applyAlignment="1">
      <alignment horizontal="center"/>
    </xf>
    <xf numFmtId="2" fontId="4" fillId="2" borderId="1" xfId="0" applyNumberFormat="1" applyFont="1" applyFill="1" applyBorder="1" applyAlignment="1">
      <alignment horizontal="center"/>
    </xf>
    <xf numFmtId="2" fontId="6" fillId="2" borderId="1" xfId="0" applyNumberFormat="1" applyFont="1" applyFill="1" applyBorder="1" applyAlignment="1">
      <alignment horizontal="center"/>
    </xf>
    <xf numFmtId="2" fontId="4" fillId="2" borderId="13" xfId="0" applyNumberFormat="1" applyFont="1" applyFill="1" applyBorder="1" applyAlignment="1">
      <alignment horizontal="center"/>
    </xf>
    <xf numFmtId="4" fontId="3" fillId="4" borderId="9" xfId="0" applyNumberFormat="1" applyFont="1" applyFill="1" applyBorder="1" applyAlignment="1">
      <alignment horizontal="center"/>
    </xf>
    <xf numFmtId="3" fontId="4" fillId="4" borderId="1" xfId="0" applyNumberFormat="1" applyFont="1" applyFill="1" applyBorder="1" applyAlignment="1">
      <alignment horizontal="center"/>
    </xf>
    <xf numFmtId="3" fontId="4" fillId="4" borderId="13" xfId="0" applyNumberFormat="1" applyFont="1" applyFill="1" applyBorder="1" applyAlignment="1">
      <alignment horizontal="center"/>
    </xf>
    <xf numFmtId="164" fontId="9" fillId="0" borderId="0" xfId="1" applyNumberFormat="1">
      <alignment horizontal="center"/>
    </xf>
    <xf numFmtId="0" fontId="10" fillId="0" borderId="0" xfId="2"/>
    <xf numFmtId="0" fontId="9" fillId="0" borderId="20" xfId="3">
      <alignment horizontal="center"/>
    </xf>
    <xf numFmtId="165" fontId="9" fillId="0" borderId="0" xfId="1" applyNumberFormat="1">
      <alignment horizontal="center"/>
    </xf>
    <xf numFmtId="0" fontId="11" fillId="0" borderId="21" xfId="4" applyFont="1" applyAlignment="1">
      <alignment horizontal="center" wrapText="1" shrinkToFit="1"/>
    </xf>
    <xf numFmtId="0" fontId="12" fillId="0" borderId="21" xfId="4" applyFont="1" applyAlignment="1">
      <alignment horizontal="center" wrapText="1" shrinkToFit="1"/>
    </xf>
    <xf numFmtId="0" fontId="13" fillId="5" borderId="22" xfId="5">
      <alignment horizontal="center" vertical="center"/>
    </xf>
    <xf numFmtId="0" fontId="9" fillId="0" borderId="0" xfId="1">
      <alignment horizontal="center"/>
    </xf>
    <xf numFmtId="0" fontId="12" fillId="0" borderId="0" xfId="6" applyFont="1" applyAlignment="1">
      <alignment horizontal="right" wrapText="1" shrinkToFit="1"/>
    </xf>
    <xf numFmtId="166" fontId="12" fillId="0" borderId="23" xfId="7" applyFont="1" applyAlignment="1">
      <alignment horizontal="left" wrapText="1" shrinkToFit="1"/>
    </xf>
    <xf numFmtId="0" fontId="12" fillId="0" borderId="24" xfId="8" applyFont="1" applyAlignment="1">
      <alignment horizontal="right" wrapText="1" shrinkToFit="1"/>
    </xf>
    <xf numFmtId="0" fontId="12" fillId="0" borderId="25" xfId="9" applyFont="1" applyAlignment="1">
      <alignment horizontal="left" indent="1"/>
    </xf>
    <xf numFmtId="3" fontId="14" fillId="6" borderId="26" xfId="10"/>
    <xf numFmtId="3" fontId="1" fillId="0" borderId="0" xfId="0" applyNumberFormat="1" applyFont="1"/>
    <xf numFmtId="4" fontId="1" fillId="0" borderId="0" xfId="0" applyNumberFormat="1" applyFont="1"/>
    <xf numFmtId="0" fontId="1" fillId="2" borderId="1" xfId="0" applyFont="1" applyFill="1" applyBorder="1" applyAlignment="1">
      <alignment vertical="center"/>
    </xf>
    <xf numFmtId="0" fontId="1" fillId="2" borderId="1" xfId="0" applyFont="1" applyFill="1" applyBorder="1" applyAlignment="1">
      <alignment vertical="center" wrapText="1"/>
    </xf>
    <xf numFmtId="0" fontId="0" fillId="0" borderId="1" xfId="0" applyBorder="1"/>
    <xf numFmtId="0" fontId="4" fillId="3" borderId="1" xfId="0" applyFont="1" applyFill="1" applyBorder="1" applyAlignment="1">
      <alignment vertical="center" wrapText="1"/>
    </xf>
    <xf numFmtId="2" fontId="0" fillId="0" borderId="0" xfId="0" applyNumberFormat="1"/>
    <xf numFmtId="3" fontId="0" fillId="0" borderId="0" xfId="0" applyNumberFormat="1"/>
    <xf numFmtId="4" fontId="0" fillId="0" borderId="0" xfId="0" applyNumberFormat="1"/>
    <xf numFmtId="0" fontId="2" fillId="2" borderId="1" xfId="0" applyFont="1" applyFill="1" applyBorder="1" applyAlignment="1">
      <alignment vertical="center" wrapText="1"/>
    </xf>
    <xf numFmtId="0" fontId="2" fillId="2" borderId="1" xfId="0" applyFont="1" applyFill="1" applyBorder="1" applyAlignment="1">
      <alignment horizontal="center" vertical="center"/>
    </xf>
    <xf numFmtId="0" fontId="0" fillId="0" borderId="1" xfId="0" applyFill="1" applyBorder="1"/>
    <xf numFmtId="0" fontId="1" fillId="2" borderId="1" xfId="0" applyFont="1" applyFill="1" applyBorder="1" applyAlignment="1">
      <alignment wrapText="1"/>
    </xf>
    <xf numFmtId="0" fontId="1" fillId="2" borderId="1" xfId="0" applyFont="1" applyFill="1" applyBorder="1"/>
    <xf numFmtId="0" fontId="1" fillId="2" borderId="1" xfId="0" applyFont="1" applyFill="1" applyBorder="1" applyAlignment="1">
      <alignment horizontal="right"/>
    </xf>
    <xf numFmtId="0" fontId="1" fillId="2" borderId="1" xfId="0" applyFont="1" applyFill="1" applyBorder="1" applyAlignment="1">
      <alignment horizontal="right" wrapText="1"/>
    </xf>
    <xf numFmtId="0" fontId="4" fillId="3" borderId="1" xfId="0" applyFont="1" applyFill="1" applyBorder="1" applyAlignment="1">
      <alignment wrapText="1"/>
    </xf>
    <xf numFmtId="0" fontId="4" fillId="3" borderId="1" xfId="0" applyFont="1" applyFill="1" applyBorder="1" applyAlignment="1">
      <alignment horizontal="right"/>
    </xf>
    <xf numFmtId="0" fontId="4" fillId="3" borderId="1" xfId="0" applyFont="1" applyFill="1" applyBorder="1" applyAlignment="1">
      <alignment horizontal="right" wrapText="1"/>
    </xf>
    <xf numFmtId="0" fontId="0" fillId="0" borderId="0" xfId="0" pivotButton="1"/>
    <xf numFmtId="0" fontId="0" fillId="0" borderId="0" xfId="0" applyAlignment="1">
      <alignment horizontal="left"/>
    </xf>
    <xf numFmtId="0" fontId="17" fillId="0" borderId="1" xfId="0" applyFont="1" applyBorder="1" applyAlignment="1">
      <alignment horizontal="center"/>
    </xf>
    <xf numFmtId="0" fontId="1" fillId="2" borderId="1" xfId="0" applyFont="1" applyFill="1" applyBorder="1" applyAlignment="1">
      <alignment horizontal="center"/>
    </xf>
    <xf numFmtId="0" fontId="3" fillId="3" borderId="1" xfId="0" applyFont="1" applyFill="1" applyBorder="1" applyAlignment="1">
      <alignment wrapText="1"/>
    </xf>
    <xf numFmtId="0" fontId="3" fillId="3" borderId="1" xfId="0" applyFont="1" applyFill="1" applyBorder="1" applyAlignment="1">
      <alignment horizontal="center"/>
    </xf>
    <xf numFmtId="0" fontId="2" fillId="4" borderId="1" xfId="0" applyFont="1" applyFill="1" applyBorder="1" applyAlignment="1">
      <alignment wrapText="1"/>
    </xf>
    <xf numFmtId="0" fontId="2" fillId="4" borderId="1" xfId="0" applyFont="1" applyFill="1" applyBorder="1"/>
    <xf numFmtId="0" fontId="1" fillId="4" borderId="1" xfId="0" applyFont="1" applyFill="1" applyBorder="1" applyAlignment="1">
      <alignment wrapText="1"/>
    </xf>
    <xf numFmtId="4" fontId="4" fillId="0" borderId="0" xfId="0" applyNumberFormat="1" applyFont="1" applyFill="1"/>
    <xf numFmtId="4" fontId="18" fillId="0" borderId="1" xfId="0" applyNumberFormat="1" applyFont="1" applyFill="1" applyBorder="1" applyAlignment="1">
      <alignment horizontal="center"/>
    </xf>
    <xf numFmtId="4" fontId="2" fillId="0" borderId="1" xfId="0" applyNumberFormat="1" applyFont="1" applyFill="1" applyBorder="1" applyAlignment="1">
      <alignment horizontal="center" vertical="center"/>
    </xf>
    <xf numFmtId="4" fontId="4" fillId="0" borderId="1" xfId="0" applyNumberFormat="1" applyFont="1" applyFill="1" applyBorder="1" applyAlignment="1">
      <alignment horizontal="center"/>
    </xf>
    <xf numFmtId="4" fontId="3" fillId="0" borderId="1" xfId="0" applyNumberFormat="1" applyFont="1" applyFill="1" applyBorder="1" applyAlignment="1">
      <alignment horizontal="center"/>
    </xf>
    <xf numFmtId="4" fontId="2" fillId="0" borderId="1" xfId="0" applyNumberFormat="1" applyFont="1" applyFill="1" applyBorder="1" applyAlignment="1">
      <alignment horizontal="center"/>
    </xf>
    <xf numFmtId="4" fontId="1" fillId="0" borderId="1" xfId="0" applyNumberFormat="1" applyFont="1" applyFill="1" applyBorder="1" applyAlignment="1">
      <alignment horizontal="center"/>
    </xf>
    <xf numFmtId="4" fontId="3" fillId="0" borderId="1" xfId="0" applyNumberFormat="1" applyFont="1" applyFill="1" applyBorder="1"/>
    <xf numFmtId="4" fontId="4" fillId="0" borderId="1" xfId="0" applyNumberFormat="1" applyFont="1" applyFill="1" applyBorder="1"/>
    <xf numFmtId="0" fontId="0" fillId="0" borderId="0" xfId="0" applyAlignment="1">
      <alignment wrapText="1"/>
    </xf>
    <xf numFmtId="0" fontId="0" fillId="0" borderId="1" xfId="0" applyBorder="1" applyAlignment="1">
      <alignment horizontal="left" wrapText="1"/>
    </xf>
    <xf numFmtId="4" fontId="0" fillId="0" borderId="1" xfId="0" applyNumberFormat="1" applyBorder="1"/>
    <xf numFmtId="4" fontId="20" fillId="0" borderId="1" xfId="0" applyNumberFormat="1" applyFont="1" applyBorder="1"/>
    <xf numFmtId="0" fontId="5" fillId="0" borderId="19" xfId="0" applyFont="1" applyBorder="1" applyAlignment="1">
      <alignment horizont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left" wrapText="1"/>
    </xf>
    <xf numFmtId="0" fontId="1" fillId="0" borderId="0" xfId="0" applyFont="1" applyAlignment="1">
      <alignment horizontal="left" wrapText="1"/>
    </xf>
    <xf numFmtId="0" fontId="4" fillId="0" borderId="0" xfId="0" applyFont="1" applyAlignment="1">
      <alignment horizontal="left" wrapText="1"/>
    </xf>
    <xf numFmtId="0" fontId="4" fillId="3" borderId="8"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1" fillId="4" borderId="14"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4" fillId="0" borderId="0" xfId="0" applyFont="1" applyAlignment="1">
      <alignment horizontal="left" vertical="center" wrapText="1"/>
    </xf>
    <xf numFmtId="0" fontId="17" fillId="0" borderId="0" xfId="0" applyFont="1" applyAlignment="1">
      <alignment horizontal="center" wrapText="1"/>
    </xf>
  </cellXfs>
  <cellStyles count="26">
    <cellStyle name="____page" xfId="5" xr:uid="{13AC5298-98A2-4093-923B-4F98C175C001}"/>
    <cellStyle name="___col1" xfId="11" xr:uid="{9A61084B-6655-4CF4-832B-289D945A8530}"/>
    <cellStyle name="___col2" xfId="6" xr:uid="{F9BC6623-0D98-4B3D-8BFF-64051A3D4DC3}"/>
    <cellStyle name="___col3" xfId="12" xr:uid="{5027819E-029E-4F6D-9B5E-0777513BB65E}"/>
    <cellStyle name="___page" xfId="3" xr:uid="{E48466EE-9B03-4C2E-9A51-25411E591A9D}"/>
    <cellStyle name="___row1" xfId="13" xr:uid="{4B9B2C18-2E38-4A27-A651-1E4BEB310BF2}"/>
    <cellStyle name="___row2" xfId="14" xr:uid="{9664E9DC-16C1-4E66-A712-7FE6FC0796F9}"/>
    <cellStyle name="___row3" xfId="15" xr:uid="{40615AB1-E10C-4839-AAFB-9C513B087F2C}"/>
    <cellStyle name="__col1" xfId="16" xr:uid="{F14FC8B9-15FB-4E55-90D8-4D6AC87213D0}"/>
    <cellStyle name="__col2" xfId="7" xr:uid="{65D16215-DA45-4874-9EC0-6709B90F3445}"/>
    <cellStyle name="__col3" xfId="17" xr:uid="{40E0EAED-7D88-44FB-A052-44AB387CCDEF}"/>
    <cellStyle name="__page" xfId="1" xr:uid="{875AE63E-4E29-4051-A1CB-CED5A6508DD6}"/>
    <cellStyle name="__row1" xfId="18" xr:uid="{EDF025EC-05B9-4E28-BB24-ADD48514F379}"/>
    <cellStyle name="__row2" xfId="19" xr:uid="{5C55E122-D79D-4C88-BB0D-94EC14BE116B}"/>
    <cellStyle name="__row3" xfId="20" xr:uid="{777ECA9A-3DEE-428D-9A64-FDE73E5FC4A6}"/>
    <cellStyle name="_col1" xfId="8" xr:uid="{2D1D3DF2-C988-4273-9A5E-BA720B4F2F8F}"/>
    <cellStyle name="_col2" xfId="21" xr:uid="{A2E0ABD3-980C-4251-A226-72882060991E}"/>
    <cellStyle name="_col3" xfId="22" xr:uid="{B8DD9619-24B1-4659-BC1C-C8BB42D00D61}"/>
    <cellStyle name="_data" xfId="10" xr:uid="{832538BA-152E-4DAF-924E-082465EDA589}"/>
    <cellStyle name="_freeze" xfId="23" xr:uid="{B05291D6-09FF-48E7-923A-FE19F99B39AC}"/>
    <cellStyle name="_page" xfId="4" xr:uid="{484E86D3-9BDD-42D9-ABA3-4A5DFE9F968E}"/>
    <cellStyle name="_row1" xfId="9" xr:uid="{4202F94C-BE2B-44B4-912B-BF10673576B4}"/>
    <cellStyle name="_row2" xfId="24" xr:uid="{2B158228-29F7-4196-BF19-DF1B6A399D0B}"/>
    <cellStyle name="_row3" xfId="25" xr:uid="{1D84D7EF-EA46-4231-8067-DAA94D86FAA6}"/>
    <cellStyle name="Normal" xfId="0" builtinId="0" customBuiltin="1"/>
    <cellStyle name="Normal 3" xfId="2" xr:uid="{EC148248-73C1-4D28-B51B-427F0C88EFB9}"/>
  </cellStyles>
  <dxfs count="7">
    <dxf>
      <font>
        <b/>
        <charset val="186"/>
      </font>
    </dxf>
    <dxf>
      <alignment wrapText="1"/>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wrapText="1"/>
    </dxf>
    <dxf>
      <alignment wrapText="1"/>
    </dxf>
    <dxf>
      <numFmt numFmtId="4" formatCode="#,##0.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Ilze Pence" refreshedDate="44396.677332870371" createdVersion="7" refreshedVersion="7" minRefreshableVersion="3" recordCount="124" xr:uid="{E591FA30-FCF5-46A6-9D18-C4D7B12FE4C2}">
  <cacheSource type="worksheet">
    <worksheetSource ref="B5:G129" sheet="PIVOT"/>
  </cacheSource>
  <cacheFields count="6">
    <cacheField name="Rādītājs" numFmtId="0">
      <sharedItems count="39">
        <s v="1. Faktiskie izdevumi, kas radušies saistībā ar reisu atcelšanu vai papild reisu nodrošināšanu - KOPSUMMA ((N - P) x Izm)"/>
        <s v="Iesaistīto transportlīdzekļu vienības "/>
        <s v="(S) Plānotais reisu skaits"/>
        <s v="(R) Faktiskais reisu skaits (S + RP-RA) "/>
        <s v="to starpā papildu reisi (RP)"/>
        <s v="to starpā atceltie reisi (RA)"/>
        <s v="(P) Plānotais nobraukums "/>
        <s v="(N) Faktiskais nobraukums (P + NP-NA)"/>
        <s v="to starpā papildu reisos veiktais nobraukums (NP)"/>
        <s v="to starpā atcelto reisu nobraukums (NA)"/>
        <s v="(Izm) 1 km pašizmaksa "/>
        <s v="2. Kopējie izdevumi par Covid-19 infekcijas ierobežošanas pasākumiem - KOPSUMMA (1 vienības cenas reizinājums ar preču/pakalpojumu skaitu; summa ( K x Z))"/>
        <s v="(Z) Pakalpojumi, pasākumi un materiāli Covid-19 pandēmijas ierobežošanai "/>
        <s v="Dezinfekcijas līdzekļi"/>
        <s v="Sejas maskas"/>
        <s v="Sociālā distancēšanās sabiedriskā transportā "/>
        <s v="Transportlīdzekļu dezinfekcija"/>
        <s v="Transportlīdzekļu papildu mazgāšana"/>
        <s v="Citi izdevumi (norādīt kādi)"/>
        <s v="(K) Faktiskās izmaksas Covid-19 pandēmijas ierobežošanai, t.sk. "/>
        <s v="Transportlīdzekļu dezinfekcija, to starpā darba spēka izmaksas"/>
        <s v="Transportlīdzekļu papildu mazgāšana, to starpā darba spēka izmaksas"/>
        <s v="3. Kopējā ietekme uz ieņēmumu apgrozījumu - KOPSUMMA ((C/D-A/N) x N)"/>
        <s v="(A) No pasažieriem, t.sk., personām, kurām noteikti pašvaldības noteiktie braukšanas maksas atvieglojumi, saņemtie ieņēmumi par sniegto sabiedriskā transporta pakalpojumu - 09.03.2021.-31.03.2021."/>
        <s v="(N) Faktiskais nobraukums - 09.03.2021.-31.03.2021."/>
        <s v="(C) No pasažieriem, t.sk., personām, kurām noteikti pašvaldības noteiktie braukšanas maksas atvieglojumi, saņemtie ieņēmumi par sniegto sabiedriskā transporta pakalpojumu - 09.03.2019.-31.03.2019."/>
        <s v="(D) Faktiskais nobraukums - 09.03.2019.-31.03.2019."/>
        <s v="(A) No pasažieriem, t.sk., personām, kurām noteikti pašvaldības noteiktie braukšanas maksas atvieglojumi, saņemtie ieņēmumi par sniegto sabiedriskā transporta pakalpojumu - 01.04.2021.-30.04.2021."/>
        <s v="(N) Faktiskais nobraukums - 01.04.2021.-30.04.2021."/>
        <s v="(C) No pasažieriem, t.sk., personām, kurām noteikti pašvaldības noteiktie braukšanas maksas atvieglojumi, saņemtie ieņēmumi par sniegto sabiedriskā transporta pakalpojumu - 01.04.2019.-30.04.2019."/>
        <s v="(D) Faktiskais nobraukums - 01.04.2019.-30.04.2019."/>
        <s v="(A) No pasažieriem, t.sk., personām, kurām noteikti pašvaldības noteiktie braukšanas maksas atvieglojumi, saņemtie ieņēmumi par sniegto sabiedriskā transporta pakalpojumu - 01.05.2021.-31.05.2021."/>
        <s v="(N) Faktiskais nobraukums - 01.05.2021.-31.05.2021."/>
        <s v="(C) No pasažieriem, t.sk., personām, kurām noteikti pašvaldības noteiktie braukšanas maksas atvieglojumi, saņemtie ieņēmumi par sniegto sabiedriskā transporta pakalpojumu - 01.05.2019.-31.05.2019."/>
        <s v="(D) Faktiskais nobraukums - 01.05.2019.-31.05.2019."/>
        <s v="(A) No pasažieriem, t.sk., personām, kurām noteikti pašvaldības noteiktie braukšanas maksas atvieglojumi, saņemtie ieņēmumi par sniegto sabiedriskā transporta pakalpojumu - 01.06.2021.-30.06.2021."/>
        <s v="(N) Faktiskais nobraukums - 01.06.2021.-30.06.2021."/>
        <s v="(C) No pasažieriem, t.sk., personām, kurām noteikti pašvaldības noteiktie braukšanas maksas atvieglojumi, saņemtie ieņēmumi par sniegto sabiedriskā transporta pakalpojumu - 01.06.2019.-30.06.2019."/>
        <s v="(D) Faktiskais nobraukums - 01.06.2019.-30.06.2019."/>
      </sharedItems>
    </cacheField>
    <cacheField name="Vienības " numFmtId="0">
      <sharedItems containsBlank="1"/>
    </cacheField>
    <cacheField name="Vērtība" numFmtId="4">
      <sharedItems containsString="0" containsBlank="1" containsNumber="1" minValue="-8249.2898279999863" maxValue="168637.2"/>
    </cacheField>
    <cacheField name="Pārvadājumu veids" numFmtId="0">
      <sharedItems/>
    </cacheField>
    <cacheField name="Pilsēta" numFmtId="0">
      <sharedItems/>
    </cacheField>
    <cacheField name="Periods " numFmtId="0">
      <sharedItems count="4">
        <s v="09.03.2021.- 31.03.2021."/>
        <s v="Aprīlis"/>
        <s v="Maijs"/>
        <s v="Jūnijs"/>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24">
  <r>
    <x v="0"/>
    <m/>
    <n v="0"/>
    <s v="Autobuss"/>
    <s v="Jelgava"/>
    <x v="0"/>
  </r>
  <r>
    <x v="1"/>
    <s v="skaits"/>
    <n v="35"/>
    <s v="Autobuss"/>
    <s v="Jelgava"/>
    <x v="0"/>
  </r>
  <r>
    <x v="2"/>
    <s v="skaits"/>
    <n v="10765"/>
    <s v="Autobuss"/>
    <s v="Jelgava"/>
    <x v="0"/>
  </r>
  <r>
    <x v="3"/>
    <s v="skaits"/>
    <n v="10765"/>
    <s v="Autobuss"/>
    <s v="Jelgava"/>
    <x v="0"/>
  </r>
  <r>
    <x v="4"/>
    <s v="skaits"/>
    <n v="0"/>
    <s v="Autobuss"/>
    <s v="Jelgava"/>
    <x v="0"/>
  </r>
  <r>
    <x v="5"/>
    <s v="skaits"/>
    <n v="0"/>
    <s v="Autobuss"/>
    <s v="Jelgava"/>
    <x v="0"/>
  </r>
  <r>
    <x v="6"/>
    <s v="km"/>
    <n v="110636.58"/>
    <s v="Autobuss"/>
    <s v="Jelgava"/>
    <x v="0"/>
  </r>
  <r>
    <x v="7"/>
    <s v="km"/>
    <n v="110636.58"/>
    <s v="Autobuss"/>
    <s v="Jelgava"/>
    <x v="0"/>
  </r>
  <r>
    <x v="8"/>
    <s v="km"/>
    <n v="0"/>
    <s v="Autobuss"/>
    <s v="Jelgava"/>
    <x v="0"/>
  </r>
  <r>
    <x v="9"/>
    <s v="km"/>
    <n v="0"/>
    <s v="Autobuss"/>
    <s v="Jelgava"/>
    <x v="0"/>
  </r>
  <r>
    <x v="10"/>
    <s v="EUR/km"/>
    <n v="2.27"/>
    <s v="Autobuss"/>
    <s v="Jelgava"/>
    <x v="0"/>
  </r>
  <r>
    <x v="11"/>
    <m/>
    <n v="1493"/>
    <s v="Autobuss"/>
    <s v="Jelgava"/>
    <x v="0"/>
  </r>
  <r>
    <x v="12"/>
    <s v="skaits (jānorāda atbilstoša mērvienība gab., litri, reižu skaits, darba stundas u.c.) "/>
    <m/>
    <s v="Autobuss"/>
    <s v="Jelgava"/>
    <x v="0"/>
  </r>
  <r>
    <x v="13"/>
    <s v="skaits (jānorāda atbilstoša mērvienība gab., litri, reižu skaits, darba stundas u.c.) "/>
    <n v="81.400000000000006"/>
    <s v="Autobuss"/>
    <s v="Jelgava"/>
    <x v="0"/>
  </r>
  <r>
    <x v="14"/>
    <s v="skaits (jānorāda atbilstoša mērvienība gab., litri, reižu skaits, darba stundas u.c.) "/>
    <n v="0"/>
    <s v="Autobuss"/>
    <s v="Jelgava"/>
    <x v="0"/>
  </r>
  <r>
    <x v="15"/>
    <s v="skaits (jānorāda atbilstoša mērvienība gab., litri, reižu skaits, darba stundas u.c.) "/>
    <n v="0"/>
    <s v="Autobuss"/>
    <s v="Jelgava"/>
    <x v="0"/>
  </r>
  <r>
    <x v="16"/>
    <s v="skaits (jānorāda atbilstoša mērvienība gab., litri, reižu skaits, darba stundas u.c.) "/>
    <n v="543"/>
    <s v="Autobuss"/>
    <s v="Jelgava"/>
    <x v="0"/>
  </r>
  <r>
    <x v="17"/>
    <s v="skaits (jānorāda atbilstoša mērvienība gab., litri, reižu skaits, darba stundas u.c.) "/>
    <n v="0"/>
    <s v="Autobuss"/>
    <s v="Jelgava"/>
    <x v="0"/>
  </r>
  <r>
    <x v="18"/>
    <s v="skaits (jānorāda atbilstoša mērvienība gab., litri, reižu skaits, darba stundas u.c.) "/>
    <n v="0"/>
    <s v="Autobuss"/>
    <s v="Jelgava"/>
    <x v="0"/>
  </r>
  <r>
    <x v="19"/>
    <s v="EUR/vien bez PVN"/>
    <m/>
    <s v="Autobuss"/>
    <s v="Jelgava"/>
    <x v="0"/>
  </r>
  <r>
    <x v="13"/>
    <s v="EUR/vien bez PVN"/>
    <n v="5"/>
    <s v="Autobuss"/>
    <s v="Jelgava"/>
    <x v="0"/>
  </r>
  <r>
    <x v="14"/>
    <s v="EUR/vien bez PVN"/>
    <n v="0"/>
    <s v="Autobuss"/>
    <s v="Jelgava"/>
    <x v="0"/>
  </r>
  <r>
    <x v="15"/>
    <s v="EUR/vien bez PVN"/>
    <n v="0"/>
    <s v="Autobuss"/>
    <s v="Jelgava"/>
    <x v="0"/>
  </r>
  <r>
    <x v="20"/>
    <s v="EUR/vien bez PVN"/>
    <n v="2"/>
    <s v="Autobuss"/>
    <s v="Jelgava"/>
    <x v="0"/>
  </r>
  <r>
    <x v="21"/>
    <s v="EUR/vien bez PVN"/>
    <n v="0"/>
    <s v="Autobuss"/>
    <s v="Jelgava"/>
    <x v="0"/>
  </r>
  <r>
    <x v="18"/>
    <s v="EUR/vien bez PVN"/>
    <n v="0"/>
    <s v="Autobuss"/>
    <s v="Jelgava"/>
    <x v="0"/>
  </r>
  <r>
    <x v="22"/>
    <m/>
    <n v="36813.68052597058"/>
    <s v="Autobuss"/>
    <s v="Jelgava"/>
    <x v="0"/>
  </r>
  <r>
    <x v="23"/>
    <s v="EUR bez PVN"/>
    <n v="64326"/>
    <s v="Autobuss"/>
    <s v="Jelgava"/>
    <x v="0"/>
  </r>
  <r>
    <x v="24"/>
    <s v="km"/>
    <n v="110636.58"/>
    <s v="Autobuss"/>
    <s v="Jelgava"/>
    <x v="0"/>
  </r>
  <r>
    <x v="25"/>
    <s v="EUR bez PVN"/>
    <n v="113354"/>
    <s v="Autobuss"/>
    <s v="Jelgava"/>
    <x v="0"/>
  </r>
  <r>
    <x v="26"/>
    <s v="km"/>
    <n v="123997.81"/>
    <s v="Autobuss"/>
    <s v="Jelgava"/>
    <x v="0"/>
  </r>
  <r>
    <x v="0"/>
    <m/>
    <n v="-8249.2898279999863"/>
    <s v="Autobuss"/>
    <s v="Jelgava"/>
    <x v="1"/>
  </r>
  <r>
    <x v="1"/>
    <s v="skaits"/>
    <n v="35"/>
    <s v="Autobuss"/>
    <s v="Jelgava"/>
    <x v="1"/>
  </r>
  <r>
    <x v="2"/>
    <s v="skaits"/>
    <n v="15918"/>
    <s v="Autobuss"/>
    <s v="Jelgava"/>
    <x v="1"/>
  </r>
  <r>
    <x v="3"/>
    <s v="skaits"/>
    <n v="15540"/>
    <s v="Autobuss"/>
    <s v="Jelgava"/>
    <x v="1"/>
  </r>
  <r>
    <x v="4"/>
    <s v="skaits"/>
    <n v="0"/>
    <s v="Autobuss"/>
    <s v="Jelgava"/>
    <x v="1"/>
  </r>
  <r>
    <x v="5"/>
    <s v="skaits"/>
    <n v="378"/>
    <s v="Autobuss"/>
    <s v="Jelgava"/>
    <x v="1"/>
  </r>
  <r>
    <x v="6"/>
    <s v="km"/>
    <n v="164219.98000000001"/>
    <s v="Autobuss"/>
    <s v="Jelgava"/>
    <x v="1"/>
  </r>
  <r>
    <x v="7"/>
    <s v="km"/>
    <n v="160104.80000000002"/>
    <s v="Autobuss"/>
    <s v="Jelgava"/>
    <x v="1"/>
  </r>
  <r>
    <x v="8"/>
    <s v="km"/>
    <m/>
    <s v="Autobuss"/>
    <s v="Jelgava"/>
    <x v="1"/>
  </r>
  <r>
    <x v="9"/>
    <s v="km"/>
    <n v="4115.18"/>
    <s v="Autobuss"/>
    <s v="Jelgava"/>
    <x v="1"/>
  </r>
  <r>
    <x v="10"/>
    <s v="EUR/km"/>
    <n v="2.0045999999999999"/>
    <s v="Autobuss"/>
    <s v="Jelgava"/>
    <x v="1"/>
  </r>
  <r>
    <x v="11"/>
    <m/>
    <n v="2574"/>
    <s v="Autobuss"/>
    <s v="Jelgava"/>
    <x v="1"/>
  </r>
  <r>
    <x v="12"/>
    <s v="skaits (jānorāda atbilstoša mērvienība gab., litri, reižu skaits, darba stundas u.c.) "/>
    <m/>
    <s v="Autobuss"/>
    <s v="Jelgava"/>
    <x v="1"/>
  </r>
  <r>
    <x v="13"/>
    <s v="skaits (jānorāda atbilstoša mērvienība gab., litri, reižu skaits, darba stundas u.c.) "/>
    <n v="140.4"/>
    <s v="Autobuss"/>
    <s v="Jelgava"/>
    <x v="1"/>
  </r>
  <r>
    <x v="14"/>
    <s v="skaits (jānorāda atbilstoša mērvienība gab., litri, reižu skaits, darba stundas u.c.) "/>
    <m/>
    <s v="Autobuss"/>
    <s v="Jelgava"/>
    <x v="1"/>
  </r>
  <r>
    <x v="15"/>
    <s v="skaits (jānorāda atbilstoša mērvienība gab., litri, reižu skaits, darba stundas u.c.) "/>
    <m/>
    <s v="Autobuss"/>
    <s v="Jelgava"/>
    <x v="1"/>
  </r>
  <r>
    <x v="16"/>
    <s v="skaits (jānorāda atbilstoša mērvienība gab., litri, reižu skaits, darba stundas u.c.) "/>
    <n v="936"/>
    <s v="Autobuss"/>
    <s v="Jelgava"/>
    <x v="1"/>
  </r>
  <r>
    <x v="17"/>
    <s v="skaits (jānorāda atbilstoša mērvienība gab., litri, reižu skaits, darba stundas u.c.) "/>
    <m/>
    <s v="Autobuss"/>
    <s v="Jelgava"/>
    <x v="1"/>
  </r>
  <r>
    <x v="18"/>
    <s v="skaits (jānorāda atbilstoša mērvienība gab., litri, reižu skaits, darba stundas u.c.) "/>
    <m/>
    <s v="Autobuss"/>
    <s v="Jelgava"/>
    <x v="1"/>
  </r>
  <r>
    <x v="19"/>
    <s v="EUR/vien bez PVN"/>
    <m/>
    <s v="Autobuss"/>
    <s v="Jelgava"/>
    <x v="1"/>
  </r>
  <r>
    <x v="13"/>
    <s v="EUR/vien bez PVN"/>
    <n v="5"/>
    <s v="Autobuss"/>
    <s v="Jelgava"/>
    <x v="1"/>
  </r>
  <r>
    <x v="14"/>
    <s v="EUR/vien bez PVN"/>
    <m/>
    <s v="Autobuss"/>
    <s v="Jelgava"/>
    <x v="1"/>
  </r>
  <r>
    <x v="15"/>
    <s v="EUR/vien bez PVN"/>
    <m/>
    <s v="Autobuss"/>
    <s v="Jelgava"/>
    <x v="1"/>
  </r>
  <r>
    <x v="20"/>
    <s v="EUR/vien bez PVN"/>
    <n v="2"/>
    <s v="Autobuss"/>
    <s v="Jelgava"/>
    <x v="1"/>
  </r>
  <r>
    <x v="21"/>
    <s v="EUR/vien bez PVN"/>
    <m/>
    <s v="Autobuss"/>
    <s v="Jelgava"/>
    <x v="1"/>
  </r>
  <r>
    <x v="18"/>
    <s v="EUR/vien bez PVN"/>
    <m/>
    <s v="Autobuss"/>
    <s v="Jelgava"/>
    <x v="1"/>
  </r>
  <r>
    <x v="22"/>
    <m/>
    <n v="74237.22406628773"/>
    <s v="Autobuss"/>
    <s v="Jelgava"/>
    <x v="1"/>
  </r>
  <r>
    <x v="27"/>
    <s v="EUR bez PVN"/>
    <n v="88981"/>
    <s v="Autobuss"/>
    <s v="Jelgava"/>
    <x v="1"/>
  </r>
  <r>
    <x v="28"/>
    <s v="km"/>
    <n v="160105"/>
    <s v="Autobuss"/>
    <s v="Jelgava"/>
    <x v="1"/>
  </r>
  <r>
    <x v="29"/>
    <s v="EUR bez PVN"/>
    <n v="165356"/>
    <s v="Autobuss"/>
    <s v="Jelgava"/>
    <x v="1"/>
  </r>
  <r>
    <x v="30"/>
    <s v="km"/>
    <n v="162202"/>
    <s v="Autobuss"/>
    <s v="Jelgava"/>
    <x v="1"/>
  </r>
  <r>
    <x v="0"/>
    <m/>
    <n v="0"/>
    <s v="Autobuss"/>
    <s v="Jelgava"/>
    <x v="2"/>
  </r>
  <r>
    <x v="1"/>
    <s v="skaits"/>
    <n v="35"/>
    <s v="Autobuss"/>
    <s v="Jelgava"/>
    <x v="2"/>
  </r>
  <r>
    <x v="2"/>
    <s v="skaits"/>
    <n v="16353"/>
    <s v="Autobuss"/>
    <s v="Jelgava"/>
    <x v="2"/>
  </r>
  <r>
    <x v="3"/>
    <s v="skaits"/>
    <n v="16353"/>
    <s v="Autobuss"/>
    <s v="Jelgava"/>
    <x v="2"/>
  </r>
  <r>
    <x v="4"/>
    <s v="skaits"/>
    <m/>
    <s v="Autobuss"/>
    <s v="Jelgava"/>
    <x v="2"/>
  </r>
  <r>
    <x v="5"/>
    <s v="skaits"/>
    <m/>
    <s v="Autobuss"/>
    <s v="Jelgava"/>
    <x v="2"/>
  </r>
  <r>
    <x v="6"/>
    <s v="km"/>
    <n v="168637.2"/>
    <s v="Autobuss"/>
    <s v="Jelgava"/>
    <x v="2"/>
  </r>
  <r>
    <x v="7"/>
    <s v="km"/>
    <n v="168637.2"/>
    <s v="Autobuss"/>
    <s v="Jelgava"/>
    <x v="2"/>
  </r>
  <r>
    <x v="8"/>
    <s v="km"/>
    <m/>
    <s v="Autobuss"/>
    <s v="Jelgava"/>
    <x v="2"/>
  </r>
  <r>
    <x v="9"/>
    <s v="km"/>
    <m/>
    <s v="Autobuss"/>
    <s v="Jelgava"/>
    <x v="2"/>
  </r>
  <r>
    <x v="10"/>
    <s v="EUR/km"/>
    <n v="2.4417"/>
    <s v="Autobuss"/>
    <s v="Jelgava"/>
    <x v="2"/>
  </r>
  <r>
    <x v="11"/>
    <m/>
    <n v="2730.75"/>
    <s v="Autobuss"/>
    <s v="Jelgava"/>
    <x v="2"/>
  </r>
  <r>
    <x v="12"/>
    <s v="skaits (jānorāda atbilstoša mērvienība gab., litri, reižu skaits, darba stundas u.c.) "/>
    <m/>
    <s v="Autobuss"/>
    <s v="Jelgava"/>
    <x v="2"/>
  </r>
  <r>
    <x v="13"/>
    <s v="skaits (jānorāda atbilstoša mērvienība gab., litri, reižu skaits, darba stundas u.c.) "/>
    <n v="148.94999999999999"/>
    <s v="Autobuss"/>
    <s v="Jelgava"/>
    <x v="2"/>
  </r>
  <r>
    <x v="14"/>
    <s v="skaits (jānorāda atbilstoša mērvienība gab., litri, reižu skaits, darba stundas u.c.) "/>
    <m/>
    <s v="Autobuss"/>
    <s v="Jelgava"/>
    <x v="2"/>
  </r>
  <r>
    <x v="15"/>
    <s v="skaits (jānorāda atbilstoša mērvienība gab., litri, reižu skaits, darba stundas u.c.) "/>
    <m/>
    <s v="Autobuss"/>
    <s v="Jelgava"/>
    <x v="2"/>
  </r>
  <r>
    <x v="16"/>
    <s v="skaits (jānorāda atbilstoša mērvienība gab., litri, reižu skaits, darba stundas u.c.) "/>
    <n v="993"/>
    <s v="Autobuss"/>
    <s v="Jelgava"/>
    <x v="2"/>
  </r>
  <r>
    <x v="17"/>
    <s v="skaits (jānorāda atbilstoša mērvienība gab., litri, reižu skaits, darba stundas u.c.) "/>
    <m/>
    <s v="Autobuss"/>
    <s v="Jelgava"/>
    <x v="2"/>
  </r>
  <r>
    <x v="18"/>
    <s v="skaits (jānorāda atbilstoša mērvienība gab., litri, reižu skaits, darba stundas u.c.) "/>
    <m/>
    <s v="Autobuss"/>
    <s v="Jelgava"/>
    <x v="2"/>
  </r>
  <r>
    <x v="19"/>
    <s v="EUR/vien bez PVN"/>
    <m/>
    <s v="Autobuss"/>
    <s v="Jelgava"/>
    <x v="2"/>
  </r>
  <r>
    <x v="13"/>
    <s v="EUR/vien bez PVN"/>
    <n v="5"/>
    <s v="Autobuss"/>
    <s v="Jelgava"/>
    <x v="2"/>
  </r>
  <r>
    <x v="14"/>
    <s v="EUR/vien bez PVN"/>
    <m/>
    <s v="Autobuss"/>
    <s v="Jelgava"/>
    <x v="2"/>
  </r>
  <r>
    <x v="15"/>
    <s v="EUR/vien bez PVN"/>
    <m/>
    <s v="Autobuss"/>
    <s v="Jelgava"/>
    <x v="2"/>
  </r>
  <r>
    <x v="20"/>
    <s v="EUR/vien bez PVN"/>
    <n v="2"/>
    <s v="Autobuss"/>
    <s v="Jelgava"/>
    <x v="2"/>
  </r>
  <r>
    <x v="21"/>
    <s v="EUR/vien bez PVN"/>
    <m/>
    <s v="Autobuss"/>
    <s v="Jelgava"/>
    <x v="2"/>
  </r>
  <r>
    <x v="18"/>
    <s v="EUR/vien bez PVN"/>
    <m/>
    <s v="Autobuss"/>
    <s v="Jelgava"/>
    <x v="2"/>
  </r>
  <r>
    <x v="22"/>
    <m/>
    <n v="61569.411661339014"/>
    <s v="Autobuss"/>
    <s v="Jelgava"/>
    <x v="2"/>
  </r>
  <r>
    <x v="31"/>
    <s v="EUR bez PVN"/>
    <n v="99294"/>
    <s v="Autobuss"/>
    <s v="Jelgava"/>
    <x v="2"/>
  </r>
  <r>
    <x v="32"/>
    <s v="km"/>
    <n v="168637.2"/>
    <s v="Autobuss"/>
    <s v="Jelgava"/>
    <x v="2"/>
  </r>
  <r>
    <x v="33"/>
    <s v="EUR bez PVN"/>
    <n v="160247"/>
    <s v="Autobuss"/>
    <s v="Jelgava"/>
    <x v="2"/>
  </r>
  <r>
    <x v="34"/>
    <s v="km"/>
    <n v="167991"/>
    <s v="Autobuss"/>
    <s v="Jelgava"/>
    <x v="2"/>
  </r>
  <r>
    <x v="0"/>
    <m/>
    <n v="0"/>
    <s v="Autobuss"/>
    <s v="Jelgava"/>
    <x v="3"/>
  </r>
  <r>
    <x v="1"/>
    <s v="skaits"/>
    <n v="35"/>
    <s v="Autobuss"/>
    <s v="Jelgava"/>
    <x v="3"/>
  </r>
  <r>
    <x v="2"/>
    <s v="skaits"/>
    <n v="15853"/>
    <s v="Autobuss"/>
    <s v="Jelgava"/>
    <x v="3"/>
  </r>
  <r>
    <x v="3"/>
    <s v="skaits"/>
    <n v="15853"/>
    <s v="Autobuss"/>
    <s v="Jelgava"/>
    <x v="3"/>
  </r>
  <r>
    <x v="4"/>
    <s v="skaits"/>
    <m/>
    <s v="Autobuss"/>
    <s v="Jelgava"/>
    <x v="3"/>
  </r>
  <r>
    <x v="5"/>
    <s v="skaits"/>
    <m/>
    <s v="Autobuss"/>
    <s v="Jelgava"/>
    <x v="3"/>
  </r>
  <r>
    <x v="6"/>
    <s v="km"/>
    <n v="163503.35999999999"/>
    <s v="Autobuss"/>
    <s v="Jelgava"/>
    <x v="3"/>
  </r>
  <r>
    <x v="7"/>
    <s v="km"/>
    <n v="163503.35999999999"/>
    <s v="Autobuss"/>
    <s v="Jelgava"/>
    <x v="3"/>
  </r>
  <r>
    <x v="8"/>
    <s v="km"/>
    <m/>
    <s v="Autobuss"/>
    <s v="Jelgava"/>
    <x v="3"/>
  </r>
  <r>
    <x v="9"/>
    <s v="km"/>
    <m/>
    <s v="Autobuss"/>
    <s v="Jelgava"/>
    <x v="3"/>
  </r>
  <r>
    <x v="10"/>
    <s v="EUR/km"/>
    <n v="2.2263999999999999"/>
    <s v="Autobuss"/>
    <s v="Jelgava"/>
    <x v="3"/>
  </r>
  <r>
    <x v="11"/>
    <m/>
    <n v="2623.5"/>
    <s v="Autobuss"/>
    <s v="Jelgava"/>
    <x v="3"/>
  </r>
  <r>
    <x v="12"/>
    <s v="skaits (jānorāda atbilstoša mērvienība gab., litri, reižu skaits, darba stundas u.c.) "/>
    <m/>
    <s v="Autobuss"/>
    <s v="Jelgava"/>
    <x v="3"/>
  </r>
  <r>
    <x v="13"/>
    <s v="skaits (jānorāda atbilstoša mērvienība gab., litri, reižu skaits, darba stundas u.c.) "/>
    <n v="143.1"/>
    <s v="Autobuss"/>
    <s v="Jelgava"/>
    <x v="3"/>
  </r>
  <r>
    <x v="14"/>
    <s v="skaits (jānorāda atbilstoša mērvienība gab., litri, reižu skaits, darba stundas u.c.) "/>
    <m/>
    <s v="Autobuss"/>
    <s v="Jelgava"/>
    <x v="3"/>
  </r>
  <r>
    <x v="15"/>
    <s v="skaits (jānorāda atbilstoša mērvienība gab., litri, reižu skaits, darba stundas u.c.) "/>
    <m/>
    <s v="Autobuss"/>
    <s v="Jelgava"/>
    <x v="3"/>
  </r>
  <r>
    <x v="16"/>
    <s v="skaits (jānorāda atbilstoša mērvienība gab., litri, reižu skaits, darba stundas u.c.) "/>
    <n v="954"/>
    <s v="Autobuss"/>
    <s v="Jelgava"/>
    <x v="3"/>
  </r>
  <r>
    <x v="17"/>
    <s v="skaits (jānorāda atbilstoša mērvienība gab., litri, reižu skaits, darba stundas u.c.) "/>
    <m/>
    <s v="Autobuss"/>
    <s v="Jelgava"/>
    <x v="3"/>
  </r>
  <r>
    <x v="18"/>
    <s v="skaits (jānorāda atbilstoša mērvienība gab., litri, reižu skaits, darba stundas u.c.) "/>
    <m/>
    <s v="Autobuss"/>
    <s v="Jelgava"/>
    <x v="3"/>
  </r>
  <r>
    <x v="19"/>
    <s v="EUR/vien bez PVN"/>
    <m/>
    <s v="Autobuss"/>
    <s v="Jelgava"/>
    <x v="3"/>
  </r>
  <r>
    <x v="13"/>
    <s v="EUR/vien bez PVN"/>
    <n v="5"/>
    <s v="Autobuss"/>
    <s v="Jelgava"/>
    <x v="3"/>
  </r>
  <r>
    <x v="14"/>
    <s v="EUR/vien bez PVN"/>
    <m/>
    <s v="Autobuss"/>
    <s v="Jelgava"/>
    <x v="3"/>
  </r>
  <r>
    <x v="15"/>
    <s v="EUR/vien bez PVN"/>
    <m/>
    <s v="Autobuss"/>
    <s v="Jelgava"/>
    <x v="3"/>
  </r>
  <r>
    <x v="20"/>
    <s v="EUR/vien bez PVN"/>
    <n v="2"/>
    <s v="Autobuss"/>
    <s v="Jelgava"/>
    <x v="3"/>
  </r>
  <r>
    <x v="21"/>
    <s v="EUR/vien bez PVN"/>
    <m/>
    <s v="Autobuss"/>
    <s v="Jelgava"/>
    <x v="3"/>
  </r>
  <r>
    <x v="18"/>
    <s v="EUR/vien bez PVN"/>
    <m/>
    <s v="Autobuss"/>
    <s v="Jelgava"/>
    <x v="3"/>
  </r>
  <r>
    <x v="22"/>
    <m/>
    <n v="42779.919840287475"/>
    <s v="Autobuss"/>
    <s v="Jelgava"/>
    <x v="3"/>
  </r>
  <r>
    <x v="35"/>
    <s v="EUR bez PVN"/>
    <n v="91767"/>
    <s v="Autobuss"/>
    <s v="Jelgava"/>
    <x v="3"/>
  </r>
  <r>
    <x v="36"/>
    <s v="km"/>
    <n v="163503.35999999999"/>
    <s v="Autobuss"/>
    <s v="Jelgava"/>
    <x v="3"/>
  </r>
  <r>
    <x v="37"/>
    <s v="EUR bez PVN"/>
    <n v="131901"/>
    <s v="Autobuss"/>
    <s v="Jelgava"/>
    <x v="3"/>
  </r>
  <r>
    <x v="38"/>
    <s v="km"/>
    <n v="160288"/>
    <s v="Autobuss"/>
    <s v="Jelgava"/>
    <x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AA46545E-E98E-4E67-8318-58A7656D849C}" name="PivotTable1" cacheId="0" applyNumberFormats="0" applyBorderFormats="0" applyFontFormats="0" applyPatternFormats="0" applyAlignmentFormats="0" applyWidthHeightFormats="1" dataCaption="Values" updatedVersion="7" minRefreshableVersion="3" useAutoFormatting="1" itemPrintTitles="1" createdVersion="7" indent="0" outline="1" outlineData="1" multipleFieldFilters="0">
  <location ref="A3:F8" firstHeaderRow="1" firstDataRow="2" firstDataCol="1"/>
  <pivotFields count="6">
    <pivotField axis="axisRow" showAll="0">
      <items count="40">
        <item h="1" x="27"/>
        <item h="1" x="31"/>
        <item h="1" x="35"/>
        <item h="1" x="23"/>
        <item h="1" x="29"/>
        <item h="1" x="33"/>
        <item h="1" x="37"/>
        <item h="1" x="25"/>
        <item h="1" x="30"/>
        <item h="1" x="34"/>
        <item h="1" x="38"/>
        <item h="1" x="26"/>
        <item h="1" x="10"/>
        <item h="1" x="19"/>
        <item h="1" x="28"/>
        <item h="1" x="32"/>
        <item h="1" x="36"/>
        <item h="1" x="24"/>
        <item h="1" x="7"/>
        <item h="1" x="6"/>
        <item h="1" x="3"/>
        <item h="1" x="2"/>
        <item h="1" x="12"/>
        <item x="0"/>
        <item x="11"/>
        <item x="22"/>
        <item h="1" x="18"/>
        <item h="1" x="13"/>
        <item h="1" x="1"/>
        <item h="1" x="14"/>
        <item h="1" x="15"/>
        <item h="1" x="5"/>
        <item h="1" x="9"/>
        <item h="1" x="4"/>
        <item h="1" x="8"/>
        <item h="1" x="16"/>
        <item h="1" x="20"/>
        <item h="1" x="17"/>
        <item h="1" x="21"/>
        <item t="default"/>
      </items>
    </pivotField>
    <pivotField showAll="0"/>
    <pivotField dataField="1" showAll="0"/>
    <pivotField showAll="0"/>
    <pivotField showAll="0"/>
    <pivotField axis="axisCol" showAll="0">
      <items count="5">
        <item x="0"/>
        <item x="1"/>
        <item x="2"/>
        <item x="3"/>
        <item t="default"/>
      </items>
    </pivotField>
  </pivotFields>
  <rowFields count="1">
    <field x="0"/>
  </rowFields>
  <rowItems count="4">
    <i>
      <x v="23"/>
    </i>
    <i>
      <x v="24"/>
    </i>
    <i>
      <x v="25"/>
    </i>
    <i t="grand">
      <x/>
    </i>
  </rowItems>
  <colFields count="1">
    <field x="5"/>
  </colFields>
  <colItems count="5">
    <i>
      <x/>
    </i>
    <i>
      <x v="1"/>
    </i>
    <i>
      <x v="2"/>
    </i>
    <i>
      <x v="3"/>
    </i>
    <i t="grand">
      <x/>
    </i>
  </colItems>
  <dataFields count="1">
    <dataField name="Sum of Vērtība" fld="2" baseField="0" baseItem="0" numFmtId="4"/>
  </dataFields>
  <formats count="7">
    <format dxfId="6">
      <pivotArea outline="0" collapsedLevelsAreSubtotals="1" fieldPosition="0"/>
    </format>
    <format dxfId="5">
      <pivotArea dataOnly="0" labelOnly="1" fieldPosition="0">
        <references count="1">
          <reference field="0" count="0"/>
        </references>
      </pivotArea>
    </format>
    <format dxfId="4">
      <pivotArea dataOnly="0" labelOnly="1" fieldPosition="0">
        <references count="1">
          <reference field="5" count="1">
            <x v="0"/>
          </reference>
        </references>
      </pivotArea>
    </format>
    <format dxfId="3">
      <pivotArea collapsedLevelsAreSubtotals="1" fieldPosition="0">
        <references count="1">
          <reference field="0" count="0"/>
        </references>
      </pivotArea>
    </format>
    <format dxfId="2">
      <pivotArea dataOnly="0" labelOnly="1" fieldPosition="0">
        <references count="1">
          <reference field="0" count="0"/>
        </references>
      </pivotArea>
    </format>
    <format dxfId="1">
      <pivotArea dataOnly="0" labelOnly="1" fieldPosition="0">
        <references count="1">
          <reference field="0" count="1">
            <x v="24"/>
          </reference>
        </references>
      </pivotArea>
    </format>
    <format dxfId="0">
      <pivotArea field="0" grandCol="1" collapsedLevelsAreSubtotals="1" axis="axisRow" fieldPosition="0">
        <references count="1">
          <reference field="0"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52"/>
  <sheetViews>
    <sheetView workbookViewId="0">
      <selection activeCell="H1" sqref="H1"/>
    </sheetView>
  </sheetViews>
  <sheetFormatPr defaultColWidth="9.140625" defaultRowHeight="15" x14ac:dyDescent="0.25"/>
  <cols>
    <col min="1" max="1" width="12.5703125" style="1" customWidth="1"/>
    <col min="2" max="2" width="46.140625" style="1" customWidth="1"/>
    <col min="3" max="3" width="11.42578125" style="1" customWidth="1"/>
    <col min="4" max="4" width="17" style="1" customWidth="1"/>
    <col min="5" max="5" width="0" style="1" hidden="1" customWidth="1"/>
    <col min="6" max="16384" width="9.140625" style="1"/>
  </cols>
  <sheetData>
    <row r="1" spans="1:5" ht="42" customHeight="1" x14ac:dyDescent="0.3">
      <c r="A1" s="107" t="s">
        <v>43</v>
      </c>
      <c r="B1" s="107"/>
      <c r="C1" s="107"/>
      <c r="D1" s="107"/>
    </row>
    <row r="2" spans="1:5" s="2" customFormat="1" thickBot="1" x14ac:dyDescent="0.25">
      <c r="A2" s="3" t="s">
        <v>2</v>
      </c>
      <c r="B2" s="23"/>
      <c r="C2" s="24" t="s">
        <v>3</v>
      </c>
      <c r="D2" s="24" t="s">
        <v>1</v>
      </c>
    </row>
    <row r="3" spans="1:5" s="2" customFormat="1" thickBot="1" x14ac:dyDescent="0.25">
      <c r="A3" s="22" t="s">
        <v>13</v>
      </c>
      <c r="B3" s="34" t="s">
        <v>40</v>
      </c>
      <c r="C3" s="35"/>
      <c r="D3" s="36">
        <f>(D10-D9)*D13</f>
        <v>0</v>
      </c>
    </row>
    <row r="4" spans="1:5" x14ac:dyDescent="0.25">
      <c r="A4" s="113" t="s">
        <v>5</v>
      </c>
      <c r="B4" s="32" t="s">
        <v>9</v>
      </c>
      <c r="C4" s="111" t="s">
        <v>4</v>
      </c>
      <c r="D4" s="33">
        <v>35</v>
      </c>
    </row>
    <row r="5" spans="1:5" ht="15" customHeight="1" x14ac:dyDescent="0.25">
      <c r="A5" s="114"/>
      <c r="B5" s="25" t="s">
        <v>37</v>
      </c>
      <c r="C5" s="111"/>
      <c r="D5" s="5">
        <v>10765</v>
      </c>
    </row>
    <row r="6" spans="1:5" x14ac:dyDescent="0.25">
      <c r="A6" s="114"/>
      <c r="B6" s="25" t="s">
        <v>38</v>
      </c>
      <c r="C6" s="111"/>
      <c r="D6" s="5">
        <f>D5+D7-D8</f>
        <v>10765</v>
      </c>
    </row>
    <row r="7" spans="1:5" x14ac:dyDescent="0.25">
      <c r="A7" s="114"/>
      <c r="B7" s="26" t="s">
        <v>33</v>
      </c>
      <c r="C7" s="111"/>
      <c r="D7" s="5">
        <v>0</v>
      </c>
    </row>
    <row r="8" spans="1:5" x14ac:dyDescent="0.25">
      <c r="A8" s="114"/>
      <c r="B8" s="26" t="s">
        <v>34</v>
      </c>
      <c r="C8" s="112"/>
      <c r="D8" s="5">
        <v>0</v>
      </c>
    </row>
    <row r="9" spans="1:5" x14ac:dyDescent="0.25">
      <c r="A9" s="114"/>
      <c r="B9" s="25" t="s">
        <v>31</v>
      </c>
      <c r="C9" s="108" t="s">
        <v>6</v>
      </c>
      <c r="D9" s="5">
        <v>110636.58</v>
      </c>
    </row>
    <row r="10" spans="1:5" x14ac:dyDescent="0.25">
      <c r="A10" s="114"/>
      <c r="B10" s="25" t="s">
        <v>39</v>
      </c>
      <c r="C10" s="109"/>
      <c r="D10" s="5">
        <f>D9+D12-D11</f>
        <v>110636.58</v>
      </c>
    </row>
    <row r="11" spans="1:5" ht="16.5" customHeight="1" x14ac:dyDescent="0.25">
      <c r="A11" s="114"/>
      <c r="B11" s="27" t="s">
        <v>35</v>
      </c>
      <c r="C11" s="109"/>
      <c r="D11" s="5">
        <v>0</v>
      </c>
    </row>
    <row r="12" spans="1:5" ht="16.5" customHeight="1" x14ac:dyDescent="0.25">
      <c r="A12" s="115"/>
      <c r="B12" s="27" t="s">
        <v>36</v>
      </c>
      <c r="C12" s="110"/>
      <c r="D12" s="5">
        <v>0</v>
      </c>
    </row>
    <row r="13" spans="1:5" ht="30.75" thickBot="1" x14ac:dyDescent="0.3">
      <c r="A13" s="39" t="s">
        <v>12</v>
      </c>
      <c r="B13" s="28" t="s">
        <v>32</v>
      </c>
      <c r="C13" s="29" t="s">
        <v>7</v>
      </c>
      <c r="D13" s="30">
        <v>2.27</v>
      </c>
      <c r="E13" s="67">
        <f ca="1">atskaites_jedox!AC8</f>
        <v>2.2827000000000002</v>
      </c>
    </row>
    <row r="14" spans="1:5" s="2" customFormat="1" ht="29.25" thickBot="1" x14ac:dyDescent="0.25">
      <c r="A14" s="16" t="s">
        <v>14</v>
      </c>
      <c r="B14" s="19" t="s">
        <v>30</v>
      </c>
      <c r="C14" s="20"/>
      <c r="D14" s="21">
        <f>SUM(D16*D23,D17*D24,D18*D25,D19*D26,D20*D27,D21*D28)</f>
        <v>1493</v>
      </c>
    </row>
    <row r="15" spans="1:5" s="4" customFormat="1" ht="48.75" customHeight="1" x14ac:dyDescent="0.25">
      <c r="A15" s="123" t="s">
        <v>5</v>
      </c>
      <c r="B15" s="17" t="s">
        <v>28</v>
      </c>
      <c r="C15" s="121" t="s">
        <v>19</v>
      </c>
      <c r="D15" s="18"/>
    </row>
    <row r="16" spans="1:5" s="4" customFormat="1" x14ac:dyDescent="0.25">
      <c r="A16" s="124"/>
      <c r="B16" s="12" t="s">
        <v>0</v>
      </c>
      <c r="C16" s="121"/>
      <c r="D16" s="6">
        <v>81.400000000000006</v>
      </c>
    </row>
    <row r="17" spans="1:5" s="4" customFormat="1" x14ac:dyDescent="0.25">
      <c r="A17" s="124"/>
      <c r="B17" s="12" t="s">
        <v>10</v>
      </c>
      <c r="C17" s="121"/>
      <c r="D17" s="6">
        <v>0</v>
      </c>
    </row>
    <row r="18" spans="1:5" s="4" customFormat="1" ht="18.75" customHeight="1" x14ac:dyDescent="0.25">
      <c r="A18" s="124"/>
      <c r="B18" s="13" t="s">
        <v>15</v>
      </c>
      <c r="C18" s="121"/>
      <c r="D18" s="6">
        <v>0</v>
      </c>
    </row>
    <row r="19" spans="1:5" s="4" customFormat="1" x14ac:dyDescent="0.25">
      <c r="A19" s="124"/>
      <c r="B19" s="12" t="s">
        <v>8</v>
      </c>
      <c r="C19" s="121"/>
      <c r="D19" s="6">
        <v>543</v>
      </c>
    </row>
    <row r="20" spans="1:5" s="4" customFormat="1" ht="17.25" customHeight="1" x14ac:dyDescent="0.25">
      <c r="A20" s="124"/>
      <c r="B20" s="13" t="s">
        <v>17</v>
      </c>
      <c r="C20" s="121"/>
      <c r="D20" s="6">
        <v>0</v>
      </c>
    </row>
    <row r="21" spans="1:5" s="4" customFormat="1" ht="15.75" thickBot="1" x14ac:dyDescent="0.3">
      <c r="A21" s="124"/>
      <c r="B21" s="14" t="s">
        <v>11</v>
      </c>
      <c r="C21" s="122"/>
      <c r="D21" s="15">
        <v>0</v>
      </c>
    </row>
    <row r="22" spans="1:5" s="4" customFormat="1" ht="30" x14ac:dyDescent="0.25">
      <c r="A22" s="124"/>
      <c r="B22" s="10" t="s">
        <v>29</v>
      </c>
      <c r="C22" s="120" t="s">
        <v>20</v>
      </c>
      <c r="D22" s="11"/>
    </row>
    <row r="23" spans="1:5" s="4" customFormat="1" x14ac:dyDescent="0.25">
      <c r="A23" s="124"/>
      <c r="B23" s="12" t="s">
        <v>0</v>
      </c>
      <c r="C23" s="121"/>
      <c r="D23" s="6">
        <v>5</v>
      </c>
    </row>
    <row r="24" spans="1:5" s="4" customFormat="1" x14ac:dyDescent="0.25">
      <c r="A24" s="124"/>
      <c r="B24" s="12" t="s">
        <v>10</v>
      </c>
      <c r="C24" s="121"/>
      <c r="D24" s="6">
        <v>0</v>
      </c>
    </row>
    <row r="25" spans="1:5" s="4" customFormat="1" ht="15" customHeight="1" x14ac:dyDescent="0.25">
      <c r="A25" s="124"/>
      <c r="B25" s="13" t="s">
        <v>15</v>
      </c>
      <c r="C25" s="121"/>
      <c r="D25" s="6">
        <v>0</v>
      </c>
    </row>
    <row r="26" spans="1:5" s="4" customFormat="1" ht="31.5" customHeight="1" x14ac:dyDescent="0.25">
      <c r="A26" s="124"/>
      <c r="B26" s="13" t="s">
        <v>16</v>
      </c>
      <c r="C26" s="121"/>
      <c r="D26" s="6">
        <v>2</v>
      </c>
    </row>
    <row r="27" spans="1:5" s="4" customFormat="1" ht="33" customHeight="1" x14ac:dyDescent="0.25">
      <c r="A27" s="124"/>
      <c r="B27" s="13" t="s">
        <v>18</v>
      </c>
      <c r="C27" s="121"/>
      <c r="D27" s="6">
        <v>0</v>
      </c>
    </row>
    <row r="28" spans="1:5" ht="15.75" thickBot="1" x14ac:dyDescent="0.3">
      <c r="A28" s="125"/>
      <c r="B28" s="14" t="s">
        <v>11</v>
      </c>
      <c r="C28" s="122"/>
      <c r="D28" s="15">
        <v>0</v>
      </c>
    </row>
    <row r="29" spans="1:5" s="2" customFormat="1" ht="14.25" x14ac:dyDescent="0.2">
      <c r="A29" s="31" t="s">
        <v>21</v>
      </c>
      <c r="B29" s="40" t="s">
        <v>42</v>
      </c>
      <c r="C29" s="41"/>
      <c r="D29" s="42">
        <f>((D32/D33)-(D30/D31))*D31</f>
        <v>36813.68052597058</v>
      </c>
    </row>
    <row r="30" spans="1:5" ht="60" x14ac:dyDescent="0.25">
      <c r="A30" s="126" t="s">
        <v>22</v>
      </c>
      <c r="B30" s="43" t="s">
        <v>25</v>
      </c>
      <c r="C30" s="38" t="s">
        <v>24</v>
      </c>
      <c r="D30" s="8">
        <v>64326</v>
      </c>
      <c r="E30" s="66">
        <f ca="1">atskaites_jedox!AA8</f>
        <v>85138.42</v>
      </c>
    </row>
    <row r="31" spans="1:5" x14ac:dyDescent="0.25">
      <c r="A31" s="127"/>
      <c r="B31" s="43" t="s">
        <v>41</v>
      </c>
      <c r="C31" s="38" t="s">
        <v>6</v>
      </c>
      <c r="D31" s="8">
        <v>110636.58</v>
      </c>
      <c r="E31" s="66">
        <f ca="1">atskaites_jedox!AB8</f>
        <v>149227.54</v>
      </c>
    </row>
    <row r="32" spans="1:5" ht="60" x14ac:dyDescent="0.25">
      <c r="A32" s="126" t="s">
        <v>23</v>
      </c>
      <c r="B32" s="43" t="s">
        <v>26</v>
      </c>
      <c r="C32" s="38" t="s">
        <v>24</v>
      </c>
      <c r="D32" s="8">
        <v>113354</v>
      </c>
      <c r="E32" s="66">
        <f ca="1">atskaites_jedox!C8</f>
        <v>165363.35999999999</v>
      </c>
    </row>
    <row r="33" spans="1:5" ht="15.75" thickBot="1" x14ac:dyDescent="0.3">
      <c r="A33" s="127"/>
      <c r="B33" s="44" t="s">
        <v>27</v>
      </c>
      <c r="C33" s="37" t="s">
        <v>6</v>
      </c>
      <c r="D33" s="45">
        <v>123997.81</v>
      </c>
      <c r="E33" s="66">
        <f ca="1">atskaites_jedox!D8</f>
        <v>168272.73</v>
      </c>
    </row>
    <row r="35" spans="1:5" ht="33" customHeight="1" x14ac:dyDescent="0.25">
      <c r="A35" s="119"/>
      <c r="B35" s="119"/>
      <c r="C35" s="119"/>
      <c r="D35" s="119"/>
    </row>
    <row r="36" spans="1:5" x14ac:dyDescent="0.25">
      <c r="A36" s="4"/>
      <c r="B36" s="4"/>
      <c r="C36" s="4"/>
      <c r="D36" s="4"/>
    </row>
    <row r="37" spans="1:5" ht="28.5" customHeight="1" x14ac:dyDescent="0.25">
      <c r="A37" s="118"/>
      <c r="B37" s="118"/>
      <c r="C37" s="118"/>
      <c r="D37" s="118"/>
    </row>
    <row r="38" spans="1:5" ht="33" customHeight="1" x14ac:dyDescent="0.25">
      <c r="A38" s="119"/>
      <c r="B38" s="119"/>
      <c r="C38" s="119"/>
      <c r="D38" s="119"/>
    </row>
    <row r="39" spans="1:5" ht="33" customHeight="1" x14ac:dyDescent="0.25">
      <c r="A39" s="119"/>
      <c r="B39" s="119"/>
      <c r="C39" s="119"/>
      <c r="D39" s="119"/>
    </row>
    <row r="40" spans="1:5" x14ac:dyDescent="0.25">
      <c r="A40" s="4"/>
      <c r="B40" s="4"/>
      <c r="C40" s="4"/>
      <c r="D40" s="4"/>
    </row>
    <row r="41" spans="1:5" x14ac:dyDescent="0.25">
      <c r="A41" s="9"/>
      <c r="B41" s="4"/>
      <c r="C41" s="4"/>
      <c r="D41" s="4"/>
    </row>
    <row r="42" spans="1:5" ht="30" customHeight="1" x14ac:dyDescent="0.25">
      <c r="A42" s="119"/>
      <c r="B42" s="119"/>
      <c r="C42" s="119"/>
      <c r="D42" s="119"/>
    </row>
    <row r="43" spans="1:5" ht="33" customHeight="1" x14ac:dyDescent="0.25">
      <c r="A43" s="117"/>
      <c r="B43" s="117"/>
      <c r="C43" s="117"/>
      <c r="D43" s="117"/>
    </row>
    <row r="44" spans="1:5" ht="34.5" customHeight="1" x14ac:dyDescent="0.25">
      <c r="A44" s="117"/>
      <c r="B44" s="117"/>
      <c r="C44" s="117"/>
      <c r="D44" s="117"/>
    </row>
    <row r="45" spans="1:5" ht="63" customHeight="1" x14ac:dyDescent="0.25">
      <c r="A45" s="117"/>
      <c r="B45" s="117"/>
      <c r="C45" s="117"/>
      <c r="D45" s="117"/>
    </row>
    <row r="46" spans="1:5" ht="30.75" customHeight="1" x14ac:dyDescent="0.25">
      <c r="A46" s="117"/>
      <c r="B46" s="117"/>
      <c r="C46" s="117"/>
      <c r="D46" s="117"/>
    </row>
    <row r="47" spans="1:5" ht="43.5" customHeight="1" x14ac:dyDescent="0.25">
      <c r="A47" s="116"/>
      <c r="B47" s="116"/>
      <c r="C47" s="116"/>
      <c r="D47" s="116"/>
    </row>
    <row r="48" spans="1:5" ht="30" customHeight="1" x14ac:dyDescent="0.25">
      <c r="A48" s="119"/>
      <c r="B48" s="119"/>
      <c r="C48" s="119"/>
      <c r="D48" s="119"/>
    </row>
    <row r="49" spans="1:4" ht="45" customHeight="1" x14ac:dyDescent="0.25">
      <c r="A49" s="119"/>
      <c r="B49" s="119"/>
      <c r="C49" s="119"/>
      <c r="D49" s="119"/>
    </row>
    <row r="50" spans="1:4" ht="16.5" customHeight="1" x14ac:dyDescent="0.25">
      <c r="A50" s="7"/>
      <c r="B50" s="7"/>
      <c r="C50" s="7"/>
      <c r="D50" s="7"/>
    </row>
    <row r="51" spans="1:4" x14ac:dyDescent="0.25">
      <c r="A51" s="4"/>
      <c r="B51" s="4"/>
      <c r="C51" s="4"/>
      <c r="D51" s="4"/>
    </row>
    <row r="52" spans="1:4" x14ac:dyDescent="0.25">
      <c r="A52" s="4"/>
      <c r="B52" s="4"/>
      <c r="C52" s="4"/>
      <c r="D52" s="4"/>
    </row>
  </sheetData>
  <mergeCells count="21">
    <mergeCell ref="A35:D35"/>
    <mergeCell ref="A30:A31"/>
    <mergeCell ref="A32:A33"/>
    <mergeCell ref="A49:D49"/>
    <mergeCell ref="A48:D48"/>
    <mergeCell ref="A1:D1"/>
    <mergeCell ref="C9:C12"/>
    <mergeCell ref="C4:C8"/>
    <mergeCell ref="A4:A12"/>
    <mergeCell ref="A47:D47"/>
    <mergeCell ref="A46:D46"/>
    <mergeCell ref="A43:D43"/>
    <mergeCell ref="A37:D37"/>
    <mergeCell ref="A38:D38"/>
    <mergeCell ref="A44:D44"/>
    <mergeCell ref="A45:D45"/>
    <mergeCell ref="A39:D39"/>
    <mergeCell ref="A42:D42"/>
    <mergeCell ref="C22:C28"/>
    <mergeCell ref="C15:C21"/>
    <mergeCell ref="A15:A28"/>
  </mergeCells>
  <pageMargins left="0" right="0"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9D10E-3A94-4DBF-9311-97D4873CE5A1}">
  <dimension ref="A1:F53"/>
  <sheetViews>
    <sheetView workbookViewId="0">
      <selection activeCell="H1" sqref="H1"/>
    </sheetView>
  </sheetViews>
  <sheetFormatPr defaultRowHeight="15" x14ac:dyDescent="0.25"/>
  <cols>
    <col min="1" max="1" width="15.140625" customWidth="1"/>
    <col min="2" max="2" width="47.28515625" customWidth="1"/>
    <col min="3" max="3" width="13" customWidth="1"/>
    <col min="4" max="4" width="14.140625" customWidth="1"/>
    <col min="5" max="5" width="9.42578125" hidden="1" customWidth="1"/>
    <col min="6" max="6" width="0" hidden="1" customWidth="1"/>
  </cols>
  <sheetData>
    <row r="1" spans="1:6" ht="42" customHeight="1" x14ac:dyDescent="0.3">
      <c r="A1" s="107" t="s">
        <v>43</v>
      </c>
      <c r="B1" s="107"/>
      <c r="C1" s="107"/>
      <c r="D1" s="107"/>
    </row>
    <row r="2" spans="1:6" ht="15.75" thickBot="1" x14ac:dyDescent="0.3">
      <c r="A2" s="3" t="s">
        <v>2</v>
      </c>
      <c r="B2" s="23"/>
      <c r="C2" s="24" t="s">
        <v>3</v>
      </c>
      <c r="D2" s="24" t="s">
        <v>1</v>
      </c>
    </row>
    <row r="3" spans="1:6" ht="15.75" thickBot="1" x14ac:dyDescent="0.3">
      <c r="A3" s="22" t="s">
        <v>13</v>
      </c>
      <c r="B3" s="34" t="s">
        <v>40</v>
      </c>
      <c r="C3" s="35"/>
      <c r="D3" s="36">
        <f>(D10-D9)*D13</f>
        <v>-8249.2898279999863</v>
      </c>
      <c r="E3">
        <f>((E10-D9)*D13)</f>
        <v>-8249.2898279999863</v>
      </c>
    </row>
    <row r="4" spans="1:6" ht="17.25" customHeight="1" x14ac:dyDescent="0.25">
      <c r="A4" s="113" t="s">
        <v>44</v>
      </c>
      <c r="B4" s="32" t="s">
        <v>9</v>
      </c>
      <c r="C4" s="111" t="s">
        <v>4</v>
      </c>
      <c r="D4" s="33">
        <v>35</v>
      </c>
    </row>
    <row r="5" spans="1:6" x14ac:dyDescent="0.25">
      <c r="A5" s="114"/>
      <c r="B5" s="25" t="s">
        <v>37</v>
      </c>
      <c r="C5" s="111"/>
      <c r="D5" s="5">
        <v>15918</v>
      </c>
    </row>
    <row r="6" spans="1:6" x14ac:dyDescent="0.25">
      <c r="A6" s="114"/>
      <c r="B6" s="25" t="s">
        <v>38</v>
      </c>
      <c r="C6" s="111"/>
      <c r="D6" s="5">
        <v>15540</v>
      </c>
      <c r="E6" s="72">
        <f>D5-D8</f>
        <v>15540</v>
      </c>
    </row>
    <row r="7" spans="1:6" ht="16.5" customHeight="1" x14ac:dyDescent="0.25">
      <c r="A7" s="114"/>
      <c r="B7" s="26" t="s">
        <v>33</v>
      </c>
      <c r="C7" s="111"/>
      <c r="D7" s="5">
        <v>0</v>
      </c>
      <c r="E7" t="b">
        <f>E6=D6</f>
        <v>1</v>
      </c>
    </row>
    <row r="8" spans="1:6" ht="14.25" customHeight="1" x14ac:dyDescent="0.25">
      <c r="A8" s="114"/>
      <c r="B8" s="26" t="s">
        <v>34</v>
      </c>
      <c r="C8" s="112"/>
      <c r="D8" s="5">
        <v>378</v>
      </c>
    </row>
    <row r="9" spans="1:6" ht="16.5" customHeight="1" x14ac:dyDescent="0.25">
      <c r="A9" s="114"/>
      <c r="B9" s="25" t="s">
        <v>31</v>
      </c>
      <c r="C9" s="108" t="s">
        <v>6</v>
      </c>
      <c r="D9" s="5">
        <v>164219.98000000001</v>
      </c>
    </row>
    <row r="10" spans="1:6" ht="19.5" customHeight="1" x14ac:dyDescent="0.25">
      <c r="A10" s="114"/>
      <c r="B10" s="25" t="s">
        <v>39</v>
      </c>
      <c r="C10" s="109"/>
      <c r="D10" s="5">
        <f>D9+D11-D12</f>
        <v>160104.80000000002</v>
      </c>
      <c r="E10" s="72">
        <f>D9-E12</f>
        <v>160104.80000000002</v>
      </c>
    </row>
    <row r="11" spans="1:6" ht="17.25" customHeight="1" x14ac:dyDescent="0.25">
      <c r="A11" s="114"/>
      <c r="B11" s="27" t="s">
        <v>35</v>
      </c>
      <c r="C11" s="109"/>
      <c r="D11" s="5"/>
    </row>
    <row r="12" spans="1:6" ht="17.25" customHeight="1" x14ac:dyDescent="0.25">
      <c r="A12" s="115"/>
      <c r="B12" s="27" t="s">
        <v>36</v>
      </c>
      <c r="C12" s="110"/>
      <c r="D12" s="5">
        <v>4115.18</v>
      </c>
      <c r="E12">
        <f>4115.18</f>
        <v>4115.18</v>
      </c>
    </row>
    <row r="13" spans="1:6" ht="30" customHeight="1" thickBot="1" x14ac:dyDescent="0.3">
      <c r="A13" s="39" t="s">
        <v>45</v>
      </c>
      <c r="B13" s="28" t="s">
        <v>32</v>
      </c>
      <c r="C13" s="29" t="s">
        <v>7</v>
      </c>
      <c r="D13" s="30">
        <v>2.0045999999999999</v>
      </c>
      <c r="F13" s="74">
        <f ca="1">atskaites_jedox!AF8</f>
        <v>2.0045999999999999</v>
      </c>
    </row>
    <row r="14" spans="1:6" ht="36" customHeight="1" thickBot="1" x14ac:dyDescent="0.3">
      <c r="A14" s="16" t="s">
        <v>14</v>
      </c>
      <c r="B14" s="19" t="s">
        <v>30</v>
      </c>
      <c r="C14" s="20"/>
      <c r="D14" s="21">
        <f>SUM(D16*D23,D17*D24,D18*D25,D19*D26,D20*D27,D21*D28)</f>
        <v>2574</v>
      </c>
    </row>
    <row r="15" spans="1:6" ht="30" x14ac:dyDescent="0.25">
      <c r="A15" s="123" t="s">
        <v>44</v>
      </c>
      <c r="B15" s="17" t="s">
        <v>28</v>
      </c>
      <c r="C15" s="121" t="s">
        <v>19</v>
      </c>
      <c r="D15" s="18"/>
    </row>
    <row r="16" spans="1:6" x14ac:dyDescent="0.25">
      <c r="A16" s="124"/>
      <c r="B16" s="12" t="s">
        <v>0</v>
      </c>
      <c r="C16" s="121"/>
      <c r="D16" s="6">
        <v>140.4</v>
      </c>
    </row>
    <row r="17" spans="1:6" x14ac:dyDescent="0.25">
      <c r="A17" s="124"/>
      <c r="B17" s="12" t="s">
        <v>10</v>
      </c>
      <c r="C17" s="121"/>
      <c r="D17" s="6"/>
    </row>
    <row r="18" spans="1:6" ht="16.5" customHeight="1" x14ac:dyDescent="0.25">
      <c r="A18" s="124"/>
      <c r="B18" s="13" t="s">
        <v>15</v>
      </c>
      <c r="C18" s="121"/>
      <c r="D18" s="6"/>
    </row>
    <row r="19" spans="1:6" x14ac:dyDescent="0.25">
      <c r="A19" s="124"/>
      <c r="B19" s="12" t="s">
        <v>8</v>
      </c>
      <c r="C19" s="121"/>
      <c r="D19" s="6">
        <v>936</v>
      </c>
    </row>
    <row r="20" spans="1:6" ht="15.75" customHeight="1" x14ac:dyDescent="0.25">
      <c r="A20" s="124"/>
      <c r="B20" s="13" t="s">
        <v>17</v>
      </c>
      <c r="C20" s="121"/>
      <c r="D20" s="6"/>
    </row>
    <row r="21" spans="1:6" ht="15.75" thickBot="1" x14ac:dyDescent="0.3">
      <c r="A21" s="124"/>
      <c r="B21" s="14" t="s">
        <v>11</v>
      </c>
      <c r="C21" s="122"/>
      <c r="D21" s="15"/>
    </row>
    <row r="22" spans="1:6" ht="33.75" customHeight="1" x14ac:dyDescent="0.25">
      <c r="A22" s="124"/>
      <c r="B22" s="10" t="s">
        <v>29</v>
      </c>
      <c r="C22" s="120" t="s">
        <v>20</v>
      </c>
      <c r="D22" s="11"/>
    </row>
    <row r="23" spans="1:6" x14ac:dyDescent="0.25">
      <c r="A23" s="124"/>
      <c r="B23" s="12" t="s">
        <v>0</v>
      </c>
      <c r="C23" s="121"/>
      <c r="D23" s="6">
        <v>5</v>
      </c>
    </row>
    <row r="24" spans="1:6" x14ac:dyDescent="0.25">
      <c r="A24" s="124"/>
      <c r="B24" s="12" t="s">
        <v>10</v>
      </c>
      <c r="C24" s="121"/>
      <c r="D24" s="6"/>
    </row>
    <row r="25" spans="1:6" ht="18.75" customHeight="1" x14ac:dyDescent="0.25">
      <c r="A25" s="124"/>
      <c r="B25" s="13" t="s">
        <v>15</v>
      </c>
      <c r="C25" s="121"/>
      <c r="D25" s="6"/>
    </row>
    <row r="26" spans="1:6" ht="35.25" customHeight="1" x14ac:dyDescent="0.25">
      <c r="A26" s="124"/>
      <c r="B26" s="13" t="s">
        <v>16</v>
      </c>
      <c r="C26" s="121"/>
      <c r="D26" s="6">
        <v>2</v>
      </c>
    </row>
    <row r="27" spans="1:6" ht="33.75" customHeight="1" x14ac:dyDescent="0.25">
      <c r="A27" s="124"/>
      <c r="B27" s="13" t="s">
        <v>18</v>
      </c>
      <c r="C27" s="121"/>
      <c r="D27" s="6"/>
    </row>
    <row r="28" spans="1:6" ht="15.75" thickBot="1" x14ac:dyDescent="0.3">
      <c r="A28" s="125"/>
      <c r="B28" s="14" t="s">
        <v>11</v>
      </c>
      <c r="C28" s="122"/>
      <c r="D28" s="15"/>
    </row>
    <row r="29" spans="1:6" x14ac:dyDescent="0.25">
      <c r="A29" s="31" t="s">
        <v>21</v>
      </c>
      <c r="B29" s="40" t="s">
        <v>42</v>
      </c>
      <c r="C29" s="41"/>
      <c r="D29" s="42">
        <f>((D32/D33)-(D30/D31))*D31</f>
        <v>74237.22406628773</v>
      </c>
    </row>
    <row r="30" spans="1:6" ht="65.25" customHeight="1" x14ac:dyDescent="0.25">
      <c r="A30" s="126" t="s">
        <v>45</v>
      </c>
      <c r="B30" s="43" t="s">
        <v>25</v>
      </c>
      <c r="C30" s="38" t="s">
        <v>24</v>
      </c>
      <c r="D30" s="8">
        <v>88981</v>
      </c>
      <c r="F30" s="73">
        <f ca="1">atskaites_jedox!AD8</f>
        <v>88980.61</v>
      </c>
    </row>
    <row r="31" spans="1:6" ht="15.75" customHeight="1" x14ac:dyDescent="0.25">
      <c r="A31" s="127"/>
      <c r="B31" s="43" t="s">
        <v>41</v>
      </c>
      <c r="C31" s="38" t="s">
        <v>6</v>
      </c>
      <c r="D31" s="8">
        <v>160105</v>
      </c>
      <c r="F31" s="73">
        <f ca="1">atskaites_jedox!AE8</f>
        <v>160104.79999999999</v>
      </c>
    </row>
    <row r="32" spans="1:6" ht="60" x14ac:dyDescent="0.25">
      <c r="A32" s="126" t="s">
        <v>46</v>
      </c>
      <c r="B32" s="43" t="s">
        <v>26</v>
      </c>
      <c r="C32" s="38" t="s">
        <v>24</v>
      </c>
      <c r="D32" s="8">
        <v>165356</v>
      </c>
      <c r="F32" s="73">
        <f ca="1">atskaites_jedox!F8</f>
        <v>165356.45000000001</v>
      </c>
    </row>
    <row r="33" spans="1:6" ht="15.75" thickBot="1" x14ac:dyDescent="0.3">
      <c r="A33" s="127"/>
      <c r="B33" s="44" t="s">
        <v>27</v>
      </c>
      <c r="C33" s="37" t="s">
        <v>6</v>
      </c>
      <c r="D33" s="45">
        <v>162202</v>
      </c>
      <c r="F33" s="73">
        <f ca="1">atskaites_jedox!G8</f>
        <v>162202.15</v>
      </c>
    </row>
    <row r="34" spans="1:6" x14ac:dyDescent="0.25">
      <c r="A34" s="1"/>
      <c r="B34" s="1"/>
      <c r="C34" s="1"/>
      <c r="D34" s="1"/>
    </row>
    <row r="35" spans="1:6" x14ac:dyDescent="0.25">
      <c r="A35" s="1"/>
      <c r="B35" s="1"/>
      <c r="C35" s="1"/>
      <c r="D35" s="1"/>
    </row>
    <row r="36" spans="1:6" x14ac:dyDescent="0.25">
      <c r="A36" s="1"/>
      <c r="B36" s="1"/>
      <c r="C36" s="1"/>
      <c r="D36" s="1"/>
    </row>
    <row r="37" spans="1:6" x14ac:dyDescent="0.25">
      <c r="A37" s="1"/>
      <c r="B37" s="1"/>
      <c r="C37" s="1"/>
      <c r="D37" s="1"/>
    </row>
    <row r="38" spans="1:6" x14ac:dyDescent="0.25">
      <c r="A38" s="1"/>
      <c r="B38" s="1"/>
      <c r="C38" s="1"/>
      <c r="D38" s="1"/>
    </row>
    <row r="39" spans="1:6" ht="32.25" customHeight="1" x14ac:dyDescent="0.25">
      <c r="A39" s="119"/>
      <c r="B39" s="119"/>
      <c r="C39" s="119"/>
      <c r="D39" s="119"/>
    </row>
    <row r="40" spans="1:6" x14ac:dyDescent="0.25">
      <c r="A40" s="4"/>
      <c r="B40" s="4"/>
      <c r="C40" s="4"/>
      <c r="D40" s="4"/>
    </row>
    <row r="41" spans="1:6" ht="33.75" customHeight="1" x14ac:dyDescent="0.25">
      <c r="A41" s="118"/>
      <c r="B41" s="118"/>
      <c r="C41" s="118"/>
      <c r="D41" s="118"/>
    </row>
    <row r="42" spans="1:6" ht="30.75" customHeight="1" x14ac:dyDescent="0.25">
      <c r="A42" s="119"/>
      <c r="B42" s="119"/>
      <c r="C42" s="119"/>
      <c r="D42" s="119"/>
    </row>
    <row r="43" spans="1:6" ht="34.5" customHeight="1" x14ac:dyDescent="0.25">
      <c r="A43" s="119"/>
      <c r="B43" s="119"/>
      <c r="C43" s="119"/>
      <c r="D43" s="119"/>
    </row>
    <row r="44" spans="1:6" x14ac:dyDescent="0.25">
      <c r="A44" s="4"/>
      <c r="B44" s="4"/>
      <c r="C44" s="4"/>
      <c r="D44" s="4"/>
    </row>
    <row r="45" spans="1:6" x14ac:dyDescent="0.25">
      <c r="A45" s="9"/>
      <c r="B45" s="4"/>
      <c r="C45" s="4"/>
      <c r="D45" s="4"/>
    </row>
    <row r="46" spans="1:6" ht="36" customHeight="1" x14ac:dyDescent="0.25">
      <c r="A46" s="119"/>
      <c r="B46" s="119"/>
      <c r="C46" s="119"/>
      <c r="D46" s="119"/>
    </row>
    <row r="47" spans="1:6" ht="33" customHeight="1" x14ac:dyDescent="0.25">
      <c r="A47" s="119"/>
      <c r="B47" s="119"/>
      <c r="C47" s="119"/>
      <c r="D47" s="119"/>
    </row>
    <row r="48" spans="1:6" ht="33" customHeight="1" x14ac:dyDescent="0.25">
      <c r="A48" s="119"/>
      <c r="B48" s="119"/>
      <c r="C48" s="119"/>
      <c r="D48" s="119"/>
    </row>
    <row r="49" spans="1:4" ht="66" customHeight="1" x14ac:dyDescent="0.25">
      <c r="A49" s="119"/>
      <c r="B49" s="119"/>
      <c r="C49" s="119"/>
      <c r="D49" s="119"/>
    </row>
    <row r="50" spans="1:4" ht="36" customHeight="1" x14ac:dyDescent="0.25">
      <c r="A50" s="119"/>
      <c r="B50" s="119"/>
      <c r="C50" s="119"/>
      <c r="D50" s="119"/>
    </row>
    <row r="51" spans="1:4" ht="48.75" customHeight="1" x14ac:dyDescent="0.25">
      <c r="A51" s="128"/>
      <c r="B51" s="128"/>
      <c r="C51" s="128"/>
      <c r="D51" s="128"/>
    </row>
    <row r="52" spans="1:4" ht="35.25" customHeight="1" x14ac:dyDescent="0.25">
      <c r="A52" s="119"/>
      <c r="B52" s="119"/>
      <c r="C52" s="119"/>
      <c r="D52" s="119"/>
    </row>
    <row r="53" spans="1:4" ht="45.75" customHeight="1" x14ac:dyDescent="0.25">
      <c r="A53" s="119"/>
      <c r="B53" s="119"/>
      <c r="C53" s="119"/>
      <c r="D53" s="119"/>
    </row>
  </sheetData>
  <mergeCells count="21">
    <mergeCell ref="A42:D42"/>
    <mergeCell ref="A1:D1"/>
    <mergeCell ref="A4:A12"/>
    <mergeCell ref="C4:C8"/>
    <mergeCell ref="C9:C12"/>
    <mergeCell ref="A15:A28"/>
    <mergeCell ref="C15:C21"/>
    <mergeCell ref="C22:C28"/>
    <mergeCell ref="A30:A31"/>
    <mergeCell ref="A32:A33"/>
    <mergeCell ref="A39:D39"/>
    <mergeCell ref="A41:D41"/>
    <mergeCell ref="A51:D51"/>
    <mergeCell ref="A52:D52"/>
    <mergeCell ref="A53:D53"/>
    <mergeCell ref="A43:D43"/>
    <mergeCell ref="A46:D46"/>
    <mergeCell ref="A47:D47"/>
    <mergeCell ref="A48:D48"/>
    <mergeCell ref="A49:D49"/>
    <mergeCell ref="A50:D50"/>
  </mergeCells>
  <pageMargins left="0.70866141732283472" right="0.70866141732283472" top="0.74803149606299213" bottom="0.74803149606299213"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79B63-749A-4FFB-B4F0-26A8ABE464CA}">
  <dimension ref="A1:E52"/>
  <sheetViews>
    <sheetView workbookViewId="0">
      <selection activeCell="E1" sqref="E1:E1048576"/>
    </sheetView>
  </sheetViews>
  <sheetFormatPr defaultRowHeight="15" x14ac:dyDescent="0.25"/>
  <cols>
    <col min="1" max="1" width="13.28515625" customWidth="1"/>
    <col min="2" max="2" width="43.28515625" customWidth="1"/>
    <col min="3" max="3" width="12.42578125" customWidth="1"/>
    <col min="4" max="4" width="14.28515625" customWidth="1"/>
    <col min="5" max="5" width="0" hidden="1" customWidth="1"/>
  </cols>
  <sheetData>
    <row r="1" spans="1:5" ht="57" customHeight="1" x14ac:dyDescent="0.3">
      <c r="A1" s="107" t="s">
        <v>43</v>
      </c>
      <c r="B1" s="107"/>
      <c r="C1" s="107"/>
      <c r="D1" s="107"/>
    </row>
    <row r="2" spans="1:5" ht="15.75" thickBot="1" x14ac:dyDescent="0.3">
      <c r="A2" s="3" t="s">
        <v>2</v>
      </c>
      <c r="B2" s="23"/>
      <c r="C2" s="24" t="s">
        <v>3</v>
      </c>
      <c r="D2" s="24" t="s">
        <v>1</v>
      </c>
    </row>
    <row r="3" spans="1:5" ht="15.75" thickBot="1" x14ac:dyDescent="0.3">
      <c r="A3" s="22" t="s">
        <v>13</v>
      </c>
      <c r="B3" s="34" t="s">
        <v>40</v>
      </c>
      <c r="C3" s="35"/>
      <c r="D3" s="36">
        <f>(D10-D9)*D13</f>
        <v>0</v>
      </c>
    </row>
    <row r="4" spans="1:5" x14ac:dyDescent="0.25">
      <c r="A4" s="113" t="s">
        <v>47</v>
      </c>
      <c r="B4" s="32" t="s">
        <v>9</v>
      </c>
      <c r="C4" s="111" t="s">
        <v>4</v>
      </c>
      <c r="D4" s="46">
        <v>35</v>
      </c>
    </row>
    <row r="5" spans="1:5" x14ac:dyDescent="0.25">
      <c r="A5" s="114"/>
      <c r="B5" s="25" t="s">
        <v>37</v>
      </c>
      <c r="C5" s="111"/>
      <c r="D5" s="47">
        <v>16353</v>
      </c>
    </row>
    <row r="6" spans="1:5" x14ac:dyDescent="0.25">
      <c r="A6" s="114"/>
      <c r="B6" s="25" t="s">
        <v>38</v>
      </c>
      <c r="C6" s="111"/>
      <c r="D6" s="47">
        <v>16353</v>
      </c>
    </row>
    <row r="7" spans="1:5" x14ac:dyDescent="0.25">
      <c r="A7" s="114"/>
      <c r="B7" s="26" t="s">
        <v>33</v>
      </c>
      <c r="C7" s="111"/>
      <c r="D7" s="47"/>
    </row>
    <row r="8" spans="1:5" x14ac:dyDescent="0.25">
      <c r="A8" s="114"/>
      <c r="B8" s="26" t="s">
        <v>34</v>
      </c>
      <c r="C8" s="112"/>
      <c r="D8" s="47"/>
    </row>
    <row r="9" spans="1:5" x14ac:dyDescent="0.25">
      <c r="A9" s="114"/>
      <c r="B9" s="25" t="s">
        <v>31</v>
      </c>
      <c r="C9" s="108" t="s">
        <v>6</v>
      </c>
      <c r="D9" s="47">
        <v>168637.2</v>
      </c>
    </row>
    <row r="10" spans="1:5" x14ac:dyDescent="0.25">
      <c r="A10" s="114"/>
      <c r="B10" s="25" t="s">
        <v>39</v>
      </c>
      <c r="C10" s="109"/>
      <c r="D10" s="47">
        <v>168637.2</v>
      </c>
    </row>
    <row r="11" spans="1:5" ht="30" x14ac:dyDescent="0.25">
      <c r="A11" s="114"/>
      <c r="B11" s="27" t="s">
        <v>35</v>
      </c>
      <c r="C11" s="109"/>
      <c r="D11" s="48"/>
    </row>
    <row r="12" spans="1:5" x14ac:dyDescent="0.25">
      <c r="A12" s="115"/>
      <c r="B12" s="27" t="s">
        <v>36</v>
      </c>
      <c r="C12" s="110"/>
      <c r="D12" s="48"/>
    </row>
    <row r="13" spans="1:5" ht="30.75" thickBot="1" x14ac:dyDescent="0.3">
      <c r="A13" s="39" t="s">
        <v>48</v>
      </c>
      <c r="B13" s="28" t="s">
        <v>32</v>
      </c>
      <c r="C13" s="29" t="s">
        <v>7</v>
      </c>
      <c r="D13" s="49">
        <v>2.4417</v>
      </c>
      <c r="E13" s="74">
        <f ca="1">atskaites_jedox!AI8</f>
        <v>2.4417</v>
      </c>
    </row>
    <row r="14" spans="1:5" ht="44.25" thickBot="1" x14ac:dyDescent="0.3">
      <c r="A14" s="16" t="s">
        <v>14</v>
      </c>
      <c r="B14" s="19" t="s">
        <v>30</v>
      </c>
      <c r="C14" s="20"/>
      <c r="D14" s="21">
        <f>SUM(D16*D23,D17*D24,D18*D25,D19*D26,D20*D27,D21*D28)</f>
        <v>2730.75</v>
      </c>
    </row>
    <row r="15" spans="1:5" ht="30" x14ac:dyDescent="0.25">
      <c r="A15" s="123" t="s">
        <v>47</v>
      </c>
      <c r="B15" s="17" t="s">
        <v>28</v>
      </c>
      <c r="C15" s="121" t="s">
        <v>19</v>
      </c>
      <c r="D15" s="18"/>
    </row>
    <row r="16" spans="1:5" x14ac:dyDescent="0.25">
      <c r="A16" s="124"/>
      <c r="B16" s="12" t="s">
        <v>0</v>
      </c>
      <c r="C16" s="121"/>
      <c r="D16" s="6">
        <v>148.94999999999999</v>
      </c>
    </row>
    <row r="17" spans="1:5" x14ac:dyDescent="0.25">
      <c r="A17" s="124"/>
      <c r="B17" s="12" t="s">
        <v>10</v>
      </c>
      <c r="C17" s="121"/>
      <c r="D17" s="6"/>
    </row>
    <row r="18" spans="1:5" x14ac:dyDescent="0.25">
      <c r="A18" s="124"/>
      <c r="B18" s="13" t="s">
        <v>15</v>
      </c>
      <c r="C18" s="121"/>
      <c r="D18" s="6"/>
    </row>
    <row r="19" spans="1:5" x14ac:dyDescent="0.25">
      <c r="A19" s="124"/>
      <c r="B19" s="12" t="s">
        <v>8</v>
      </c>
      <c r="C19" s="121"/>
      <c r="D19" s="6">
        <v>993</v>
      </c>
    </row>
    <row r="20" spans="1:5" x14ac:dyDescent="0.25">
      <c r="A20" s="124"/>
      <c r="B20" s="13" t="s">
        <v>17</v>
      </c>
      <c r="C20" s="121"/>
      <c r="D20" s="6"/>
    </row>
    <row r="21" spans="1:5" ht="15.75" thickBot="1" x14ac:dyDescent="0.3">
      <c r="A21" s="124"/>
      <c r="B21" s="14" t="s">
        <v>11</v>
      </c>
      <c r="C21" s="122"/>
      <c r="D21" s="15"/>
    </row>
    <row r="22" spans="1:5" ht="30" x14ac:dyDescent="0.25">
      <c r="A22" s="124"/>
      <c r="B22" s="10" t="s">
        <v>29</v>
      </c>
      <c r="C22" s="120" t="s">
        <v>20</v>
      </c>
      <c r="D22" s="11"/>
    </row>
    <row r="23" spans="1:5" x14ac:dyDescent="0.25">
      <c r="A23" s="124"/>
      <c r="B23" s="12" t="s">
        <v>0</v>
      </c>
      <c r="C23" s="121"/>
      <c r="D23" s="6">
        <v>5</v>
      </c>
    </row>
    <row r="24" spans="1:5" x14ac:dyDescent="0.25">
      <c r="A24" s="124"/>
      <c r="B24" s="12" t="s">
        <v>10</v>
      </c>
      <c r="C24" s="121"/>
      <c r="D24" s="6"/>
    </row>
    <row r="25" spans="1:5" x14ac:dyDescent="0.25">
      <c r="A25" s="124"/>
      <c r="B25" s="13" t="s">
        <v>15</v>
      </c>
      <c r="C25" s="121"/>
      <c r="D25" s="6"/>
    </row>
    <row r="26" spans="1:5" ht="30" x14ac:dyDescent="0.25">
      <c r="A26" s="124"/>
      <c r="B26" s="13" t="s">
        <v>16</v>
      </c>
      <c r="C26" s="121"/>
      <c r="D26" s="6">
        <v>2</v>
      </c>
    </row>
    <row r="27" spans="1:5" ht="30" x14ac:dyDescent="0.25">
      <c r="A27" s="124"/>
      <c r="B27" s="13" t="s">
        <v>18</v>
      </c>
      <c r="C27" s="121"/>
      <c r="D27" s="6"/>
    </row>
    <row r="28" spans="1:5" ht="15.75" thickBot="1" x14ac:dyDescent="0.3">
      <c r="A28" s="125"/>
      <c r="B28" s="14" t="s">
        <v>11</v>
      </c>
      <c r="C28" s="122"/>
      <c r="D28" s="15"/>
    </row>
    <row r="29" spans="1:5" x14ac:dyDescent="0.25">
      <c r="A29" s="31" t="s">
        <v>21</v>
      </c>
      <c r="B29" s="40" t="s">
        <v>42</v>
      </c>
      <c r="C29" s="41"/>
      <c r="D29" s="50">
        <f>((D32/D33)-(D30/D31))*D31</f>
        <v>61569.411661339014</v>
      </c>
    </row>
    <row r="30" spans="1:5" ht="60" x14ac:dyDescent="0.25">
      <c r="A30" s="126" t="s">
        <v>48</v>
      </c>
      <c r="B30" s="43" t="s">
        <v>25</v>
      </c>
      <c r="C30" s="38" t="s">
        <v>24</v>
      </c>
      <c r="D30" s="51">
        <v>99294</v>
      </c>
      <c r="E30" s="73">
        <f ca="1">atskaites_jedox!AG8</f>
        <v>99293.63</v>
      </c>
    </row>
    <row r="31" spans="1:5" x14ac:dyDescent="0.25">
      <c r="A31" s="127"/>
      <c r="B31" s="43" t="s">
        <v>41</v>
      </c>
      <c r="C31" s="38" t="s">
        <v>6</v>
      </c>
      <c r="D31" s="51">
        <v>168637.2</v>
      </c>
      <c r="E31" s="73">
        <f ca="1">atskaites_jedox!AH8</f>
        <v>168637.2</v>
      </c>
    </row>
    <row r="32" spans="1:5" ht="60" x14ac:dyDescent="0.25">
      <c r="A32" s="126" t="s">
        <v>49</v>
      </c>
      <c r="B32" s="43" t="s">
        <v>26</v>
      </c>
      <c r="C32" s="38" t="s">
        <v>24</v>
      </c>
      <c r="D32" s="51">
        <v>160247</v>
      </c>
      <c r="E32" s="73">
        <f ca="1">atskaites_jedox!I8</f>
        <v>160246.99</v>
      </c>
    </row>
    <row r="33" spans="1:5" ht="15.75" thickBot="1" x14ac:dyDescent="0.3">
      <c r="A33" s="127"/>
      <c r="B33" s="44" t="s">
        <v>27</v>
      </c>
      <c r="C33" s="37" t="s">
        <v>6</v>
      </c>
      <c r="D33" s="52">
        <v>167991</v>
      </c>
      <c r="E33" s="73">
        <f ca="1">atskaites_jedox!J8</f>
        <v>167991</v>
      </c>
    </row>
    <row r="34" spans="1:5" x14ac:dyDescent="0.25">
      <c r="A34" s="1"/>
      <c r="B34" s="1"/>
      <c r="C34" s="1"/>
      <c r="D34" s="1"/>
    </row>
    <row r="35" spans="1:5" x14ac:dyDescent="0.25">
      <c r="A35" s="1"/>
      <c r="B35" s="1"/>
      <c r="C35" s="1"/>
      <c r="D35" s="1"/>
    </row>
    <row r="36" spans="1:5" x14ac:dyDescent="0.25">
      <c r="A36" s="1"/>
      <c r="B36" s="1"/>
      <c r="C36" s="1"/>
      <c r="D36" s="1"/>
    </row>
    <row r="37" spans="1:5" x14ac:dyDescent="0.25">
      <c r="A37" s="1" t="s">
        <v>50</v>
      </c>
      <c r="B37" s="1"/>
      <c r="C37" s="1"/>
      <c r="D37" s="1"/>
    </row>
    <row r="38" spans="1:5" x14ac:dyDescent="0.25">
      <c r="A38" s="119" t="s">
        <v>51</v>
      </c>
      <c r="B38" s="119"/>
      <c r="C38" s="119"/>
      <c r="D38" s="119"/>
    </row>
    <row r="39" spans="1:5" x14ac:dyDescent="0.25">
      <c r="A39" s="4" t="s">
        <v>52</v>
      </c>
      <c r="B39" s="4"/>
      <c r="C39" s="4"/>
      <c r="D39" s="4"/>
    </row>
    <row r="40" spans="1:5" x14ac:dyDescent="0.25">
      <c r="A40" s="118" t="s">
        <v>53</v>
      </c>
      <c r="B40" s="118"/>
      <c r="C40" s="118"/>
      <c r="D40" s="118"/>
    </row>
    <row r="41" spans="1:5" x14ac:dyDescent="0.25">
      <c r="A41" s="119" t="s">
        <v>54</v>
      </c>
      <c r="B41" s="119"/>
      <c r="C41" s="119"/>
      <c r="D41" s="119"/>
    </row>
    <row r="42" spans="1:5" x14ac:dyDescent="0.25">
      <c r="A42" s="119" t="s">
        <v>55</v>
      </c>
      <c r="B42" s="119"/>
      <c r="C42" s="119"/>
      <c r="D42" s="119"/>
    </row>
    <row r="43" spans="1:5" x14ac:dyDescent="0.25">
      <c r="A43" s="4"/>
      <c r="B43" s="4"/>
      <c r="C43" s="4"/>
      <c r="D43" s="4"/>
    </row>
    <row r="44" spans="1:5" x14ac:dyDescent="0.25">
      <c r="A44" s="9" t="s">
        <v>56</v>
      </c>
      <c r="B44" s="4"/>
      <c r="C44" s="4"/>
      <c r="D44" s="4"/>
    </row>
    <row r="45" spans="1:5" x14ac:dyDescent="0.25">
      <c r="A45" s="119" t="s">
        <v>57</v>
      </c>
      <c r="B45" s="119"/>
      <c r="C45" s="119"/>
      <c r="D45" s="119"/>
    </row>
    <row r="46" spans="1:5" x14ac:dyDescent="0.25">
      <c r="A46" s="119" t="s">
        <v>58</v>
      </c>
      <c r="B46" s="119"/>
      <c r="C46" s="119"/>
      <c r="D46" s="119"/>
    </row>
    <row r="47" spans="1:5" x14ac:dyDescent="0.25">
      <c r="A47" s="119" t="s">
        <v>59</v>
      </c>
      <c r="B47" s="119"/>
      <c r="C47" s="119"/>
      <c r="D47" s="119"/>
    </row>
    <row r="48" spans="1:5" x14ac:dyDescent="0.25">
      <c r="A48" s="119" t="s">
        <v>60</v>
      </c>
      <c r="B48" s="119"/>
      <c r="C48" s="119"/>
      <c r="D48" s="119"/>
    </row>
    <row r="49" spans="1:4" x14ac:dyDescent="0.25">
      <c r="A49" s="119" t="s">
        <v>61</v>
      </c>
      <c r="B49" s="119"/>
      <c r="C49" s="119"/>
      <c r="D49" s="119"/>
    </row>
    <row r="50" spans="1:4" x14ac:dyDescent="0.25">
      <c r="A50" s="128" t="s">
        <v>62</v>
      </c>
      <c r="B50" s="128"/>
      <c r="C50" s="128"/>
      <c r="D50" s="128"/>
    </row>
    <row r="51" spans="1:4" x14ac:dyDescent="0.25">
      <c r="A51" s="119" t="s">
        <v>63</v>
      </c>
      <c r="B51" s="119"/>
      <c r="C51" s="119"/>
      <c r="D51" s="119"/>
    </row>
    <row r="52" spans="1:4" x14ac:dyDescent="0.25">
      <c r="A52" s="119" t="s">
        <v>64</v>
      </c>
      <c r="B52" s="119"/>
      <c r="C52" s="119"/>
      <c r="D52" s="119"/>
    </row>
  </sheetData>
  <mergeCells count="21">
    <mergeCell ref="A42:D42"/>
    <mergeCell ref="A1:D1"/>
    <mergeCell ref="A4:A12"/>
    <mergeCell ref="C4:C8"/>
    <mergeCell ref="C9:C12"/>
    <mergeCell ref="A15:A28"/>
    <mergeCell ref="C15:C21"/>
    <mergeCell ref="C22:C28"/>
    <mergeCell ref="A30:A31"/>
    <mergeCell ref="A32:A33"/>
    <mergeCell ref="A38:D38"/>
    <mergeCell ref="A40:D40"/>
    <mergeCell ref="A41:D41"/>
    <mergeCell ref="A51:D51"/>
    <mergeCell ref="A52:D52"/>
    <mergeCell ref="A45:D45"/>
    <mergeCell ref="A46:D46"/>
    <mergeCell ref="A47:D47"/>
    <mergeCell ref="A48:D48"/>
    <mergeCell ref="A49:D49"/>
    <mergeCell ref="A50:D50"/>
  </mergeCells>
  <pageMargins left="0.70866141732283472" right="0.70866141732283472" top="0.74803149606299213" bottom="0.74803149606299213"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25B4A-2F57-4BA0-BDA4-1572321F5145}">
  <dimension ref="A1:F49"/>
  <sheetViews>
    <sheetView workbookViewId="0">
      <selection activeCell="F22" sqref="F1:F1048576"/>
    </sheetView>
  </sheetViews>
  <sheetFormatPr defaultRowHeight="15" x14ac:dyDescent="0.25"/>
  <cols>
    <col min="1" max="1" width="12.5703125" customWidth="1"/>
    <col min="2" max="2" width="35.5703125" customWidth="1"/>
    <col min="3" max="3" width="9.42578125" customWidth="1"/>
    <col min="4" max="4" width="9.85546875" customWidth="1"/>
    <col min="5" max="6" width="0" hidden="1" customWidth="1"/>
  </cols>
  <sheetData>
    <row r="1" spans="1:5" ht="31.35" customHeight="1" x14ac:dyDescent="0.3">
      <c r="A1" s="107" t="s">
        <v>43</v>
      </c>
      <c r="B1" s="107"/>
      <c r="C1" s="107"/>
      <c r="D1" s="107"/>
    </row>
    <row r="2" spans="1:5" ht="15.75" thickBot="1" x14ac:dyDescent="0.3">
      <c r="A2" s="3" t="s">
        <v>2</v>
      </c>
      <c r="B2" s="23"/>
      <c r="C2" s="24" t="s">
        <v>3</v>
      </c>
      <c r="D2" s="24" t="s">
        <v>1</v>
      </c>
    </row>
    <row r="3" spans="1:5" ht="15.75" thickBot="1" x14ac:dyDescent="0.3">
      <c r="A3" s="22" t="s">
        <v>13</v>
      </c>
      <c r="B3" s="34" t="s">
        <v>40</v>
      </c>
      <c r="C3" s="35"/>
      <c r="D3" s="36">
        <f>(D10-D9)*D13</f>
        <v>0</v>
      </c>
    </row>
    <row r="4" spans="1:5" x14ac:dyDescent="0.25">
      <c r="A4" s="113" t="s">
        <v>65</v>
      </c>
      <c r="B4" s="32" t="s">
        <v>9</v>
      </c>
      <c r="C4" s="111" t="s">
        <v>4</v>
      </c>
      <c r="D4" s="46">
        <v>35</v>
      </c>
    </row>
    <row r="5" spans="1:5" x14ac:dyDescent="0.25">
      <c r="A5" s="114"/>
      <c r="B5" s="25" t="s">
        <v>37</v>
      </c>
      <c r="C5" s="111"/>
      <c r="D5" s="47">
        <v>15853</v>
      </c>
    </row>
    <row r="6" spans="1:5" x14ac:dyDescent="0.25">
      <c r="A6" s="114"/>
      <c r="B6" s="25" t="s">
        <v>38</v>
      </c>
      <c r="C6" s="111"/>
      <c r="D6" s="47">
        <v>15853</v>
      </c>
    </row>
    <row r="7" spans="1:5" x14ac:dyDescent="0.25">
      <c r="A7" s="114"/>
      <c r="B7" s="26" t="s">
        <v>33</v>
      </c>
      <c r="C7" s="111"/>
      <c r="D7" s="47"/>
    </row>
    <row r="8" spans="1:5" x14ac:dyDescent="0.25">
      <c r="A8" s="114"/>
      <c r="B8" s="26" t="s">
        <v>34</v>
      </c>
      <c r="C8" s="112"/>
      <c r="D8" s="47"/>
    </row>
    <row r="9" spans="1:5" x14ac:dyDescent="0.25">
      <c r="A9" s="114"/>
      <c r="B9" s="25" t="s">
        <v>31</v>
      </c>
      <c r="C9" s="108" t="s">
        <v>6</v>
      </c>
      <c r="D9" s="47">
        <v>163503.35999999999</v>
      </c>
    </row>
    <row r="10" spans="1:5" x14ac:dyDescent="0.25">
      <c r="A10" s="114"/>
      <c r="B10" s="25" t="s">
        <v>39</v>
      </c>
      <c r="C10" s="109"/>
      <c r="D10" s="47">
        <v>163503.35999999999</v>
      </c>
      <c r="E10" s="73">
        <f ca="1">atskaites_jedox!AK8</f>
        <v>163503.35999999999</v>
      </c>
    </row>
    <row r="11" spans="1:5" ht="30" x14ac:dyDescent="0.25">
      <c r="A11" s="114"/>
      <c r="B11" s="27" t="s">
        <v>35</v>
      </c>
      <c r="C11" s="109"/>
      <c r="D11" s="47"/>
    </row>
    <row r="12" spans="1:5" ht="30" x14ac:dyDescent="0.25">
      <c r="A12" s="115"/>
      <c r="B12" s="27" t="s">
        <v>36</v>
      </c>
      <c r="C12" s="110"/>
      <c r="D12" s="47"/>
    </row>
    <row r="13" spans="1:5" ht="30.75" thickBot="1" x14ac:dyDescent="0.3">
      <c r="A13" s="39" t="s">
        <v>66</v>
      </c>
      <c r="B13" s="28" t="s">
        <v>32</v>
      </c>
      <c r="C13" s="29" t="s">
        <v>7</v>
      </c>
      <c r="D13" s="49">
        <v>2.2263999999999999</v>
      </c>
      <c r="E13" s="74">
        <f ca="1">atskaites_jedox!AL8</f>
        <v>2.2263999999999999</v>
      </c>
    </row>
    <row r="14" spans="1:5" ht="44.25" thickBot="1" x14ac:dyDescent="0.3">
      <c r="A14" s="16" t="s">
        <v>14</v>
      </c>
      <c r="B14" s="19" t="s">
        <v>30</v>
      </c>
      <c r="C14" s="20"/>
      <c r="D14" s="21">
        <f>SUM(D16*D23,D17*D24,D18*D25,D19*D26,D20*D27,D21*D28)</f>
        <v>2623.5</v>
      </c>
    </row>
    <row r="15" spans="1:5" ht="30" x14ac:dyDescent="0.25">
      <c r="A15" s="123" t="s">
        <v>65</v>
      </c>
      <c r="B15" s="17" t="s">
        <v>28</v>
      </c>
      <c r="C15" s="121" t="s">
        <v>19</v>
      </c>
      <c r="D15" s="18"/>
    </row>
    <row r="16" spans="1:5" x14ac:dyDescent="0.25">
      <c r="A16" s="124"/>
      <c r="B16" s="12" t="s">
        <v>0</v>
      </c>
      <c r="C16" s="121"/>
      <c r="D16" s="6">
        <v>143.1</v>
      </c>
    </row>
    <row r="17" spans="1:6" x14ac:dyDescent="0.25">
      <c r="A17" s="124"/>
      <c r="B17" s="12" t="s">
        <v>10</v>
      </c>
      <c r="C17" s="121"/>
      <c r="D17" s="6"/>
    </row>
    <row r="18" spans="1:6" ht="30" x14ac:dyDescent="0.25">
      <c r="A18" s="124"/>
      <c r="B18" s="13" t="s">
        <v>15</v>
      </c>
      <c r="C18" s="121"/>
      <c r="D18" s="6"/>
    </row>
    <row r="19" spans="1:6" x14ac:dyDescent="0.25">
      <c r="A19" s="124"/>
      <c r="B19" s="12" t="s">
        <v>8</v>
      </c>
      <c r="C19" s="121"/>
      <c r="D19" s="6">
        <v>954</v>
      </c>
    </row>
    <row r="20" spans="1:6" x14ac:dyDescent="0.25">
      <c r="A20" s="124"/>
      <c r="B20" s="13" t="s">
        <v>17</v>
      </c>
      <c r="C20" s="121"/>
      <c r="D20" s="6"/>
    </row>
    <row r="21" spans="1:6" ht="15.75" thickBot="1" x14ac:dyDescent="0.3">
      <c r="A21" s="124"/>
      <c r="B21" s="14" t="s">
        <v>11</v>
      </c>
      <c r="C21" s="122"/>
      <c r="D21" s="15"/>
    </row>
    <row r="22" spans="1:6" ht="30" x14ac:dyDescent="0.25">
      <c r="A22" s="124"/>
      <c r="B22" s="10" t="s">
        <v>29</v>
      </c>
      <c r="C22" s="120" t="s">
        <v>20</v>
      </c>
      <c r="D22" s="11"/>
    </row>
    <row r="23" spans="1:6" x14ac:dyDescent="0.25">
      <c r="A23" s="124"/>
      <c r="B23" s="12" t="s">
        <v>0</v>
      </c>
      <c r="C23" s="121"/>
      <c r="D23" s="6">
        <v>5</v>
      </c>
    </row>
    <row r="24" spans="1:6" x14ac:dyDescent="0.25">
      <c r="A24" s="124"/>
      <c r="B24" s="12" t="s">
        <v>10</v>
      </c>
      <c r="C24" s="121"/>
      <c r="D24" s="6"/>
    </row>
    <row r="25" spans="1:6" ht="30" x14ac:dyDescent="0.25">
      <c r="A25" s="124"/>
      <c r="B25" s="13" t="s">
        <v>15</v>
      </c>
      <c r="C25" s="121"/>
      <c r="D25" s="6"/>
    </row>
    <row r="26" spans="1:6" ht="30" x14ac:dyDescent="0.25">
      <c r="A26" s="124"/>
      <c r="B26" s="13" t="s">
        <v>16</v>
      </c>
      <c r="C26" s="121"/>
      <c r="D26" s="6">
        <v>2</v>
      </c>
    </row>
    <row r="27" spans="1:6" ht="30" x14ac:dyDescent="0.25">
      <c r="A27" s="124"/>
      <c r="B27" s="13" t="s">
        <v>18</v>
      </c>
      <c r="C27" s="121"/>
      <c r="D27" s="6"/>
    </row>
    <row r="28" spans="1:6" ht="15.75" thickBot="1" x14ac:dyDescent="0.3">
      <c r="A28" s="125"/>
      <c r="B28" s="14" t="s">
        <v>11</v>
      </c>
      <c r="C28" s="122"/>
      <c r="D28" s="15"/>
    </row>
    <row r="29" spans="1:6" x14ac:dyDescent="0.25">
      <c r="A29" s="31" t="s">
        <v>21</v>
      </c>
      <c r="B29" s="40" t="s">
        <v>42</v>
      </c>
      <c r="C29" s="41"/>
      <c r="D29" s="50">
        <f>((D32/D33)-(D30/D31))*D31</f>
        <v>42779.919840287475</v>
      </c>
    </row>
    <row r="30" spans="1:6" ht="75" x14ac:dyDescent="0.25">
      <c r="A30" s="126" t="s">
        <v>66</v>
      </c>
      <c r="B30" s="43" t="s">
        <v>25</v>
      </c>
      <c r="C30" s="38" t="s">
        <v>24</v>
      </c>
      <c r="D30" s="51">
        <v>91767</v>
      </c>
      <c r="E30" s="73">
        <f ca="1">atskaites_jedox!AJ8</f>
        <v>91767.47</v>
      </c>
    </row>
    <row r="31" spans="1:6" x14ac:dyDescent="0.25">
      <c r="A31" s="127"/>
      <c r="B31" s="43" t="s">
        <v>41</v>
      </c>
      <c r="C31" s="38" t="s">
        <v>6</v>
      </c>
      <c r="D31" s="51">
        <v>163503.35999999999</v>
      </c>
      <c r="E31" s="73">
        <f ca="1">atskaites_jedox!AK8</f>
        <v>163503.35999999999</v>
      </c>
      <c r="F31" t="b">
        <f>D31=D10</f>
        <v>1</v>
      </c>
    </row>
    <row r="32" spans="1:6" ht="75" x14ac:dyDescent="0.25">
      <c r="A32" s="126" t="s">
        <v>67</v>
      </c>
      <c r="B32" s="43" t="s">
        <v>26</v>
      </c>
      <c r="C32" s="38" t="s">
        <v>24</v>
      </c>
      <c r="D32" s="51">
        <v>131901</v>
      </c>
      <c r="E32" s="73">
        <f ca="1">atskaites_jedox!L8</f>
        <v>131900.82</v>
      </c>
    </row>
    <row r="33" spans="1:5" ht="15.75" thickBot="1" x14ac:dyDescent="0.3">
      <c r="A33" s="127"/>
      <c r="B33" s="44" t="s">
        <v>27</v>
      </c>
      <c r="C33" s="37" t="s">
        <v>6</v>
      </c>
      <c r="D33" s="52">
        <v>160288</v>
      </c>
      <c r="E33" s="73">
        <f ca="1">atskaites_jedox!M8</f>
        <v>160287.84</v>
      </c>
    </row>
    <row r="34" spans="1:5" x14ac:dyDescent="0.25">
      <c r="A34" s="1"/>
      <c r="B34" s="1"/>
      <c r="C34" s="1"/>
      <c r="D34" s="1"/>
    </row>
    <row r="35" spans="1:5" x14ac:dyDescent="0.25">
      <c r="A35" s="119"/>
      <c r="B35" s="119"/>
      <c r="C35" s="119"/>
      <c r="D35" s="119"/>
    </row>
    <row r="36" spans="1:5" x14ac:dyDescent="0.25">
      <c r="A36" s="4"/>
      <c r="B36" s="4"/>
      <c r="C36" s="4"/>
      <c r="D36" s="4"/>
    </row>
    <row r="37" spans="1:5" x14ac:dyDescent="0.25">
      <c r="A37" s="118"/>
      <c r="B37" s="118"/>
      <c r="C37" s="118"/>
      <c r="D37" s="118"/>
    </row>
    <row r="38" spans="1:5" x14ac:dyDescent="0.25">
      <c r="A38" s="119"/>
      <c r="B38" s="119"/>
      <c r="C38" s="119"/>
      <c r="D38" s="119"/>
    </row>
    <row r="39" spans="1:5" x14ac:dyDescent="0.25">
      <c r="A39" s="119"/>
      <c r="B39" s="119"/>
      <c r="C39" s="119"/>
      <c r="D39" s="119"/>
    </row>
    <row r="40" spans="1:5" x14ac:dyDescent="0.25">
      <c r="A40" s="4"/>
      <c r="B40" s="4"/>
      <c r="C40" s="4"/>
      <c r="D40" s="4"/>
    </row>
    <row r="41" spans="1:5" x14ac:dyDescent="0.25">
      <c r="A41" s="9"/>
      <c r="B41" s="4"/>
      <c r="C41" s="4"/>
      <c r="D41" s="4"/>
    </row>
    <row r="42" spans="1:5" x14ac:dyDescent="0.25">
      <c r="A42" s="119"/>
      <c r="B42" s="119"/>
      <c r="C42" s="119"/>
      <c r="D42" s="119"/>
    </row>
    <row r="43" spans="1:5" x14ac:dyDescent="0.25">
      <c r="A43" s="119"/>
      <c r="B43" s="119"/>
      <c r="C43" s="119"/>
      <c r="D43" s="119"/>
    </row>
    <row r="44" spans="1:5" x14ac:dyDescent="0.25">
      <c r="A44" s="119"/>
      <c r="B44" s="119"/>
      <c r="C44" s="119"/>
      <c r="D44" s="119"/>
    </row>
    <row r="45" spans="1:5" x14ac:dyDescent="0.25">
      <c r="A45" s="119"/>
      <c r="B45" s="119"/>
      <c r="C45" s="119"/>
      <c r="D45" s="119"/>
    </row>
    <row r="46" spans="1:5" x14ac:dyDescent="0.25">
      <c r="A46" s="119"/>
      <c r="B46" s="119"/>
      <c r="C46" s="119"/>
      <c r="D46" s="119"/>
    </row>
    <row r="47" spans="1:5" x14ac:dyDescent="0.25">
      <c r="A47" s="128"/>
      <c r="B47" s="128"/>
      <c r="C47" s="128"/>
      <c r="D47" s="128"/>
    </row>
    <row r="48" spans="1:5" x14ac:dyDescent="0.25">
      <c r="A48" s="119"/>
      <c r="B48" s="119"/>
      <c r="C48" s="119"/>
      <c r="D48" s="119"/>
    </row>
    <row r="49" spans="1:4" x14ac:dyDescent="0.25">
      <c r="A49" s="119"/>
      <c r="B49" s="119"/>
      <c r="C49" s="119"/>
      <c r="D49" s="119"/>
    </row>
  </sheetData>
  <mergeCells count="21">
    <mergeCell ref="A38:D38"/>
    <mergeCell ref="A1:D1"/>
    <mergeCell ref="A4:A12"/>
    <mergeCell ref="C4:C8"/>
    <mergeCell ref="C9:C12"/>
    <mergeCell ref="A15:A28"/>
    <mergeCell ref="C15:C21"/>
    <mergeCell ref="C22:C28"/>
    <mergeCell ref="A30:A31"/>
    <mergeCell ref="A32:A33"/>
    <mergeCell ref="A35:D35"/>
    <mergeCell ref="A37:D37"/>
    <mergeCell ref="A47:D47"/>
    <mergeCell ref="A48:D48"/>
    <mergeCell ref="A49:D49"/>
    <mergeCell ref="A39:D39"/>
    <mergeCell ref="A42:D42"/>
    <mergeCell ref="A43:D43"/>
    <mergeCell ref="A44:D44"/>
    <mergeCell ref="A45:D45"/>
    <mergeCell ref="A46:D46"/>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8E49E1-3ECE-40E1-B36E-454E12187144}">
  <dimension ref="A3:F8"/>
  <sheetViews>
    <sheetView tabSelected="1" zoomScale="80" zoomScaleNormal="80" workbookViewId="0">
      <selection activeCell="A11" sqref="A11"/>
    </sheetView>
  </sheetViews>
  <sheetFormatPr defaultRowHeight="15" x14ac:dyDescent="0.25"/>
  <cols>
    <col min="1" max="1" width="80.85546875" customWidth="1"/>
    <col min="2" max="6" width="16.5703125" customWidth="1"/>
  </cols>
  <sheetData>
    <row r="3" spans="1:6" x14ac:dyDescent="0.25">
      <c r="A3" s="85" t="s">
        <v>102</v>
      </c>
      <c r="B3" s="85" t="s">
        <v>101</v>
      </c>
    </row>
    <row r="4" spans="1:6" ht="30" x14ac:dyDescent="0.25">
      <c r="A4" s="85" t="s">
        <v>99</v>
      </c>
      <c r="B4" s="103" t="s">
        <v>5</v>
      </c>
      <c r="C4" t="s">
        <v>84</v>
      </c>
      <c r="D4" t="s">
        <v>89</v>
      </c>
      <c r="E4" t="s">
        <v>90</v>
      </c>
      <c r="F4" t="s">
        <v>100</v>
      </c>
    </row>
    <row r="5" spans="1:6" ht="37.5" customHeight="1" x14ac:dyDescent="0.25">
      <c r="A5" s="104" t="s">
        <v>81</v>
      </c>
      <c r="B5" s="105">
        <v>0</v>
      </c>
      <c r="C5" s="105">
        <v>-8249.2898279999863</v>
      </c>
      <c r="D5" s="105">
        <v>0</v>
      </c>
      <c r="E5" s="105">
        <v>0</v>
      </c>
      <c r="F5" s="106">
        <v>-8249.2898279999863</v>
      </c>
    </row>
    <row r="6" spans="1:6" ht="58.5" customHeight="1" x14ac:dyDescent="0.25">
      <c r="A6" s="104" t="s">
        <v>82</v>
      </c>
      <c r="B6" s="105">
        <v>1493</v>
      </c>
      <c r="C6" s="105">
        <v>2574</v>
      </c>
      <c r="D6" s="105">
        <v>2730.75</v>
      </c>
      <c r="E6" s="105">
        <v>2623.5</v>
      </c>
      <c r="F6" s="106">
        <v>9421.25</v>
      </c>
    </row>
    <row r="7" spans="1:6" ht="37.5" customHeight="1" x14ac:dyDescent="0.25">
      <c r="A7" s="104" t="s">
        <v>83</v>
      </c>
      <c r="B7" s="105">
        <v>36813.68052597058</v>
      </c>
      <c r="C7" s="105">
        <v>74237.22406628773</v>
      </c>
      <c r="D7" s="105">
        <v>61569.411661339014</v>
      </c>
      <c r="E7" s="105">
        <v>42779.919840287475</v>
      </c>
      <c r="F7" s="106">
        <v>215400.2360938848</v>
      </c>
    </row>
    <row r="8" spans="1:6" x14ac:dyDescent="0.25">
      <c r="A8" s="86" t="s">
        <v>100</v>
      </c>
      <c r="B8" s="74">
        <v>38306.68052597058</v>
      </c>
      <c r="C8" s="74">
        <v>68561.934238287737</v>
      </c>
      <c r="D8" s="74">
        <v>64300.161661339014</v>
      </c>
      <c r="E8" s="74">
        <v>45403.419840287475</v>
      </c>
      <c r="F8" s="74">
        <v>216572.19626588482</v>
      </c>
    </row>
  </sheetData>
  <pageMargins left="0.7" right="0.7" top="0.75" bottom="0.75" header="0.3" footer="0.3"/>
  <pageSetup paperSize="9" orientation="portrait" horizontalDpi="300" verticalDpi="300"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538B7-5B15-4FB1-87DE-32C12DD8527D}">
  <dimension ref="B1:G129"/>
  <sheetViews>
    <sheetView zoomScale="80" zoomScaleNormal="80" workbookViewId="0">
      <pane ySplit="5" topLeftCell="A6" activePane="bottomLeft" state="frozen"/>
      <selection pane="bottomLeft" activeCell="O20" sqref="O20"/>
    </sheetView>
  </sheetViews>
  <sheetFormatPr defaultRowHeight="15" x14ac:dyDescent="0.25"/>
  <cols>
    <col min="1" max="1" width="5.42578125" customWidth="1"/>
    <col min="2" max="2" width="49.28515625" customWidth="1"/>
    <col min="3" max="3" width="37.5703125" customWidth="1"/>
    <col min="4" max="4" width="13.42578125" style="94" customWidth="1"/>
    <col min="5" max="5" width="18.42578125" bestFit="1" customWidth="1"/>
    <col min="6" max="6" width="13.7109375" customWidth="1"/>
    <col min="7" max="7" width="23.42578125" bestFit="1" customWidth="1"/>
  </cols>
  <sheetData>
    <row r="1" spans="2:7" x14ac:dyDescent="0.25">
      <c r="B1" s="129" t="s">
        <v>43</v>
      </c>
      <c r="C1" s="129"/>
      <c r="D1" s="129"/>
      <c r="E1" s="129"/>
      <c r="F1" s="129"/>
      <c r="G1" s="129"/>
    </row>
    <row r="2" spans="2:7" x14ac:dyDescent="0.25">
      <c r="B2" s="129"/>
      <c r="C2" s="129"/>
      <c r="D2" s="129"/>
      <c r="E2" s="129"/>
      <c r="F2" s="129"/>
      <c r="G2" s="129"/>
    </row>
    <row r="5" spans="2:7" ht="15.75" x14ac:dyDescent="0.25">
      <c r="B5" s="87" t="s">
        <v>73</v>
      </c>
      <c r="C5" s="87" t="s">
        <v>3</v>
      </c>
      <c r="D5" s="95" t="s">
        <v>71</v>
      </c>
      <c r="E5" s="87" t="s">
        <v>74</v>
      </c>
      <c r="F5" s="87" t="s">
        <v>72</v>
      </c>
      <c r="G5" s="87" t="s">
        <v>2</v>
      </c>
    </row>
    <row r="6" spans="2:7" ht="42.75" x14ac:dyDescent="0.25">
      <c r="B6" s="75" t="s">
        <v>81</v>
      </c>
      <c r="C6" s="76"/>
      <c r="D6" s="96">
        <v>0</v>
      </c>
      <c r="E6" s="70" t="s">
        <v>75</v>
      </c>
      <c r="F6" s="70" t="s">
        <v>76</v>
      </c>
      <c r="G6" s="70" t="s">
        <v>5</v>
      </c>
    </row>
    <row r="7" spans="2:7" x14ac:dyDescent="0.25">
      <c r="B7" s="78" t="s">
        <v>9</v>
      </c>
      <c r="C7" s="69" t="s">
        <v>4</v>
      </c>
      <c r="D7" s="97">
        <v>35</v>
      </c>
      <c r="E7" s="70" t="s">
        <v>75</v>
      </c>
      <c r="F7" s="70" t="s">
        <v>76</v>
      </c>
      <c r="G7" s="70" t="s">
        <v>5</v>
      </c>
    </row>
    <row r="8" spans="2:7" x14ac:dyDescent="0.25">
      <c r="B8" s="79" t="s">
        <v>37</v>
      </c>
      <c r="C8" s="69" t="s">
        <v>4</v>
      </c>
      <c r="D8" s="97">
        <v>10765</v>
      </c>
      <c r="E8" s="70" t="s">
        <v>75</v>
      </c>
      <c r="F8" s="70" t="s">
        <v>76</v>
      </c>
      <c r="G8" s="70" t="s">
        <v>5</v>
      </c>
    </row>
    <row r="9" spans="2:7" x14ac:dyDescent="0.25">
      <c r="B9" s="79" t="s">
        <v>38</v>
      </c>
      <c r="C9" s="69" t="s">
        <v>4</v>
      </c>
      <c r="D9" s="97">
        <v>10765</v>
      </c>
      <c r="E9" s="70" t="s">
        <v>75</v>
      </c>
      <c r="F9" s="70" t="s">
        <v>76</v>
      </c>
      <c r="G9" s="70" t="s">
        <v>5</v>
      </c>
    </row>
    <row r="10" spans="2:7" x14ac:dyDescent="0.25">
      <c r="B10" s="80" t="s">
        <v>33</v>
      </c>
      <c r="C10" s="69" t="s">
        <v>4</v>
      </c>
      <c r="D10" s="97">
        <v>0</v>
      </c>
      <c r="E10" s="70" t="s">
        <v>75</v>
      </c>
      <c r="F10" s="70" t="s">
        <v>76</v>
      </c>
      <c r="G10" s="70" t="s">
        <v>5</v>
      </c>
    </row>
    <row r="11" spans="2:7" x14ac:dyDescent="0.25">
      <c r="B11" s="80" t="s">
        <v>34</v>
      </c>
      <c r="C11" s="69" t="s">
        <v>4</v>
      </c>
      <c r="D11" s="97">
        <v>0</v>
      </c>
      <c r="E11" s="70" t="s">
        <v>75</v>
      </c>
      <c r="F11" s="70" t="s">
        <v>76</v>
      </c>
      <c r="G11" s="70" t="s">
        <v>5</v>
      </c>
    </row>
    <row r="12" spans="2:7" x14ac:dyDescent="0.25">
      <c r="B12" s="79" t="s">
        <v>31</v>
      </c>
      <c r="C12" s="68" t="s">
        <v>6</v>
      </c>
      <c r="D12" s="97">
        <v>110636.58</v>
      </c>
      <c r="E12" s="70" t="s">
        <v>75</v>
      </c>
      <c r="F12" s="70" t="s">
        <v>76</v>
      </c>
      <c r="G12" s="70" t="s">
        <v>5</v>
      </c>
    </row>
    <row r="13" spans="2:7" x14ac:dyDescent="0.25">
      <c r="B13" s="79" t="s">
        <v>39</v>
      </c>
      <c r="C13" s="68" t="s">
        <v>6</v>
      </c>
      <c r="D13" s="97">
        <v>110636.58</v>
      </c>
      <c r="E13" s="70" t="s">
        <v>75</v>
      </c>
      <c r="F13" s="70" t="s">
        <v>76</v>
      </c>
      <c r="G13" s="70" t="s">
        <v>5</v>
      </c>
    </row>
    <row r="14" spans="2:7" x14ac:dyDescent="0.25">
      <c r="B14" s="81" t="s">
        <v>35</v>
      </c>
      <c r="C14" s="68" t="s">
        <v>6</v>
      </c>
      <c r="D14" s="97">
        <v>0</v>
      </c>
      <c r="E14" s="70" t="s">
        <v>75</v>
      </c>
      <c r="F14" s="70" t="s">
        <v>76</v>
      </c>
      <c r="G14" s="70" t="s">
        <v>5</v>
      </c>
    </row>
    <row r="15" spans="2:7" x14ac:dyDescent="0.25">
      <c r="B15" s="81" t="s">
        <v>36</v>
      </c>
      <c r="C15" s="68" t="s">
        <v>6</v>
      </c>
      <c r="D15" s="97">
        <v>0</v>
      </c>
      <c r="E15" s="70" t="s">
        <v>75</v>
      </c>
      <c r="F15" s="70" t="s">
        <v>76</v>
      </c>
      <c r="G15" s="70" t="s">
        <v>5</v>
      </c>
    </row>
    <row r="16" spans="2:7" x14ac:dyDescent="0.25">
      <c r="B16" s="79" t="s">
        <v>32</v>
      </c>
      <c r="C16" s="88" t="s">
        <v>7</v>
      </c>
      <c r="D16" s="97">
        <v>2.27</v>
      </c>
      <c r="E16" s="70" t="s">
        <v>75</v>
      </c>
      <c r="F16" s="70" t="s">
        <v>76</v>
      </c>
      <c r="G16" s="70" t="s">
        <v>5</v>
      </c>
    </row>
    <row r="17" spans="2:7" ht="57.75" x14ac:dyDescent="0.25">
      <c r="B17" s="89" t="s">
        <v>82</v>
      </c>
      <c r="C17" s="90"/>
      <c r="D17" s="98">
        <v>1493</v>
      </c>
      <c r="E17" s="70" t="s">
        <v>75</v>
      </c>
      <c r="F17" s="70" t="s">
        <v>76</v>
      </c>
      <c r="G17" s="70" t="s">
        <v>5</v>
      </c>
    </row>
    <row r="18" spans="2:7" ht="28.5" customHeight="1" x14ac:dyDescent="0.25">
      <c r="B18" s="82" t="s">
        <v>28</v>
      </c>
      <c r="C18" s="71" t="s">
        <v>19</v>
      </c>
      <c r="D18" s="97"/>
      <c r="E18" s="70" t="s">
        <v>75</v>
      </c>
      <c r="F18" s="70" t="s">
        <v>76</v>
      </c>
      <c r="G18" s="70" t="s">
        <v>5</v>
      </c>
    </row>
    <row r="19" spans="2:7" ht="30" x14ac:dyDescent="0.25">
      <c r="B19" s="83" t="s">
        <v>0</v>
      </c>
      <c r="C19" s="71" t="s">
        <v>19</v>
      </c>
      <c r="D19" s="97">
        <v>81.400000000000006</v>
      </c>
      <c r="E19" s="70" t="s">
        <v>75</v>
      </c>
      <c r="F19" s="70" t="s">
        <v>76</v>
      </c>
      <c r="G19" s="70" t="s">
        <v>5</v>
      </c>
    </row>
    <row r="20" spans="2:7" ht="30" x14ac:dyDescent="0.25">
      <c r="B20" s="83" t="s">
        <v>10</v>
      </c>
      <c r="C20" s="71" t="s">
        <v>19</v>
      </c>
      <c r="D20" s="97">
        <v>0</v>
      </c>
      <c r="E20" s="70" t="s">
        <v>75</v>
      </c>
      <c r="F20" s="70" t="s">
        <v>76</v>
      </c>
      <c r="G20" s="70" t="s">
        <v>5</v>
      </c>
    </row>
    <row r="21" spans="2:7" ht="30" x14ac:dyDescent="0.25">
      <c r="B21" s="84" t="s">
        <v>15</v>
      </c>
      <c r="C21" s="71" t="s">
        <v>19</v>
      </c>
      <c r="D21" s="97">
        <v>0</v>
      </c>
      <c r="E21" s="70" t="s">
        <v>75</v>
      </c>
      <c r="F21" s="70" t="s">
        <v>76</v>
      </c>
      <c r="G21" s="70" t="s">
        <v>5</v>
      </c>
    </row>
    <row r="22" spans="2:7" ht="30" x14ac:dyDescent="0.25">
      <c r="B22" s="83" t="s">
        <v>8</v>
      </c>
      <c r="C22" s="71" t="s">
        <v>19</v>
      </c>
      <c r="D22" s="97">
        <v>543</v>
      </c>
      <c r="E22" s="70" t="s">
        <v>75</v>
      </c>
      <c r="F22" s="70" t="s">
        <v>76</v>
      </c>
      <c r="G22" s="70" t="s">
        <v>5</v>
      </c>
    </row>
    <row r="23" spans="2:7" ht="30" x14ac:dyDescent="0.25">
      <c r="B23" s="84" t="s">
        <v>17</v>
      </c>
      <c r="C23" s="71" t="s">
        <v>19</v>
      </c>
      <c r="D23" s="97">
        <v>0</v>
      </c>
      <c r="E23" s="70" t="s">
        <v>75</v>
      </c>
      <c r="F23" s="70" t="s">
        <v>76</v>
      </c>
      <c r="G23" s="70" t="s">
        <v>5</v>
      </c>
    </row>
    <row r="24" spans="2:7" ht="30" x14ac:dyDescent="0.25">
      <c r="B24" s="83" t="s">
        <v>11</v>
      </c>
      <c r="C24" s="71" t="s">
        <v>19</v>
      </c>
      <c r="D24" s="97">
        <v>0</v>
      </c>
      <c r="E24" s="70" t="s">
        <v>75</v>
      </c>
      <c r="F24" s="70" t="s">
        <v>76</v>
      </c>
      <c r="G24" s="70" t="s">
        <v>5</v>
      </c>
    </row>
    <row r="25" spans="2:7" ht="30" x14ac:dyDescent="0.25">
      <c r="B25" s="82" t="s">
        <v>29</v>
      </c>
      <c r="C25" s="71" t="s">
        <v>20</v>
      </c>
      <c r="D25" s="97"/>
      <c r="E25" s="70" t="s">
        <v>75</v>
      </c>
      <c r="F25" s="70" t="s">
        <v>76</v>
      </c>
      <c r="G25" s="70" t="s">
        <v>5</v>
      </c>
    </row>
    <row r="26" spans="2:7" x14ac:dyDescent="0.25">
      <c r="B26" s="83" t="s">
        <v>0</v>
      </c>
      <c r="C26" s="71" t="s">
        <v>20</v>
      </c>
      <c r="D26" s="97">
        <v>5</v>
      </c>
      <c r="E26" s="70" t="s">
        <v>75</v>
      </c>
      <c r="F26" s="70" t="s">
        <v>76</v>
      </c>
      <c r="G26" s="70" t="s">
        <v>5</v>
      </c>
    </row>
    <row r="27" spans="2:7" x14ac:dyDescent="0.25">
      <c r="B27" s="83" t="s">
        <v>10</v>
      </c>
      <c r="C27" s="71" t="s">
        <v>20</v>
      </c>
      <c r="D27" s="97">
        <v>0</v>
      </c>
      <c r="E27" s="70" t="s">
        <v>75</v>
      </c>
      <c r="F27" s="70" t="s">
        <v>76</v>
      </c>
      <c r="G27" s="70" t="s">
        <v>5</v>
      </c>
    </row>
    <row r="28" spans="2:7" x14ac:dyDescent="0.25">
      <c r="B28" s="84" t="s">
        <v>15</v>
      </c>
      <c r="C28" s="71" t="s">
        <v>20</v>
      </c>
      <c r="D28" s="97">
        <v>0</v>
      </c>
      <c r="E28" s="70" t="s">
        <v>75</v>
      </c>
      <c r="F28" s="70" t="s">
        <v>76</v>
      </c>
      <c r="G28" s="70" t="s">
        <v>5</v>
      </c>
    </row>
    <row r="29" spans="2:7" ht="30" x14ac:dyDescent="0.25">
      <c r="B29" s="84" t="s">
        <v>16</v>
      </c>
      <c r="C29" s="71" t="s">
        <v>20</v>
      </c>
      <c r="D29" s="97">
        <v>2</v>
      </c>
      <c r="E29" s="70" t="s">
        <v>75</v>
      </c>
      <c r="F29" s="70" t="s">
        <v>76</v>
      </c>
      <c r="G29" s="70" t="s">
        <v>5</v>
      </c>
    </row>
    <row r="30" spans="2:7" ht="30" x14ac:dyDescent="0.25">
      <c r="B30" s="84" t="s">
        <v>18</v>
      </c>
      <c r="C30" s="71" t="s">
        <v>20</v>
      </c>
      <c r="D30" s="97">
        <v>0</v>
      </c>
      <c r="E30" s="70" t="s">
        <v>75</v>
      </c>
      <c r="F30" s="70" t="s">
        <v>76</v>
      </c>
      <c r="G30" s="70" t="s">
        <v>5</v>
      </c>
    </row>
    <row r="31" spans="2:7" x14ac:dyDescent="0.25">
      <c r="B31" s="83" t="s">
        <v>11</v>
      </c>
      <c r="C31" s="71" t="s">
        <v>20</v>
      </c>
      <c r="D31" s="97">
        <v>0</v>
      </c>
      <c r="E31" s="70" t="s">
        <v>75</v>
      </c>
      <c r="F31" s="70" t="s">
        <v>76</v>
      </c>
      <c r="G31" s="70" t="s">
        <v>5</v>
      </c>
    </row>
    <row r="32" spans="2:7" ht="29.25" x14ac:dyDescent="0.25">
      <c r="B32" s="91" t="s">
        <v>83</v>
      </c>
      <c r="C32" s="92"/>
      <c r="D32" s="99">
        <v>36813.68052597058</v>
      </c>
      <c r="E32" s="70" t="s">
        <v>75</v>
      </c>
      <c r="F32" s="70" t="s">
        <v>76</v>
      </c>
      <c r="G32" s="70" t="s">
        <v>5</v>
      </c>
    </row>
    <row r="33" spans="2:7" ht="60" x14ac:dyDescent="0.25">
      <c r="B33" s="93" t="s">
        <v>77</v>
      </c>
      <c r="C33" s="38" t="s">
        <v>24</v>
      </c>
      <c r="D33" s="100">
        <v>64326</v>
      </c>
      <c r="E33" s="70" t="s">
        <v>75</v>
      </c>
      <c r="F33" s="70" t="s">
        <v>76</v>
      </c>
      <c r="G33" s="70" t="s">
        <v>5</v>
      </c>
    </row>
    <row r="34" spans="2:7" x14ac:dyDescent="0.25">
      <c r="B34" s="93" t="s">
        <v>78</v>
      </c>
      <c r="C34" s="38" t="s">
        <v>6</v>
      </c>
      <c r="D34" s="100">
        <v>110636.58</v>
      </c>
      <c r="E34" s="70" t="s">
        <v>75</v>
      </c>
      <c r="F34" s="70" t="s">
        <v>76</v>
      </c>
      <c r="G34" s="70" t="s">
        <v>5</v>
      </c>
    </row>
    <row r="35" spans="2:7" ht="60" x14ac:dyDescent="0.25">
      <c r="B35" s="93" t="s">
        <v>79</v>
      </c>
      <c r="C35" s="38" t="s">
        <v>24</v>
      </c>
      <c r="D35" s="100">
        <v>113354</v>
      </c>
      <c r="E35" s="70" t="s">
        <v>75</v>
      </c>
      <c r="F35" s="70" t="s">
        <v>76</v>
      </c>
      <c r="G35" s="70" t="s">
        <v>5</v>
      </c>
    </row>
    <row r="36" spans="2:7" x14ac:dyDescent="0.25">
      <c r="B36" s="93" t="s">
        <v>80</v>
      </c>
      <c r="C36" s="38" t="s">
        <v>6</v>
      </c>
      <c r="D36" s="100">
        <v>123997.81</v>
      </c>
      <c r="E36" s="70" t="s">
        <v>75</v>
      </c>
      <c r="F36" s="70" t="s">
        <v>76</v>
      </c>
      <c r="G36" s="70" t="s">
        <v>5</v>
      </c>
    </row>
    <row r="37" spans="2:7" ht="42.75" x14ac:dyDescent="0.25">
      <c r="B37" s="75" t="s">
        <v>81</v>
      </c>
      <c r="C37" s="76"/>
      <c r="D37" s="96">
        <v>-8249.2898279999863</v>
      </c>
      <c r="E37" s="70" t="s">
        <v>75</v>
      </c>
      <c r="F37" s="70" t="s">
        <v>76</v>
      </c>
      <c r="G37" s="77" t="s">
        <v>84</v>
      </c>
    </row>
    <row r="38" spans="2:7" x14ac:dyDescent="0.25">
      <c r="B38" s="78" t="s">
        <v>9</v>
      </c>
      <c r="C38" s="69" t="s">
        <v>4</v>
      </c>
      <c r="D38" s="97">
        <v>35</v>
      </c>
      <c r="E38" s="70" t="s">
        <v>75</v>
      </c>
      <c r="F38" s="70" t="s">
        <v>76</v>
      </c>
      <c r="G38" s="77" t="s">
        <v>84</v>
      </c>
    </row>
    <row r="39" spans="2:7" x14ac:dyDescent="0.25">
      <c r="B39" s="79" t="s">
        <v>37</v>
      </c>
      <c r="C39" s="69" t="s">
        <v>4</v>
      </c>
      <c r="D39" s="97">
        <v>15918</v>
      </c>
      <c r="E39" s="70" t="s">
        <v>75</v>
      </c>
      <c r="F39" s="70" t="s">
        <v>76</v>
      </c>
      <c r="G39" s="77" t="s">
        <v>84</v>
      </c>
    </row>
    <row r="40" spans="2:7" x14ac:dyDescent="0.25">
      <c r="B40" s="79" t="s">
        <v>38</v>
      </c>
      <c r="C40" s="69" t="s">
        <v>4</v>
      </c>
      <c r="D40" s="97">
        <v>15540</v>
      </c>
      <c r="E40" s="70" t="s">
        <v>75</v>
      </c>
      <c r="F40" s="70" t="s">
        <v>76</v>
      </c>
      <c r="G40" s="77" t="s">
        <v>84</v>
      </c>
    </row>
    <row r="41" spans="2:7" x14ac:dyDescent="0.25">
      <c r="B41" s="80" t="s">
        <v>33</v>
      </c>
      <c r="C41" s="69" t="s">
        <v>4</v>
      </c>
      <c r="D41" s="97">
        <v>0</v>
      </c>
      <c r="E41" s="70" t="s">
        <v>75</v>
      </c>
      <c r="F41" s="70" t="s">
        <v>76</v>
      </c>
      <c r="G41" s="77" t="s">
        <v>84</v>
      </c>
    </row>
    <row r="42" spans="2:7" x14ac:dyDescent="0.25">
      <c r="B42" s="80" t="s">
        <v>34</v>
      </c>
      <c r="C42" s="69" t="s">
        <v>4</v>
      </c>
      <c r="D42" s="97">
        <v>378</v>
      </c>
      <c r="E42" s="70" t="s">
        <v>75</v>
      </c>
      <c r="F42" s="70" t="s">
        <v>76</v>
      </c>
      <c r="G42" s="77" t="s">
        <v>84</v>
      </c>
    </row>
    <row r="43" spans="2:7" x14ac:dyDescent="0.25">
      <c r="B43" s="79" t="s">
        <v>31</v>
      </c>
      <c r="C43" s="68" t="s">
        <v>6</v>
      </c>
      <c r="D43" s="97">
        <v>164219.98000000001</v>
      </c>
      <c r="E43" s="70" t="s">
        <v>75</v>
      </c>
      <c r="F43" s="70" t="s">
        <v>76</v>
      </c>
      <c r="G43" s="77" t="s">
        <v>84</v>
      </c>
    </row>
    <row r="44" spans="2:7" x14ac:dyDescent="0.25">
      <c r="B44" s="79" t="s">
        <v>39</v>
      </c>
      <c r="C44" s="68" t="s">
        <v>6</v>
      </c>
      <c r="D44" s="97">
        <v>160104.80000000002</v>
      </c>
      <c r="E44" s="70" t="s">
        <v>75</v>
      </c>
      <c r="F44" s="70" t="s">
        <v>76</v>
      </c>
      <c r="G44" s="77" t="s">
        <v>84</v>
      </c>
    </row>
    <row r="45" spans="2:7" x14ac:dyDescent="0.25">
      <c r="B45" s="81" t="s">
        <v>35</v>
      </c>
      <c r="C45" s="68" t="s">
        <v>6</v>
      </c>
      <c r="D45" s="97"/>
      <c r="E45" s="70" t="s">
        <v>75</v>
      </c>
      <c r="F45" s="70" t="s">
        <v>76</v>
      </c>
      <c r="G45" s="77" t="s">
        <v>84</v>
      </c>
    </row>
    <row r="46" spans="2:7" x14ac:dyDescent="0.25">
      <c r="B46" s="81" t="s">
        <v>36</v>
      </c>
      <c r="C46" s="68" t="s">
        <v>6</v>
      </c>
      <c r="D46" s="97">
        <v>4115.18</v>
      </c>
      <c r="E46" s="70" t="s">
        <v>75</v>
      </c>
      <c r="F46" s="70" t="s">
        <v>76</v>
      </c>
      <c r="G46" s="77" t="s">
        <v>84</v>
      </c>
    </row>
    <row r="47" spans="2:7" x14ac:dyDescent="0.25">
      <c r="B47" s="79" t="s">
        <v>32</v>
      </c>
      <c r="C47" s="88" t="s">
        <v>7</v>
      </c>
      <c r="D47" s="97">
        <v>2.0045999999999999</v>
      </c>
      <c r="E47" s="70" t="s">
        <v>75</v>
      </c>
      <c r="F47" s="70" t="s">
        <v>76</v>
      </c>
      <c r="G47" s="77" t="s">
        <v>84</v>
      </c>
    </row>
    <row r="48" spans="2:7" ht="57.75" x14ac:dyDescent="0.25">
      <c r="B48" s="89" t="s">
        <v>82</v>
      </c>
      <c r="C48" s="90"/>
      <c r="D48" s="101">
        <v>2574</v>
      </c>
      <c r="E48" s="70" t="s">
        <v>75</v>
      </c>
      <c r="F48" s="70" t="s">
        <v>76</v>
      </c>
      <c r="G48" s="77" t="s">
        <v>84</v>
      </c>
    </row>
    <row r="49" spans="2:7" ht="30" x14ac:dyDescent="0.25">
      <c r="B49" s="82" t="s">
        <v>28</v>
      </c>
      <c r="C49" s="71" t="s">
        <v>19</v>
      </c>
      <c r="D49" s="102"/>
      <c r="E49" s="70" t="s">
        <v>75</v>
      </c>
      <c r="F49" s="70" t="s">
        <v>76</v>
      </c>
      <c r="G49" s="77" t="s">
        <v>84</v>
      </c>
    </row>
    <row r="50" spans="2:7" ht="30" x14ac:dyDescent="0.25">
      <c r="B50" s="83" t="s">
        <v>0</v>
      </c>
      <c r="C50" s="71" t="s">
        <v>19</v>
      </c>
      <c r="D50" s="102">
        <v>140.4</v>
      </c>
      <c r="E50" s="70" t="s">
        <v>75</v>
      </c>
      <c r="F50" s="70" t="s">
        <v>76</v>
      </c>
      <c r="G50" s="77" t="s">
        <v>84</v>
      </c>
    </row>
    <row r="51" spans="2:7" ht="30" x14ac:dyDescent="0.25">
      <c r="B51" s="83" t="s">
        <v>10</v>
      </c>
      <c r="C51" s="71" t="s">
        <v>19</v>
      </c>
      <c r="D51" s="102"/>
      <c r="E51" s="70" t="s">
        <v>75</v>
      </c>
      <c r="F51" s="70" t="s">
        <v>76</v>
      </c>
      <c r="G51" s="77" t="s">
        <v>84</v>
      </c>
    </row>
    <row r="52" spans="2:7" ht="30" x14ac:dyDescent="0.25">
      <c r="B52" s="84" t="s">
        <v>15</v>
      </c>
      <c r="C52" s="71" t="s">
        <v>19</v>
      </c>
      <c r="D52" s="102"/>
      <c r="E52" s="70" t="s">
        <v>75</v>
      </c>
      <c r="F52" s="70" t="s">
        <v>76</v>
      </c>
      <c r="G52" s="77" t="s">
        <v>84</v>
      </c>
    </row>
    <row r="53" spans="2:7" ht="30" x14ac:dyDescent="0.25">
      <c r="B53" s="83" t="s">
        <v>8</v>
      </c>
      <c r="C53" s="71" t="s">
        <v>19</v>
      </c>
      <c r="D53" s="102">
        <v>936</v>
      </c>
      <c r="E53" s="70" t="s">
        <v>75</v>
      </c>
      <c r="F53" s="70" t="s">
        <v>76</v>
      </c>
      <c r="G53" s="77" t="s">
        <v>84</v>
      </c>
    </row>
    <row r="54" spans="2:7" ht="30" x14ac:dyDescent="0.25">
      <c r="B54" s="84" t="s">
        <v>17</v>
      </c>
      <c r="C54" s="71" t="s">
        <v>19</v>
      </c>
      <c r="D54" s="102"/>
      <c r="E54" s="70" t="s">
        <v>75</v>
      </c>
      <c r="F54" s="70" t="s">
        <v>76</v>
      </c>
      <c r="G54" s="77" t="s">
        <v>84</v>
      </c>
    </row>
    <row r="55" spans="2:7" ht="30" x14ac:dyDescent="0.25">
      <c r="B55" s="83" t="s">
        <v>11</v>
      </c>
      <c r="C55" s="71" t="s">
        <v>19</v>
      </c>
      <c r="D55" s="102"/>
      <c r="E55" s="70" t="s">
        <v>75</v>
      </c>
      <c r="F55" s="70" t="s">
        <v>76</v>
      </c>
      <c r="G55" s="77" t="s">
        <v>84</v>
      </c>
    </row>
    <row r="56" spans="2:7" ht="30" x14ac:dyDescent="0.25">
      <c r="B56" s="82" t="s">
        <v>29</v>
      </c>
      <c r="C56" s="71" t="s">
        <v>20</v>
      </c>
      <c r="D56" s="102"/>
      <c r="E56" s="70" t="s">
        <v>75</v>
      </c>
      <c r="F56" s="70" t="s">
        <v>76</v>
      </c>
      <c r="G56" s="77" t="s">
        <v>84</v>
      </c>
    </row>
    <row r="57" spans="2:7" x14ac:dyDescent="0.25">
      <c r="B57" s="83" t="s">
        <v>0</v>
      </c>
      <c r="C57" s="71" t="s">
        <v>20</v>
      </c>
      <c r="D57" s="102">
        <v>5</v>
      </c>
      <c r="E57" s="70" t="s">
        <v>75</v>
      </c>
      <c r="F57" s="70" t="s">
        <v>76</v>
      </c>
      <c r="G57" s="77" t="s">
        <v>84</v>
      </c>
    </row>
    <row r="58" spans="2:7" x14ac:dyDescent="0.25">
      <c r="B58" s="83" t="s">
        <v>10</v>
      </c>
      <c r="C58" s="71" t="s">
        <v>20</v>
      </c>
      <c r="D58" s="102"/>
      <c r="E58" s="70" t="s">
        <v>75</v>
      </c>
      <c r="F58" s="70" t="s">
        <v>76</v>
      </c>
      <c r="G58" s="77" t="s">
        <v>84</v>
      </c>
    </row>
    <row r="59" spans="2:7" x14ac:dyDescent="0.25">
      <c r="B59" s="84" t="s">
        <v>15</v>
      </c>
      <c r="C59" s="71" t="s">
        <v>20</v>
      </c>
      <c r="D59" s="102"/>
      <c r="E59" s="70" t="s">
        <v>75</v>
      </c>
      <c r="F59" s="70" t="s">
        <v>76</v>
      </c>
      <c r="G59" s="77" t="s">
        <v>84</v>
      </c>
    </row>
    <row r="60" spans="2:7" ht="30" x14ac:dyDescent="0.25">
      <c r="B60" s="84" t="s">
        <v>16</v>
      </c>
      <c r="C60" s="71" t="s">
        <v>20</v>
      </c>
      <c r="D60" s="102">
        <v>2</v>
      </c>
      <c r="E60" s="70" t="s">
        <v>75</v>
      </c>
      <c r="F60" s="70" t="s">
        <v>76</v>
      </c>
      <c r="G60" s="77" t="s">
        <v>84</v>
      </c>
    </row>
    <row r="61" spans="2:7" ht="30" x14ac:dyDescent="0.25">
      <c r="B61" s="84" t="s">
        <v>18</v>
      </c>
      <c r="C61" s="71" t="s">
        <v>20</v>
      </c>
      <c r="D61" s="102"/>
      <c r="E61" s="70" t="s">
        <v>75</v>
      </c>
      <c r="F61" s="70" t="s">
        <v>76</v>
      </c>
      <c r="G61" s="77" t="s">
        <v>84</v>
      </c>
    </row>
    <row r="62" spans="2:7" x14ac:dyDescent="0.25">
      <c r="B62" s="83" t="s">
        <v>11</v>
      </c>
      <c r="C62" s="71" t="s">
        <v>20</v>
      </c>
      <c r="D62" s="102"/>
      <c r="E62" s="70" t="s">
        <v>75</v>
      </c>
      <c r="F62" s="70" t="s">
        <v>76</v>
      </c>
      <c r="G62" s="77" t="s">
        <v>84</v>
      </c>
    </row>
    <row r="63" spans="2:7" ht="29.25" x14ac:dyDescent="0.25">
      <c r="B63" s="91" t="s">
        <v>83</v>
      </c>
      <c r="C63" s="92"/>
      <c r="D63" s="101">
        <v>74237.22406628773</v>
      </c>
      <c r="E63" s="70" t="s">
        <v>75</v>
      </c>
      <c r="F63" s="70" t="s">
        <v>76</v>
      </c>
      <c r="G63" s="77" t="s">
        <v>84</v>
      </c>
    </row>
    <row r="64" spans="2:7" ht="60" x14ac:dyDescent="0.25">
      <c r="B64" s="93" t="s">
        <v>85</v>
      </c>
      <c r="C64" s="38" t="s">
        <v>24</v>
      </c>
      <c r="D64" s="102">
        <v>88981</v>
      </c>
      <c r="E64" s="70" t="s">
        <v>75</v>
      </c>
      <c r="F64" s="70" t="s">
        <v>76</v>
      </c>
      <c r="G64" s="77" t="s">
        <v>84</v>
      </c>
    </row>
    <row r="65" spans="2:7" x14ac:dyDescent="0.25">
      <c r="B65" s="93" t="s">
        <v>86</v>
      </c>
      <c r="C65" s="38" t="s">
        <v>6</v>
      </c>
      <c r="D65" s="102">
        <v>160105</v>
      </c>
      <c r="E65" s="70" t="s">
        <v>75</v>
      </c>
      <c r="F65" s="70" t="s">
        <v>76</v>
      </c>
      <c r="G65" s="77" t="s">
        <v>84</v>
      </c>
    </row>
    <row r="66" spans="2:7" ht="60" x14ac:dyDescent="0.25">
      <c r="B66" s="93" t="s">
        <v>87</v>
      </c>
      <c r="C66" s="38" t="s">
        <v>24</v>
      </c>
      <c r="D66" s="102">
        <v>165356</v>
      </c>
      <c r="E66" s="70" t="s">
        <v>75</v>
      </c>
      <c r="F66" s="70" t="s">
        <v>76</v>
      </c>
      <c r="G66" s="77" t="s">
        <v>84</v>
      </c>
    </row>
    <row r="67" spans="2:7" x14ac:dyDescent="0.25">
      <c r="B67" s="93" t="s">
        <v>88</v>
      </c>
      <c r="C67" s="38" t="s">
        <v>6</v>
      </c>
      <c r="D67" s="102">
        <v>162202</v>
      </c>
      <c r="E67" s="70" t="s">
        <v>75</v>
      </c>
      <c r="F67" s="70" t="s">
        <v>76</v>
      </c>
      <c r="G67" s="77" t="s">
        <v>84</v>
      </c>
    </row>
    <row r="68" spans="2:7" ht="42.75" x14ac:dyDescent="0.25">
      <c r="B68" s="75" t="s">
        <v>81</v>
      </c>
      <c r="C68" s="76"/>
      <c r="D68" s="101">
        <v>0</v>
      </c>
      <c r="E68" s="70" t="s">
        <v>75</v>
      </c>
      <c r="F68" s="70" t="s">
        <v>76</v>
      </c>
      <c r="G68" s="77" t="s">
        <v>89</v>
      </c>
    </row>
    <row r="69" spans="2:7" x14ac:dyDescent="0.25">
      <c r="B69" s="78" t="s">
        <v>9</v>
      </c>
      <c r="C69" s="69" t="s">
        <v>4</v>
      </c>
      <c r="D69" s="102">
        <v>35</v>
      </c>
      <c r="E69" s="70" t="s">
        <v>75</v>
      </c>
      <c r="F69" s="70" t="s">
        <v>76</v>
      </c>
      <c r="G69" s="77" t="s">
        <v>89</v>
      </c>
    </row>
    <row r="70" spans="2:7" x14ac:dyDescent="0.25">
      <c r="B70" s="79" t="s">
        <v>37</v>
      </c>
      <c r="C70" s="69" t="s">
        <v>4</v>
      </c>
      <c r="D70" s="102">
        <v>16353</v>
      </c>
      <c r="E70" s="70" t="s">
        <v>75</v>
      </c>
      <c r="F70" s="70" t="s">
        <v>76</v>
      </c>
      <c r="G70" s="77" t="s">
        <v>89</v>
      </c>
    </row>
    <row r="71" spans="2:7" x14ac:dyDescent="0.25">
      <c r="B71" s="79" t="s">
        <v>38</v>
      </c>
      <c r="C71" s="69" t="s">
        <v>4</v>
      </c>
      <c r="D71" s="102">
        <v>16353</v>
      </c>
      <c r="E71" s="70" t="s">
        <v>75</v>
      </c>
      <c r="F71" s="70" t="s">
        <v>76</v>
      </c>
      <c r="G71" s="77" t="s">
        <v>89</v>
      </c>
    </row>
    <row r="72" spans="2:7" x14ac:dyDescent="0.25">
      <c r="B72" s="80" t="s">
        <v>33</v>
      </c>
      <c r="C72" s="69" t="s">
        <v>4</v>
      </c>
      <c r="D72" s="102"/>
      <c r="E72" s="70" t="s">
        <v>75</v>
      </c>
      <c r="F72" s="70" t="s">
        <v>76</v>
      </c>
      <c r="G72" s="77" t="s">
        <v>89</v>
      </c>
    </row>
    <row r="73" spans="2:7" x14ac:dyDescent="0.25">
      <c r="B73" s="80" t="s">
        <v>34</v>
      </c>
      <c r="C73" s="69" t="s">
        <v>4</v>
      </c>
      <c r="D73" s="102"/>
      <c r="E73" s="70" t="s">
        <v>75</v>
      </c>
      <c r="F73" s="70" t="s">
        <v>76</v>
      </c>
      <c r="G73" s="77" t="s">
        <v>89</v>
      </c>
    </row>
    <row r="74" spans="2:7" x14ac:dyDescent="0.25">
      <c r="B74" s="79" t="s">
        <v>31</v>
      </c>
      <c r="C74" s="68" t="s">
        <v>6</v>
      </c>
      <c r="D74" s="102">
        <v>168637.2</v>
      </c>
      <c r="E74" s="70" t="s">
        <v>75</v>
      </c>
      <c r="F74" s="70" t="s">
        <v>76</v>
      </c>
      <c r="G74" s="77" t="s">
        <v>89</v>
      </c>
    </row>
    <row r="75" spans="2:7" x14ac:dyDescent="0.25">
      <c r="B75" s="79" t="s">
        <v>39</v>
      </c>
      <c r="C75" s="68" t="s">
        <v>6</v>
      </c>
      <c r="D75" s="102">
        <v>168637.2</v>
      </c>
      <c r="E75" s="70" t="s">
        <v>75</v>
      </c>
      <c r="F75" s="70" t="s">
        <v>76</v>
      </c>
      <c r="G75" s="77" t="s">
        <v>89</v>
      </c>
    </row>
    <row r="76" spans="2:7" x14ac:dyDescent="0.25">
      <c r="B76" s="81" t="s">
        <v>35</v>
      </c>
      <c r="C76" s="68" t="s">
        <v>6</v>
      </c>
      <c r="D76" s="102"/>
      <c r="E76" s="70" t="s">
        <v>75</v>
      </c>
      <c r="F76" s="70" t="s">
        <v>76</v>
      </c>
      <c r="G76" s="77" t="s">
        <v>89</v>
      </c>
    </row>
    <row r="77" spans="2:7" x14ac:dyDescent="0.25">
      <c r="B77" s="81" t="s">
        <v>36</v>
      </c>
      <c r="C77" s="68" t="s">
        <v>6</v>
      </c>
      <c r="D77" s="102"/>
      <c r="E77" s="70" t="s">
        <v>75</v>
      </c>
      <c r="F77" s="70" t="s">
        <v>76</v>
      </c>
      <c r="G77" s="77" t="s">
        <v>89</v>
      </c>
    </row>
    <row r="78" spans="2:7" x14ac:dyDescent="0.25">
      <c r="B78" s="79" t="s">
        <v>32</v>
      </c>
      <c r="C78" s="88" t="s">
        <v>7</v>
      </c>
      <c r="D78" s="102">
        <v>2.4417</v>
      </c>
      <c r="E78" s="70" t="s">
        <v>75</v>
      </c>
      <c r="F78" s="70" t="s">
        <v>76</v>
      </c>
      <c r="G78" s="77" t="s">
        <v>89</v>
      </c>
    </row>
    <row r="79" spans="2:7" ht="57.75" x14ac:dyDescent="0.25">
      <c r="B79" s="89" t="s">
        <v>82</v>
      </c>
      <c r="C79" s="90"/>
      <c r="D79" s="101">
        <v>2730.75</v>
      </c>
      <c r="E79" s="70" t="s">
        <v>75</v>
      </c>
      <c r="F79" s="70" t="s">
        <v>76</v>
      </c>
      <c r="G79" s="77" t="s">
        <v>89</v>
      </c>
    </row>
    <row r="80" spans="2:7" ht="30" x14ac:dyDescent="0.25">
      <c r="B80" s="82" t="s">
        <v>28</v>
      </c>
      <c r="C80" s="71" t="s">
        <v>19</v>
      </c>
      <c r="D80" s="102"/>
      <c r="E80" s="70" t="s">
        <v>75</v>
      </c>
      <c r="F80" s="70" t="s">
        <v>76</v>
      </c>
      <c r="G80" s="77" t="s">
        <v>89</v>
      </c>
    </row>
    <row r="81" spans="2:7" ht="30" x14ac:dyDescent="0.25">
      <c r="B81" s="83" t="s">
        <v>0</v>
      </c>
      <c r="C81" s="71" t="s">
        <v>19</v>
      </c>
      <c r="D81" s="102">
        <v>148.94999999999999</v>
      </c>
      <c r="E81" s="70" t="s">
        <v>75</v>
      </c>
      <c r="F81" s="70" t="s">
        <v>76</v>
      </c>
      <c r="G81" s="77" t="s">
        <v>89</v>
      </c>
    </row>
    <row r="82" spans="2:7" ht="30" x14ac:dyDescent="0.25">
      <c r="B82" s="83" t="s">
        <v>10</v>
      </c>
      <c r="C82" s="71" t="s">
        <v>19</v>
      </c>
      <c r="D82" s="102"/>
      <c r="E82" s="70" t="s">
        <v>75</v>
      </c>
      <c r="F82" s="70" t="s">
        <v>76</v>
      </c>
      <c r="G82" s="77" t="s">
        <v>89</v>
      </c>
    </row>
    <row r="83" spans="2:7" ht="30" x14ac:dyDescent="0.25">
      <c r="B83" s="84" t="s">
        <v>15</v>
      </c>
      <c r="C83" s="71" t="s">
        <v>19</v>
      </c>
      <c r="D83" s="102"/>
      <c r="E83" s="70" t="s">
        <v>75</v>
      </c>
      <c r="F83" s="70" t="s">
        <v>76</v>
      </c>
      <c r="G83" s="77" t="s">
        <v>89</v>
      </c>
    </row>
    <row r="84" spans="2:7" ht="30" x14ac:dyDescent="0.25">
      <c r="B84" s="83" t="s">
        <v>8</v>
      </c>
      <c r="C84" s="71" t="s">
        <v>19</v>
      </c>
      <c r="D84" s="102">
        <v>993</v>
      </c>
      <c r="E84" s="70" t="s">
        <v>75</v>
      </c>
      <c r="F84" s="70" t="s">
        <v>76</v>
      </c>
      <c r="G84" s="77" t="s">
        <v>89</v>
      </c>
    </row>
    <row r="85" spans="2:7" ht="30" x14ac:dyDescent="0.25">
      <c r="B85" s="84" t="s">
        <v>17</v>
      </c>
      <c r="C85" s="71" t="s">
        <v>19</v>
      </c>
      <c r="D85" s="102"/>
      <c r="E85" s="70" t="s">
        <v>75</v>
      </c>
      <c r="F85" s="70" t="s">
        <v>76</v>
      </c>
      <c r="G85" s="77" t="s">
        <v>89</v>
      </c>
    </row>
    <row r="86" spans="2:7" ht="30" x14ac:dyDescent="0.25">
      <c r="B86" s="83" t="s">
        <v>11</v>
      </c>
      <c r="C86" s="71" t="s">
        <v>19</v>
      </c>
      <c r="D86" s="102"/>
      <c r="E86" s="70" t="s">
        <v>75</v>
      </c>
      <c r="F86" s="70" t="s">
        <v>76</v>
      </c>
      <c r="G86" s="77" t="s">
        <v>89</v>
      </c>
    </row>
    <row r="87" spans="2:7" ht="30" x14ac:dyDescent="0.25">
      <c r="B87" s="82" t="s">
        <v>29</v>
      </c>
      <c r="C87" s="71" t="s">
        <v>20</v>
      </c>
      <c r="D87" s="102"/>
      <c r="E87" s="70" t="s">
        <v>75</v>
      </c>
      <c r="F87" s="70" t="s">
        <v>76</v>
      </c>
      <c r="G87" s="77" t="s">
        <v>89</v>
      </c>
    </row>
    <row r="88" spans="2:7" x14ac:dyDescent="0.25">
      <c r="B88" s="83" t="s">
        <v>0</v>
      </c>
      <c r="C88" s="71" t="s">
        <v>20</v>
      </c>
      <c r="D88" s="102">
        <v>5</v>
      </c>
      <c r="E88" s="70" t="s">
        <v>75</v>
      </c>
      <c r="F88" s="70" t="s">
        <v>76</v>
      </c>
      <c r="G88" s="77" t="s">
        <v>89</v>
      </c>
    </row>
    <row r="89" spans="2:7" x14ac:dyDescent="0.25">
      <c r="B89" s="83" t="s">
        <v>10</v>
      </c>
      <c r="C89" s="71" t="s">
        <v>20</v>
      </c>
      <c r="D89" s="102"/>
      <c r="E89" s="70" t="s">
        <v>75</v>
      </c>
      <c r="F89" s="70" t="s">
        <v>76</v>
      </c>
      <c r="G89" s="77" t="s">
        <v>89</v>
      </c>
    </row>
    <row r="90" spans="2:7" x14ac:dyDescent="0.25">
      <c r="B90" s="84" t="s">
        <v>15</v>
      </c>
      <c r="C90" s="71" t="s">
        <v>20</v>
      </c>
      <c r="D90" s="102"/>
      <c r="E90" s="70" t="s">
        <v>75</v>
      </c>
      <c r="F90" s="70" t="s">
        <v>76</v>
      </c>
      <c r="G90" s="77" t="s">
        <v>89</v>
      </c>
    </row>
    <row r="91" spans="2:7" ht="30" x14ac:dyDescent="0.25">
      <c r="B91" s="84" t="s">
        <v>16</v>
      </c>
      <c r="C91" s="71" t="s">
        <v>20</v>
      </c>
      <c r="D91" s="102">
        <v>2</v>
      </c>
      <c r="E91" s="70" t="s">
        <v>75</v>
      </c>
      <c r="F91" s="70" t="s">
        <v>76</v>
      </c>
      <c r="G91" s="77" t="s">
        <v>89</v>
      </c>
    </row>
    <row r="92" spans="2:7" ht="30" x14ac:dyDescent="0.25">
      <c r="B92" s="84" t="s">
        <v>18</v>
      </c>
      <c r="C92" s="71" t="s">
        <v>20</v>
      </c>
      <c r="D92" s="102"/>
      <c r="E92" s="70" t="s">
        <v>75</v>
      </c>
      <c r="F92" s="70" t="s">
        <v>76</v>
      </c>
      <c r="G92" s="77" t="s">
        <v>89</v>
      </c>
    </row>
    <row r="93" spans="2:7" x14ac:dyDescent="0.25">
      <c r="B93" s="83" t="s">
        <v>11</v>
      </c>
      <c r="C93" s="71" t="s">
        <v>20</v>
      </c>
      <c r="D93" s="102"/>
      <c r="E93" s="70" t="s">
        <v>75</v>
      </c>
      <c r="F93" s="70" t="s">
        <v>76</v>
      </c>
      <c r="G93" s="77" t="s">
        <v>89</v>
      </c>
    </row>
    <row r="94" spans="2:7" ht="29.25" x14ac:dyDescent="0.25">
      <c r="B94" s="91" t="s">
        <v>83</v>
      </c>
      <c r="C94" s="92"/>
      <c r="D94" s="101">
        <v>61569.411661339014</v>
      </c>
      <c r="E94" s="70" t="s">
        <v>75</v>
      </c>
      <c r="F94" s="70" t="s">
        <v>76</v>
      </c>
      <c r="G94" s="77" t="s">
        <v>89</v>
      </c>
    </row>
    <row r="95" spans="2:7" ht="60" x14ac:dyDescent="0.25">
      <c r="B95" s="93" t="s">
        <v>91</v>
      </c>
      <c r="C95" s="38" t="s">
        <v>24</v>
      </c>
      <c r="D95" s="102">
        <v>99294</v>
      </c>
      <c r="E95" s="70" t="s">
        <v>75</v>
      </c>
      <c r="F95" s="70" t="s">
        <v>76</v>
      </c>
      <c r="G95" s="77" t="s">
        <v>89</v>
      </c>
    </row>
    <row r="96" spans="2:7" x14ac:dyDescent="0.25">
      <c r="B96" s="93" t="s">
        <v>92</v>
      </c>
      <c r="C96" s="38" t="s">
        <v>6</v>
      </c>
      <c r="D96" s="102">
        <v>168637.2</v>
      </c>
      <c r="E96" s="70" t="s">
        <v>75</v>
      </c>
      <c r="F96" s="70" t="s">
        <v>76</v>
      </c>
      <c r="G96" s="77" t="s">
        <v>89</v>
      </c>
    </row>
    <row r="97" spans="2:7" ht="60" x14ac:dyDescent="0.25">
      <c r="B97" s="93" t="s">
        <v>93</v>
      </c>
      <c r="C97" s="38" t="s">
        <v>24</v>
      </c>
      <c r="D97" s="102">
        <v>160247</v>
      </c>
      <c r="E97" s="70" t="s">
        <v>75</v>
      </c>
      <c r="F97" s="70" t="s">
        <v>76</v>
      </c>
      <c r="G97" s="77" t="s">
        <v>89</v>
      </c>
    </row>
    <row r="98" spans="2:7" x14ac:dyDescent="0.25">
      <c r="B98" s="93" t="s">
        <v>94</v>
      </c>
      <c r="C98" s="38" t="s">
        <v>6</v>
      </c>
      <c r="D98" s="102">
        <v>167991</v>
      </c>
      <c r="E98" s="70" t="s">
        <v>75</v>
      </c>
      <c r="F98" s="70" t="s">
        <v>76</v>
      </c>
      <c r="G98" s="77" t="s">
        <v>89</v>
      </c>
    </row>
    <row r="99" spans="2:7" ht="42.75" x14ac:dyDescent="0.25">
      <c r="B99" s="75" t="s">
        <v>81</v>
      </c>
      <c r="C99" s="76"/>
      <c r="D99" s="102">
        <v>0</v>
      </c>
      <c r="E99" s="70" t="s">
        <v>75</v>
      </c>
      <c r="F99" s="70" t="s">
        <v>76</v>
      </c>
      <c r="G99" s="77" t="s">
        <v>90</v>
      </c>
    </row>
    <row r="100" spans="2:7" x14ac:dyDescent="0.25">
      <c r="B100" s="78" t="s">
        <v>9</v>
      </c>
      <c r="C100" s="69" t="s">
        <v>4</v>
      </c>
      <c r="D100" s="102">
        <v>35</v>
      </c>
      <c r="E100" s="70" t="s">
        <v>75</v>
      </c>
      <c r="F100" s="70" t="s">
        <v>76</v>
      </c>
      <c r="G100" s="77" t="s">
        <v>90</v>
      </c>
    </row>
    <row r="101" spans="2:7" x14ac:dyDescent="0.25">
      <c r="B101" s="79" t="s">
        <v>37</v>
      </c>
      <c r="C101" s="69" t="s">
        <v>4</v>
      </c>
      <c r="D101" s="102">
        <v>15853</v>
      </c>
      <c r="E101" s="70" t="s">
        <v>75</v>
      </c>
      <c r="F101" s="70" t="s">
        <v>76</v>
      </c>
      <c r="G101" s="77" t="s">
        <v>90</v>
      </c>
    </row>
    <row r="102" spans="2:7" x14ac:dyDescent="0.25">
      <c r="B102" s="79" t="s">
        <v>38</v>
      </c>
      <c r="C102" s="69" t="s">
        <v>4</v>
      </c>
      <c r="D102" s="102">
        <v>15853</v>
      </c>
      <c r="E102" s="70" t="s">
        <v>75</v>
      </c>
      <c r="F102" s="70" t="s">
        <v>76</v>
      </c>
      <c r="G102" s="77" t="s">
        <v>90</v>
      </c>
    </row>
    <row r="103" spans="2:7" x14ac:dyDescent="0.25">
      <c r="B103" s="80" t="s">
        <v>33</v>
      </c>
      <c r="C103" s="69" t="s">
        <v>4</v>
      </c>
      <c r="D103" s="102"/>
      <c r="E103" s="70" t="s">
        <v>75</v>
      </c>
      <c r="F103" s="70" t="s">
        <v>76</v>
      </c>
      <c r="G103" s="77" t="s">
        <v>90</v>
      </c>
    </row>
    <row r="104" spans="2:7" x14ac:dyDescent="0.25">
      <c r="B104" s="80" t="s">
        <v>34</v>
      </c>
      <c r="C104" s="69" t="s">
        <v>4</v>
      </c>
      <c r="D104" s="102"/>
      <c r="E104" s="70" t="s">
        <v>75</v>
      </c>
      <c r="F104" s="70" t="s">
        <v>76</v>
      </c>
      <c r="G104" s="77" t="s">
        <v>90</v>
      </c>
    </row>
    <row r="105" spans="2:7" x14ac:dyDescent="0.25">
      <c r="B105" s="79" t="s">
        <v>31</v>
      </c>
      <c r="C105" s="68" t="s">
        <v>6</v>
      </c>
      <c r="D105" s="102">
        <v>163503.35999999999</v>
      </c>
      <c r="E105" s="70" t="s">
        <v>75</v>
      </c>
      <c r="F105" s="70" t="s">
        <v>76</v>
      </c>
      <c r="G105" s="77" t="s">
        <v>90</v>
      </c>
    </row>
    <row r="106" spans="2:7" x14ac:dyDescent="0.25">
      <c r="B106" s="79" t="s">
        <v>39</v>
      </c>
      <c r="C106" s="68" t="s">
        <v>6</v>
      </c>
      <c r="D106" s="102">
        <v>163503.35999999999</v>
      </c>
      <c r="E106" s="70" t="s">
        <v>75</v>
      </c>
      <c r="F106" s="70" t="s">
        <v>76</v>
      </c>
      <c r="G106" s="77" t="s">
        <v>90</v>
      </c>
    </row>
    <row r="107" spans="2:7" x14ac:dyDescent="0.25">
      <c r="B107" s="81" t="s">
        <v>35</v>
      </c>
      <c r="C107" s="68" t="s">
        <v>6</v>
      </c>
      <c r="D107" s="102"/>
      <c r="E107" s="70" t="s">
        <v>75</v>
      </c>
      <c r="F107" s="70" t="s">
        <v>76</v>
      </c>
      <c r="G107" s="77" t="s">
        <v>90</v>
      </c>
    </row>
    <row r="108" spans="2:7" x14ac:dyDescent="0.25">
      <c r="B108" s="81" t="s">
        <v>36</v>
      </c>
      <c r="C108" s="68" t="s">
        <v>6</v>
      </c>
      <c r="D108" s="102"/>
      <c r="E108" s="70" t="s">
        <v>75</v>
      </c>
      <c r="F108" s="70" t="s">
        <v>76</v>
      </c>
      <c r="G108" s="77" t="s">
        <v>90</v>
      </c>
    </row>
    <row r="109" spans="2:7" x14ac:dyDescent="0.25">
      <c r="B109" s="79" t="s">
        <v>32</v>
      </c>
      <c r="C109" s="88" t="s">
        <v>7</v>
      </c>
      <c r="D109" s="102">
        <v>2.2263999999999999</v>
      </c>
      <c r="E109" s="70" t="s">
        <v>75</v>
      </c>
      <c r="F109" s="70" t="s">
        <v>76</v>
      </c>
      <c r="G109" s="77" t="s">
        <v>90</v>
      </c>
    </row>
    <row r="110" spans="2:7" ht="57.75" x14ac:dyDescent="0.25">
      <c r="B110" s="89" t="s">
        <v>82</v>
      </c>
      <c r="C110" s="90"/>
      <c r="D110" s="101">
        <v>2623.5</v>
      </c>
      <c r="E110" s="70" t="s">
        <v>75</v>
      </c>
      <c r="F110" s="70" t="s">
        <v>76</v>
      </c>
      <c r="G110" s="77" t="s">
        <v>90</v>
      </c>
    </row>
    <row r="111" spans="2:7" ht="30" x14ac:dyDescent="0.25">
      <c r="B111" s="82" t="s">
        <v>28</v>
      </c>
      <c r="C111" s="71" t="s">
        <v>19</v>
      </c>
      <c r="D111" s="102"/>
      <c r="E111" s="70" t="s">
        <v>75</v>
      </c>
      <c r="F111" s="70" t="s">
        <v>76</v>
      </c>
      <c r="G111" s="77" t="s">
        <v>90</v>
      </c>
    </row>
    <row r="112" spans="2:7" ht="30" x14ac:dyDescent="0.25">
      <c r="B112" s="83" t="s">
        <v>0</v>
      </c>
      <c r="C112" s="71" t="s">
        <v>19</v>
      </c>
      <c r="D112" s="102">
        <v>143.1</v>
      </c>
      <c r="E112" s="70" t="s">
        <v>75</v>
      </c>
      <c r="F112" s="70" t="s">
        <v>76</v>
      </c>
      <c r="G112" s="77" t="s">
        <v>90</v>
      </c>
    </row>
    <row r="113" spans="2:7" ht="30" x14ac:dyDescent="0.25">
      <c r="B113" s="83" t="s">
        <v>10</v>
      </c>
      <c r="C113" s="71" t="s">
        <v>19</v>
      </c>
      <c r="D113" s="102"/>
      <c r="E113" s="70" t="s">
        <v>75</v>
      </c>
      <c r="F113" s="70" t="s">
        <v>76</v>
      </c>
      <c r="G113" s="77" t="s">
        <v>90</v>
      </c>
    </row>
    <row r="114" spans="2:7" ht="30" x14ac:dyDescent="0.25">
      <c r="B114" s="84" t="s">
        <v>15</v>
      </c>
      <c r="C114" s="71" t="s">
        <v>19</v>
      </c>
      <c r="D114" s="102"/>
      <c r="E114" s="70" t="s">
        <v>75</v>
      </c>
      <c r="F114" s="70" t="s">
        <v>76</v>
      </c>
      <c r="G114" s="77" t="s">
        <v>90</v>
      </c>
    </row>
    <row r="115" spans="2:7" ht="30" x14ac:dyDescent="0.25">
      <c r="B115" s="83" t="s">
        <v>8</v>
      </c>
      <c r="C115" s="71" t="s">
        <v>19</v>
      </c>
      <c r="D115" s="102">
        <v>954</v>
      </c>
      <c r="E115" s="70" t="s">
        <v>75</v>
      </c>
      <c r="F115" s="70" t="s">
        <v>76</v>
      </c>
      <c r="G115" s="77" t="s">
        <v>90</v>
      </c>
    </row>
    <row r="116" spans="2:7" ht="30" x14ac:dyDescent="0.25">
      <c r="B116" s="84" t="s">
        <v>17</v>
      </c>
      <c r="C116" s="71" t="s">
        <v>19</v>
      </c>
      <c r="D116" s="102"/>
      <c r="E116" s="70" t="s">
        <v>75</v>
      </c>
      <c r="F116" s="70" t="s">
        <v>76</v>
      </c>
      <c r="G116" s="77" t="s">
        <v>90</v>
      </c>
    </row>
    <row r="117" spans="2:7" ht="30" x14ac:dyDescent="0.25">
      <c r="B117" s="83" t="s">
        <v>11</v>
      </c>
      <c r="C117" s="71" t="s">
        <v>19</v>
      </c>
      <c r="D117" s="102"/>
      <c r="E117" s="70" t="s">
        <v>75</v>
      </c>
      <c r="F117" s="70" t="s">
        <v>76</v>
      </c>
      <c r="G117" s="77" t="s">
        <v>90</v>
      </c>
    </row>
    <row r="118" spans="2:7" ht="30" x14ac:dyDescent="0.25">
      <c r="B118" s="82" t="s">
        <v>29</v>
      </c>
      <c r="C118" s="71" t="s">
        <v>20</v>
      </c>
      <c r="D118" s="102"/>
      <c r="E118" s="70" t="s">
        <v>75</v>
      </c>
      <c r="F118" s="70" t="s">
        <v>76</v>
      </c>
      <c r="G118" s="77" t="s">
        <v>90</v>
      </c>
    </row>
    <row r="119" spans="2:7" x14ac:dyDescent="0.25">
      <c r="B119" s="83" t="s">
        <v>0</v>
      </c>
      <c r="C119" s="71" t="s">
        <v>20</v>
      </c>
      <c r="D119" s="102">
        <v>5</v>
      </c>
      <c r="E119" s="70" t="s">
        <v>75</v>
      </c>
      <c r="F119" s="70" t="s">
        <v>76</v>
      </c>
      <c r="G119" s="77" t="s">
        <v>90</v>
      </c>
    </row>
    <row r="120" spans="2:7" x14ac:dyDescent="0.25">
      <c r="B120" s="83" t="s">
        <v>10</v>
      </c>
      <c r="C120" s="71" t="s">
        <v>20</v>
      </c>
      <c r="D120" s="102"/>
      <c r="E120" s="70" t="s">
        <v>75</v>
      </c>
      <c r="F120" s="70" t="s">
        <v>76</v>
      </c>
      <c r="G120" s="77" t="s">
        <v>90</v>
      </c>
    </row>
    <row r="121" spans="2:7" x14ac:dyDescent="0.25">
      <c r="B121" s="84" t="s">
        <v>15</v>
      </c>
      <c r="C121" s="71" t="s">
        <v>20</v>
      </c>
      <c r="D121" s="102"/>
      <c r="E121" s="70" t="s">
        <v>75</v>
      </c>
      <c r="F121" s="70" t="s">
        <v>76</v>
      </c>
      <c r="G121" s="77" t="s">
        <v>90</v>
      </c>
    </row>
    <row r="122" spans="2:7" ht="30" x14ac:dyDescent="0.25">
      <c r="B122" s="84" t="s">
        <v>16</v>
      </c>
      <c r="C122" s="71" t="s">
        <v>20</v>
      </c>
      <c r="D122" s="102">
        <v>2</v>
      </c>
      <c r="E122" s="70" t="s">
        <v>75</v>
      </c>
      <c r="F122" s="70" t="s">
        <v>76</v>
      </c>
      <c r="G122" s="77" t="s">
        <v>90</v>
      </c>
    </row>
    <row r="123" spans="2:7" ht="30" x14ac:dyDescent="0.25">
      <c r="B123" s="84" t="s">
        <v>18</v>
      </c>
      <c r="C123" s="71" t="s">
        <v>20</v>
      </c>
      <c r="D123" s="102"/>
      <c r="E123" s="70" t="s">
        <v>75</v>
      </c>
      <c r="F123" s="70" t="s">
        <v>76</v>
      </c>
      <c r="G123" s="77" t="s">
        <v>90</v>
      </c>
    </row>
    <row r="124" spans="2:7" x14ac:dyDescent="0.25">
      <c r="B124" s="83" t="s">
        <v>11</v>
      </c>
      <c r="C124" s="71" t="s">
        <v>20</v>
      </c>
      <c r="D124" s="102"/>
      <c r="E124" s="70" t="s">
        <v>75</v>
      </c>
      <c r="F124" s="70" t="s">
        <v>76</v>
      </c>
      <c r="G124" s="77" t="s">
        <v>90</v>
      </c>
    </row>
    <row r="125" spans="2:7" ht="29.25" x14ac:dyDescent="0.25">
      <c r="B125" s="91" t="s">
        <v>83</v>
      </c>
      <c r="C125" s="92"/>
      <c r="D125" s="101">
        <v>42779.919840287475</v>
      </c>
      <c r="E125" s="70" t="s">
        <v>75</v>
      </c>
      <c r="F125" s="70" t="s">
        <v>76</v>
      </c>
      <c r="G125" s="77" t="s">
        <v>90</v>
      </c>
    </row>
    <row r="126" spans="2:7" ht="60" x14ac:dyDescent="0.25">
      <c r="B126" s="93" t="s">
        <v>95</v>
      </c>
      <c r="C126" s="38" t="s">
        <v>24</v>
      </c>
      <c r="D126" s="102">
        <v>91767</v>
      </c>
      <c r="E126" s="70" t="s">
        <v>75</v>
      </c>
      <c r="F126" s="70" t="s">
        <v>76</v>
      </c>
      <c r="G126" s="77" t="s">
        <v>90</v>
      </c>
    </row>
    <row r="127" spans="2:7" x14ac:dyDescent="0.25">
      <c r="B127" s="93" t="s">
        <v>96</v>
      </c>
      <c r="C127" s="38" t="s">
        <v>6</v>
      </c>
      <c r="D127" s="102">
        <v>163503.35999999999</v>
      </c>
      <c r="E127" s="70" t="s">
        <v>75</v>
      </c>
      <c r="F127" s="70" t="s">
        <v>76</v>
      </c>
      <c r="G127" s="77" t="s">
        <v>90</v>
      </c>
    </row>
    <row r="128" spans="2:7" ht="60" x14ac:dyDescent="0.25">
      <c r="B128" s="93" t="s">
        <v>97</v>
      </c>
      <c r="C128" s="38" t="s">
        <v>24</v>
      </c>
      <c r="D128" s="102">
        <v>131901</v>
      </c>
      <c r="E128" s="70" t="s">
        <v>75</v>
      </c>
      <c r="F128" s="70" t="s">
        <v>76</v>
      </c>
      <c r="G128" s="77" t="s">
        <v>90</v>
      </c>
    </row>
    <row r="129" spans="2:7" x14ac:dyDescent="0.25">
      <c r="B129" s="93" t="s">
        <v>98</v>
      </c>
      <c r="C129" s="38" t="s">
        <v>6</v>
      </c>
      <c r="D129" s="102">
        <v>160288</v>
      </c>
      <c r="E129" s="70" t="s">
        <v>75</v>
      </c>
      <c r="F129" s="70" t="s">
        <v>76</v>
      </c>
      <c r="G129" s="77" t="s">
        <v>90</v>
      </c>
    </row>
  </sheetData>
  <mergeCells count="1">
    <mergeCell ref="B1:G2"/>
  </mergeCells>
  <phoneticPr fontId="19" type="noConversion"/>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FEF6E8-67EE-4D99-A56D-7209D7689D73}">
  <dimension ref="B2:AL8"/>
  <sheetViews>
    <sheetView topLeftCell="Y1" workbookViewId="0">
      <selection activeCell="AI24" sqref="AI24"/>
    </sheetView>
  </sheetViews>
  <sheetFormatPr defaultColWidth="8.7109375" defaultRowHeight="15" x14ac:dyDescent="0.25"/>
  <cols>
    <col min="1" max="1" width="3.5703125" style="54" customWidth="1"/>
    <col min="2" max="2" width="19.5703125" style="54" bestFit="1" customWidth="1"/>
    <col min="3" max="38" width="14.7109375" style="54" customWidth="1"/>
    <col min="39" max="16384" width="8.7109375" style="54"/>
  </cols>
  <sheetData>
    <row r="2" spans="2:38" x14ac:dyDescent="0.25">
      <c r="B2" s="53" t="s">
        <v>68</v>
      </c>
      <c r="D2" s="55" t="str">
        <f ca="1">_xll.PALO.VIEW.DIMNAME($B$2,$B$3,0,0)</f>
        <v>ContractNo</v>
      </c>
      <c r="E2" s="55" t="str">
        <f ca="1">_xll.PALO.VIEW.DIMNAME($B$2,$B$3,0,1)</f>
        <v>Region</v>
      </c>
      <c r="F2" s="55" t="str">
        <f ca="1">_xll.PALO.VIEW.DIMNAME($B$2,$B$3,0,2)</f>
        <v>Traffic</v>
      </c>
      <c r="G2" s="55" t="str">
        <f ca="1">_xll.PALO.VIEW.DIMNAME($B$2,$B$3,0,3)</f>
        <v>Period_type</v>
      </c>
      <c r="H2" s="55" t="str">
        <f ca="1">_xll.PALO.VIEW.DIMNAME($B$2,$B$3,0,4)</f>
        <v>Report_type</v>
      </c>
      <c r="I2" s="55" t="str">
        <f ca="1">_xll.PALO.VIEW.DIMNAME($B$2,$B$3,0,5)</f>
        <v>Transport</v>
      </c>
      <c r="J2" s="55" t="str">
        <f ca="1">_xll.PALO.VIEW.DIMNAME($B$2,$B$3,0,6)</f>
        <v>Vertibas</v>
      </c>
    </row>
    <row r="3" spans="2:38" x14ac:dyDescent="0.25">
      <c r="B3" s="56" t="str">
        <f ca="1">_xll.PALO.CUBE($B$2,"PnL_")</f>
        <v xml:space="preserve">	abaa92040b3d88651b3c955cc21263abd68d20fb</v>
      </c>
      <c r="D3" s="57" t="str">
        <f ca="1">_xll.PALO.ENAME($B$2,$B$3,0,0,0)</f>
        <v>Visi_ligumi</v>
      </c>
      <c r="E3" s="57" t="str">
        <f ca="1">_xll.PALO.ENAME($B$2,$B$3,0,1,0)</f>
        <v>Visi regioni</v>
      </c>
      <c r="F3" s="57" t="str">
        <f ca="1">_xll.PALO.ENAME($B$2,$B$3,0,2,0)</f>
        <v>Visi marsruti</v>
      </c>
      <c r="G3" s="58" t="str">
        <f ca="1">_xll.PALO.ENAME($B$2,$B$3,0,3,0)</f>
        <v>MONTH</v>
      </c>
      <c r="H3" s="58" t="str">
        <f ca="1">_xll.PALO.ENAME($B$2,$B$3,0,4,0)</f>
        <v>FACTUAL</v>
      </c>
      <c r="I3" s="57" t="str">
        <f ca="1">_xll.PALO.ENAME($B$2,$B$3,0,5,0)</f>
        <v>Visi_veidi</v>
      </c>
      <c r="J3" s="57" t="str">
        <f ca="1">_xll.PALO.ENAME($B$2,$B$3,0,6,0)</f>
        <v>EUR [+]</v>
      </c>
    </row>
    <row r="4" spans="2:38" x14ac:dyDescent="0.25">
      <c r="B4" s="59" t="s">
        <v>69</v>
      </c>
    </row>
    <row r="5" spans="2:38" x14ac:dyDescent="0.25">
      <c r="B5" s="60" t="s">
        <v>70</v>
      </c>
    </row>
    <row r="6" spans="2:38" x14ac:dyDescent="0.25">
      <c r="C6" s="61" t="str">
        <f ca="1">_xll.PALO.ENAME($B$2,$B$3,2,0,0)</f>
        <v>2019-03</v>
      </c>
      <c r="D6" s="62" t="str">
        <f ca="1">_xll.PALO.ENAME($B$2,$B$3,2,0,1)</f>
        <v>2019-03</v>
      </c>
      <c r="E6" s="62" t="str">
        <f ca="1">_xll.PALO.ENAME($B$2,$B$3,2,0,2)</f>
        <v>2019-03</v>
      </c>
      <c r="F6" s="61" t="str">
        <f ca="1">_xll.PALO.ENAME($B$2,$B$3,2,0,3)</f>
        <v>2019-04</v>
      </c>
      <c r="G6" s="62" t="str">
        <f ca="1">_xll.PALO.ENAME($B$2,$B$3,2,0,4)</f>
        <v>2019-04</v>
      </c>
      <c r="H6" s="62" t="str">
        <f ca="1">_xll.PALO.ENAME($B$2,$B$3,2,0,5)</f>
        <v>2019-04</v>
      </c>
      <c r="I6" s="61" t="str">
        <f ca="1">_xll.PALO.ENAME($B$2,$B$3,2,0,6)</f>
        <v>2019-05</v>
      </c>
      <c r="J6" s="62" t="str">
        <f ca="1">_xll.PALO.ENAME($B$2,$B$3,2,0,7)</f>
        <v>2019-05</v>
      </c>
      <c r="K6" s="62" t="str">
        <f ca="1">_xll.PALO.ENAME($B$2,$B$3,2,0,8)</f>
        <v>2019-05</v>
      </c>
      <c r="L6" s="61" t="str">
        <f ca="1">_xll.PALO.ENAME($B$2,$B$3,2,0,9)</f>
        <v>2019-06</v>
      </c>
      <c r="M6" s="62" t="str">
        <f ca="1">_xll.PALO.ENAME($B$2,$B$3,2,0,10)</f>
        <v>2019-06</v>
      </c>
      <c r="N6" s="62" t="str">
        <f ca="1">_xll.PALO.ENAME($B$2,$B$3,2,0,11)</f>
        <v>2019-06</v>
      </c>
      <c r="O6" s="61" t="str">
        <f ca="1">_xll.PALO.ENAME($B$2,$B$3,2,0,12)</f>
        <v>2020-03</v>
      </c>
      <c r="P6" s="62" t="str">
        <f ca="1">_xll.PALO.ENAME($B$2,$B$3,2,0,13)</f>
        <v>2020-03</v>
      </c>
      <c r="Q6" s="62" t="str">
        <f ca="1">_xll.PALO.ENAME($B$2,$B$3,2,0,14)</f>
        <v>2020-03</v>
      </c>
      <c r="R6" s="61" t="str">
        <f ca="1">_xll.PALO.ENAME($B$2,$B$3,2,0,15)</f>
        <v>2020-04</v>
      </c>
      <c r="S6" s="62" t="str">
        <f ca="1">_xll.PALO.ENAME($B$2,$B$3,2,0,16)</f>
        <v>2020-04</v>
      </c>
      <c r="T6" s="62" t="str">
        <f ca="1">_xll.PALO.ENAME($B$2,$B$3,2,0,17)</f>
        <v>2020-04</v>
      </c>
      <c r="U6" s="61" t="str">
        <f ca="1">_xll.PALO.ENAME($B$2,$B$3,2,0,18)</f>
        <v>2020-05</v>
      </c>
      <c r="V6" s="62" t="str">
        <f ca="1">_xll.PALO.ENAME($B$2,$B$3,2,0,19)</f>
        <v>2020-05</v>
      </c>
      <c r="W6" s="62" t="str">
        <f ca="1">_xll.PALO.ENAME($B$2,$B$3,2,0,20)</f>
        <v>2020-05</v>
      </c>
      <c r="X6" s="61" t="str">
        <f ca="1">_xll.PALO.ENAME($B$2,$B$3,2,0,21)</f>
        <v>2020-06</v>
      </c>
      <c r="Y6" s="62" t="str">
        <f ca="1">_xll.PALO.ENAME($B$2,$B$3,2,0,22)</f>
        <v>2020-06</v>
      </c>
      <c r="Z6" s="62" t="str">
        <f ca="1">_xll.PALO.ENAME($B$2,$B$3,2,0,23)</f>
        <v>2020-06</v>
      </c>
      <c r="AA6" s="61" t="str">
        <f ca="1">_xll.PALO.ENAME($B$2,$B$3,2,0,24)</f>
        <v>2021-03</v>
      </c>
      <c r="AB6" s="62" t="str">
        <f ca="1">_xll.PALO.ENAME($B$2,$B$3,2,0,25)</f>
        <v>2021-03</v>
      </c>
      <c r="AC6" s="62" t="str">
        <f ca="1">_xll.PALO.ENAME($B$2,$B$3,2,0,26)</f>
        <v>2021-03</v>
      </c>
      <c r="AD6" s="61" t="str">
        <f ca="1">_xll.PALO.ENAME($B$2,$B$3,2,0,27)</f>
        <v>2021-04</v>
      </c>
      <c r="AE6" s="62" t="str">
        <f ca="1">_xll.PALO.ENAME($B$2,$B$3,2,0,28)</f>
        <v>2021-04</v>
      </c>
      <c r="AF6" s="62" t="str">
        <f ca="1">_xll.PALO.ENAME($B$2,$B$3,2,0,29)</f>
        <v>2021-04</v>
      </c>
      <c r="AG6" s="61" t="str">
        <f ca="1">_xll.PALO.ENAME($B$2,$B$3,2,0,30)</f>
        <v>2021-05</v>
      </c>
      <c r="AH6" s="62" t="str">
        <f ca="1">_xll.PALO.ENAME($B$2,$B$3,2,0,31)</f>
        <v>2021-05</v>
      </c>
      <c r="AI6" s="62" t="str">
        <f ca="1">_xll.PALO.ENAME($B$2,$B$3,2,0,32)</f>
        <v>2021-05</v>
      </c>
      <c r="AJ6" s="61" t="str">
        <f ca="1">_xll.PALO.ENAME($B$2,$B$3,2,0,33)</f>
        <v>2021-06</v>
      </c>
      <c r="AK6" s="62" t="str">
        <f ca="1">_xll.PALO.ENAME($B$2,$B$3,2,0,34)</f>
        <v>2021-06</v>
      </c>
      <c r="AL6" s="62" t="str">
        <f ca="1">_xll.PALO.ENAME($B$2,$B$3,2,0,35)</f>
        <v>2021-06</v>
      </c>
    </row>
    <row r="7" spans="2:38" ht="24.75" x14ac:dyDescent="0.25">
      <c r="C7" s="63" t="str">
        <f ca="1">_xll.PALO.ENAME($B$2,$B$3,2,1,0)</f>
        <v>Ieņēmumi</v>
      </c>
      <c r="D7" s="63" t="str">
        <f ca="1">_xll.PALO.ENAME($B$2,$B$3,2,1,1)</f>
        <v>Nobraukums maršrutu tīklā</v>
      </c>
      <c r="E7" s="63" t="str">
        <f ca="1">_xll.PALO.ENAME($B$2,$B$3,2,1,2)</f>
        <v>Viena kilometra pašizmaksa (EUR)</v>
      </c>
      <c r="F7" s="63" t="str">
        <f ca="1">_xll.PALO.ENAME($B$2,$B$3,2,1,3)</f>
        <v>Ieņēmumi</v>
      </c>
      <c r="G7" s="63" t="str">
        <f ca="1">_xll.PALO.ENAME($B$2,$B$3,2,1,4)</f>
        <v>Nobraukums maršrutu tīklā</v>
      </c>
      <c r="H7" s="63" t="str">
        <f ca="1">_xll.PALO.ENAME($B$2,$B$3,2,1,5)</f>
        <v>Viena kilometra pašizmaksa (EUR)</v>
      </c>
      <c r="I7" s="63" t="str">
        <f ca="1">_xll.PALO.ENAME($B$2,$B$3,2,1,6)</f>
        <v>Ieņēmumi</v>
      </c>
      <c r="J7" s="63" t="str">
        <f ca="1">_xll.PALO.ENAME($B$2,$B$3,2,1,7)</f>
        <v>Nobraukums maršrutu tīklā</v>
      </c>
      <c r="K7" s="63" t="str">
        <f ca="1">_xll.PALO.ENAME($B$2,$B$3,2,1,8)</f>
        <v>Viena kilometra pašizmaksa (EUR)</v>
      </c>
      <c r="L7" s="63" t="str">
        <f ca="1">_xll.PALO.ENAME($B$2,$B$3,2,1,9)</f>
        <v>Ieņēmumi</v>
      </c>
      <c r="M7" s="63" t="str">
        <f ca="1">_xll.PALO.ENAME($B$2,$B$3,2,1,10)</f>
        <v>Nobraukums maršrutu tīklā</v>
      </c>
      <c r="N7" s="63" t="str">
        <f ca="1">_xll.PALO.ENAME($B$2,$B$3,2,1,11)</f>
        <v>Viena kilometra pašizmaksa (EUR)</v>
      </c>
      <c r="O7" s="63" t="str">
        <f ca="1">_xll.PALO.ENAME($B$2,$B$3,2,1,12)</f>
        <v>Ieņēmumi</v>
      </c>
      <c r="P7" s="63" t="str">
        <f ca="1">_xll.PALO.ENAME($B$2,$B$3,2,1,13)</f>
        <v>Nobraukums maršrutu tīklā</v>
      </c>
      <c r="Q7" s="63" t="str">
        <f ca="1">_xll.PALO.ENAME($B$2,$B$3,2,1,14)</f>
        <v>Viena kilometra pašizmaksa (EUR)</v>
      </c>
      <c r="R7" s="63" t="str">
        <f ca="1">_xll.PALO.ENAME($B$2,$B$3,2,1,15)</f>
        <v>Ieņēmumi</v>
      </c>
      <c r="S7" s="63" t="str">
        <f ca="1">_xll.PALO.ENAME($B$2,$B$3,2,1,16)</f>
        <v>Nobraukums maršrutu tīklā</v>
      </c>
      <c r="T7" s="63" t="str">
        <f ca="1">_xll.PALO.ENAME($B$2,$B$3,2,1,17)</f>
        <v>Viena kilometra pašizmaksa (EUR)</v>
      </c>
      <c r="U7" s="63" t="str">
        <f ca="1">_xll.PALO.ENAME($B$2,$B$3,2,1,18)</f>
        <v>Ieņēmumi</v>
      </c>
      <c r="V7" s="63" t="str">
        <f ca="1">_xll.PALO.ENAME($B$2,$B$3,2,1,19)</f>
        <v>Nobraukums maršrutu tīklā</v>
      </c>
      <c r="W7" s="63" t="str">
        <f ca="1">_xll.PALO.ENAME($B$2,$B$3,2,1,20)</f>
        <v>Viena kilometra pašizmaksa (EUR)</v>
      </c>
      <c r="X7" s="63" t="str">
        <f ca="1">_xll.PALO.ENAME($B$2,$B$3,2,1,21)</f>
        <v>Ieņēmumi</v>
      </c>
      <c r="Y7" s="63" t="str">
        <f ca="1">_xll.PALO.ENAME($B$2,$B$3,2,1,22)</f>
        <v>Nobraukums maršrutu tīklā</v>
      </c>
      <c r="Z7" s="63" t="str">
        <f ca="1">_xll.PALO.ENAME($B$2,$B$3,2,1,23)</f>
        <v>Viena kilometra pašizmaksa (EUR)</v>
      </c>
      <c r="AA7" s="63" t="str">
        <f ca="1">_xll.PALO.ENAME($B$2,$B$3,2,1,24)</f>
        <v>Ieņēmumi</v>
      </c>
      <c r="AB7" s="63" t="str">
        <f ca="1">_xll.PALO.ENAME($B$2,$B$3,2,1,25)</f>
        <v>Nobraukums maršrutu tīklā</v>
      </c>
      <c r="AC7" s="63" t="str">
        <f ca="1">_xll.PALO.ENAME($B$2,$B$3,2,1,26)</f>
        <v>Viena kilometra pašizmaksa (EUR)</v>
      </c>
      <c r="AD7" s="63" t="str">
        <f ca="1">_xll.PALO.ENAME($B$2,$B$3,2,1,27)</f>
        <v>Ieņēmumi</v>
      </c>
      <c r="AE7" s="63" t="str">
        <f ca="1">_xll.PALO.ENAME($B$2,$B$3,2,1,28)</f>
        <v>Nobraukums maršrutu tīklā</v>
      </c>
      <c r="AF7" s="63" t="str">
        <f ca="1">_xll.PALO.ENAME($B$2,$B$3,2,1,29)</f>
        <v>Viena kilometra pašizmaksa (EUR)</v>
      </c>
      <c r="AG7" s="63" t="str">
        <f ca="1">_xll.PALO.ENAME($B$2,$B$3,2,1,30)</f>
        <v>Ieņēmumi</v>
      </c>
      <c r="AH7" s="63" t="str">
        <f ca="1">_xll.PALO.ENAME($B$2,$B$3,2,1,31)</f>
        <v>Nobraukums maršrutu tīklā</v>
      </c>
      <c r="AI7" s="63" t="str">
        <f ca="1">_xll.PALO.ENAME($B$2,$B$3,2,1,32)</f>
        <v>Viena kilometra pašizmaksa (EUR)</v>
      </c>
      <c r="AJ7" s="63" t="str">
        <f ca="1">_xll.PALO.ENAME($B$2,$B$3,2,1,33)</f>
        <v>Ieņēmumi</v>
      </c>
      <c r="AK7" s="63" t="str">
        <f ca="1">_xll.PALO.ENAME($B$2,$B$3,2,1,34)</f>
        <v>Nobraukums maršrutu tīklā</v>
      </c>
      <c r="AL7" s="63" t="str">
        <f ca="1">_xll.PALO.ENAME($B$2,$B$3,2,1,35)</f>
        <v>Viena kilometra pašizmaksa (EUR)</v>
      </c>
    </row>
    <row r="8" spans="2:38" x14ac:dyDescent="0.25">
      <c r="B8" s="64" t="str">
        <f ca="1">_xll.PALO.ENAME($B$2,$B$3,1,0,0)</f>
        <v>Jelgavas pilsētas dome</v>
      </c>
      <c r="C8" s="65">
        <f ca="1">_xll.PALO.DATA($B$2,$B$3,_xll.PALO.EL("Time",C$6),_xll.PALO.EL("Partner",$B8),_xll.PALO.EL($D$2,$D$3),_xll.PALO.EL($E$2,$E$3),_xll.PALO.EL($F$2,$F$3),_xll.PALO.EL($G$2,$G$3),_xll.PALO.EL($H$2,$H$3),_xll.PALO.EL($I$2,$I$3),_xll.PALO.EL($J$2,$J$3),_xll.PALO.EL("Position",C$7))</f>
        <v>165363.35999999999</v>
      </c>
      <c r="D8" s="65">
        <f ca="1">_xll.PALO.DATA($B$2,$B$3,_xll.PALO.EL("Time",D$6),_xll.PALO.EL("Partner",$B8),_xll.PALO.EL($D$2,$D$3),_xll.PALO.EL($E$2,$E$3),_xll.PALO.EL($F$2,$F$3),_xll.PALO.EL($G$2,$G$3),_xll.PALO.EL($H$2,$H$3),_xll.PALO.EL($I$2,$I$3),_xll.PALO.EL($J$2,$J$3),_xll.PALO.EL("Position",D$7))</f>
        <v>168272.73</v>
      </c>
      <c r="E8" s="65">
        <f ca="1">_xll.PALO.DATA($B$2,$B$3,_xll.PALO.EL("Time",E$6),_xll.PALO.EL("Partner",$B8),_xll.PALO.EL($D$2,$D$3),_xll.PALO.EL($E$2,$E$3),_xll.PALO.EL($F$2,$F$3),_xll.PALO.EL($G$2,$G$3),_xll.PALO.EL($H$2,$H$3),_xll.PALO.EL($I$2,$I$3),_xll.PALO.EL($J$2,$J$3),_xll.PALO.EL("Position",E$7))</f>
        <v>2.02</v>
      </c>
      <c r="F8" s="65">
        <f ca="1">_xll.PALO.DATA($B$2,$B$3,_xll.PALO.EL("Time",F$6),_xll.PALO.EL("Partner",$B8),_xll.PALO.EL($D$2,$D$3),_xll.PALO.EL($E$2,$E$3),_xll.PALO.EL($F$2,$F$3),_xll.PALO.EL($G$2,$G$3),_xll.PALO.EL($H$2,$H$3),_xll.PALO.EL($I$2,$I$3),_xll.PALO.EL($J$2,$J$3),_xll.PALO.EL("Position",F$7))</f>
        <v>165356.45000000001</v>
      </c>
      <c r="G8" s="65">
        <f ca="1">_xll.PALO.DATA($B$2,$B$3,_xll.PALO.EL("Time",G$6),_xll.PALO.EL("Partner",$B8),_xll.PALO.EL($D$2,$D$3),_xll.PALO.EL($E$2,$E$3),_xll.PALO.EL($F$2,$F$3),_xll.PALO.EL($G$2,$G$3),_xll.PALO.EL($H$2,$H$3),_xll.PALO.EL($I$2,$I$3),_xll.PALO.EL($J$2,$J$3),_xll.PALO.EL("Position",G$7))</f>
        <v>162202.15</v>
      </c>
      <c r="H8" s="65">
        <f ca="1">_xll.PALO.DATA($B$2,$B$3,_xll.PALO.EL("Time",H$6),_xll.PALO.EL("Partner",$B8),_xll.PALO.EL($D$2,$D$3),_xll.PALO.EL($E$2,$E$3),_xll.PALO.EL($F$2,$F$3),_xll.PALO.EL($G$2,$G$3),_xll.PALO.EL($H$2,$H$3),_xll.PALO.EL($I$2,$I$3),_xll.PALO.EL($J$2,$J$3),_xll.PALO.EL("Position",H$7))</f>
        <v>2.1751999999999998</v>
      </c>
      <c r="I8" s="65">
        <f ca="1">_xll.PALO.DATA($B$2,$B$3,_xll.PALO.EL("Time",I$6),_xll.PALO.EL("Partner",$B8),_xll.PALO.EL($D$2,$D$3),_xll.PALO.EL($E$2,$E$3),_xll.PALO.EL($F$2,$F$3),_xll.PALO.EL($G$2,$G$3),_xll.PALO.EL($H$2,$H$3),_xll.PALO.EL($I$2,$I$3),_xll.PALO.EL($J$2,$J$3),_xll.PALO.EL("Position",I$7))</f>
        <v>160246.99</v>
      </c>
      <c r="J8" s="65">
        <f ca="1">_xll.PALO.DATA($B$2,$B$3,_xll.PALO.EL("Time",J$6),_xll.PALO.EL("Partner",$B8),_xll.PALO.EL($D$2,$D$3),_xll.PALO.EL($E$2,$E$3),_xll.PALO.EL($F$2,$F$3),_xll.PALO.EL($G$2,$G$3),_xll.PALO.EL($H$2,$H$3),_xll.PALO.EL($I$2,$I$3),_xll.PALO.EL($J$2,$J$3),_xll.PALO.EL("Position",J$7))</f>
        <v>167991</v>
      </c>
      <c r="K8" s="65">
        <f ca="1">_xll.PALO.DATA($B$2,$B$3,_xll.PALO.EL("Time",K$6),_xll.PALO.EL("Partner",$B8),_xll.PALO.EL($D$2,$D$3),_xll.PALO.EL($E$2,$E$3),_xll.PALO.EL($F$2,$F$3),_xll.PALO.EL($G$2,$G$3),_xll.PALO.EL($H$2,$H$3),_xll.PALO.EL($I$2,$I$3),_xll.PALO.EL($J$2,$J$3),_xll.PALO.EL("Position",K$7))</f>
        <v>2</v>
      </c>
      <c r="L8" s="65">
        <f ca="1">_xll.PALO.DATA($B$2,$B$3,_xll.PALO.EL("Time",L$6),_xll.PALO.EL("Partner",$B8),_xll.PALO.EL($D$2,$D$3),_xll.PALO.EL($E$2,$E$3),_xll.PALO.EL($F$2,$F$3),_xll.PALO.EL($G$2,$G$3),_xll.PALO.EL($H$2,$H$3),_xll.PALO.EL($I$2,$I$3),_xll.PALO.EL($J$2,$J$3),_xll.PALO.EL("Position",L$7))</f>
        <v>131900.82</v>
      </c>
      <c r="M8" s="65">
        <f ca="1">_xll.PALO.DATA($B$2,$B$3,_xll.PALO.EL("Time",M$6),_xll.PALO.EL("Partner",$B8),_xll.PALO.EL($D$2,$D$3),_xll.PALO.EL($E$2,$E$3),_xll.PALO.EL($F$2,$F$3),_xll.PALO.EL($G$2,$G$3),_xll.PALO.EL($H$2,$H$3),_xll.PALO.EL($I$2,$I$3),_xll.PALO.EL($J$2,$J$3),_xll.PALO.EL("Position",M$7))</f>
        <v>160287.84</v>
      </c>
      <c r="N8" s="65">
        <f ca="1">_xll.PALO.DATA($B$2,$B$3,_xll.PALO.EL("Time",N$6),_xll.PALO.EL("Partner",$B8),_xll.PALO.EL($D$2,$D$3),_xll.PALO.EL($E$2,$E$3),_xll.PALO.EL($F$2,$F$3),_xll.PALO.EL($G$2,$G$3),_xll.PALO.EL($H$2,$H$3),_xll.PALO.EL($I$2,$I$3),_xll.PALO.EL($J$2,$J$3),_xll.PALO.EL("Position",N$7))</f>
        <v>1.94</v>
      </c>
      <c r="O8" s="65">
        <f ca="1">_xll.PALO.DATA($B$2,$B$3,_xll.PALO.EL("Time",O$6),_xll.PALO.EL("Partner",$B8),_xll.PALO.EL($D$2,$D$3),_xll.PALO.EL($E$2,$E$3),_xll.PALO.EL($F$2,$F$3),_xll.PALO.EL($G$2,$G$3),_xll.PALO.EL($H$2,$H$3),_xll.PALO.EL($I$2,$I$3),_xll.PALO.EL($J$2,$J$3),_xll.PALO.EL("Position",O$7))</f>
        <v>106235.59</v>
      </c>
      <c r="P8" s="65">
        <f ca="1">_xll.PALO.DATA($B$2,$B$3,_xll.PALO.EL("Time",P$6),_xll.PALO.EL("Partner",$B8),_xll.PALO.EL($D$2,$D$3),_xll.PALO.EL($E$2,$E$3),_xll.PALO.EL($F$2,$F$3),_xll.PALO.EL($G$2,$G$3),_xll.PALO.EL($H$2,$H$3),_xll.PALO.EL($I$2,$I$3),_xll.PALO.EL($J$2,$J$3),_xll.PALO.EL("Position",P$7))</f>
        <v>163249.57999999999</v>
      </c>
      <c r="Q8" s="65">
        <f ca="1">_xll.PALO.DATA($B$2,$B$3,_xll.PALO.EL("Time",Q$6),_xll.PALO.EL("Partner",$B8),_xll.PALO.EL($D$2,$D$3),_xll.PALO.EL($E$2,$E$3),_xll.PALO.EL($F$2,$F$3),_xll.PALO.EL($G$2,$G$3),_xll.PALO.EL($H$2,$H$3),_xll.PALO.EL($I$2,$I$3),_xll.PALO.EL($J$2,$J$3),_xll.PALO.EL("Position",Q$7))</f>
        <v>2.06</v>
      </c>
      <c r="R8" s="65">
        <f ca="1">_xll.PALO.DATA($B$2,$B$3,_xll.PALO.EL("Time",R$6),_xll.PALO.EL("Partner",$B8),_xll.PALO.EL($D$2,$D$3),_xll.PALO.EL($E$2,$E$3),_xll.PALO.EL($F$2,$F$3),_xll.PALO.EL($G$2,$G$3),_xll.PALO.EL($H$2,$H$3),_xll.PALO.EL($I$2,$I$3),_xll.PALO.EL($J$2,$J$3),_xll.PALO.EL("Position",R$7))</f>
        <v>54189.120000000003</v>
      </c>
      <c r="S8" s="65">
        <f ca="1">_xll.PALO.DATA($B$2,$B$3,_xll.PALO.EL("Time",S$6),_xll.PALO.EL("Partner",$B8),_xll.PALO.EL($D$2,$D$3),_xll.PALO.EL($E$2,$E$3),_xll.PALO.EL($F$2,$F$3),_xll.PALO.EL($G$2,$G$3),_xll.PALO.EL($H$2,$H$3),_xll.PALO.EL($I$2,$I$3),_xll.PALO.EL($J$2,$J$3),_xll.PALO.EL("Position",S$7))</f>
        <v>141429.01</v>
      </c>
      <c r="T8" s="65">
        <f ca="1">_xll.PALO.DATA($B$2,$B$3,_xll.PALO.EL("Time",T$6),_xll.PALO.EL("Partner",$B8),_xll.PALO.EL($D$2,$D$3),_xll.PALO.EL($E$2,$E$3),_xll.PALO.EL($F$2,$F$3),_xll.PALO.EL($G$2,$G$3),_xll.PALO.EL($H$2,$H$3),_xll.PALO.EL($I$2,$I$3),_xll.PALO.EL($J$2,$J$3),_xll.PALO.EL("Position",T$7))</f>
        <v>2.335</v>
      </c>
      <c r="U8" s="65">
        <f ca="1">_xll.PALO.DATA($B$2,$B$3,_xll.PALO.EL("Time",U$6),_xll.PALO.EL("Partner",$B8),_xll.PALO.EL($D$2,$D$3),_xll.PALO.EL($E$2,$E$3),_xll.PALO.EL($F$2,$F$3),_xll.PALO.EL($G$2,$G$3),_xll.PALO.EL($H$2,$H$3),_xll.PALO.EL($I$2,$I$3),_xll.PALO.EL($J$2,$J$3),_xll.PALO.EL("Position",U$7))</f>
        <v>69227.179999999993</v>
      </c>
      <c r="V8" s="65">
        <f ca="1">_xll.PALO.DATA($B$2,$B$3,_xll.PALO.EL("Time",V$6),_xll.PALO.EL("Partner",$B8),_xll.PALO.EL($D$2,$D$3),_xll.PALO.EL($E$2,$E$3),_xll.PALO.EL($F$2,$F$3),_xll.PALO.EL($G$2,$G$3),_xll.PALO.EL($H$2,$H$3),_xll.PALO.EL($I$2,$I$3),_xll.PALO.EL($J$2,$J$3),_xll.PALO.EL("Position",V$7))</f>
        <v>144065.84</v>
      </c>
      <c r="W8" s="65">
        <f ca="1">_xll.PALO.DATA($B$2,$B$3,_xll.PALO.EL("Time",W$6),_xll.PALO.EL("Partner",$B8),_xll.PALO.EL($D$2,$D$3),_xll.PALO.EL($E$2,$E$3),_xll.PALO.EL($F$2,$F$3),_xll.PALO.EL($G$2,$G$3),_xll.PALO.EL($H$2,$H$3),_xll.PALO.EL($I$2,$I$3),_xll.PALO.EL($J$2,$J$3),_xll.PALO.EL("Position",W$7))</f>
        <v>2.14</v>
      </c>
      <c r="X8" s="65">
        <f ca="1">_xll.PALO.DATA($B$2,$B$3,_xll.PALO.EL("Time",X$6),_xll.PALO.EL("Partner",$B8),_xll.PALO.EL($D$2,$D$3),_xll.PALO.EL($E$2,$E$3),_xll.PALO.EL($F$2,$F$3),_xll.PALO.EL($G$2,$G$3),_xll.PALO.EL($H$2,$H$3),_xll.PALO.EL($I$2,$I$3),_xll.PALO.EL($J$2,$J$3),_xll.PALO.EL("Position",X$7))</f>
        <v>84008.09</v>
      </c>
      <c r="Y8" s="65">
        <f ca="1">_xll.PALO.DATA($B$2,$B$3,_xll.PALO.EL("Time",Y$6),_xll.PALO.EL("Partner",$B8),_xll.PALO.EL($D$2,$D$3),_xll.PALO.EL($E$2,$E$3),_xll.PALO.EL($F$2,$F$3),_xll.PALO.EL($G$2,$G$3),_xll.PALO.EL($H$2,$H$3),_xll.PALO.EL($I$2,$I$3),_xll.PALO.EL($J$2,$J$3),_xll.PALO.EL("Position",Y$7))</f>
        <v>151834.92000000001</v>
      </c>
      <c r="Z8" s="65">
        <f ca="1">_xll.PALO.DATA($B$2,$B$3,_xll.PALO.EL("Time",Z$6),_xll.PALO.EL("Partner",$B8),_xll.PALO.EL($D$2,$D$3),_xll.PALO.EL($E$2,$E$3),_xll.PALO.EL($F$2,$F$3),_xll.PALO.EL($G$2,$G$3),_xll.PALO.EL($H$2,$H$3),_xll.PALO.EL($I$2,$I$3),_xll.PALO.EL($J$2,$J$3),_xll.PALO.EL("Position",Z$7))</f>
        <v>2.1</v>
      </c>
      <c r="AA8" s="65">
        <f ca="1">_xll.PALO.DATA($B$2,$B$3,_xll.PALO.EL("Time",AA$6),_xll.PALO.EL("Partner",$B8),_xll.PALO.EL($D$2,$D$3),_xll.PALO.EL($E$2,$E$3),_xll.PALO.EL($F$2,$F$3),_xll.PALO.EL($G$2,$G$3),_xll.PALO.EL($H$2,$H$3),_xll.PALO.EL($I$2,$I$3),_xll.PALO.EL($J$2,$J$3),_xll.PALO.EL("Position",AA$7))</f>
        <v>85138.42</v>
      </c>
      <c r="AB8" s="65">
        <f ca="1">_xll.PALO.DATA($B$2,$B$3,_xll.PALO.EL("Time",AB$6),_xll.PALO.EL("Partner",$B8),_xll.PALO.EL($D$2,$D$3),_xll.PALO.EL($E$2,$E$3),_xll.PALO.EL($F$2,$F$3),_xll.PALO.EL($G$2,$G$3),_xll.PALO.EL($H$2,$H$3),_xll.PALO.EL($I$2,$I$3),_xll.PALO.EL($J$2,$J$3),_xll.PALO.EL("Position",AB$7))</f>
        <v>149227.54</v>
      </c>
      <c r="AC8" s="65">
        <f ca="1">_xll.PALO.DATA($B$2,$B$3,_xll.PALO.EL("Time",AC$6),_xll.PALO.EL("Partner",$B8),_xll.PALO.EL($D$2,$D$3),_xll.PALO.EL($E$2,$E$3),_xll.PALO.EL($F$2,$F$3),_xll.PALO.EL($G$2,$G$3),_xll.PALO.EL($H$2,$H$3),_xll.PALO.EL($I$2,$I$3),_xll.PALO.EL($J$2,$J$3),_xll.PALO.EL("Position",AC$7))</f>
        <v>2.2827000000000002</v>
      </c>
      <c r="AD8" s="65">
        <f ca="1">_xll.PALO.DATA($B$2,$B$3,_xll.PALO.EL("Time",AD$6),_xll.PALO.EL("Partner",$B8),_xll.PALO.EL($D$2,$D$3),_xll.PALO.EL($E$2,$E$3),_xll.PALO.EL($F$2,$F$3),_xll.PALO.EL($G$2,$G$3),_xll.PALO.EL($H$2,$H$3),_xll.PALO.EL($I$2,$I$3),_xll.PALO.EL($J$2,$J$3),_xll.PALO.EL("Position",AD$7))</f>
        <v>88980.61</v>
      </c>
      <c r="AE8" s="65">
        <f ca="1">_xll.PALO.DATA($B$2,$B$3,_xll.PALO.EL("Time",AE$6),_xll.PALO.EL("Partner",$B8),_xll.PALO.EL($D$2,$D$3),_xll.PALO.EL($E$2,$E$3),_xll.PALO.EL($F$2,$F$3),_xll.PALO.EL($G$2,$G$3),_xll.PALO.EL($H$2,$H$3),_xll.PALO.EL($I$2,$I$3),_xll.PALO.EL($J$2,$J$3),_xll.PALO.EL("Position",AE$7))</f>
        <v>160104.79999999999</v>
      </c>
      <c r="AF8" s="65">
        <f ca="1">_xll.PALO.DATA($B$2,$B$3,_xll.PALO.EL("Time",AF$6),_xll.PALO.EL("Partner",$B8),_xll.PALO.EL($D$2,$D$3),_xll.PALO.EL($E$2,$E$3),_xll.PALO.EL($F$2,$F$3),_xll.PALO.EL($G$2,$G$3),_xll.PALO.EL($H$2,$H$3),_xll.PALO.EL($I$2,$I$3),_xll.PALO.EL($J$2,$J$3),_xll.PALO.EL("Position",AF$7))</f>
        <v>2.0045999999999999</v>
      </c>
      <c r="AG8" s="65">
        <f ca="1">_xll.PALO.DATA($B$2,$B$3,_xll.PALO.EL("Time",AG$6),_xll.PALO.EL("Partner",$B8),_xll.PALO.EL($D$2,$D$3),_xll.PALO.EL($E$2,$E$3),_xll.PALO.EL($F$2,$F$3),_xll.PALO.EL($G$2,$G$3),_xll.PALO.EL($H$2,$H$3),_xll.PALO.EL($I$2,$I$3),_xll.PALO.EL($J$2,$J$3),_xll.PALO.EL("Position",AG$7))</f>
        <v>99293.63</v>
      </c>
      <c r="AH8" s="65">
        <f ca="1">_xll.PALO.DATA($B$2,$B$3,_xll.PALO.EL("Time",AH$6),_xll.PALO.EL("Partner",$B8),_xll.PALO.EL($D$2,$D$3),_xll.PALO.EL($E$2,$E$3),_xll.PALO.EL($F$2,$F$3),_xll.PALO.EL($G$2,$G$3),_xll.PALO.EL($H$2,$H$3),_xll.PALO.EL($I$2,$I$3),_xll.PALO.EL($J$2,$J$3),_xll.PALO.EL("Position",AH$7))</f>
        <v>168637.2</v>
      </c>
      <c r="AI8" s="65">
        <f ca="1">_xll.PALO.DATA($B$2,$B$3,_xll.PALO.EL("Time",AI$6),_xll.PALO.EL("Partner",$B8),_xll.PALO.EL($D$2,$D$3),_xll.PALO.EL($E$2,$E$3),_xll.PALO.EL($F$2,$F$3),_xll.PALO.EL($G$2,$G$3),_xll.PALO.EL($H$2,$H$3),_xll.PALO.EL($I$2,$I$3),_xll.PALO.EL($J$2,$J$3),_xll.PALO.EL("Position",AI$7))</f>
        <v>2.4417</v>
      </c>
      <c r="AJ8" s="65">
        <f ca="1">_xll.PALO.DATA($B$2,$B$3,_xll.PALO.EL("Time",AJ$6),_xll.PALO.EL("Partner",$B8),_xll.PALO.EL($D$2,$D$3),_xll.PALO.EL($E$2,$E$3),_xll.PALO.EL($F$2,$F$3),_xll.PALO.EL($G$2,$G$3),_xll.PALO.EL($H$2,$H$3),_xll.PALO.EL($I$2,$I$3),_xll.PALO.EL($J$2,$J$3),_xll.PALO.EL("Position",AJ$7))</f>
        <v>91767.47</v>
      </c>
      <c r="AK8" s="65">
        <f ca="1">_xll.PALO.DATA($B$2,$B$3,_xll.PALO.EL("Time",AK$6),_xll.PALO.EL("Partner",$B8),_xll.PALO.EL($D$2,$D$3),_xll.PALO.EL($E$2,$E$3),_xll.PALO.EL($F$2,$F$3),_xll.PALO.EL($G$2,$G$3),_xll.PALO.EL($H$2,$H$3),_xll.PALO.EL($I$2,$I$3),_xll.PALO.EL($J$2,$J$3),_xll.PALO.EL("Position",AK$7))</f>
        <v>163503.35999999999</v>
      </c>
      <c r="AL8" s="65">
        <f ca="1">_xll.PALO.DATA($B$2,$B$3,_xll.PALO.EL("Time",AL$6),_xll.PALO.EL("Partner",$B8),_xll.PALO.EL($D$2,$D$3),_xll.PALO.EL($E$2,$E$3),_xll.PALO.EL($F$2,$F$3),_xll.PALO.EL($G$2,$G$3),_xll.PALO.EL($H$2,$H$3),_xll.PALO.EL($I$2,$I$3),_xll.PALO.EL($J$2,$J$3),_xll.PALO.EL("Position",AL$7))</f>
        <v>2.2263999999999999</v>
      </c>
    </row>
  </sheetData>
  <dataValidations count="1">
    <dataValidation type="custom" allowBlank="1" showInputMessage="1" error="8eed808afb794d4789d1fe0a8ec90b73" sqref="B3" xr:uid="{77464A15-644F-4B08-8B49-258C4B600DE0}">
      <formula1>TRUE</formula1>
    </dataValidation>
  </dataValidations>
  <pageMargins left="0.7" right="0.7" top="0.75" bottom="0.75" header="0.3" footer="0.3"/>
  <pageSetup orientation="portrait" r:id="rId1"/>
  <customProperties>
    <customPr name="jedoxview_8eed808afb794d4789d1fe0a8ec90b73"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09.03-31.03</vt:lpstr>
      <vt:lpstr>aprīlis</vt:lpstr>
      <vt:lpstr>maijs</vt:lpstr>
      <vt:lpstr>junijs</vt:lpstr>
      <vt:lpstr>PIVOT_apkopojums</vt:lpstr>
      <vt:lpstr>PIVOT</vt:lpstr>
      <vt:lpstr>atskaites_jedox</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Kristīne Grīviņa</dc:creator>
  <cp:lastModifiedBy>Ilze Pence</cp:lastModifiedBy>
  <cp:lastPrinted>2021-04-29T11:42:18Z</cp:lastPrinted>
  <dcterms:created xsi:type="dcterms:W3CDTF">2021-03-26T09:43:50Z</dcterms:created>
  <dcterms:modified xsi:type="dcterms:W3CDTF">2021-08-06T12:12:03Z</dcterms:modified>
</cp:coreProperties>
</file>