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1/LNG_2021/SM_izevumi par transportu_LNG/IESNIEGTIE DOKUMENTI/"/>
    </mc:Choice>
  </mc:AlternateContent>
  <xr:revisionPtr revIDLastSave="0" documentId="13_ncr:1_{024E368B-AA85-4052-BEBD-BF89E0A14EB1}" xr6:coauthVersionLast="47" xr6:coauthVersionMax="47" xr10:uidLastSave="{00000000-0000-0000-0000-000000000000}"/>
  <bookViews>
    <workbookView minimized="1" xWindow="4660" yWindow="3860" windowWidth="14400" windowHeight="7360" activeTab="4" xr2:uid="{3E4E15D4-1472-4069-8591-9555EF736712}"/>
  </bookViews>
  <sheets>
    <sheet name="marts" sheetId="1" r:id="rId1"/>
    <sheet name="aprīlis" sheetId="2" r:id="rId2"/>
    <sheet name="maijs" sheetId="3" r:id="rId3"/>
    <sheet name="jūnijs" sheetId="7" r:id="rId4"/>
    <sheet name="PIVOT_apkopojums" sheetId="6" r:id="rId5"/>
    <sheet name="PIVOT" sheetId="5" r:id="rId6"/>
    <sheet name="atskaites_jedox" sheetId="4" state="hidden" r:id="rId7"/>
  </sheets>
  <definedNames>
    <definedName name="_palopasteviewstyle" hidden="1">"White"</definedName>
  </definedNames>
  <calcPr calcId="191029"/>
  <pivotCaches>
    <pivotCache cacheId="3" r:id="rId8"/>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7" l="1"/>
  <c r="F35" i="7"/>
  <c r="E35" i="7"/>
  <c r="D35" i="7"/>
  <c r="D32" i="7"/>
  <c r="D28" i="7"/>
  <c r="G14" i="7"/>
  <c r="F14" i="7"/>
  <c r="E14" i="7"/>
  <c r="D14" i="7"/>
  <c r="G10" i="7"/>
  <c r="F10" i="7"/>
  <c r="E10" i="7"/>
  <c r="D10" i="7"/>
  <c r="G6" i="7"/>
  <c r="F6" i="7"/>
  <c r="E6" i="7"/>
  <c r="D6" i="7"/>
  <c r="G3" i="7"/>
  <c r="F3" i="7"/>
  <c r="E3" i="7"/>
  <c r="D3" i="7"/>
  <c r="G33" i="3" l="1"/>
  <c r="F33" i="3"/>
  <c r="E33" i="3"/>
  <c r="D33" i="3"/>
  <c r="G14" i="3"/>
  <c r="F14" i="3"/>
  <c r="E14" i="3"/>
  <c r="D14" i="3"/>
  <c r="G10" i="3"/>
  <c r="F10" i="3"/>
  <c r="E10" i="3"/>
  <c r="D10" i="3"/>
  <c r="G6" i="3"/>
  <c r="F6" i="3"/>
  <c r="E6" i="3"/>
  <c r="D6" i="3"/>
  <c r="G3" i="3"/>
  <c r="F3" i="3"/>
  <c r="E3" i="3"/>
  <c r="D3" i="3"/>
  <c r="B3" i="4"/>
  <c r="T6" i="4"/>
  <c r="P7" i="4"/>
  <c r="AL6" i="4"/>
  <c r="X6" i="4"/>
  <c r="J2" i="4"/>
  <c r="F7" i="4"/>
  <c r="AB6" i="4"/>
  <c r="S7" i="4"/>
  <c r="AC6" i="4"/>
  <c r="W7" i="4"/>
  <c r="J7" i="4"/>
  <c r="AL7" i="4"/>
  <c r="E7" i="4"/>
  <c r="Y6" i="4"/>
  <c r="H7" i="4"/>
  <c r="D6" i="4"/>
  <c r="AG7" i="4"/>
  <c r="F2" i="4"/>
  <c r="F6" i="4"/>
  <c r="AG6" i="4"/>
  <c r="D3" i="4"/>
  <c r="AA6" i="4"/>
  <c r="E6" i="4"/>
  <c r="AE7" i="4"/>
  <c r="F3" i="4"/>
  <c r="O7" i="4"/>
  <c r="C7" i="4"/>
  <c r="E3" i="4"/>
  <c r="AC7" i="4"/>
  <c r="G6" i="4"/>
  <c r="AJ7" i="4"/>
  <c r="AE6" i="4"/>
  <c r="G2" i="4"/>
  <c r="AF7" i="4"/>
  <c r="AB7" i="4"/>
  <c r="K7" i="4"/>
  <c r="I6" i="4"/>
  <c r="Z7" i="4"/>
  <c r="V6" i="4"/>
  <c r="J3" i="4"/>
  <c r="N7" i="4"/>
  <c r="Z6" i="4"/>
  <c r="X7" i="4"/>
  <c r="N6" i="4"/>
  <c r="V7" i="4"/>
  <c r="AK6" i="4"/>
  <c r="I3" i="4"/>
  <c r="H6" i="4"/>
  <c r="AD7" i="4"/>
  <c r="AH7" i="4"/>
  <c r="I2" i="4"/>
  <c r="H2" i="4"/>
  <c r="AH6" i="4"/>
  <c r="P6" i="4"/>
  <c r="Q6" i="4"/>
  <c r="U6" i="4"/>
  <c r="Q7" i="4"/>
  <c r="R6" i="4"/>
  <c r="T7" i="4"/>
  <c r="B8" i="4"/>
  <c r="K6" i="4"/>
  <c r="D7" i="4"/>
  <c r="M6" i="4"/>
  <c r="S6" i="4"/>
  <c r="I7" i="4"/>
  <c r="AJ6" i="4"/>
  <c r="O6" i="4"/>
  <c r="C6" i="4"/>
  <c r="R7" i="4"/>
  <c r="L7" i="4"/>
  <c r="W6" i="4"/>
  <c r="AA7" i="4"/>
  <c r="AI7" i="4"/>
  <c r="M7" i="4"/>
  <c r="AF6" i="4"/>
  <c r="D2" i="4"/>
  <c r="J6" i="4"/>
  <c r="E2" i="4"/>
  <c r="AI6" i="4"/>
  <c r="G7" i="4"/>
  <c r="AK7" i="4"/>
  <c r="G3" i="4"/>
  <c r="U7" i="4"/>
  <c r="H3" i="4"/>
  <c r="J8" i="4" s="1"/>
  <c r="L6" i="4"/>
  <c r="Y7" i="4"/>
  <c r="AD6" i="4"/>
  <c r="AD8" i="4" s="1"/>
  <c r="U8" i="4"/>
  <c r="Q8" i="4"/>
  <c r="P8" i="4"/>
  <c r="H8" i="4"/>
  <c r="N8" i="4"/>
  <c r="I8" i="4"/>
  <c r="AL8" i="4"/>
  <c r="Z8" i="4"/>
  <c r="V8" i="4"/>
  <c r="T8" i="4"/>
  <c r="D8" i="4"/>
  <c r="AC8" i="4"/>
  <c r="AF8" i="4"/>
  <c r="F8" i="4"/>
  <c r="X8" i="4"/>
  <c r="Y8" i="4"/>
  <c r="AH8" i="4"/>
  <c r="M8" i="4"/>
  <c r="H39" i="7" l="1"/>
  <c r="H13" i="7"/>
  <c r="H37" i="3"/>
  <c r="H36" i="3"/>
  <c r="H35" i="3"/>
  <c r="H10" i="3"/>
  <c r="H36" i="2"/>
  <c r="H34" i="2"/>
  <c r="H13" i="2"/>
  <c r="H37" i="1"/>
  <c r="H13" i="1"/>
  <c r="G33" i="2"/>
  <c r="F33" i="2"/>
  <c r="E33" i="2"/>
  <c r="D33" i="2"/>
  <c r="G14" i="2"/>
  <c r="F14" i="2"/>
  <c r="E14" i="2"/>
  <c r="D14" i="2"/>
  <c r="G10" i="2"/>
  <c r="F10" i="2"/>
  <c r="E10" i="2"/>
  <c r="D10" i="2"/>
  <c r="I35" i="2" s="1"/>
  <c r="G6" i="2"/>
  <c r="F6" i="2"/>
  <c r="E6" i="2"/>
  <c r="D6" i="2"/>
  <c r="G3" i="2"/>
  <c r="F3" i="2"/>
  <c r="E3" i="2"/>
  <c r="D3" i="2"/>
  <c r="G33" i="1"/>
  <c r="F33" i="1"/>
  <c r="E33" i="1"/>
  <c r="G14" i="1"/>
  <c r="F14" i="1"/>
  <c r="E14" i="1"/>
  <c r="G10" i="1"/>
  <c r="F10" i="1"/>
  <c r="E10" i="1"/>
  <c r="D10" i="1"/>
  <c r="D35" i="1" s="1"/>
  <c r="D33" i="1" s="1"/>
  <c r="G6" i="1"/>
  <c r="F6" i="1"/>
  <c r="E6" i="1"/>
  <c r="D6" i="1"/>
  <c r="G3" i="1"/>
  <c r="F3" i="1"/>
  <c r="E3" i="1"/>
  <c r="AA8" i="4"/>
  <c r="AB8" i="4"/>
  <c r="C8" i="4"/>
  <c r="K8" i="4"/>
  <c r="W8" i="4"/>
  <c r="AJ8" i="4"/>
  <c r="L8" i="4"/>
  <c r="AK8" i="4"/>
  <c r="AI8" i="4"/>
  <c r="O8" i="4"/>
  <c r="E8" i="4"/>
  <c r="G8" i="4"/>
  <c r="AG8" i="4"/>
  <c r="R8" i="4"/>
  <c r="AE8" i="4"/>
  <c r="S8" i="4"/>
  <c r="H36" i="7" l="1"/>
  <c r="H34" i="3"/>
  <c r="H38" i="7"/>
  <c r="H37" i="7"/>
  <c r="I37" i="7" s="1"/>
  <c r="H10" i="7"/>
  <c r="H35" i="1"/>
  <c r="H10" i="1"/>
  <c r="H37" i="2"/>
  <c r="H36" i="1"/>
  <c r="H10" i="2"/>
  <c r="H35" i="2"/>
  <c r="H13" i="3"/>
  <c r="H34" i="1"/>
  <c r="D3" i="1"/>
  <c r="D14" i="1"/>
</calcChain>
</file>

<file path=xl/sharedStrings.xml><?xml version="1.0" encoding="utf-8"?>
<sst xmlns="http://schemas.openxmlformats.org/spreadsheetml/2006/main" count="1029" uniqueCount="114">
  <si>
    <t xml:space="preserve">Pārskats par sabiedriskā transporta pakalpojumos radītajiem izdevumiem un zaudējumiem
sakarā ar noteiktajiem ierobežojumiem </t>
  </si>
  <si>
    <t xml:space="preserve">Periods </t>
  </si>
  <si>
    <t xml:space="preserve">Vienības </t>
  </si>
  <si>
    <t>Autobusi</t>
  </si>
  <si>
    <t>Minibusi (ekspresbusi)</t>
  </si>
  <si>
    <t>Tramvaji</t>
  </si>
  <si>
    <t>Trolejbusi</t>
  </si>
  <si>
    <t>1.SADAĻA</t>
  </si>
  <si>
    <t>KOPSUMMA ((N - P) x Izm)</t>
  </si>
  <si>
    <t>09.03.2021.- 31.03.2021.</t>
  </si>
  <si>
    <t xml:space="preserve">Iesaistīto transportlīdzekļu vienības </t>
  </si>
  <si>
    <t>skaits</t>
  </si>
  <si>
    <t>(S) Plānotais reisu skaits</t>
  </si>
  <si>
    <t xml:space="preserve">(R) Faktiskais reisu skaits (S + RP-RA) </t>
  </si>
  <si>
    <t>to starpā papildu reisi (RP)</t>
  </si>
  <si>
    <t>to starpā atceltie reisi (RA)</t>
  </si>
  <si>
    <t xml:space="preserve">(P) Plānotais nobraukums </t>
  </si>
  <si>
    <t>km</t>
  </si>
  <si>
    <t>(N) Faktiskais nobraukums (P + NP-NA)</t>
  </si>
  <si>
    <t>to starpā papildu reisos veiktais nobraukums (NP)</t>
  </si>
  <si>
    <t>to starpā atcelto reisu nobraukums (NA)</t>
  </si>
  <si>
    <t>01.03.2021.-31.03.2021.</t>
  </si>
  <si>
    <t xml:space="preserve">(Izm) 1 km pašizmaksa </t>
  </si>
  <si>
    <t>EUR/km</t>
  </si>
  <si>
    <t>2.SADAĻA</t>
  </si>
  <si>
    <t>KOPSUMMA (1 vienības cenas reizinājums ar preču/pakalpojumu skaitu; summa ( K x Z))</t>
  </si>
  <si>
    <t xml:space="preserve">(Z) Pakalpojumi, pasākumi un materiāli Covid-19 pandēmijas ierobežošanai </t>
  </si>
  <si>
    <t xml:space="preserve">skaits (jānorāda atbilstoša mērvienība gab., litri, reižu skaits, darba stundas u.c.) </t>
  </si>
  <si>
    <t>Dezinfekcijas līdzekļi</t>
  </si>
  <si>
    <t>litri</t>
  </si>
  <si>
    <t>Sejas maskas</t>
  </si>
  <si>
    <t>gabali</t>
  </si>
  <si>
    <t xml:space="preserve">Sociālā distancēšanās sabiedriskā transportā </t>
  </si>
  <si>
    <t>Transportlīdzekļu dezinfekcija</t>
  </si>
  <si>
    <t>Transportlīdzekļu papildu mazgāšana</t>
  </si>
  <si>
    <t>stundas</t>
  </si>
  <si>
    <t>Citi izdevumi (norādīt kādi)</t>
  </si>
  <si>
    <t>Roku dezinfekcijas dozatoru noma</t>
  </si>
  <si>
    <t>gabali/ mēnesī</t>
  </si>
  <si>
    <t>Papīra dvieļi ruļļos</t>
  </si>
  <si>
    <t xml:space="preserve">(K) Faktiskās izmaksas Covid-19 pandēmijas ierobežošanai, t.sk. </t>
  </si>
  <si>
    <t>EUR/vien bez PVN</t>
  </si>
  <si>
    <t>Transportlīdzekļu dezinfekcija, to starpā darba spēka izmaksas</t>
  </si>
  <si>
    <t>Transportlīdzekļu papildu mazgāšana, to starpā darba spēka izmaksas</t>
  </si>
  <si>
    <t>3.SADAĻA</t>
  </si>
  <si>
    <t>KOPSUMMA ((C/D-A/N) x N)</t>
  </si>
  <si>
    <t>09.03.2021.-31.03.2021.</t>
  </si>
  <si>
    <t xml:space="preserve">(A) No pasažieriem, t.sk., personām, kurām noteikti pašvaldības noteiktie braukšanas maksas atvieglojumi, saņemtie ieņēmumi par sniegto sabiedriskā transporta pakalpojumu </t>
  </si>
  <si>
    <t>EUR bez PVN</t>
  </si>
  <si>
    <t xml:space="preserve">(N) Faktiskais nobraukums </t>
  </si>
  <si>
    <t>09.03.2019.-31.03.2019.</t>
  </si>
  <si>
    <t xml:space="preserve">(C) No pasažieriem, t.sk., personām, kurām noteikti pašvaldības noteiktie braukšanas maksas atvieglojumi, saņemtie ieņēmumi par sniegto sabiedriskā transporta pakalpojumu </t>
  </si>
  <si>
    <t xml:space="preserve">(D) Faktiskais nobraukums </t>
  </si>
  <si>
    <r>
      <t xml:space="preserve">Pašvaldības atbildīgās personas vārds, uzvārds, kontaktinformācija un paraksts </t>
    </r>
    <r>
      <rPr>
        <sz val="11"/>
        <color theme="0" tint="-0.499984740745262"/>
        <rFont val="Times New Roman"/>
        <family val="1"/>
        <charset val="186"/>
      </rPr>
      <t>(ja dokuments nav parakstīts ar elektroniski)</t>
    </r>
  </si>
  <si>
    <t>Informāciju aizpilda katra pašvaldība par pārvadājumu veidiem, kādi ir noteikti attiecīgā pilsētā</t>
  </si>
  <si>
    <t>Tabulā iekļauj norādītajā laika periodā radušās pamatotās izmaksas, kas attiecināmas uz sabiedriskā transporta pakalpojuma izpildē noteiktajiem drošības pasākumiem Covid-19 infekcijas izplatības ierobežošanai.</t>
  </si>
  <si>
    <t xml:space="preserve">Pašvaldībai ir pienākums pārliecināties par izmaksu pamatotību, to apjomu vai attiecināto apmēru. </t>
  </si>
  <si>
    <t>1.SADAĻĀ tiek aprēķināti faktiskie izdevumi, kas radušies saistībā ar atcelto reisu vai/un papildu reisu nodrošināšanu sakarā ar pakalpojuma apjoma ierobežošanu un 50% pasažieru piepildījuma noteikšanu</t>
  </si>
  <si>
    <t xml:space="preserve">2.SADAĻĀ nosakāmi kopējie izdevumi par Covid-19 infekcijas ierobežošanas pasākumiem, kas izpildāmi atbilstoši MK 09.06.2020. noteikumiem Nr.360; MK 06.11.2020. rīkojumam Nr.655 </t>
  </si>
  <si>
    <t>3.SADAĻĀ nosakāma kopējā ietekme uz ieņēmumu apgrozījumu, ko radījusi Covid-19 infekcijas apkarošanā radītā iedzīvotāju mobilitātes ierobežošana, pakalpojuma apjoma ierobežošana, kā arī citi ārkārtējās situācijas laikā un pēc tās noteiktie ierobežojumi atsevišķām nozarēm</t>
  </si>
  <si>
    <t>Paskaidrojumi</t>
  </si>
  <si>
    <r>
      <rPr>
        <u/>
        <sz val="11"/>
        <rFont val="Times New Roman"/>
        <family val="1"/>
        <charset val="186"/>
      </rPr>
      <t>1 km pašizmaksa</t>
    </r>
    <r>
      <rPr>
        <sz val="11"/>
        <rFont val="Times New Roman"/>
        <family val="1"/>
        <charset val="186"/>
      </rPr>
      <t xml:space="preserve"> - atbilstoši MK 28.07.2015. noteikumu Nr.435 3.pielikumā norādītās izmaksas, izņemot šajā tabulā 2.sadaļas izmaksas par Covid-19 pandēmijas ierobežošanas pasākumiem, dalītas ar faktisko nobraukumu</t>
    </r>
  </si>
  <si>
    <r>
      <rPr>
        <u/>
        <sz val="11"/>
        <rFont val="Times New Roman"/>
        <family val="1"/>
        <charset val="186"/>
      </rPr>
      <t>Dezinfekcijas līdzekļi</t>
    </r>
    <r>
      <rPr>
        <sz val="11"/>
        <rFont val="Times New Roman"/>
        <family val="1"/>
        <charset val="186"/>
      </rPr>
      <t xml:space="preserve"> - roku higiēnai  šķidrās ziepes un roku susināšanas līdzekļi vai spirtu saturoši roku dezinfekcijas līdzekļi (kas satur vismaz 70 % etanola) - MK noteikumu Nr.360 7.1.punkts</t>
    </r>
  </si>
  <si>
    <r>
      <rPr>
        <u/>
        <sz val="11"/>
        <rFont val="Times New Roman"/>
        <family val="1"/>
        <charset val="186"/>
      </rPr>
      <t>Sejas maskas</t>
    </r>
    <r>
      <rPr>
        <sz val="11"/>
        <rFont val="Times New Roman"/>
        <family val="1"/>
        <charset val="186"/>
      </rPr>
      <t xml:space="preserve"> - sabiedriskajā transportlīdzeklī, ar kuru veic pasažieru komercpārvadājumus, transportlīdzekļa vadītāji, kuri nav atdalīti ar fizisku barjeru no pasažieriem, kā arī pasažieri, lieto mutes un deguna aizsegus - MK noteikumu Nr.360 6.3.</t>
    </r>
    <r>
      <rPr>
        <vertAlign val="superscript"/>
        <sz val="11"/>
        <rFont val="Times New Roman"/>
        <family val="1"/>
        <charset val="186"/>
      </rPr>
      <t>1</t>
    </r>
    <r>
      <rPr>
        <sz val="11"/>
        <rFont val="Times New Roman"/>
        <family val="1"/>
        <charset val="186"/>
      </rPr>
      <t>punkts</t>
    </r>
  </si>
  <si>
    <r>
      <rPr>
        <u/>
        <sz val="11"/>
        <rFont val="Times New Roman"/>
        <family val="1"/>
        <charset val="186"/>
      </rPr>
      <t>Sociālā distancēšanās sabiedriskā transportā</t>
    </r>
    <r>
      <rPr>
        <sz val="11"/>
        <rFont val="Times New Roman"/>
        <family val="1"/>
        <charset val="186"/>
      </rPr>
      <t xml:space="preserve"> - sabiedriskā transporta pārvadātājam organizēt iekāpšanu un izkāpšanu tā, lai pasažieru skaits transportīdzeklī nepārsniedz 50 % no tā ietilpības. Ja transportlīdzeklī tā specifikas dēļ nav iespējams kontrolēt pasažieru iekāpšanu un izkāpšanu, transportlīdzeklī tiek marķētas sēdvietas, nodrošinot distancēšanās prasību ievērošanu - MK rīkojuma Nr.655 5.42.punkts. Ar minētajām izmaksām saprot sēdvietu marķēšanu, dažādu tam nepieciešamo materiālu izmaksas, piktogrammu vai informācijas izvietošanu. </t>
    </r>
  </si>
  <si>
    <r>
      <rPr>
        <u/>
        <sz val="11"/>
        <rFont val="Times New Roman"/>
        <family val="1"/>
        <charset val="186"/>
      </rPr>
      <t>Transportlīdzekļu dezinfekcija</t>
    </r>
    <r>
      <rPr>
        <sz val="11"/>
        <rFont val="Times New Roman"/>
        <family val="1"/>
        <charset val="186"/>
      </rPr>
      <t xml:space="preserve"> -  regulāra saimnieciskā vai publiskā pakalpojuma nodrošināšanai izmantotā transportlīdzekļa salona un kabīnes virsmu dezinfekcija - MK noteikumu Nr.360 7.5.punkts</t>
    </r>
  </si>
  <si>
    <r>
      <rPr>
        <u/>
        <sz val="11"/>
        <rFont val="Times New Roman"/>
        <family val="1"/>
        <charset val="186"/>
      </rPr>
      <t xml:space="preserve">Transportlīdzekļu papildu mazgāšana </t>
    </r>
    <r>
      <rPr>
        <sz val="11"/>
        <rFont val="Times New Roman"/>
        <family val="1"/>
        <charset val="186"/>
      </rPr>
      <t>- veic regulāru telpu un virsmu, tai skaitā inventāra un darba aprīkojuma, tīrīšanu un dezinfekciju, īpašu uzmanību pievēršot virsmām un priekšmetiem, ar kuriem cilvēki bieži saskaras (piemēram, durvju rokturi, galdu virsmas, krēslu roku balsti, virsmas tualetēs, krāni) - MK noteikumu Nr.360 7.4.punkts.</t>
    </r>
  </si>
  <si>
    <r>
      <rPr>
        <u/>
        <sz val="11"/>
        <rFont val="Times New Roman"/>
        <family val="1"/>
        <charset val="186"/>
      </rPr>
      <t>Citi izdevumi</t>
    </r>
    <r>
      <rPr>
        <sz val="11"/>
        <rFont val="Times New Roman"/>
        <family val="1"/>
        <charset val="186"/>
      </rPr>
      <t xml:space="preserve"> - minētajā rindā norādāmas pamatotās izmaksas, kas nepieciešamas Covid-19 infekcijas izplatības ierobežošanai, to starpā var būt citi materiāli, piemēram, cimdi, mitrās salvetes, atbilstoši MK noteikumu Nr.360 5.punktā noteiktās informācijas izplatīšanas izmaksas, u.c. izmaksas.</t>
    </r>
  </si>
  <si>
    <r>
      <rPr>
        <u/>
        <sz val="11"/>
        <rFont val="Times New Roman"/>
        <family val="1"/>
        <charset val="186"/>
      </rPr>
      <t>No pasažieriem, t.sk., personām, kurām noteikti pašvaldības noteiktie braukšanas maksas atvieglojumi, saņemtie ieņēmumi</t>
    </r>
    <r>
      <rPr>
        <sz val="11"/>
        <rFont val="Times New Roman"/>
        <family val="1"/>
        <charset val="186"/>
      </rPr>
      <t xml:space="preserve"> - norāda ieņēmumi no pārdotajām biļetēm un abonementa biļetēm, kurus pārvadātājs saņem no pasažiera. Norāda arī ieņēmumu daļu, ko maksā pasažieris, ja tam pašvaldība ir noteikusi braukšanas maksas atvieglojumus. </t>
    </r>
  </si>
  <si>
    <t>01.04.2021.- 30.04.2021.</t>
  </si>
  <si>
    <t>01.04.2021.-30.04.2021.</t>
  </si>
  <si>
    <t>01.04.2019.-30.04.2019.</t>
  </si>
  <si>
    <t>01.05.2021.- 31.05.2021.</t>
  </si>
  <si>
    <t>01.05.2021.-31.05.2021.</t>
  </si>
  <si>
    <t>01.05.2019.-31.05.2019.</t>
  </si>
  <si>
    <t>servers_ATD/STIFSS</t>
  </si>
  <si>
    <t>[Edit View]</t>
  </si>
  <si>
    <t>[Swap]</t>
  </si>
  <si>
    <t>Rādītājs</t>
  </si>
  <si>
    <t>Vērtība</t>
  </si>
  <si>
    <t>Pārvadājumu veids</t>
  </si>
  <si>
    <t>Pilsēta</t>
  </si>
  <si>
    <t>1. Faktiskie izdevumi, kas radušies saistībā ar reisu atcelšanu vai papild reisu nodrošināšanu - KOPSUMMA ((N - P) x Izm)</t>
  </si>
  <si>
    <t>Autobuss</t>
  </si>
  <si>
    <t>2. Kopējie izdevumi par Covid-19 infekcijas ierobežošanas pasākumiem - KOPSUMMA (1 vienības cenas reizinājums ar preču/pakalpojumu skaitu; summa ( K x Z))</t>
  </si>
  <si>
    <t>3. Kopējā ietekme uz ieņēmumu apgrozījumu - KOPSUMMA ((C/D-A/N) x N)</t>
  </si>
  <si>
    <t>(A) No pasažieriem, t.sk., personām, kurām noteikti pašvaldības noteiktie braukšanas maksas atvieglojumi, saņemtie ieņēmumi par sniegto sabiedriskā transporta pakalpojumu - 09.03.2021.-31.03.2021.</t>
  </si>
  <si>
    <t>(N) Faktiskais nobraukums - 09.03.2021.-31.03.2021.</t>
  </si>
  <si>
    <t>(C) No pasažieriem, t.sk., personām, kurām noteikti pašvaldības noteiktie braukšanas maksas atvieglojumi, saņemtie ieņēmumi par sniegto sabiedriskā transporta pakalpojumu - 09.03.2019.-31.03.2019.</t>
  </si>
  <si>
    <t>(D) Faktiskais nobraukums - 09.03.2019.-31.03.2019.</t>
  </si>
  <si>
    <t>Aprīlis</t>
  </si>
  <si>
    <t>(A) No pasažieriem, t.sk., personām, kurām noteikti pašvaldības noteiktie braukšanas maksas atvieglojumi, saņemtie ieņēmumi par sniegto sabiedriskā transporta pakalpojumu - 01.04.2021.-30.04.2021.</t>
  </si>
  <si>
    <t>(N) Faktiskais nobraukums - 01.04.2021.-30.04.2021.</t>
  </si>
  <si>
    <t>(C) No pasažieriem, t.sk., personām, kurām noteikti pašvaldības noteiktie braukšanas maksas atvieglojumi, saņemtie ieņēmumi par sniegto sabiedriskā transporta pakalpojumu - 01.04.2019.-30.04.2019.</t>
  </si>
  <si>
    <t>(D) Faktiskais nobraukums - 01.04.2019.-30.04.2019.</t>
  </si>
  <si>
    <t>Maijs</t>
  </si>
  <si>
    <t>(A) No pasažieriem, t.sk., personām, kurām noteikti pašvaldības noteiktie braukšanas maksas atvieglojumi, saņemtie ieņēmumi par sniegto sabiedriskā transporta pakalpojumu - 01.05.2021.-31.05.2021.</t>
  </si>
  <si>
    <t>(N) Faktiskais nobraukums - 01.05.2021.-31.05.2021.</t>
  </si>
  <si>
    <t>(C) No pasažieriem, t.sk., personām, kurām noteikti pašvaldības noteiktie braukšanas maksas atvieglojumi, saņemtie ieņēmumi par sniegto sabiedriskā transporta pakalpojumu - 01.05.2019.-31.05.2019.</t>
  </si>
  <si>
    <t>(D) Faktiskais nobraukums - 01.05.2019.-31.05.2019.</t>
  </si>
  <si>
    <t>Jūnijs</t>
  </si>
  <si>
    <t>(A) No pasažieriem, t.sk., personām, kurām noteikti pašvaldības noteiktie braukšanas maksas atvieglojumi, saņemtie ieņēmumi par sniegto sabiedriskā transporta pakalpojumu - 01.06.2021.-30.06.2021.</t>
  </si>
  <si>
    <t>(N) Faktiskais nobraukums - 01.06.2021.-30.06.2021.</t>
  </si>
  <si>
    <t>(C) No pasažieriem, t.sk., personām, kurām noteikti pašvaldības noteiktie braukšanas maksas atvieglojumi, saņemtie ieņēmumi par sniegto sabiedriskā transporta pakalpojumu - 01.06.2019.-30.06.2019.</t>
  </si>
  <si>
    <t>(D) Faktiskais nobraukums - 01.06.2019.-30.06.2019.</t>
  </si>
  <si>
    <t>Ventspils</t>
  </si>
  <si>
    <t>Row Labels</t>
  </si>
  <si>
    <t>Grand Total</t>
  </si>
  <si>
    <t>Column Labels</t>
  </si>
  <si>
    <t>Sum of Vērtība</t>
  </si>
  <si>
    <t>01.06.2021.- 30.06.2021.</t>
  </si>
  <si>
    <t>Lupatiņas autobusa uzkopšanai</t>
  </si>
  <si>
    <t>01.06.2021.-30.06.2021.</t>
  </si>
  <si>
    <t>01.06.2019.-30.06.2019.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</si>
</sst>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quot;&quot;;;;&quot;DB: &quot;@"/>
    <numFmt numFmtId="166" formatCode="&quot;&quot;;;;&quot;Cube: PnL_&quot;"/>
    <numFmt numFmtId="167" formatCode=";;;"/>
  </numFmts>
  <fonts count="24" x14ac:knownFonts="1">
    <font>
      <sz val="11"/>
      <name val="Calibri"/>
      <family val="2"/>
    </font>
    <font>
      <sz val="11"/>
      <color theme="1"/>
      <name val="Calibri"/>
      <family val="2"/>
      <charset val="186"/>
      <scheme val="minor"/>
    </font>
    <font>
      <b/>
      <sz val="14"/>
      <color theme="1"/>
      <name val="Times New Roman"/>
      <family val="1"/>
      <charset val="186"/>
    </font>
    <font>
      <sz val="11"/>
      <color theme="1"/>
      <name val="Times New Roman"/>
      <family val="1"/>
      <charset val="186"/>
    </font>
    <font>
      <b/>
      <sz val="11"/>
      <color theme="1"/>
      <name val="Times New Roman"/>
      <family val="1"/>
      <charset val="186"/>
    </font>
    <font>
      <b/>
      <sz val="10"/>
      <color theme="1"/>
      <name val="Times New Roman"/>
      <family val="1"/>
      <charset val="186"/>
    </font>
    <font>
      <b/>
      <sz val="11"/>
      <name val="Times New Roman"/>
      <family val="1"/>
      <charset val="186"/>
    </font>
    <font>
      <sz val="11"/>
      <name val="Times New Roman"/>
      <family val="1"/>
      <charset val="186"/>
    </font>
    <font>
      <sz val="6"/>
      <name val="Times New Roman"/>
      <family val="1"/>
      <charset val="186"/>
    </font>
    <font>
      <i/>
      <sz val="11"/>
      <name val="Times New Roman"/>
      <family val="1"/>
      <charset val="186"/>
    </font>
    <font>
      <sz val="11"/>
      <color theme="0" tint="-0.499984740745262"/>
      <name val="Times New Roman"/>
      <family val="1"/>
      <charset val="186"/>
    </font>
    <font>
      <u/>
      <sz val="11"/>
      <name val="Times New Roman"/>
      <family val="1"/>
      <charset val="186"/>
    </font>
    <font>
      <vertAlign val="superscript"/>
      <sz val="11"/>
      <name val="Times New Roman"/>
      <family val="1"/>
      <charset val="186"/>
    </font>
    <font>
      <sz val="9"/>
      <color rgb="FF004C93"/>
      <name val="Segoe UI"/>
      <family val="2"/>
    </font>
    <font>
      <sz val="11"/>
      <name val="Calibri"/>
      <family val="2"/>
    </font>
    <font>
      <b/>
      <sz val="9"/>
      <color rgb="FF004C93"/>
      <name val="Segoe UI"/>
      <family val="2"/>
      <charset val="186"/>
    </font>
    <font>
      <sz val="9"/>
      <color rgb="FF004C93"/>
      <name val="Segoe UI"/>
      <family val="2"/>
      <charset val="186"/>
    </font>
    <font>
      <sz val="9"/>
      <color theme="0"/>
      <name val="Segoe UI"/>
      <family val="2"/>
    </font>
    <font>
      <sz val="9"/>
      <name val="Segoe UI"/>
      <family val="2"/>
    </font>
    <font>
      <b/>
      <sz val="10"/>
      <color indexed="9"/>
      <name val="Arial"/>
      <family val="2"/>
    </font>
    <font>
      <i/>
      <sz val="9"/>
      <name val="Segoe UI"/>
      <family val="2"/>
    </font>
    <font>
      <b/>
      <sz val="12"/>
      <name val="Calibri"/>
      <family val="2"/>
      <charset val="186"/>
    </font>
    <font>
      <b/>
      <sz val="12"/>
      <name val="Times New Roman"/>
      <family val="1"/>
      <charset val="186"/>
    </font>
    <font>
      <b/>
      <sz val="11"/>
      <name val="Calibri"/>
      <family val="2"/>
      <charset val="186"/>
    </font>
  </fonts>
  <fills count="8">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0072AB"/>
        <bgColor indexed="64"/>
      </patternFill>
    </fill>
    <fill>
      <patternFill patternType="solid">
        <fgColor indexed="9"/>
        <bgColor indexed="64"/>
      </patternFill>
    </fill>
    <fill>
      <patternFill patternType="solid">
        <fgColor rgb="FFD2D2D2"/>
        <bgColor indexed="64"/>
      </patternFill>
    </fill>
  </fills>
  <borders count="4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double">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right/>
      <top/>
      <bottom style="thin">
        <color rgb="FFE8F7FE"/>
      </bottom>
      <diagonal/>
    </border>
    <border>
      <left/>
      <right/>
      <top style="thin">
        <color rgb="FFE8F7FE"/>
      </top>
      <bottom/>
      <diagonal/>
    </border>
    <border>
      <left style="thin">
        <color rgb="FFE8F7FE"/>
      </left>
      <right style="thin">
        <color rgb="FFE8F7FE"/>
      </right>
      <top style="thin">
        <color rgb="FFE8F7FE"/>
      </top>
      <bottom style="thin">
        <color rgb="FFE8F7FE"/>
      </bottom>
      <diagonal/>
    </border>
    <border>
      <left style="thin">
        <color theme="0"/>
      </left>
      <right style="thin">
        <color theme="0"/>
      </right>
      <top/>
      <bottom/>
      <diagonal/>
    </border>
    <border>
      <left/>
      <right/>
      <top/>
      <bottom style="hair">
        <color rgb="FF004C93"/>
      </bottom>
      <diagonal/>
    </border>
    <border>
      <left/>
      <right/>
      <top style="hair">
        <color rgb="FF004C93"/>
      </top>
      <bottom style="hair">
        <color rgb="FFE8F7FE"/>
      </bottom>
      <diagonal/>
    </border>
    <border>
      <left/>
      <right/>
      <top style="hair">
        <color rgb="FFD7F1FD"/>
      </top>
      <bottom/>
      <diagonal/>
    </border>
    <border>
      <left/>
      <right style="thin">
        <color theme="0"/>
      </right>
      <top style="hair">
        <color rgb="FFD7F1FD"/>
      </top>
      <bottom/>
      <diagonal/>
    </border>
    <border>
      <left/>
      <right/>
      <top style="thin">
        <color theme="0"/>
      </top>
      <bottom style="thin">
        <color theme="0"/>
      </bottom>
      <diagonal/>
    </border>
    <border>
      <left/>
      <right style="thin">
        <color theme="0"/>
      </right>
      <top style="thin">
        <color theme="0"/>
      </top>
      <bottom/>
      <diagonal/>
    </border>
  </borders>
  <cellStyleXfs count="27">
    <xf numFmtId="0" fontId="0" fillId="0" borderId="0"/>
    <xf numFmtId="0" fontId="13" fillId="0" borderId="0">
      <alignment horizontal="center"/>
    </xf>
    <xf numFmtId="0" fontId="14" fillId="0" borderId="0"/>
    <xf numFmtId="0" fontId="13" fillId="0" borderId="37">
      <alignment horizontal="center"/>
    </xf>
    <xf numFmtId="0" fontId="13" fillId="0" borderId="38">
      <alignment horizontal="center"/>
    </xf>
    <xf numFmtId="0" fontId="17" fillId="5" borderId="39">
      <alignment horizontal="center" vertical="center"/>
    </xf>
    <xf numFmtId="0" fontId="13" fillId="0" borderId="0">
      <alignment horizontal="right"/>
    </xf>
    <xf numFmtId="167" fontId="13" fillId="0" borderId="40">
      <alignment horizontal="left"/>
    </xf>
    <xf numFmtId="0" fontId="13" fillId="0" borderId="41">
      <alignment horizontal="right"/>
    </xf>
    <xf numFmtId="0" fontId="13" fillId="0" borderId="42">
      <alignment horizontal="left"/>
    </xf>
    <xf numFmtId="3" fontId="18" fillId="6" borderId="43"/>
    <xf numFmtId="0" fontId="13" fillId="0" borderId="0">
      <alignment horizontal="right"/>
    </xf>
    <xf numFmtId="0" fontId="13" fillId="0" borderId="0">
      <alignment horizontal="right"/>
    </xf>
    <xf numFmtId="0" fontId="13" fillId="0" borderId="37">
      <alignment horizontal="left"/>
    </xf>
    <xf numFmtId="0" fontId="13" fillId="0" borderId="44">
      <alignment horizontal="left"/>
    </xf>
    <xf numFmtId="0" fontId="13" fillId="0" borderId="44">
      <alignment horizontal="left"/>
    </xf>
    <xf numFmtId="167" fontId="13" fillId="0" borderId="40">
      <alignment horizontal="left"/>
    </xf>
    <xf numFmtId="167" fontId="19" fillId="0" borderId="40">
      <alignment horizontal="left"/>
    </xf>
    <xf numFmtId="167" fontId="13" fillId="0" borderId="45"/>
    <xf numFmtId="167" fontId="13" fillId="0" borderId="46"/>
    <xf numFmtId="167" fontId="13" fillId="0" borderId="46"/>
    <xf numFmtId="0" fontId="13" fillId="0" borderId="0">
      <alignment horizontal="right"/>
    </xf>
    <xf numFmtId="0" fontId="13" fillId="0" borderId="0">
      <alignment horizontal="right"/>
    </xf>
    <xf numFmtId="3" fontId="20" fillId="7" borderId="0"/>
    <xf numFmtId="0" fontId="13" fillId="0" borderId="42">
      <alignment horizontal="left"/>
    </xf>
    <xf numFmtId="0" fontId="13" fillId="0" borderId="42">
      <alignment horizontal="left"/>
    </xf>
    <xf numFmtId="0" fontId="1" fillId="0" borderId="0"/>
  </cellStyleXfs>
  <cellXfs count="290">
    <xf numFmtId="0" fontId="0" fillId="0" borderId="0" xfId="0"/>
    <xf numFmtId="0" fontId="3" fillId="0" borderId="0" xfId="0" applyFont="1"/>
    <xf numFmtId="0" fontId="4" fillId="0" borderId="2" xfId="0" applyFont="1" applyBorder="1" applyAlignment="1">
      <alignment vertical="center"/>
    </xf>
    <xf numFmtId="0" fontId="4" fillId="0" borderId="3" xfId="0" applyFont="1" applyBorder="1" applyAlignment="1">
      <alignment vertical="center"/>
    </xf>
    <xf numFmtId="0" fontId="4" fillId="0" borderId="3" xfId="0" applyFont="1" applyBorder="1" applyAlignment="1">
      <alignment horizontal="center" vertical="center"/>
    </xf>
    <xf numFmtId="0" fontId="5" fillId="0" borderId="3" xfId="0" applyFont="1" applyBorder="1" applyAlignment="1">
      <alignment horizontal="center" vertical="center" wrapText="1"/>
    </xf>
    <xf numFmtId="0" fontId="4" fillId="0" borderId="0" xfId="0" applyFont="1"/>
    <xf numFmtId="0" fontId="4" fillId="2" borderId="4" xfId="0" applyFont="1" applyFill="1" applyBorder="1" applyAlignment="1">
      <alignment vertical="center"/>
    </xf>
    <xf numFmtId="0" fontId="4" fillId="2" borderId="5" xfId="0" applyFont="1" applyFill="1" applyBorder="1" applyAlignment="1">
      <alignment vertical="center"/>
    </xf>
    <xf numFmtId="0" fontId="4" fillId="2" borderId="6" xfId="0" applyFont="1" applyFill="1" applyBorder="1" applyAlignment="1">
      <alignment horizontal="center" vertical="center"/>
    </xf>
    <xf numFmtId="2" fontId="4" fillId="2" borderId="6" xfId="0" applyNumberFormat="1" applyFont="1" applyFill="1" applyBorder="1" applyAlignment="1">
      <alignment horizontal="center" vertical="center"/>
    </xf>
    <xf numFmtId="2" fontId="4" fillId="2" borderId="7" xfId="0" applyNumberFormat="1" applyFont="1" applyFill="1" applyBorder="1" applyAlignment="1">
      <alignment horizontal="center" vertical="center"/>
    </xf>
    <xf numFmtId="0" fontId="3" fillId="2" borderId="8" xfId="0" applyFont="1" applyFill="1" applyBorder="1" applyAlignment="1">
      <alignment wrapText="1"/>
    </xf>
    <xf numFmtId="2" fontId="3" fillId="2" borderId="10" xfId="0" applyNumberFormat="1" applyFont="1" applyFill="1" applyBorder="1" applyAlignment="1">
      <alignment horizontal="center"/>
    </xf>
    <xf numFmtId="2" fontId="3" fillId="2" borderId="10" xfId="0" applyNumberFormat="1" applyFont="1" applyFill="1" applyBorder="1" applyAlignment="1">
      <alignment horizontal="center" wrapText="1"/>
    </xf>
    <xf numFmtId="2" fontId="3" fillId="2" borderId="11" xfId="0" applyNumberFormat="1" applyFont="1" applyFill="1" applyBorder="1" applyAlignment="1">
      <alignment horizontal="center"/>
    </xf>
    <xf numFmtId="0" fontId="3" fillId="2" borderId="13" xfId="0" applyFont="1" applyFill="1" applyBorder="1"/>
    <xf numFmtId="2" fontId="3" fillId="2" borderId="2" xfId="0" applyNumberFormat="1" applyFont="1" applyFill="1" applyBorder="1" applyAlignment="1">
      <alignment horizontal="center"/>
    </xf>
    <xf numFmtId="2" fontId="3" fillId="2" borderId="14" xfId="0" applyNumberFormat="1" applyFont="1" applyFill="1" applyBorder="1" applyAlignment="1">
      <alignment horizontal="center"/>
    </xf>
    <xf numFmtId="0" fontId="3" fillId="2" borderId="13" xfId="0" applyFont="1" applyFill="1" applyBorder="1" applyAlignment="1">
      <alignment horizontal="right"/>
    </xf>
    <xf numFmtId="0" fontId="3" fillId="2" borderId="13" xfId="0" applyFont="1" applyFill="1" applyBorder="1" applyAlignment="1">
      <alignment horizontal="right" wrapText="1"/>
    </xf>
    <xf numFmtId="0" fontId="3" fillId="2" borderId="16" xfId="0" applyFont="1" applyFill="1" applyBorder="1" applyAlignment="1">
      <alignment horizontal="center" wrapText="1"/>
    </xf>
    <xf numFmtId="0" fontId="3" fillId="2" borderId="17" xfId="0" applyFont="1" applyFill="1" applyBorder="1" applyAlignment="1">
      <alignment vertical="center"/>
    </xf>
    <xf numFmtId="0" fontId="3" fillId="2" borderId="18" xfId="0" applyFont="1" applyFill="1" applyBorder="1" applyAlignment="1">
      <alignment horizontal="center" vertical="center"/>
    </xf>
    <xf numFmtId="2" fontId="3" fillId="2" borderId="18" xfId="0" applyNumberFormat="1" applyFont="1" applyFill="1" applyBorder="1" applyAlignment="1">
      <alignment horizontal="center" vertical="center"/>
    </xf>
    <xf numFmtId="2" fontId="3" fillId="2" borderId="19" xfId="0" applyNumberFormat="1" applyFont="1" applyFill="1" applyBorder="1" applyAlignment="1">
      <alignment horizontal="center" vertical="center"/>
    </xf>
    <xf numFmtId="0" fontId="6" fillId="3" borderId="4" xfId="0" applyFont="1" applyFill="1" applyBorder="1"/>
    <xf numFmtId="0" fontId="6" fillId="3" borderId="20" xfId="0" applyFont="1" applyFill="1" applyBorder="1" applyAlignment="1">
      <alignment wrapText="1"/>
    </xf>
    <xf numFmtId="0" fontId="6" fillId="3" borderId="21" xfId="0" applyFont="1" applyFill="1" applyBorder="1" applyAlignment="1">
      <alignment horizontal="center"/>
    </xf>
    <xf numFmtId="2" fontId="6" fillId="3" borderId="21" xfId="0" applyNumberFormat="1" applyFont="1" applyFill="1" applyBorder="1" applyAlignment="1">
      <alignment horizontal="center"/>
    </xf>
    <xf numFmtId="2" fontId="6" fillId="3" borderId="22" xfId="0" applyNumberFormat="1" applyFont="1" applyFill="1" applyBorder="1" applyAlignment="1">
      <alignment horizontal="center"/>
    </xf>
    <xf numFmtId="0" fontId="7" fillId="3" borderId="24" xfId="0" applyFont="1" applyFill="1" applyBorder="1" applyAlignment="1">
      <alignment wrapText="1"/>
    </xf>
    <xf numFmtId="0" fontId="8" fillId="3" borderId="25" xfId="0" applyFont="1" applyFill="1" applyBorder="1" applyAlignment="1">
      <alignment vertical="center" wrapText="1"/>
    </xf>
    <xf numFmtId="2" fontId="7" fillId="3" borderId="25" xfId="0" applyNumberFormat="1" applyFont="1" applyFill="1" applyBorder="1" applyAlignment="1">
      <alignment horizontal="center"/>
    </xf>
    <xf numFmtId="2" fontId="7" fillId="3" borderId="26" xfId="0" applyNumberFormat="1" applyFont="1" applyFill="1" applyBorder="1" applyAlignment="1">
      <alignment horizontal="center"/>
    </xf>
    <xf numFmtId="0" fontId="7" fillId="0" borderId="0" xfId="0" applyFont="1"/>
    <xf numFmtId="0" fontId="7" fillId="3" borderId="13" xfId="0" applyFont="1" applyFill="1" applyBorder="1" applyAlignment="1">
      <alignment horizontal="right"/>
    </xf>
    <xf numFmtId="0" fontId="7" fillId="3" borderId="2" xfId="0" applyFont="1" applyFill="1" applyBorder="1" applyAlignment="1">
      <alignment horizontal="center" vertical="center" wrapText="1"/>
    </xf>
    <xf numFmtId="164" fontId="7" fillId="3" borderId="2" xfId="0" applyNumberFormat="1" applyFont="1" applyFill="1" applyBorder="1" applyAlignment="1">
      <alignment horizontal="center"/>
    </xf>
    <xf numFmtId="2" fontId="7" fillId="3" borderId="2" xfId="0" applyNumberFormat="1" applyFont="1" applyFill="1" applyBorder="1" applyAlignment="1">
      <alignment horizontal="center"/>
    </xf>
    <xf numFmtId="2" fontId="7" fillId="3" borderId="14" xfId="0" applyNumberFormat="1" applyFont="1" applyFill="1" applyBorder="1" applyAlignment="1">
      <alignment horizontal="center"/>
    </xf>
    <xf numFmtId="1" fontId="7" fillId="3" borderId="2" xfId="0" applyNumberFormat="1" applyFont="1" applyFill="1" applyBorder="1" applyAlignment="1">
      <alignment horizontal="center"/>
    </xf>
    <xf numFmtId="0" fontId="7" fillId="3" borderId="13" xfId="0" applyFont="1" applyFill="1" applyBorder="1" applyAlignment="1">
      <alignment horizontal="right" wrapText="1"/>
    </xf>
    <xf numFmtId="0" fontId="9" fillId="3" borderId="28" xfId="0" applyFont="1" applyFill="1" applyBorder="1" applyAlignment="1">
      <alignment horizontal="right" vertical="center" wrapText="1"/>
    </xf>
    <xf numFmtId="1" fontId="7" fillId="3" borderId="9" xfId="0" applyNumberFormat="1" applyFont="1" applyFill="1" applyBorder="1" applyAlignment="1">
      <alignment horizontal="center" vertical="center"/>
    </xf>
    <xf numFmtId="2" fontId="7" fillId="3" borderId="9" xfId="0" applyNumberFormat="1" applyFont="1" applyFill="1" applyBorder="1" applyAlignment="1">
      <alignment horizontal="center" vertical="center"/>
    </xf>
    <xf numFmtId="2" fontId="7" fillId="3" borderId="29" xfId="0" applyNumberFormat="1" applyFont="1" applyFill="1" applyBorder="1" applyAlignment="1">
      <alignment horizontal="center" vertical="center"/>
    </xf>
    <xf numFmtId="0" fontId="7" fillId="0" borderId="0" xfId="0" applyFont="1" applyAlignment="1">
      <alignment vertical="center"/>
    </xf>
    <xf numFmtId="0" fontId="9" fillId="3" borderId="17" xfId="0" applyFont="1" applyFill="1" applyBorder="1" applyAlignment="1">
      <alignment horizontal="right" wrapText="1"/>
    </xf>
    <xf numFmtId="0" fontId="7" fillId="3" borderId="18" xfId="0" applyFont="1" applyFill="1" applyBorder="1" applyAlignment="1">
      <alignment horizontal="center" vertical="center" wrapText="1"/>
    </xf>
    <xf numFmtId="1" fontId="7" fillId="3" borderId="18" xfId="0" applyNumberFormat="1" applyFont="1" applyFill="1" applyBorder="1" applyAlignment="1">
      <alignment horizontal="center"/>
    </xf>
    <xf numFmtId="2" fontId="7" fillId="3" borderId="18" xfId="0" applyNumberFormat="1" applyFont="1" applyFill="1" applyBorder="1" applyAlignment="1">
      <alignment horizontal="center"/>
    </xf>
    <xf numFmtId="2" fontId="7" fillId="3" borderId="19" xfId="0" applyNumberFormat="1" applyFont="1" applyFill="1" applyBorder="1" applyAlignment="1">
      <alignment horizontal="center"/>
    </xf>
    <xf numFmtId="0" fontId="9" fillId="3" borderId="13" xfId="0" applyFont="1" applyFill="1" applyBorder="1" applyAlignment="1">
      <alignment horizontal="right" wrapText="1"/>
    </xf>
    <xf numFmtId="0" fontId="9" fillId="3" borderId="31" xfId="0" applyFont="1" applyFill="1" applyBorder="1" applyAlignment="1">
      <alignment horizontal="right" wrapText="1"/>
    </xf>
    <xf numFmtId="2" fontId="7" fillId="3" borderId="32" xfId="0" applyNumberFormat="1" applyFont="1" applyFill="1" applyBorder="1" applyAlignment="1">
      <alignment horizontal="center"/>
    </xf>
    <xf numFmtId="2" fontId="7" fillId="3" borderId="33" xfId="0" applyNumberFormat="1" applyFont="1" applyFill="1" applyBorder="1" applyAlignment="1">
      <alignment horizontal="center"/>
    </xf>
    <xf numFmtId="0" fontId="4" fillId="4" borderId="15" xfId="0" applyFont="1" applyFill="1" applyBorder="1"/>
    <xf numFmtId="0" fontId="4" fillId="4" borderId="8" xfId="0" applyFont="1" applyFill="1" applyBorder="1"/>
    <xf numFmtId="0" fontId="4" fillId="4" borderId="10" xfId="0" applyFont="1" applyFill="1" applyBorder="1"/>
    <xf numFmtId="4" fontId="4" fillId="4" borderId="10" xfId="0" applyNumberFormat="1" applyFont="1" applyFill="1" applyBorder="1" applyAlignment="1">
      <alignment horizontal="center"/>
    </xf>
    <xf numFmtId="4" fontId="4" fillId="4" borderId="11" xfId="0" applyNumberFormat="1" applyFont="1" applyFill="1" applyBorder="1" applyAlignment="1">
      <alignment horizontal="center"/>
    </xf>
    <xf numFmtId="0" fontId="3" fillId="4" borderId="13" xfId="0" applyFont="1" applyFill="1" applyBorder="1" applyAlignment="1">
      <alignment wrapText="1"/>
    </xf>
    <xf numFmtId="0" fontId="3" fillId="4" borderId="2" xfId="0" applyFont="1" applyFill="1" applyBorder="1" applyAlignment="1">
      <alignment horizontal="center" vertical="center" wrapText="1"/>
    </xf>
    <xf numFmtId="3" fontId="3" fillId="4" borderId="2" xfId="0" applyNumberFormat="1" applyFont="1" applyFill="1" applyBorder="1" applyAlignment="1">
      <alignment horizontal="center" vertical="center"/>
    </xf>
    <xf numFmtId="0" fontId="3" fillId="4" borderId="0" xfId="0" applyFont="1" applyFill="1"/>
    <xf numFmtId="0" fontId="3" fillId="4" borderId="2" xfId="0" applyFont="1" applyFill="1" applyBorder="1"/>
    <xf numFmtId="0" fontId="3" fillId="4" borderId="14" xfId="0" applyFont="1" applyFill="1" applyBorder="1"/>
    <xf numFmtId="3" fontId="3" fillId="4" borderId="2" xfId="0" applyNumberFormat="1" applyFont="1" applyFill="1" applyBorder="1" applyAlignment="1">
      <alignment horizontal="center"/>
    </xf>
    <xf numFmtId="0" fontId="3" fillId="4" borderId="17" xfId="0" applyFont="1" applyFill="1" applyBorder="1" applyAlignment="1">
      <alignment wrapText="1"/>
    </xf>
    <xf numFmtId="0" fontId="3" fillId="4" borderId="18" xfId="0" applyFont="1" applyFill="1" applyBorder="1" applyAlignment="1">
      <alignment horizontal="center" vertical="center" wrapText="1"/>
    </xf>
    <xf numFmtId="3" fontId="3" fillId="4" borderId="18" xfId="0" applyNumberFormat="1" applyFont="1" applyFill="1" applyBorder="1" applyAlignment="1">
      <alignment horizontal="center"/>
    </xf>
    <xf numFmtId="0" fontId="3" fillId="4" borderId="18" xfId="0" applyFont="1" applyFill="1" applyBorder="1"/>
    <xf numFmtId="0" fontId="3" fillId="4" borderId="19" xfId="0" applyFont="1" applyFill="1" applyBorder="1"/>
    <xf numFmtId="0" fontId="4" fillId="0" borderId="34" xfId="0" applyFont="1" applyBorder="1"/>
    <xf numFmtId="0" fontId="3" fillId="0" borderId="34" xfId="0" applyFont="1" applyBorder="1"/>
    <xf numFmtId="0" fontId="6" fillId="0" borderId="0" xfId="0" applyFont="1"/>
    <xf numFmtId="0" fontId="7" fillId="0" borderId="0" xfId="0" applyFont="1" applyAlignment="1">
      <alignment horizontal="left" wrapText="1"/>
    </xf>
    <xf numFmtId="0" fontId="4" fillId="0" borderId="3" xfId="0" applyFont="1" applyBorder="1" applyAlignment="1">
      <alignment horizontal="center" vertical="center" wrapText="1"/>
    </xf>
    <xf numFmtId="2" fontId="3" fillId="2" borderId="18" xfId="0" applyNumberFormat="1" applyFont="1" applyFill="1" applyBorder="1" applyAlignment="1">
      <alignment horizontal="center"/>
    </xf>
    <xf numFmtId="2" fontId="3" fillId="2" borderId="19" xfId="0" applyNumberFormat="1" applyFont="1" applyFill="1" applyBorder="1" applyAlignment="1">
      <alignment horizontal="center"/>
    </xf>
    <xf numFmtId="0" fontId="6" fillId="3" borderId="5" xfId="0" applyFont="1" applyFill="1" applyBorder="1" applyAlignment="1">
      <alignment wrapText="1"/>
    </xf>
    <xf numFmtId="0" fontId="6" fillId="3" borderId="6" xfId="0" applyFont="1" applyFill="1" applyBorder="1" applyAlignment="1">
      <alignment horizontal="center"/>
    </xf>
    <xf numFmtId="2" fontId="6" fillId="3" borderId="6" xfId="0" applyNumberFormat="1" applyFont="1" applyFill="1" applyBorder="1" applyAlignment="1">
      <alignment horizontal="center"/>
    </xf>
    <xf numFmtId="2" fontId="6" fillId="3" borderId="7" xfId="0" applyNumberFormat="1" applyFont="1" applyFill="1" applyBorder="1" applyAlignment="1">
      <alignment horizontal="center"/>
    </xf>
    <xf numFmtId="0" fontId="7" fillId="3" borderId="8" xfId="0" applyFont="1" applyFill="1" applyBorder="1" applyAlignment="1">
      <alignment wrapText="1"/>
    </xf>
    <xf numFmtId="2" fontId="7" fillId="3" borderId="10" xfId="0" applyNumberFormat="1" applyFont="1" applyFill="1" applyBorder="1" applyAlignment="1">
      <alignment horizontal="center"/>
    </xf>
    <xf numFmtId="2" fontId="7" fillId="3" borderId="11" xfId="0" applyNumberFormat="1" applyFont="1" applyFill="1" applyBorder="1" applyAlignment="1">
      <alignment horizontal="center"/>
    </xf>
    <xf numFmtId="0" fontId="9" fillId="3" borderId="36" xfId="0" applyFont="1" applyFill="1" applyBorder="1" applyAlignment="1">
      <alignment horizontal="right" vertical="center" wrapText="1"/>
    </xf>
    <xf numFmtId="0" fontId="7" fillId="3" borderId="10" xfId="0" applyFont="1" applyFill="1" applyBorder="1" applyAlignment="1">
      <alignment horizontal="center" vertical="center" wrapText="1"/>
    </xf>
    <xf numFmtId="0" fontId="9" fillId="3" borderId="8" xfId="0" applyFont="1" applyFill="1" applyBorder="1" applyAlignment="1">
      <alignment horizontal="right" wrapText="1"/>
    </xf>
    <xf numFmtId="0" fontId="4" fillId="4" borderId="16" xfId="0" applyFont="1" applyFill="1" applyBorder="1"/>
    <xf numFmtId="0" fontId="4" fillId="4" borderId="24" xfId="0" applyFont="1" applyFill="1" applyBorder="1"/>
    <xf numFmtId="0" fontId="4" fillId="4" borderId="25" xfId="0" applyFont="1" applyFill="1" applyBorder="1"/>
    <xf numFmtId="4" fontId="4" fillId="4" borderId="25" xfId="0" applyNumberFormat="1" applyFont="1" applyFill="1" applyBorder="1" applyAlignment="1">
      <alignment horizontal="center"/>
    </xf>
    <xf numFmtId="4" fontId="4" fillId="4" borderId="26" xfId="0" applyNumberFormat="1" applyFont="1" applyFill="1" applyBorder="1" applyAlignment="1">
      <alignment horizontal="center"/>
    </xf>
    <xf numFmtId="0" fontId="3" fillId="2" borderId="17" xfId="0" applyFont="1" applyFill="1" applyBorder="1"/>
    <xf numFmtId="0" fontId="3" fillId="2" borderId="18" xfId="0" applyFont="1" applyFill="1" applyBorder="1" applyAlignment="1">
      <alignment horizontal="center"/>
    </xf>
    <xf numFmtId="165" fontId="13" fillId="0" borderId="0" xfId="1" applyNumberFormat="1">
      <alignment horizontal="center"/>
    </xf>
    <xf numFmtId="0" fontId="14" fillId="0" borderId="0" xfId="2"/>
    <xf numFmtId="0" fontId="13" fillId="0" borderId="37" xfId="3">
      <alignment horizontal="center"/>
    </xf>
    <xf numFmtId="166" fontId="13" fillId="0" borderId="0" xfId="1" applyNumberFormat="1">
      <alignment horizontal="center"/>
    </xf>
    <xf numFmtId="0" fontId="15" fillId="0" borderId="38" xfId="4" applyFont="1" applyAlignment="1">
      <alignment horizontal="center" wrapText="1" shrinkToFit="1"/>
    </xf>
    <xf numFmtId="0" fontId="16" fillId="0" borderId="38" xfId="4" applyFont="1" applyAlignment="1">
      <alignment horizontal="center" wrapText="1" shrinkToFit="1"/>
    </xf>
    <xf numFmtId="0" fontId="17" fillId="5" borderId="39" xfId="5">
      <alignment horizontal="center" vertical="center"/>
    </xf>
    <xf numFmtId="0" fontId="13" fillId="0" borderId="0" xfId="1">
      <alignment horizontal="center"/>
    </xf>
    <xf numFmtId="0" fontId="16" fillId="0" borderId="0" xfId="6" applyFont="1" applyAlignment="1">
      <alignment horizontal="right" wrapText="1" shrinkToFit="1"/>
    </xf>
    <xf numFmtId="167" fontId="16" fillId="0" borderId="40" xfId="7" applyFont="1" applyAlignment="1">
      <alignment horizontal="left" wrapText="1" shrinkToFit="1"/>
    </xf>
    <xf numFmtId="0" fontId="16" fillId="0" borderId="41" xfId="8" applyFont="1" applyAlignment="1">
      <alignment horizontal="right" wrapText="1" shrinkToFit="1"/>
    </xf>
    <xf numFmtId="0" fontId="16" fillId="0" borderId="42" xfId="9" applyFont="1" applyAlignment="1">
      <alignment horizontal="left" indent="1"/>
    </xf>
    <xf numFmtId="3" fontId="18" fillId="6" borderId="43" xfId="10"/>
    <xf numFmtId="3" fontId="3" fillId="0" borderId="0" xfId="0" applyNumberFormat="1" applyFont="1"/>
    <xf numFmtId="4" fontId="3" fillId="0" borderId="0" xfId="0" applyNumberFormat="1" applyFont="1"/>
    <xf numFmtId="3" fontId="0" fillId="0" borderId="0" xfId="0" applyNumberFormat="1"/>
    <xf numFmtId="4" fontId="0" fillId="0" borderId="0" xfId="0" applyNumberFormat="1"/>
    <xf numFmtId="0" fontId="3" fillId="2" borderId="2" xfId="0" applyFont="1" applyFill="1" applyBorder="1" applyAlignment="1">
      <alignment vertical="center" wrapText="1"/>
    </xf>
    <xf numFmtId="0" fontId="3" fillId="2" borderId="2" xfId="0" applyFont="1" applyFill="1" applyBorder="1" applyAlignment="1">
      <alignment vertical="center"/>
    </xf>
    <xf numFmtId="0" fontId="7" fillId="3" borderId="2" xfId="0" applyFont="1" applyFill="1" applyBorder="1" applyAlignment="1">
      <alignment vertical="center" wrapText="1"/>
    </xf>
    <xf numFmtId="0" fontId="3" fillId="2" borderId="2" xfId="0" applyFont="1" applyFill="1" applyBorder="1"/>
    <xf numFmtId="0" fontId="3" fillId="2" borderId="2" xfId="0" applyFont="1" applyFill="1" applyBorder="1" applyAlignment="1">
      <alignment horizontal="right"/>
    </xf>
    <xf numFmtId="0" fontId="3" fillId="2" borderId="2" xfId="0" applyFont="1" applyFill="1" applyBorder="1" applyAlignment="1">
      <alignment horizontal="right" wrapText="1"/>
    </xf>
    <xf numFmtId="0" fontId="7" fillId="3" borderId="2" xfId="0" applyFont="1" applyFill="1" applyBorder="1" applyAlignment="1">
      <alignment horizontal="right"/>
    </xf>
    <xf numFmtId="0" fontId="7" fillId="3" borderId="2" xfId="0" applyFont="1" applyFill="1" applyBorder="1" applyAlignment="1">
      <alignment horizontal="right" wrapText="1"/>
    </xf>
    <xf numFmtId="0" fontId="7" fillId="3" borderId="2" xfId="0" applyFont="1" applyFill="1" applyBorder="1" applyAlignment="1">
      <alignment wrapText="1"/>
    </xf>
    <xf numFmtId="0" fontId="9" fillId="3" borderId="2" xfId="0" applyFont="1" applyFill="1" applyBorder="1" applyAlignment="1">
      <alignment horizontal="right" vertical="center" wrapText="1"/>
    </xf>
    <xf numFmtId="0" fontId="9" fillId="3" borderId="2" xfId="0" applyFont="1" applyFill="1" applyBorder="1" applyAlignment="1">
      <alignment horizontal="right" wrapText="1"/>
    </xf>
    <xf numFmtId="0" fontId="3" fillId="4" borderId="2" xfId="0" applyFont="1" applyFill="1" applyBorder="1" applyAlignment="1">
      <alignment wrapText="1"/>
    </xf>
    <xf numFmtId="0" fontId="0" fillId="0" borderId="0" xfId="0" pivotButton="1"/>
    <xf numFmtId="0" fontId="0" fillId="0" borderId="0" xfId="0" applyAlignment="1">
      <alignment horizontal="left"/>
    </xf>
    <xf numFmtId="0" fontId="1" fillId="0" borderId="0" xfId="26"/>
    <xf numFmtId="0" fontId="4" fillId="0" borderId="2" xfId="26" applyFont="1" applyBorder="1" applyAlignment="1">
      <alignment vertical="center"/>
    </xf>
    <xf numFmtId="0" fontId="4" fillId="0" borderId="3" xfId="26" applyFont="1" applyBorder="1" applyAlignment="1">
      <alignment vertical="center"/>
    </xf>
    <xf numFmtId="0" fontId="4" fillId="0" borderId="3" xfId="26" applyFont="1" applyBorder="1" applyAlignment="1">
      <alignment horizontal="center" vertical="center"/>
    </xf>
    <xf numFmtId="0" fontId="4" fillId="0" borderId="3" xfId="26" applyFont="1" applyBorder="1" applyAlignment="1">
      <alignment horizontal="center" vertical="center" wrapText="1"/>
    </xf>
    <xf numFmtId="0" fontId="4" fillId="2" borderId="4" xfId="26" applyFont="1" applyFill="1" applyBorder="1" applyAlignment="1">
      <alignment vertical="center"/>
    </xf>
    <xf numFmtId="0" fontId="4" fillId="2" borderId="5" xfId="26" applyFont="1" applyFill="1" applyBorder="1" applyAlignment="1">
      <alignment vertical="center"/>
    </xf>
    <xf numFmtId="0" fontId="4" fillId="2" borderId="6" xfId="26" applyFont="1" applyFill="1" applyBorder="1" applyAlignment="1">
      <alignment horizontal="center" vertical="center"/>
    </xf>
    <xf numFmtId="2" fontId="4" fillId="2" borderId="6" xfId="26" applyNumberFormat="1" applyFont="1" applyFill="1" applyBorder="1" applyAlignment="1">
      <alignment horizontal="center" vertical="center"/>
    </xf>
    <xf numFmtId="2" fontId="4" fillId="2" borderId="7" xfId="26" applyNumberFormat="1" applyFont="1" applyFill="1" applyBorder="1" applyAlignment="1">
      <alignment horizontal="center" vertical="center"/>
    </xf>
    <xf numFmtId="0" fontId="3" fillId="2" borderId="8" xfId="26" applyFont="1" applyFill="1" applyBorder="1" applyAlignment="1">
      <alignment wrapText="1"/>
    </xf>
    <xf numFmtId="2" fontId="3" fillId="2" borderId="10" xfId="26" applyNumberFormat="1" applyFont="1" applyFill="1" applyBorder="1" applyAlignment="1">
      <alignment horizontal="center"/>
    </xf>
    <xf numFmtId="2" fontId="3" fillId="2" borderId="10" xfId="26" applyNumberFormat="1" applyFont="1" applyFill="1" applyBorder="1" applyAlignment="1">
      <alignment horizontal="center" wrapText="1"/>
    </xf>
    <xf numFmtId="2" fontId="3" fillId="2" borderId="11" xfId="26" applyNumberFormat="1" applyFont="1" applyFill="1" applyBorder="1" applyAlignment="1">
      <alignment horizontal="center"/>
    </xf>
    <xf numFmtId="0" fontId="3" fillId="2" borderId="13" xfId="26" applyFont="1" applyFill="1" applyBorder="1"/>
    <xf numFmtId="2" fontId="3" fillId="2" borderId="2" xfId="26" applyNumberFormat="1" applyFont="1" applyFill="1" applyBorder="1" applyAlignment="1">
      <alignment horizontal="center"/>
    </xf>
    <xf numFmtId="2" fontId="3" fillId="2" borderId="14" xfId="26" applyNumberFormat="1" applyFont="1" applyFill="1" applyBorder="1" applyAlignment="1">
      <alignment horizontal="center"/>
    </xf>
    <xf numFmtId="0" fontId="3" fillId="2" borderId="13" xfId="26" applyFont="1" applyFill="1" applyBorder="1" applyAlignment="1">
      <alignment horizontal="right"/>
    </xf>
    <xf numFmtId="0" fontId="3" fillId="2" borderId="13" xfId="26" applyFont="1" applyFill="1" applyBorder="1" applyAlignment="1">
      <alignment horizontal="right" wrapText="1"/>
    </xf>
    <xf numFmtId="0" fontId="3" fillId="2" borderId="16" xfId="26" applyFont="1" applyFill="1" applyBorder="1" applyAlignment="1">
      <alignment horizontal="center" wrapText="1"/>
    </xf>
    <xf numFmtId="0" fontId="3" fillId="2" borderId="17" xfId="26" applyFont="1" applyFill="1" applyBorder="1"/>
    <xf numFmtId="0" fontId="3" fillId="2" borderId="18" xfId="26" applyFont="1" applyFill="1" applyBorder="1" applyAlignment="1">
      <alignment horizontal="center"/>
    </xf>
    <xf numFmtId="2" fontId="3" fillId="2" borderId="18" xfId="26" applyNumberFormat="1" applyFont="1" applyFill="1" applyBorder="1" applyAlignment="1">
      <alignment horizontal="center"/>
    </xf>
    <xf numFmtId="2" fontId="3" fillId="2" borderId="19" xfId="26" applyNumberFormat="1" applyFont="1" applyFill="1" applyBorder="1" applyAlignment="1">
      <alignment horizontal="center"/>
    </xf>
    <xf numFmtId="0" fontId="6" fillId="3" borderId="4" xfId="26" applyFont="1" applyFill="1" applyBorder="1"/>
    <xf numFmtId="0" fontId="6" fillId="3" borderId="5" xfId="26" applyFont="1" applyFill="1" applyBorder="1" applyAlignment="1">
      <alignment wrapText="1"/>
    </xf>
    <xf numFmtId="0" fontId="6" fillId="3" borderId="6" xfId="26" applyFont="1" applyFill="1" applyBorder="1" applyAlignment="1">
      <alignment horizontal="center"/>
    </xf>
    <xf numFmtId="2" fontId="6" fillId="3" borderId="6" xfId="26" applyNumberFormat="1" applyFont="1" applyFill="1" applyBorder="1" applyAlignment="1">
      <alignment horizontal="center"/>
    </xf>
    <xf numFmtId="0" fontId="7" fillId="3" borderId="24" xfId="26" applyFont="1" applyFill="1" applyBorder="1" applyAlignment="1">
      <alignment wrapText="1"/>
    </xf>
    <xf numFmtId="0" fontId="8" fillId="3" borderId="25" xfId="26" applyFont="1" applyFill="1" applyBorder="1" applyAlignment="1">
      <alignment vertical="center" wrapText="1"/>
    </xf>
    <xf numFmtId="2" fontId="7" fillId="3" borderId="25" xfId="26" applyNumberFormat="1" applyFont="1" applyFill="1" applyBorder="1" applyAlignment="1">
      <alignment horizontal="center"/>
    </xf>
    <xf numFmtId="2" fontId="7" fillId="3" borderId="26" xfId="26" applyNumberFormat="1" applyFont="1" applyFill="1" applyBorder="1" applyAlignment="1">
      <alignment horizontal="center"/>
    </xf>
    <xf numFmtId="0" fontId="7" fillId="3" borderId="13" xfId="26" applyFont="1" applyFill="1" applyBorder="1" applyAlignment="1">
      <alignment horizontal="right"/>
    </xf>
    <xf numFmtId="0" fontId="7" fillId="3" borderId="2" xfId="26" applyFont="1" applyFill="1" applyBorder="1" applyAlignment="1">
      <alignment horizontal="center" vertical="center" wrapText="1"/>
    </xf>
    <xf numFmtId="2" fontId="7" fillId="3" borderId="2" xfId="26" applyNumberFormat="1" applyFont="1" applyFill="1" applyBorder="1" applyAlignment="1">
      <alignment horizontal="center"/>
    </xf>
    <xf numFmtId="2" fontId="7" fillId="3" borderId="14" xfId="26" applyNumberFormat="1" applyFont="1" applyFill="1" applyBorder="1" applyAlignment="1">
      <alignment horizontal="center"/>
    </xf>
    <xf numFmtId="0" fontId="7" fillId="3" borderId="13" xfId="26" applyFont="1" applyFill="1" applyBorder="1" applyAlignment="1">
      <alignment horizontal="right" wrapText="1"/>
    </xf>
    <xf numFmtId="0" fontId="9" fillId="3" borderId="36" xfId="26" applyFont="1" applyFill="1" applyBorder="1" applyAlignment="1">
      <alignment horizontal="right" vertical="center" wrapText="1"/>
    </xf>
    <xf numFmtId="0" fontId="7" fillId="3" borderId="9" xfId="26" applyFont="1" applyFill="1" applyBorder="1" applyAlignment="1">
      <alignment horizontal="center" vertical="center" wrapText="1"/>
    </xf>
    <xf numFmtId="1" fontId="7" fillId="3" borderId="9" xfId="26" applyNumberFormat="1" applyFont="1" applyFill="1" applyBorder="1" applyAlignment="1">
      <alignment horizontal="center" vertical="center"/>
    </xf>
    <xf numFmtId="2" fontId="7" fillId="3" borderId="9" xfId="26" applyNumberFormat="1" applyFont="1" applyFill="1" applyBorder="1" applyAlignment="1">
      <alignment horizontal="center" vertical="center"/>
    </xf>
    <xf numFmtId="2" fontId="7" fillId="3" borderId="29" xfId="26" applyNumberFormat="1" applyFont="1" applyFill="1" applyBorder="1" applyAlignment="1">
      <alignment horizontal="center" vertical="center"/>
    </xf>
    <xf numFmtId="0" fontId="7" fillId="0" borderId="0" xfId="26" applyFont="1" applyAlignment="1">
      <alignment vertical="center"/>
    </xf>
    <xf numFmtId="0" fontId="9" fillId="3" borderId="13" xfId="26" applyFont="1" applyFill="1" applyBorder="1" applyAlignment="1">
      <alignment horizontal="right" vertical="center" wrapText="1"/>
    </xf>
    <xf numFmtId="1" fontId="7" fillId="3" borderId="2" xfId="26" applyNumberFormat="1" applyFont="1" applyFill="1" applyBorder="1" applyAlignment="1">
      <alignment horizontal="center" vertical="center"/>
    </xf>
    <xf numFmtId="2" fontId="7" fillId="3" borderId="2" xfId="26" applyNumberFormat="1" applyFont="1" applyFill="1" applyBorder="1" applyAlignment="1">
      <alignment horizontal="center" vertical="center"/>
    </xf>
    <xf numFmtId="2" fontId="7" fillId="3" borderId="14" xfId="26" applyNumberFormat="1" applyFont="1" applyFill="1" applyBorder="1" applyAlignment="1">
      <alignment horizontal="center" vertical="center"/>
    </xf>
    <xf numFmtId="0" fontId="9" fillId="3" borderId="17" xfId="26" applyFont="1" applyFill="1" applyBorder="1" applyAlignment="1">
      <alignment horizontal="right" wrapText="1"/>
    </xf>
    <xf numFmtId="0" fontId="7" fillId="3" borderId="18" xfId="26" applyFont="1" applyFill="1" applyBorder="1" applyAlignment="1">
      <alignment horizontal="center" vertical="center" wrapText="1"/>
    </xf>
    <xf numFmtId="1" fontId="7" fillId="3" borderId="18" xfId="26" applyNumberFormat="1" applyFont="1" applyFill="1" applyBorder="1" applyAlignment="1">
      <alignment horizontal="center"/>
    </xf>
    <xf numFmtId="2" fontId="7" fillId="3" borderId="18" xfId="26" applyNumberFormat="1" applyFont="1" applyFill="1" applyBorder="1" applyAlignment="1">
      <alignment horizontal="center"/>
    </xf>
    <xf numFmtId="2" fontId="7" fillId="3" borderId="19" xfId="26" applyNumberFormat="1" applyFont="1" applyFill="1" applyBorder="1" applyAlignment="1">
      <alignment horizontal="center"/>
    </xf>
    <xf numFmtId="0" fontId="7" fillId="0" borderId="0" xfId="26" applyFont="1"/>
    <xf numFmtId="0" fontId="9" fillId="3" borderId="8" xfId="26" applyFont="1" applyFill="1" applyBorder="1" applyAlignment="1">
      <alignment horizontal="right" wrapText="1"/>
    </xf>
    <xf numFmtId="2" fontId="7" fillId="3" borderId="10" xfId="26" applyNumberFormat="1" applyFont="1" applyFill="1" applyBorder="1" applyAlignment="1">
      <alignment horizontal="center"/>
    </xf>
    <xf numFmtId="2" fontId="7" fillId="3" borderId="11" xfId="26" applyNumberFormat="1" applyFont="1" applyFill="1" applyBorder="1" applyAlignment="1">
      <alignment horizontal="center"/>
    </xf>
    <xf numFmtId="0" fontId="9" fillId="3" borderId="13" xfId="26" applyFont="1" applyFill="1" applyBorder="1" applyAlignment="1">
      <alignment horizontal="right" wrapText="1"/>
    </xf>
    <xf numFmtId="0" fontId="9" fillId="3" borderId="31" xfId="26" applyFont="1" applyFill="1" applyBorder="1" applyAlignment="1">
      <alignment horizontal="right" wrapText="1"/>
    </xf>
    <xf numFmtId="2" fontId="7" fillId="3" borderId="32" xfId="26" applyNumberFormat="1" applyFont="1" applyFill="1" applyBorder="1" applyAlignment="1">
      <alignment horizontal="center"/>
    </xf>
    <xf numFmtId="2" fontId="7" fillId="3" borderId="33" xfId="26" applyNumberFormat="1" applyFont="1" applyFill="1" applyBorder="1" applyAlignment="1">
      <alignment horizontal="center"/>
    </xf>
    <xf numFmtId="0" fontId="4" fillId="4" borderId="16" xfId="26" applyFont="1" applyFill="1" applyBorder="1"/>
    <xf numFmtId="0" fontId="4" fillId="4" borderId="24" xfId="26" applyFont="1" applyFill="1" applyBorder="1"/>
    <xf numFmtId="0" fontId="4" fillId="4" borderId="25" xfId="26" applyFont="1" applyFill="1" applyBorder="1"/>
    <xf numFmtId="4" fontId="4" fillId="4" borderId="25" xfId="26" applyNumberFormat="1" applyFont="1" applyFill="1" applyBorder="1" applyAlignment="1">
      <alignment horizontal="center"/>
    </xf>
    <xf numFmtId="4" fontId="4" fillId="4" borderId="26" xfId="26" applyNumberFormat="1" applyFont="1" applyFill="1" applyBorder="1" applyAlignment="1">
      <alignment horizontal="center"/>
    </xf>
    <xf numFmtId="0" fontId="3" fillId="4" borderId="13" xfId="26" applyFont="1" applyFill="1" applyBorder="1" applyAlignment="1">
      <alignment wrapText="1"/>
    </xf>
    <xf numFmtId="0" fontId="3" fillId="4" borderId="2" xfId="26" applyFont="1" applyFill="1" applyBorder="1" applyAlignment="1">
      <alignment horizontal="center" vertical="center" wrapText="1"/>
    </xf>
    <xf numFmtId="3" fontId="3" fillId="4" borderId="2" xfId="26" applyNumberFormat="1" applyFont="1" applyFill="1" applyBorder="1" applyAlignment="1">
      <alignment horizontal="center" vertical="center"/>
    </xf>
    <xf numFmtId="0" fontId="3" fillId="4" borderId="0" xfId="26" applyFont="1" applyFill="1"/>
    <xf numFmtId="0" fontId="3" fillId="4" borderId="2" xfId="26" applyFont="1" applyFill="1" applyBorder="1"/>
    <xf numFmtId="0" fontId="3" fillId="4" borderId="14" xfId="26" applyFont="1" applyFill="1" applyBorder="1"/>
    <xf numFmtId="3" fontId="3" fillId="4" borderId="2" xfId="26" applyNumberFormat="1" applyFont="1" applyFill="1" applyBorder="1" applyAlignment="1">
      <alignment horizontal="center"/>
    </xf>
    <xf numFmtId="0" fontId="3" fillId="4" borderId="17" xfId="26" applyFont="1" applyFill="1" applyBorder="1" applyAlignment="1">
      <alignment wrapText="1"/>
    </xf>
    <xf numFmtId="0" fontId="3" fillId="4" borderId="18" xfId="26" applyFont="1" applyFill="1" applyBorder="1" applyAlignment="1">
      <alignment horizontal="center" vertical="center" wrapText="1"/>
    </xf>
    <xf numFmtId="3" fontId="3" fillId="4" borderId="18" xfId="26" applyNumberFormat="1" applyFont="1" applyFill="1" applyBorder="1" applyAlignment="1">
      <alignment horizontal="center"/>
    </xf>
    <xf numFmtId="0" fontId="3" fillId="4" borderId="18" xfId="26" applyFont="1" applyFill="1" applyBorder="1"/>
    <xf numFmtId="0" fontId="3" fillId="4" borderId="19" xfId="26" applyFont="1" applyFill="1" applyBorder="1"/>
    <xf numFmtId="0" fontId="3" fillId="0" borderId="0" xfId="26" applyFont="1"/>
    <xf numFmtId="0" fontId="4" fillId="0" borderId="34" xfId="26" applyFont="1" applyBorder="1"/>
    <xf numFmtId="0" fontId="3" fillId="0" borderId="34" xfId="26" applyFont="1" applyBorder="1"/>
    <xf numFmtId="0" fontId="6" fillId="0" borderId="0" xfId="26" applyFont="1"/>
    <xf numFmtId="0" fontId="7" fillId="3" borderId="2" xfId="26" applyFont="1" applyFill="1" applyBorder="1" applyAlignment="1">
      <alignment vertical="center" wrapText="1"/>
    </xf>
    <xf numFmtId="0" fontId="0" fillId="0" borderId="0" xfId="0" pivotButton="1" applyAlignment="1">
      <alignment wrapText="1"/>
    </xf>
    <xf numFmtId="0" fontId="0" fillId="0" borderId="0" xfId="0" applyAlignment="1">
      <alignment wrapText="1"/>
    </xf>
    <xf numFmtId="0" fontId="21" fillId="0" borderId="2" xfId="0" applyFont="1" applyBorder="1" applyAlignment="1">
      <alignment horizontal="center"/>
    </xf>
    <xf numFmtId="0" fontId="4" fillId="2" borderId="2" xfId="0" applyFont="1" applyFill="1" applyBorder="1" applyAlignment="1">
      <alignment vertical="center" wrapText="1"/>
    </xf>
    <xf numFmtId="0" fontId="4" fillId="2" borderId="2" xfId="0" applyFont="1" applyFill="1" applyBorder="1" applyAlignment="1">
      <alignment horizontal="center" vertical="center"/>
    </xf>
    <xf numFmtId="0" fontId="3" fillId="2" borderId="2" xfId="0" applyFont="1" applyFill="1" applyBorder="1" applyAlignment="1">
      <alignment wrapText="1"/>
    </xf>
    <xf numFmtId="0" fontId="3" fillId="2" borderId="2" xfId="0" applyFont="1" applyFill="1" applyBorder="1" applyAlignment="1">
      <alignment horizontal="center"/>
    </xf>
    <xf numFmtId="0" fontId="6" fillId="3" borderId="2" xfId="0" applyFont="1" applyFill="1" applyBorder="1" applyAlignment="1">
      <alignment wrapText="1"/>
    </xf>
    <xf numFmtId="0" fontId="6" fillId="3" borderId="2" xfId="0" applyFont="1" applyFill="1" applyBorder="1" applyAlignment="1">
      <alignment horizontal="center"/>
    </xf>
    <xf numFmtId="0" fontId="8" fillId="3" borderId="2" xfId="0" applyFont="1" applyFill="1" applyBorder="1" applyAlignment="1">
      <alignment vertical="center" wrapText="1"/>
    </xf>
    <xf numFmtId="0" fontId="4" fillId="4" borderId="2" xfId="0" applyFont="1" applyFill="1" applyBorder="1" applyAlignment="1">
      <alignment wrapText="1"/>
    </xf>
    <xf numFmtId="0" fontId="4" fillId="4" borderId="2" xfId="0" applyFont="1" applyFill="1" applyBorder="1"/>
    <xf numFmtId="0" fontId="7" fillId="3" borderId="2" xfId="26" applyFont="1" applyFill="1" applyBorder="1" applyAlignment="1">
      <alignment wrapText="1"/>
    </xf>
    <xf numFmtId="0" fontId="8" fillId="3" borderId="2" xfId="26" applyFont="1" applyFill="1" applyBorder="1" applyAlignment="1">
      <alignment vertical="center" wrapText="1"/>
    </xf>
    <xf numFmtId="0" fontId="7" fillId="3" borderId="2" xfId="26" applyFont="1" applyFill="1" applyBorder="1" applyAlignment="1">
      <alignment horizontal="right"/>
    </xf>
    <xf numFmtId="0" fontId="7" fillId="3" borderId="2" xfId="26" applyFont="1" applyFill="1" applyBorder="1" applyAlignment="1">
      <alignment horizontal="right" wrapText="1"/>
    </xf>
    <xf numFmtId="0" fontId="9" fillId="3" borderId="2" xfId="26" applyFont="1" applyFill="1" applyBorder="1" applyAlignment="1">
      <alignment horizontal="right" vertical="center" wrapText="1"/>
    </xf>
    <xf numFmtId="0" fontId="9" fillId="3" borderId="2" xfId="26" applyFont="1" applyFill="1" applyBorder="1" applyAlignment="1">
      <alignment horizontal="right" wrapText="1"/>
    </xf>
    <xf numFmtId="3" fontId="1" fillId="0" borderId="0" xfId="26" applyNumberFormat="1"/>
    <xf numFmtId="4" fontId="1" fillId="0" borderId="0" xfId="26" applyNumberFormat="1"/>
    <xf numFmtId="0" fontId="0" fillId="0" borderId="2" xfId="0" applyBorder="1" applyAlignment="1">
      <alignment horizontal="left" wrapText="1"/>
    </xf>
    <xf numFmtId="4" fontId="0" fillId="0" borderId="2" xfId="0" applyNumberFormat="1" applyBorder="1"/>
    <xf numFmtId="4" fontId="23" fillId="0" borderId="2" xfId="0" applyNumberFormat="1" applyFont="1" applyBorder="1"/>
    <xf numFmtId="0" fontId="0" fillId="0" borderId="0" xfId="0" applyFill="1"/>
    <xf numFmtId="4" fontId="22" fillId="0" borderId="2" xfId="0" applyNumberFormat="1" applyFont="1" applyFill="1" applyBorder="1" applyAlignment="1">
      <alignment horizontal="center"/>
    </xf>
    <xf numFmtId="0" fontId="21" fillId="0" borderId="2" xfId="0" applyFont="1" applyFill="1" applyBorder="1" applyAlignment="1">
      <alignment horizontal="center"/>
    </xf>
    <xf numFmtId="4" fontId="4" fillId="0" borderId="2" xfId="0" applyNumberFormat="1" applyFont="1" applyFill="1" applyBorder="1" applyAlignment="1">
      <alignment horizontal="center" vertical="center"/>
    </xf>
    <xf numFmtId="0" fontId="0" fillId="0" borderId="2" xfId="0" applyFill="1" applyBorder="1"/>
    <xf numFmtId="4" fontId="7" fillId="0" borderId="2" xfId="0" applyNumberFormat="1" applyFont="1" applyFill="1" applyBorder="1" applyAlignment="1">
      <alignment horizontal="center"/>
    </xf>
    <xf numFmtId="4" fontId="6" fillId="0" borderId="2" xfId="0" applyNumberFormat="1" applyFont="1" applyFill="1" applyBorder="1" applyAlignment="1">
      <alignment horizontal="center"/>
    </xf>
    <xf numFmtId="4" fontId="4" fillId="0" borderId="2" xfId="0" applyNumberFormat="1" applyFont="1" applyFill="1" applyBorder="1" applyAlignment="1">
      <alignment horizontal="center"/>
    </xf>
    <xf numFmtId="4" fontId="3" fillId="0" borderId="2" xfId="0" applyNumberFormat="1" applyFont="1" applyFill="1" applyBorder="1" applyAlignment="1">
      <alignment horizontal="center"/>
    </xf>
    <xf numFmtId="4" fontId="6" fillId="0" borderId="2" xfId="0" applyNumberFormat="1" applyFont="1" applyFill="1" applyBorder="1"/>
    <xf numFmtId="4" fontId="7" fillId="0" borderId="2" xfId="0" applyNumberFormat="1" applyFont="1" applyFill="1" applyBorder="1"/>
    <xf numFmtId="4" fontId="7" fillId="0" borderId="0" xfId="0" applyNumberFormat="1" applyFont="1" applyFill="1"/>
    <xf numFmtId="0" fontId="7" fillId="0" borderId="0" xfId="0" applyFont="1" applyAlignment="1">
      <alignment horizontal="left" wrapText="1"/>
    </xf>
    <xf numFmtId="0" fontId="7" fillId="0" borderId="0" xfId="0" applyFont="1" applyAlignment="1">
      <alignment horizontal="left" vertical="center" wrapText="1"/>
    </xf>
    <xf numFmtId="0" fontId="2" fillId="0" borderId="1" xfId="0" applyFont="1" applyBorder="1" applyAlignment="1">
      <alignment horizontal="center" wrapText="1"/>
    </xf>
    <xf numFmtId="0" fontId="3" fillId="2" borderId="4"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7" fillId="3" borderId="23" xfId="0" applyFont="1" applyFill="1" applyBorder="1" applyAlignment="1">
      <alignment horizontal="center" vertical="center" wrapText="1"/>
    </xf>
    <xf numFmtId="0" fontId="7" fillId="3" borderId="27" xfId="0" applyFont="1" applyFill="1" applyBorder="1" applyAlignment="1">
      <alignment horizontal="center" vertical="center" wrapText="1"/>
    </xf>
    <xf numFmtId="0" fontId="7" fillId="3" borderId="30"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3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0" borderId="0" xfId="0" applyFont="1" applyAlignment="1">
      <alignment horizontal="left" wrapText="1"/>
    </xf>
    <xf numFmtId="0" fontId="7" fillId="3" borderId="35" xfId="0" applyFont="1" applyFill="1" applyBorder="1" applyAlignment="1">
      <alignment horizontal="center" vertical="center" wrapText="1"/>
    </xf>
    <xf numFmtId="0" fontId="7" fillId="3" borderId="29"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0" borderId="0" xfId="26" applyFont="1" applyAlignment="1">
      <alignment horizontal="left" wrapText="1"/>
    </xf>
    <xf numFmtId="0" fontId="7" fillId="0" borderId="0" xfId="26" applyFont="1" applyAlignment="1">
      <alignment horizontal="left" vertical="center" wrapText="1"/>
    </xf>
    <xf numFmtId="0" fontId="2" fillId="0" borderId="1" xfId="26" applyFont="1" applyBorder="1" applyAlignment="1">
      <alignment horizontal="center" wrapText="1"/>
    </xf>
    <xf numFmtId="0" fontId="3" fillId="2" borderId="4" xfId="26" applyFont="1" applyFill="1" applyBorder="1" applyAlignment="1">
      <alignment horizontal="center" vertical="center" wrapText="1"/>
    </xf>
    <xf numFmtId="0" fontId="3" fillId="2" borderId="12" xfId="26" applyFont="1" applyFill="1" applyBorder="1" applyAlignment="1">
      <alignment horizontal="center" vertical="center" wrapText="1"/>
    </xf>
    <xf numFmtId="0" fontId="3" fillId="2" borderId="15" xfId="26" applyFont="1" applyFill="1" applyBorder="1" applyAlignment="1">
      <alignment horizontal="center" vertical="center" wrapText="1"/>
    </xf>
    <xf numFmtId="0" fontId="3" fillId="2" borderId="9" xfId="26" applyFont="1" applyFill="1" applyBorder="1" applyAlignment="1">
      <alignment horizontal="center" vertical="center" wrapText="1"/>
    </xf>
    <xf numFmtId="0" fontId="3" fillId="2" borderId="10" xfId="26" applyFont="1" applyFill="1" applyBorder="1" applyAlignment="1">
      <alignment horizontal="center" vertical="center" wrapText="1"/>
    </xf>
    <xf numFmtId="0" fontId="3" fillId="2" borderId="3" xfId="26" applyFont="1" applyFill="1" applyBorder="1" applyAlignment="1">
      <alignment horizontal="center" vertical="center"/>
    </xf>
    <xf numFmtId="0" fontId="3" fillId="2" borderId="9" xfId="26" applyFont="1" applyFill="1" applyBorder="1" applyAlignment="1">
      <alignment horizontal="center" vertical="center"/>
    </xf>
    <xf numFmtId="0" fontId="3" fillId="2" borderId="10" xfId="26" applyFont="1" applyFill="1" applyBorder="1" applyAlignment="1">
      <alignment horizontal="center" vertical="center"/>
    </xf>
    <xf numFmtId="0" fontId="7" fillId="3" borderId="35" xfId="26" applyFont="1" applyFill="1" applyBorder="1" applyAlignment="1">
      <alignment horizontal="center" vertical="center" wrapText="1"/>
    </xf>
    <xf numFmtId="0" fontId="7" fillId="3" borderId="29" xfId="26" applyFont="1" applyFill="1" applyBorder="1" applyAlignment="1">
      <alignment horizontal="center" vertical="center" wrapText="1"/>
    </xf>
    <xf numFmtId="0" fontId="7" fillId="3" borderId="11" xfId="26" applyFont="1" applyFill="1" applyBorder="1" applyAlignment="1">
      <alignment horizontal="center" vertical="center" wrapText="1"/>
    </xf>
    <xf numFmtId="0" fontId="7" fillId="3" borderId="21" xfId="26" applyFont="1" applyFill="1" applyBorder="1" applyAlignment="1">
      <alignment horizontal="center" vertical="center" wrapText="1"/>
    </xf>
    <xf numFmtId="0" fontId="7" fillId="3" borderId="9" xfId="26" applyFont="1" applyFill="1" applyBorder="1" applyAlignment="1">
      <alignment horizontal="center" vertical="center" wrapText="1"/>
    </xf>
    <xf numFmtId="0" fontId="7" fillId="3" borderId="32" xfId="26" applyFont="1" applyFill="1" applyBorder="1" applyAlignment="1">
      <alignment horizontal="center" vertical="center" wrapText="1"/>
    </xf>
    <xf numFmtId="0" fontId="3" fillId="4" borderId="4" xfId="26" applyFont="1" applyFill="1" applyBorder="1" applyAlignment="1">
      <alignment horizontal="center" vertical="center" wrapText="1"/>
    </xf>
    <xf numFmtId="0" fontId="3" fillId="4" borderId="15" xfId="26" applyFont="1" applyFill="1" applyBorder="1" applyAlignment="1">
      <alignment horizontal="center" vertical="center" wrapText="1"/>
    </xf>
    <xf numFmtId="0" fontId="3" fillId="0" borderId="0" xfId="26" applyFont="1" applyAlignment="1">
      <alignment horizontal="left" wrapText="1"/>
    </xf>
    <xf numFmtId="0" fontId="21" fillId="0" borderId="0" xfId="0" applyFont="1" applyAlignment="1">
      <alignment horizontal="center" wrapText="1"/>
    </xf>
  </cellXfs>
  <cellStyles count="27">
    <cellStyle name="____page" xfId="5" xr:uid="{84BA039A-B588-4D98-B200-E5FF49E3115E}"/>
    <cellStyle name="___col1" xfId="11" xr:uid="{247B3D2E-748E-4BA0-99AE-1FAE91A663FE}"/>
    <cellStyle name="___col2" xfId="6" xr:uid="{4D74CF60-5D41-4565-9D1F-4DB8DB50B7B8}"/>
    <cellStyle name="___col3" xfId="12" xr:uid="{8B0031AC-E4DB-4236-9D4A-BFD01E35D380}"/>
    <cellStyle name="___page" xfId="3" xr:uid="{40616612-0C05-424D-B9EF-23BDB1DCBA5B}"/>
    <cellStyle name="___row1" xfId="13" xr:uid="{29EE777A-7D06-4120-85A2-468FB4C0446A}"/>
    <cellStyle name="___row2" xfId="14" xr:uid="{07932059-DB48-491A-B26D-37643F77D58E}"/>
    <cellStyle name="___row3" xfId="15" xr:uid="{2A719EE8-5296-4E5C-A95A-798B6912D733}"/>
    <cellStyle name="__col1" xfId="16" xr:uid="{DC1F36C3-72E4-4A90-B54E-CCE2DB71FA3B}"/>
    <cellStyle name="__col2" xfId="7" xr:uid="{2D31B17A-62A0-4752-AAB3-19F2E046BA64}"/>
    <cellStyle name="__col3" xfId="17" xr:uid="{640DA1A8-3B4B-4D95-951B-A47347EAC4E4}"/>
    <cellStyle name="__page" xfId="1" xr:uid="{A9905335-3FC1-4AF7-B595-43D4DB2992AD}"/>
    <cellStyle name="__row1" xfId="18" xr:uid="{94EADC5C-E375-46A7-9965-801B70536F7A}"/>
    <cellStyle name="__row2" xfId="19" xr:uid="{F13511EF-EFBB-487C-B224-EEF6E97A92FF}"/>
    <cellStyle name="__row3" xfId="20" xr:uid="{9CE9FB7B-2085-4DC4-A65A-2078ED58E9A3}"/>
    <cellStyle name="_col1" xfId="8" xr:uid="{D6B111F4-5BC9-4E4E-943A-2AE7906B5D50}"/>
    <cellStyle name="_col2" xfId="21" xr:uid="{8366F538-BF1A-4FA6-8F6E-DFFB2BFE8B24}"/>
    <cellStyle name="_col3" xfId="22" xr:uid="{F8246850-FD65-40FE-9E48-50300E3585B0}"/>
    <cellStyle name="_data" xfId="10" xr:uid="{BEF63F31-7067-4C35-BBFE-8792DB627979}"/>
    <cellStyle name="_freeze" xfId="23" xr:uid="{C2FD93B7-7871-42EB-9ACA-FE2C79F981A7}"/>
    <cellStyle name="_page" xfId="4" xr:uid="{A62581A0-8233-4057-83F3-4925610895CB}"/>
    <cellStyle name="_row1" xfId="9" xr:uid="{B33A3206-4C14-4E2C-8EDA-E90ADE7902FF}"/>
    <cellStyle name="_row2" xfId="24" xr:uid="{0A7DEB5C-E0EC-4F84-A1B0-99885820A3E8}"/>
    <cellStyle name="_row3" xfId="25" xr:uid="{AC841AF7-2131-4561-824F-1B3E6870BF7B}"/>
    <cellStyle name="Normal" xfId="0" builtinId="0" customBuiltin="1"/>
    <cellStyle name="Normal 2" xfId="2" xr:uid="{1CDADAA4-E87C-429D-9970-E1D2A4712A17}"/>
    <cellStyle name="Normal 3" xfId="26" xr:uid="{3EA060A5-DA5D-416C-807F-BD34699E269F}"/>
  </cellStyles>
  <dxfs count="10">
    <dxf>
      <font>
        <b/>
        <charset val="186"/>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dxf>
    <dxf>
      <alignment wrapText="1"/>
    </dxf>
    <dxf>
      <alignment wrapText="1"/>
    </dxf>
    <dxf>
      <alignment wrapText="1"/>
    </dxf>
    <dxf>
      <alignment wrapText="1"/>
    </dxf>
    <dxf>
      <numFmt numFmtId="4" formatCode="#,##0.00"/>
    </dxf>
    <dxf>
      <alignment horizontal="lef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Ilze Pence" refreshedDate="44407.337281365741" createdVersion="7" refreshedVersion="7" minRefreshableVersion="3" recordCount="142" xr:uid="{8D0AC584-6CE1-4CB4-9B92-63E3ECDAD1D6}">
  <cacheSource type="worksheet">
    <worksheetSource ref="B5:G147" sheet="PIVOT"/>
  </cacheSource>
  <cacheFields count="6">
    <cacheField name="Rādītājs" numFmtId="0">
      <sharedItems count="42">
        <s v="1. Faktiskie izdevumi, kas radušies saistībā ar reisu atcelšanu vai papild reisu nodrošināšanu - KOPSUMMA ((N - P) x Izm)"/>
        <s v="Iesaistīto transportlīdzekļu vienības "/>
        <s v="(S) Plānotais reisu skaits"/>
        <s v="(R) Faktiskais reisu skaits (S + RP-RA) "/>
        <s v="to starpā papildu reisi (RP)"/>
        <s v="to starpā atceltie reisi (RA)"/>
        <s v="(P) Plānotais nobraukums "/>
        <s v="(N) Faktiskais nobraukums (P + NP-NA)"/>
        <s v="to starpā papildu reisos veiktais nobraukums (NP)"/>
        <s v="to starpā atcelto reisu nobraukums (NA)"/>
        <s v="(Izm) 1 km pašizmaksa "/>
        <s v="2. Kopējie izdevumi par Covid-19 infekcijas ierobežošanas pasākumiem - KOPSUMMA (1 vienības cenas reizinājums ar preču/pakalpojumu skaitu; summa ( K x Z))"/>
        <s v="(Z) Pakalpojumi, pasākumi un materiāli Covid-19 pandēmijas ierobežošanai "/>
        <s v="Dezinfekcijas līdzekļi"/>
        <s v="Sejas maskas"/>
        <s v="Sociālā distancēšanās sabiedriskā transportā "/>
        <s v="Transportlīdzekļu dezinfekcija"/>
        <s v="Transportlīdzekļu papildu mazgāšana"/>
        <s v="Citi izdevumi (norādīt kādi)"/>
        <s v="Roku dezinfekcijas dozatoru noma"/>
        <s v="Papīra dvieļi ruļļos"/>
        <s v="(K) Faktiskās izmaksas Covid-19 pandēmijas ierobežošanai, t.sk. "/>
        <s v="Transportlīdzekļu dezinfekcija, to starpā darba spēka izmaksas"/>
        <s v="Transportlīdzekļu papildu mazgāšana, to starpā darba spēka izmaksas"/>
        <s v="3. Kopējā ietekme uz ieņēmumu apgrozījumu - KOPSUMMA ((C/D-A/N) x N)"/>
        <s v="(A) No pasažieriem, t.sk., personām, kurām noteikti pašvaldības noteiktie braukšanas maksas atvieglojumi, saņemtie ieņēmumi par sniegto sabiedriskā transporta pakalpojumu - 09.03.2021.-31.03.2021."/>
        <s v="(N) Faktiskais nobraukums - 09.03.2021.-31.03.2021."/>
        <s v="(C) No pasažieriem, t.sk., personām, kurām noteikti pašvaldības noteiktie braukšanas maksas atvieglojumi, saņemtie ieņēmumi par sniegto sabiedriskā transporta pakalpojumu - 09.03.2019.-31.03.2019."/>
        <s v="(D) Faktiskais nobraukums - 09.03.2019.-31.03.2019."/>
        <s v="(A) No pasažieriem, t.sk., personām, kurām noteikti pašvaldības noteiktie braukšanas maksas atvieglojumi, saņemtie ieņēmumi par sniegto sabiedriskā transporta pakalpojumu - 01.04.2021.-30.04.2021."/>
        <s v="(N) Faktiskais nobraukums - 01.04.2021.-30.04.2021."/>
        <s v="(C) No pasažieriem, t.sk., personām, kurām noteikti pašvaldības noteiktie braukšanas maksas atvieglojumi, saņemtie ieņēmumi par sniegto sabiedriskā transporta pakalpojumu - 01.04.2019.-30.04.2019."/>
        <s v="(D) Faktiskais nobraukums - 01.04.2019.-30.04.2019."/>
        <s v="(A) No pasažieriem, t.sk., personām, kurām noteikti pašvaldības noteiktie braukšanas maksas atvieglojumi, saņemtie ieņēmumi par sniegto sabiedriskā transporta pakalpojumu - 01.05.2021.-31.05.2021."/>
        <s v="(N) Faktiskais nobraukums - 01.05.2021.-31.05.2021."/>
        <s v="(C) No pasažieriem, t.sk., personām, kurām noteikti pašvaldības noteiktie braukšanas maksas atvieglojumi, saņemtie ieņēmumi par sniegto sabiedriskā transporta pakalpojumu - 01.05.2019.-31.05.2019."/>
        <s v="(D) Faktiskais nobraukums - 01.05.2019.-31.05.2019."/>
        <s v="Lupatiņas autobusa uzkopšanai"/>
        <s v="(A) No pasažieriem, t.sk., personām, kurām noteikti pašvaldības noteiktie braukšanas maksas atvieglojumi, saņemtie ieņēmumi par sniegto sabiedriskā transporta pakalpojumu - 01.06.2021.-30.06.2021."/>
        <s v="(N) Faktiskais nobraukums - 01.06.2021.-30.06.2021."/>
        <s v="(C) No pasažieriem, t.sk., personām, kurām noteikti pašvaldības noteiktie braukšanas maksas atvieglojumi, saņemtie ieņēmumi par sniegto sabiedriskā transporta pakalpojumu - 01.06.2019.-30.06.2019."/>
        <s v="(D) Faktiskais nobraukums - 01.06.2019.-30.06.2019."/>
      </sharedItems>
    </cacheField>
    <cacheField name="Vienības " numFmtId="0">
      <sharedItems containsBlank="1"/>
    </cacheField>
    <cacheField name="Vērtība" numFmtId="4">
      <sharedItems containsString="0" containsBlank="1" containsNumber="1" minValue="0" maxValue="152205.13"/>
    </cacheField>
    <cacheField name="Pārvadājumu veids" numFmtId="0">
      <sharedItems/>
    </cacheField>
    <cacheField name="Pilsēta" numFmtId="0">
      <sharedItems/>
    </cacheField>
    <cacheField name="Periods " numFmtId="0">
      <sharedItems count="4">
        <s v="09.03.2021.- 31.03.2021."/>
        <s v="Aprīlis"/>
        <s v="Maijs"/>
        <s v="Jūnijs"/>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42">
  <r>
    <x v="0"/>
    <m/>
    <n v="0"/>
    <s v="Autobuss"/>
    <s v="Ventspils"/>
    <x v="0"/>
  </r>
  <r>
    <x v="1"/>
    <s v="skaits"/>
    <n v="30"/>
    <s v="Autobuss"/>
    <s v="Ventspils"/>
    <x v="0"/>
  </r>
  <r>
    <x v="2"/>
    <s v="skaits"/>
    <n v="8831"/>
    <s v="Autobuss"/>
    <s v="Ventspils"/>
    <x v="0"/>
  </r>
  <r>
    <x v="3"/>
    <s v="skaits"/>
    <n v="8831"/>
    <s v="Autobuss"/>
    <s v="Ventspils"/>
    <x v="0"/>
  </r>
  <r>
    <x v="4"/>
    <s v="skaits"/>
    <m/>
    <s v="Autobuss"/>
    <s v="Ventspils"/>
    <x v="0"/>
  </r>
  <r>
    <x v="5"/>
    <s v="skaits"/>
    <m/>
    <s v="Autobuss"/>
    <s v="Ventspils"/>
    <x v="0"/>
  </r>
  <r>
    <x v="6"/>
    <s v="km"/>
    <n v="93944.77"/>
    <s v="Autobuss"/>
    <s v="Ventspils"/>
    <x v="0"/>
  </r>
  <r>
    <x v="7"/>
    <s v="km"/>
    <n v="93944.77"/>
    <s v="Autobuss"/>
    <s v="Ventspils"/>
    <x v="0"/>
  </r>
  <r>
    <x v="8"/>
    <s v="km"/>
    <m/>
    <s v="Autobuss"/>
    <s v="Ventspils"/>
    <x v="0"/>
  </r>
  <r>
    <x v="9"/>
    <s v="km"/>
    <m/>
    <s v="Autobuss"/>
    <s v="Ventspils"/>
    <x v="0"/>
  </r>
  <r>
    <x v="10"/>
    <s v="EUR/km"/>
    <n v="1.1121300000000001"/>
    <s v="Autobuss"/>
    <s v="Ventspils"/>
    <x v="0"/>
  </r>
  <r>
    <x v="11"/>
    <m/>
    <n v="332.85999999999996"/>
    <s v="Autobuss"/>
    <s v="Ventspils"/>
    <x v="0"/>
  </r>
  <r>
    <x v="12"/>
    <s v="skaits (jānorāda atbilstoša mērvienība gab., litri, reižu skaits, darba stundas u.c.) "/>
    <m/>
    <s v="Autobuss"/>
    <s v="Ventspils"/>
    <x v="0"/>
  </r>
  <r>
    <x v="13"/>
    <s v="litri"/>
    <n v="0.71000000000000008"/>
    <s v="Autobuss"/>
    <s v="Ventspils"/>
    <x v="0"/>
  </r>
  <r>
    <x v="14"/>
    <s v="gabali"/>
    <n v="696"/>
    <s v="Autobuss"/>
    <s v="Ventspils"/>
    <x v="0"/>
  </r>
  <r>
    <x v="15"/>
    <m/>
    <m/>
    <s v="Autobuss"/>
    <s v="Ventspils"/>
    <x v="0"/>
  </r>
  <r>
    <x v="16"/>
    <m/>
    <m/>
    <s v="Autobuss"/>
    <s v="Ventspils"/>
    <x v="0"/>
  </r>
  <r>
    <x v="17"/>
    <s v="stundas"/>
    <n v="615.36"/>
    <s v="Autobuss"/>
    <s v="Ventspils"/>
    <x v="0"/>
  </r>
  <r>
    <x v="18"/>
    <m/>
    <m/>
    <s v="Autobuss"/>
    <s v="Ventspils"/>
    <x v="0"/>
  </r>
  <r>
    <x v="19"/>
    <s v="gabali/ mēnesī"/>
    <n v="3"/>
    <s v="Autobuss"/>
    <s v="Ventspils"/>
    <x v="0"/>
  </r>
  <r>
    <x v="20"/>
    <s v="gabali"/>
    <n v="1"/>
    <s v="Autobuss"/>
    <s v="Ventspils"/>
    <x v="0"/>
  </r>
  <r>
    <x v="21"/>
    <s v="EUR/vien bez PVN"/>
    <m/>
    <s v="Autobuss"/>
    <s v="Ventspils"/>
    <x v="0"/>
  </r>
  <r>
    <x v="13"/>
    <s v="EUR/vien bez PVN"/>
    <n v="12.52112676056338"/>
    <s v="Autobuss"/>
    <s v="Ventspils"/>
    <x v="0"/>
  </r>
  <r>
    <x v="14"/>
    <s v="EUR/vien bez PVN"/>
    <n v="0.10738505747126437"/>
    <s v="Autobuss"/>
    <s v="Ventspils"/>
    <x v="0"/>
  </r>
  <r>
    <x v="15"/>
    <s v="EUR/vien bez PVN"/>
    <m/>
    <s v="Autobuss"/>
    <s v="Ventspils"/>
    <x v="0"/>
  </r>
  <r>
    <x v="22"/>
    <s v="EUR/vien bez PVN"/>
    <m/>
    <s v="Autobuss"/>
    <s v="Ventspils"/>
    <x v="0"/>
  </r>
  <r>
    <x v="23"/>
    <s v="EUR/vien bez PVN"/>
    <n v="0.37077483099323971"/>
    <s v="Autobuss"/>
    <s v="Ventspils"/>
    <x v="0"/>
  </r>
  <r>
    <x v="18"/>
    <s v="EUR/vien bez PVN"/>
    <m/>
    <s v="Autobuss"/>
    <s v="Ventspils"/>
    <x v="0"/>
  </r>
  <r>
    <x v="19"/>
    <s v="EUR/vien bez PVN"/>
    <n v="2.8266666666666667"/>
    <s v="Autobuss"/>
    <s v="Ventspils"/>
    <x v="0"/>
  </r>
  <r>
    <x v="20"/>
    <s v="EUR/vien bez PVN"/>
    <n v="12.59"/>
    <s v="Autobuss"/>
    <s v="Ventspils"/>
    <x v="0"/>
  </r>
  <r>
    <x v="24"/>
    <m/>
    <n v="29326.373993748839"/>
    <s v="Autobuss"/>
    <s v="Ventspils"/>
    <x v="0"/>
  </r>
  <r>
    <x v="25"/>
    <s v="EUR bez PVN"/>
    <n v="37266.44"/>
    <s v="Autobuss"/>
    <s v="Ventspils"/>
    <x v="0"/>
  </r>
  <r>
    <x v="26"/>
    <s v="km"/>
    <n v="93944.77"/>
    <s v="Autobuss"/>
    <s v="Ventspils"/>
    <x v="0"/>
  </r>
  <r>
    <x v="27"/>
    <s v="EUR bez PVN"/>
    <n v="77661.729999999981"/>
    <s v="Autobuss"/>
    <s v="Ventspils"/>
    <x v="0"/>
  </r>
  <r>
    <x v="28"/>
    <s v="km"/>
    <n v="109560.06999999993"/>
    <s v="Autobuss"/>
    <s v="Ventspils"/>
    <x v="0"/>
  </r>
  <r>
    <x v="0"/>
    <m/>
    <n v="352.45252800000344"/>
    <s v="Autobuss"/>
    <s v="Ventspils"/>
    <x v="1"/>
  </r>
  <r>
    <x v="1"/>
    <s v="skaits"/>
    <n v="31"/>
    <s v="Autobuss"/>
    <s v="Ventspils"/>
    <x v="1"/>
  </r>
  <r>
    <x v="2"/>
    <s v="skaits"/>
    <n v="11329"/>
    <s v="Autobuss"/>
    <s v="Ventspils"/>
    <x v="1"/>
  </r>
  <r>
    <x v="3"/>
    <s v="skaits"/>
    <n v="11335"/>
    <s v="Autobuss"/>
    <s v="Ventspils"/>
    <x v="1"/>
  </r>
  <r>
    <x v="4"/>
    <s v="skaits"/>
    <n v="6"/>
    <s v="Autobuss"/>
    <s v="Ventspils"/>
    <x v="1"/>
  </r>
  <r>
    <x v="5"/>
    <s v="skaits"/>
    <m/>
    <s v="Autobuss"/>
    <s v="Ventspils"/>
    <x v="1"/>
  </r>
  <r>
    <x v="6"/>
    <s v="km"/>
    <n v="122059.75"/>
    <s v="Autobuss"/>
    <s v="Ventspils"/>
    <x v="1"/>
  </r>
  <r>
    <x v="7"/>
    <s v="km"/>
    <n v="122358.55"/>
    <s v="Autobuss"/>
    <s v="Ventspils"/>
    <x v="1"/>
  </r>
  <r>
    <x v="8"/>
    <s v="km"/>
    <n v="298.79999999999995"/>
    <s v="Autobuss"/>
    <s v="Ventspils"/>
    <x v="1"/>
  </r>
  <r>
    <x v="9"/>
    <s v="km"/>
    <m/>
    <s v="Autobuss"/>
    <s v="Ventspils"/>
    <x v="1"/>
  </r>
  <r>
    <x v="10"/>
    <s v="EUR/km"/>
    <n v="1.1795599999999999"/>
    <s v="Autobuss"/>
    <s v="Ventspils"/>
    <x v="1"/>
  </r>
  <r>
    <x v="11"/>
    <m/>
    <n v="437.01999999999992"/>
    <s v="Autobuss"/>
    <s v="Ventspils"/>
    <x v="1"/>
  </r>
  <r>
    <x v="12"/>
    <s v="skaits (jānorāda atbilstoša mērvienība gab., litri, reižu skaits, darba stundas u.c.) "/>
    <m/>
    <s v="Autobuss"/>
    <s v="Ventspils"/>
    <x v="1"/>
  </r>
  <r>
    <x v="13"/>
    <m/>
    <m/>
    <s v="Autobuss"/>
    <s v="Ventspils"/>
    <x v="1"/>
  </r>
  <r>
    <x v="14"/>
    <s v="gabali"/>
    <n v="738"/>
    <s v="Autobuss"/>
    <s v="Ventspils"/>
    <x v="1"/>
  </r>
  <r>
    <x v="15"/>
    <m/>
    <m/>
    <s v="Autobuss"/>
    <s v="Ventspils"/>
    <x v="1"/>
  </r>
  <r>
    <x v="16"/>
    <m/>
    <m/>
    <s v="Autobuss"/>
    <s v="Ventspils"/>
    <x v="1"/>
  </r>
  <r>
    <x v="17"/>
    <s v="stundas"/>
    <n v="566.47"/>
    <s v="Autobuss"/>
    <s v="Ventspils"/>
    <x v="1"/>
  </r>
  <r>
    <x v="18"/>
    <m/>
    <m/>
    <s v="Autobuss"/>
    <s v="Ventspils"/>
    <x v="1"/>
  </r>
  <r>
    <x v="19"/>
    <s v="gabali/ mēnesī"/>
    <n v="3"/>
    <s v="Autobuss"/>
    <s v="Ventspils"/>
    <x v="1"/>
  </r>
  <r>
    <x v="20"/>
    <s v="gabali"/>
    <n v="2"/>
    <s v="Autobuss"/>
    <s v="Ventspils"/>
    <x v="1"/>
  </r>
  <r>
    <x v="21"/>
    <s v="EUR/vien bez PVN"/>
    <m/>
    <s v="Autobuss"/>
    <s v="Ventspils"/>
    <x v="1"/>
  </r>
  <r>
    <x v="13"/>
    <s v="EUR/vien bez PVN"/>
    <m/>
    <s v="Autobuss"/>
    <s v="Ventspils"/>
    <x v="1"/>
  </r>
  <r>
    <x v="14"/>
    <s v="EUR/vien bez PVN"/>
    <n v="0.27155826558265578"/>
    <s v="Autobuss"/>
    <s v="Ventspils"/>
    <x v="1"/>
  </r>
  <r>
    <x v="15"/>
    <s v="EUR/vien bez PVN"/>
    <m/>
    <s v="Autobuss"/>
    <s v="Ventspils"/>
    <x v="1"/>
  </r>
  <r>
    <x v="22"/>
    <s v="EUR/vien bez PVN"/>
    <m/>
    <s v="Autobuss"/>
    <s v="Ventspils"/>
    <x v="1"/>
  </r>
  <r>
    <x v="23"/>
    <s v="EUR/vien bez PVN"/>
    <n v="0.37076985542041058"/>
    <s v="Autobuss"/>
    <s v="Ventspils"/>
    <x v="1"/>
  </r>
  <r>
    <x v="18"/>
    <s v="EUR/vien bez PVN"/>
    <m/>
    <s v="Autobuss"/>
    <s v="Ventspils"/>
    <x v="1"/>
  </r>
  <r>
    <x v="19"/>
    <s v="EUR/vien bez PVN"/>
    <n v="1.9833333333333334"/>
    <s v="Autobuss"/>
    <s v="Ventspils"/>
    <x v="1"/>
  </r>
  <r>
    <x v="20"/>
    <s v="EUR/vien bez PVN"/>
    <n v="10.315"/>
    <s v="Autobuss"/>
    <s v="Ventspils"/>
    <x v="1"/>
  </r>
  <r>
    <x v="24"/>
    <m/>
    <n v="29054.721574709733"/>
    <s v="Autobuss"/>
    <s v="Ventspils"/>
    <x v="1"/>
  </r>
  <r>
    <x v="29"/>
    <s v="EUR bez PVN"/>
    <n v="56219.569999999992"/>
    <s v="Autobuss"/>
    <s v="Ventspils"/>
    <x v="1"/>
  </r>
  <r>
    <x v="30"/>
    <s v="km"/>
    <n v="122358.55"/>
    <s v="Autobuss"/>
    <s v="Ventspils"/>
    <x v="1"/>
  </r>
  <r>
    <x v="31"/>
    <s v="EUR bez PVN"/>
    <n v="101715.42000000001"/>
    <s v="Autobuss"/>
    <s v="Ventspils"/>
    <x v="1"/>
  </r>
  <r>
    <x v="32"/>
    <s v="km"/>
    <n v="145949.63"/>
    <s v="Autobuss"/>
    <s v="Ventspils"/>
    <x v="1"/>
  </r>
  <r>
    <x v="0"/>
    <m/>
    <n v="1049.8534634804198"/>
    <s v="Autobuss"/>
    <s v="Ventspils"/>
    <x v="2"/>
  </r>
  <r>
    <x v="1"/>
    <s v="skaits"/>
    <n v="34"/>
    <s v="Autobuss"/>
    <s v="Ventspils"/>
    <x v="2"/>
  </r>
  <r>
    <x v="2"/>
    <s v="skaits"/>
    <n v="11634"/>
    <s v="Autobuss"/>
    <s v="Ventspils"/>
    <x v="2"/>
  </r>
  <r>
    <x v="3"/>
    <s v="skaits"/>
    <n v="11654"/>
    <s v="Autobuss"/>
    <s v="Ventspils"/>
    <x v="2"/>
  </r>
  <r>
    <x v="4"/>
    <s v="skaits"/>
    <n v="20"/>
    <s v="Autobuss"/>
    <s v="Ventspils"/>
    <x v="2"/>
  </r>
  <r>
    <x v="5"/>
    <s v="skaits"/>
    <m/>
    <s v="Autobuss"/>
    <s v="Ventspils"/>
    <x v="2"/>
  </r>
  <r>
    <x v="6"/>
    <s v="km"/>
    <n v="125149.6"/>
    <s v="Autobuss"/>
    <s v="Ventspils"/>
    <x v="2"/>
  </r>
  <r>
    <x v="7"/>
    <s v="km"/>
    <n v="126145.60000000001"/>
    <s v="Autobuss"/>
    <s v="Ventspils"/>
    <x v="2"/>
  </r>
  <r>
    <x v="8"/>
    <s v="km"/>
    <n v="996"/>
    <s v="Autobuss"/>
    <s v="Ventspils"/>
    <x v="2"/>
  </r>
  <r>
    <x v="9"/>
    <s v="km"/>
    <m/>
    <s v="Autobuss"/>
    <s v="Ventspils"/>
    <x v="2"/>
  </r>
  <r>
    <x v="10"/>
    <s v="EUR/km"/>
    <n v="1.0540697424502208"/>
    <s v="Autobuss"/>
    <s v="Ventspils"/>
    <x v="2"/>
  </r>
  <r>
    <x v="11"/>
    <m/>
    <n v="366.55959999999999"/>
    <s v="Autobuss"/>
    <s v="Ventspils"/>
    <x v="2"/>
  </r>
  <r>
    <x v="12"/>
    <s v="skaits (jānorāda atbilstoša mērvienība gab., litri, reižu skaits, darba stundas u.c.) "/>
    <m/>
    <s v="Autobuss"/>
    <s v="Ventspils"/>
    <x v="2"/>
  </r>
  <r>
    <x v="13"/>
    <m/>
    <n v="22.2"/>
    <s v="Autobuss"/>
    <s v="Ventspils"/>
    <x v="2"/>
  </r>
  <r>
    <x v="14"/>
    <s v="gabali"/>
    <n v="665"/>
    <s v="Autobuss"/>
    <s v="Ventspils"/>
    <x v="2"/>
  </r>
  <r>
    <x v="15"/>
    <m/>
    <m/>
    <s v="Autobuss"/>
    <s v="Ventspils"/>
    <x v="2"/>
  </r>
  <r>
    <x v="16"/>
    <m/>
    <m/>
    <s v="Autobuss"/>
    <s v="Ventspils"/>
    <x v="2"/>
  </r>
  <r>
    <x v="17"/>
    <s v="stundas"/>
    <n v="531.38"/>
    <s v="Autobuss"/>
    <s v="Ventspils"/>
    <x v="2"/>
  </r>
  <r>
    <x v="18"/>
    <m/>
    <m/>
    <s v="Autobuss"/>
    <s v="Ventspils"/>
    <x v="2"/>
  </r>
  <r>
    <x v="19"/>
    <s v="gabali/ mēnesī"/>
    <n v="3"/>
    <s v="Autobuss"/>
    <s v="Ventspils"/>
    <x v="2"/>
  </r>
  <r>
    <x v="20"/>
    <s v="gabali"/>
    <n v="2"/>
    <s v="Autobuss"/>
    <s v="Ventspils"/>
    <x v="2"/>
  </r>
  <r>
    <x v="21"/>
    <s v="EUR/vien bez PVN"/>
    <m/>
    <s v="Autobuss"/>
    <s v="Ventspils"/>
    <x v="2"/>
  </r>
  <r>
    <x v="13"/>
    <s v="EUR/vien bez PVN"/>
    <n v="3.5950000000000002"/>
    <s v="Autobuss"/>
    <s v="Ventspils"/>
    <x v="2"/>
  </r>
  <r>
    <x v="14"/>
    <s v="EUR/vien bez PVN"/>
    <n v="0.1"/>
    <s v="Autobuss"/>
    <s v="Ventspils"/>
    <x v="2"/>
  </r>
  <r>
    <x v="15"/>
    <s v="EUR/vien bez PVN"/>
    <m/>
    <s v="Autobuss"/>
    <s v="Ventspils"/>
    <x v="2"/>
  </r>
  <r>
    <x v="22"/>
    <s v="EUR/vien bez PVN"/>
    <m/>
    <s v="Autobuss"/>
    <s v="Ventspils"/>
    <x v="2"/>
  </r>
  <r>
    <x v="23"/>
    <s v="EUR/vien bez PVN"/>
    <n v="0.37"/>
    <s v="Autobuss"/>
    <s v="Ventspils"/>
    <x v="2"/>
  </r>
  <r>
    <x v="18"/>
    <s v="EUR/vien bez PVN"/>
    <m/>
    <s v="Autobuss"/>
    <s v="Ventspils"/>
    <x v="2"/>
  </r>
  <r>
    <x v="19"/>
    <s v="EUR/vien bez PVN"/>
    <n v="2.56"/>
    <s v="Autobuss"/>
    <s v="Ventspils"/>
    <x v="2"/>
  </r>
  <r>
    <x v="20"/>
    <s v="EUR/vien bez PVN"/>
    <n v="7.98"/>
    <s v="Autobuss"/>
    <s v="Ventspils"/>
    <x v="2"/>
  </r>
  <r>
    <x v="24"/>
    <m/>
    <n v="30798.142925118067"/>
    <s v="Autobuss"/>
    <s v="Ventspils"/>
    <x v="2"/>
  </r>
  <r>
    <x v="33"/>
    <s v="EUR bez PVN"/>
    <n v="54977.990000000005"/>
    <s v="Autobuss"/>
    <s v="Ventspils"/>
    <x v="2"/>
  </r>
  <r>
    <x v="34"/>
    <s v="km"/>
    <n v="126145.60000000001"/>
    <s v="Autobuss"/>
    <s v="Ventspils"/>
    <x v="2"/>
  </r>
  <r>
    <x v="35"/>
    <s v="EUR bez PVN"/>
    <n v="103059.94999999998"/>
    <s v="Autobuss"/>
    <s v="Ventspils"/>
    <x v="2"/>
  </r>
  <r>
    <x v="36"/>
    <s v="km"/>
    <n v="151563.82999999999"/>
    <s v="Autobuss"/>
    <s v="Ventspils"/>
    <x v="2"/>
  </r>
  <r>
    <x v="0"/>
    <m/>
    <n v="6880.9907598392583"/>
    <s v="Autobuss"/>
    <s v="Ventspils"/>
    <x v="3"/>
  </r>
  <r>
    <x v="1"/>
    <s v="skaits"/>
    <n v="33"/>
    <s v="Autobuss"/>
    <s v="Ventspils"/>
    <x v="3"/>
  </r>
  <r>
    <x v="2"/>
    <s v="skaits"/>
    <n v="11722"/>
    <s v="Autobuss"/>
    <s v="Ventspils"/>
    <x v="3"/>
  </r>
  <r>
    <x v="3"/>
    <s v="skaits"/>
    <n v="12294"/>
    <s v="Autobuss"/>
    <s v="Ventspils"/>
    <x v="3"/>
  </r>
  <r>
    <x v="4"/>
    <s v="skaits"/>
    <n v="572"/>
    <s v="Autobuss"/>
    <s v="Ventspils"/>
    <x v="3"/>
  </r>
  <r>
    <x v="5"/>
    <s v="skaits"/>
    <m/>
    <s v="Autobuss"/>
    <s v="Ventspils"/>
    <x v="3"/>
  </r>
  <r>
    <x v="6"/>
    <s v="km"/>
    <n v="126601.97000000002"/>
    <s v="Autobuss"/>
    <s v="Ventspils"/>
    <x v="3"/>
  </r>
  <r>
    <x v="7"/>
    <s v="km"/>
    <n v="132379.17000000001"/>
    <s v="Autobuss"/>
    <s v="Ventspils"/>
    <x v="3"/>
  </r>
  <r>
    <x v="8"/>
    <s v="km"/>
    <n v="5777.2"/>
    <s v="Autobuss"/>
    <s v="Ventspils"/>
    <x v="3"/>
  </r>
  <r>
    <x v="9"/>
    <s v="km"/>
    <m/>
    <s v="Autobuss"/>
    <s v="Ventspils"/>
    <x v="3"/>
  </r>
  <r>
    <x v="10"/>
    <s v="EUR/km"/>
    <n v="1.1910598144151598"/>
    <s v="Autobuss"/>
    <s v="Ventspils"/>
    <x v="3"/>
  </r>
  <r>
    <x v="11"/>
    <m/>
    <n v="506.084"/>
    <s v="Autobuss"/>
    <s v="Ventspils"/>
    <x v="3"/>
  </r>
  <r>
    <x v="12"/>
    <s v="skaits (jānorāda atbilstoša mērvienība gab., litri, reižu skaits, darba stundas u.c.) "/>
    <m/>
    <s v="Autobuss"/>
    <s v="Ventspils"/>
    <x v="3"/>
  </r>
  <r>
    <x v="13"/>
    <s v="litri"/>
    <n v="11.84"/>
    <s v="Autobuss"/>
    <s v="Ventspils"/>
    <x v="3"/>
  </r>
  <r>
    <x v="14"/>
    <s v="gabali"/>
    <n v="465"/>
    <s v="Autobuss"/>
    <s v="Ventspils"/>
    <x v="3"/>
  </r>
  <r>
    <x v="15"/>
    <s v="gabali"/>
    <n v="3"/>
    <s v="Autobuss"/>
    <s v="Ventspils"/>
    <x v="3"/>
  </r>
  <r>
    <x v="16"/>
    <m/>
    <m/>
    <s v="Autobuss"/>
    <s v="Ventspils"/>
    <x v="3"/>
  </r>
  <r>
    <x v="17"/>
    <s v="stundas"/>
    <n v="652.79999999999995"/>
    <s v="Autobuss"/>
    <s v="Ventspils"/>
    <x v="3"/>
  </r>
  <r>
    <x v="18"/>
    <m/>
    <m/>
    <s v="Autobuss"/>
    <s v="Ventspils"/>
    <x v="3"/>
  </r>
  <r>
    <x v="19"/>
    <s v="gabali/ mēnesī"/>
    <n v="3"/>
    <s v="Autobuss"/>
    <s v="Ventspils"/>
    <x v="3"/>
  </r>
  <r>
    <x v="37"/>
    <s v="gabali"/>
    <n v="6"/>
    <s v="Autobuss"/>
    <s v="Ventspils"/>
    <x v="3"/>
  </r>
  <r>
    <x v="20"/>
    <s v="gabali"/>
    <n v="1"/>
    <s v="Autobuss"/>
    <s v="Ventspils"/>
    <x v="3"/>
  </r>
  <r>
    <x v="21"/>
    <s v="EUR/vien bez PVN"/>
    <m/>
    <s v="Autobuss"/>
    <s v="Ventspils"/>
    <x v="3"/>
  </r>
  <r>
    <x v="13"/>
    <s v="EUR/vien bez PVN"/>
    <n v="14.2"/>
    <s v="Autobuss"/>
    <s v="Ventspils"/>
    <x v="3"/>
  </r>
  <r>
    <x v="14"/>
    <s v="EUR/vien bez PVN"/>
    <n v="0.1"/>
    <s v="Autobuss"/>
    <s v="Ventspils"/>
    <x v="3"/>
  </r>
  <r>
    <x v="15"/>
    <s v="EUR/vien bez PVN"/>
    <n v="1.75"/>
    <s v="Autobuss"/>
    <s v="Ventspils"/>
    <x v="3"/>
  </r>
  <r>
    <x v="22"/>
    <s v="EUR/vien bez PVN"/>
    <m/>
    <s v="Autobuss"/>
    <s v="Ventspils"/>
    <x v="3"/>
  </r>
  <r>
    <x v="23"/>
    <s v="EUR/vien bez PVN"/>
    <n v="0.37"/>
    <s v="Autobuss"/>
    <s v="Ventspils"/>
    <x v="3"/>
  </r>
  <r>
    <x v="18"/>
    <s v="EUR/vien bez PVN"/>
    <m/>
    <s v="Autobuss"/>
    <s v="Ventspils"/>
    <x v="3"/>
  </r>
  <r>
    <x v="19"/>
    <s v="EUR/vien bez PVN"/>
    <n v="2.1666666666666665"/>
    <s v="Autobuss"/>
    <s v="Ventspils"/>
    <x v="3"/>
  </r>
  <r>
    <x v="37"/>
    <s v="EUR/vien bez PVN"/>
    <n v="4.2699999999999996"/>
    <s v="Autobuss"/>
    <s v="Ventspils"/>
    <x v="3"/>
  </r>
  <r>
    <x v="20"/>
    <s v="EUR/vien bez PVN"/>
    <n v="12.55"/>
    <s v="Autobuss"/>
    <s v="Ventspils"/>
    <x v="3"/>
  </r>
  <r>
    <x v="24"/>
    <m/>
    <n v="21227.607595879977"/>
    <s v="Autobuss"/>
    <s v="Ventspils"/>
    <x v="3"/>
  </r>
  <r>
    <x v="38"/>
    <s v="EUR bez PVN"/>
    <n v="54919.63"/>
    <s v="Autobuss"/>
    <s v="Ventspils"/>
    <x v="3"/>
  </r>
  <r>
    <x v="39"/>
    <s v="km"/>
    <n v="132379.17000000001"/>
    <s v="Autobuss"/>
    <s v="Ventspils"/>
    <x v="3"/>
  </r>
  <r>
    <x v="40"/>
    <s v="EUR bez PVN"/>
    <n v="87551.54"/>
    <s v="Autobuss"/>
    <s v="Ventspils"/>
    <x v="3"/>
  </r>
  <r>
    <x v="41"/>
    <s v="km"/>
    <n v="152205.13"/>
    <s v="Autobuss"/>
    <s v="Ventspils"/>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3D77716-3512-4EEE-9CC9-3884CC503496}" name="PivotTable1" cacheId="3" applyNumberFormats="0" applyBorderFormats="0" applyFontFormats="0" applyPatternFormats="0" applyAlignmentFormats="0" applyWidthHeightFormats="1" dataCaption="Values" updatedVersion="7" minRefreshableVersion="3" useAutoFormatting="1" itemPrintTitles="1" createdVersion="7" indent="0" outline="1" outlineData="1" multipleFieldFilters="0">
  <location ref="A3:F8" firstHeaderRow="1" firstDataRow="2" firstDataCol="1"/>
  <pivotFields count="6">
    <pivotField axis="axisRow" showAll="0">
      <items count="43">
        <item h="1" x="29"/>
        <item h="1" x="33"/>
        <item h="1" x="25"/>
        <item h="1" x="31"/>
        <item h="1" x="35"/>
        <item h="1" x="27"/>
        <item h="1" x="32"/>
        <item h="1" x="36"/>
        <item h="1" x="28"/>
        <item h="1" x="10"/>
        <item h="1" x="21"/>
        <item h="1" x="30"/>
        <item h="1" x="34"/>
        <item h="1" x="26"/>
        <item h="1" x="7"/>
        <item h="1" x="6"/>
        <item h="1" x="3"/>
        <item h="1" x="2"/>
        <item h="1" x="12"/>
        <item x="0"/>
        <item x="11"/>
        <item x="24"/>
        <item h="1" x="18"/>
        <item h="1" x="13"/>
        <item h="1" x="1"/>
        <item h="1" x="20"/>
        <item h="1" x="19"/>
        <item h="1" x="14"/>
        <item h="1" x="15"/>
        <item h="1" x="5"/>
        <item h="1" x="9"/>
        <item h="1" x="4"/>
        <item h="1" x="8"/>
        <item h="1" x="16"/>
        <item h="1" x="22"/>
        <item h="1" x="17"/>
        <item h="1" x="23"/>
        <item h="1" x="37"/>
        <item h="1" x="38"/>
        <item h="1" x="39"/>
        <item h="1" x="40"/>
        <item h="1" x="41"/>
        <item t="default"/>
      </items>
    </pivotField>
    <pivotField showAll="0"/>
    <pivotField dataField="1" showAll="0"/>
    <pivotField showAll="0"/>
    <pivotField showAll="0"/>
    <pivotField axis="axisCol" showAll="0">
      <items count="5">
        <item x="0"/>
        <item x="1"/>
        <item x="2"/>
        <item x="3"/>
        <item t="default"/>
      </items>
    </pivotField>
  </pivotFields>
  <rowFields count="1">
    <field x="0"/>
  </rowFields>
  <rowItems count="4">
    <i>
      <x v="19"/>
    </i>
    <i>
      <x v="20"/>
    </i>
    <i>
      <x v="21"/>
    </i>
    <i t="grand">
      <x/>
    </i>
  </rowItems>
  <colFields count="1">
    <field x="5"/>
  </colFields>
  <colItems count="5">
    <i>
      <x/>
    </i>
    <i>
      <x v="1"/>
    </i>
    <i>
      <x v="2"/>
    </i>
    <i>
      <x v="3"/>
    </i>
    <i t="grand">
      <x/>
    </i>
  </colItems>
  <dataFields count="1">
    <dataField name="Sum of Vērtība" fld="2" baseField="0" baseItem="0" numFmtId="4"/>
  </dataFields>
  <formats count="10">
    <format dxfId="9">
      <pivotArea dataOnly="0" labelOnly="1" fieldPosition="0">
        <references count="1">
          <reference field="0" count="1">
            <x v="20"/>
          </reference>
        </references>
      </pivotArea>
    </format>
    <format dxfId="8">
      <pivotArea outline="0" collapsedLevelsAreSubtotals="1" fieldPosition="0"/>
    </format>
    <format dxfId="7">
      <pivotArea dataOnly="0" labelOnly="1" fieldPosition="0">
        <references count="1">
          <reference field="0" count="0"/>
        </references>
      </pivotArea>
    </format>
    <format dxfId="6">
      <pivotArea field="5" type="button" dataOnly="0" labelOnly="1" outline="0" axis="axisCol" fieldPosition="0"/>
    </format>
    <format dxfId="5">
      <pivotArea type="topRight" dataOnly="0" labelOnly="1" outline="0" fieldPosition="0"/>
    </format>
    <format dxfId="4">
      <pivotArea dataOnly="0" labelOnly="1" fieldPosition="0">
        <references count="1">
          <reference field="5" count="0"/>
        </references>
      </pivotArea>
    </format>
    <format dxfId="3">
      <pivotArea dataOnly="0" labelOnly="1" grandCol="1" outline="0" fieldPosition="0"/>
    </format>
    <format dxfId="2">
      <pivotArea collapsedLevelsAreSubtotals="1" fieldPosition="0">
        <references count="1">
          <reference field="0" count="0"/>
        </references>
      </pivotArea>
    </format>
    <format dxfId="1">
      <pivotArea dataOnly="0" labelOnly="1" fieldPosition="0">
        <references count="1">
          <reference field="0" count="0"/>
        </references>
      </pivotArea>
    </format>
    <format dxfId="0">
      <pivotArea field="0" grandCol="1" collapsedLevelsAreSubtotals="1" axis="axisRow" fieldPosition="0">
        <references count="1">
          <reference field="0"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51240-E3E0-461C-8971-6A09DE3C358C}">
  <sheetPr>
    <pageSetUpPr fitToPage="1"/>
  </sheetPr>
  <dimension ref="A1:H61"/>
  <sheetViews>
    <sheetView workbookViewId="0">
      <selection activeCell="H1" sqref="H1:H1048576"/>
    </sheetView>
  </sheetViews>
  <sheetFormatPr defaultColWidth="9.1796875" defaultRowHeight="14" x14ac:dyDescent="0.3"/>
  <cols>
    <col min="1" max="1" width="12.54296875" style="1" customWidth="1"/>
    <col min="2" max="2" width="46.1796875" style="1" customWidth="1"/>
    <col min="3" max="3" width="11.453125" style="1" customWidth="1"/>
    <col min="4" max="4" width="15.54296875" style="1" customWidth="1"/>
    <col min="5" max="5" width="11.1796875" style="1" customWidth="1"/>
    <col min="6" max="6" width="11.54296875" style="1" customWidth="1"/>
    <col min="7" max="7" width="12.81640625" style="1" customWidth="1"/>
    <col min="8" max="8" width="0" style="1" hidden="1" customWidth="1"/>
    <col min="9" max="16384" width="9.1796875" style="1"/>
  </cols>
  <sheetData>
    <row r="1" spans="1:8" ht="42" customHeight="1" x14ac:dyDescent="0.35">
      <c r="A1" s="248" t="s">
        <v>0</v>
      </c>
      <c r="B1" s="248"/>
      <c r="C1" s="248"/>
      <c r="D1" s="248"/>
      <c r="E1" s="248"/>
      <c r="F1" s="248"/>
      <c r="G1" s="248"/>
    </row>
    <row r="2" spans="1:8" s="6" customFormat="1" ht="26.5" thickBot="1" x14ac:dyDescent="0.35">
      <c r="A2" s="2" t="s">
        <v>1</v>
      </c>
      <c r="B2" s="3"/>
      <c r="C2" s="4" t="s">
        <v>2</v>
      </c>
      <c r="D2" s="4" t="s">
        <v>3</v>
      </c>
      <c r="E2" s="5" t="s">
        <v>4</v>
      </c>
      <c r="F2" s="4" t="s">
        <v>5</v>
      </c>
      <c r="G2" s="4" t="s">
        <v>6</v>
      </c>
    </row>
    <row r="3" spans="1:8" s="6" customFormat="1" ht="14.5" thickBot="1" x14ac:dyDescent="0.35">
      <c r="A3" s="7" t="s">
        <v>7</v>
      </c>
      <c r="B3" s="8" t="s">
        <v>8</v>
      </c>
      <c r="C3" s="9"/>
      <c r="D3" s="10">
        <f>(D10-D9)*D13</f>
        <v>0</v>
      </c>
      <c r="E3" s="10">
        <f t="shared" ref="E3:G3" si="0">(E10-E9)*E13</f>
        <v>0</v>
      </c>
      <c r="F3" s="10">
        <f t="shared" si="0"/>
        <v>0</v>
      </c>
      <c r="G3" s="11">
        <f t="shared" si="0"/>
        <v>0</v>
      </c>
    </row>
    <row r="4" spans="1:8" x14ac:dyDescent="0.3">
      <c r="A4" s="249" t="s">
        <v>9</v>
      </c>
      <c r="B4" s="12" t="s">
        <v>10</v>
      </c>
      <c r="C4" s="252" t="s">
        <v>11</v>
      </c>
      <c r="D4" s="13">
        <v>30</v>
      </c>
      <c r="E4" s="14"/>
      <c r="F4" s="13"/>
      <c r="G4" s="15"/>
    </row>
    <row r="5" spans="1:8" ht="15" customHeight="1" x14ac:dyDescent="0.3">
      <c r="A5" s="250"/>
      <c r="B5" s="16" t="s">
        <v>12</v>
      </c>
      <c r="C5" s="252"/>
      <c r="D5" s="17">
        <v>8831</v>
      </c>
      <c r="E5" s="17"/>
      <c r="F5" s="17"/>
      <c r="G5" s="18"/>
    </row>
    <row r="6" spans="1:8" x14ac:dyDescent="0.3">
      <c r="A6" s="250"/>
      <c r="B6" s="16" t="s">
        <v>13</v>
      </c>
      <c r="C6" s="252"/>
      <c r="D6" s="17">
        <f>D5+D7-D8</f>
        <v>8831</v>
      </c>
      <c r="E6" s="17">
        <f t="shared" ref="E6:G6" si="1">E5+E7-E8</f>
        <v>0</v>
      </c>
      <c r="F6" s="17">
        <f t="shared" si="1"/>
        <v>0</v>
      </c>
      <c r="G6" s="18">
        <f t="shared" si="1"/>
        <v>0</v>
      </c>
    </row>
    <row r="7" spans="1:8" x14ac:dyDescent="0.3">
      <c r="A7" s="250"/>
      <c r="B7" s="19" t="s">
        <v>14</v>
      </c>
      <c r="C7" s="252"/>
      <c r="D7" s="17"/>
      <c r="E7" s="17"/>
      <c r="F7" s="17"/>
      <c r="G7" s="18"/>
    </row>
    <row r="8" spans="1:8" x14ac:dyDescent="0.3">
      <c r="A8" s="250"/>
      <c r="B8" s="19" t="s">
        <v>15</v>
      </c>
      <c r="C8" s="253"/>
      <c r="D8" s="17"/>
      <c r="E8" s="17"/>
      <c r="F8" s="17"/>
      <c r="G8" s="18"/>
    </row>
    <row r="9" spans="1:8" x14ac:dyDescent="0.3">
      <c r="A9" s="250"/>
      <c r="B9" s="16" t="s">
        <v>16</v>
      </c>
      <c r="C9" s="254" t="s">
        <v>17</v>
      </c>
      <c r="D9" s="17">
        <v>93944.77</v>
      </c>
      <c r="E9" s="17"/>
      <c r="F9" s="17"/>
      <c r="G9" s="18"/>
    </row>
    <row r="10" spans="1:8" x14ac:dyDescent="0.3">
      <c r="A10" s="250"/>
      <c r="B10" s="16" t="s">
        <v>18</v>
      </c>
      <c r="C10" s="255"/>
      <c r="D10" s="17">
        <f t="shared" ref="D10:G10" si="2">D9+D11-D12</f>
        <v>93944.77</v>
      </c>
      <c r="E10" s="17">
        <f t="shared" si="2"/>
        <v>0</v>
      </c>
      <c r="F10" s="17">
        <f t="shared" si="2"/>
        <v>0</v>
      </c>
      <c r="G10" s="18">
        <f t="shared" si="2"/>
        <v>0</v>
      </c>
      <c r="H10" s="111" t="e">
        <f ca="1">atskaites_jedox!AB8</f>
        <v>#NAME?</v>
      </c>
    </row>
    <row r="11" spans="1:8" ht="16.5" customHeight="1" x14ac:dyDescent="0.3">
      <c r="A11" s="250"/>
      <c r="B11" s="20" t="s">
        <v>19</v>
      </c>
      <c r="C11" s="255"/>
      <c r="D11" s="17"/>
      <c r="E11" s="17"/>
      <c r="F11" s="17"/>
      <c r="G11" s="18"/>
    </row>
    <row r="12" spans="1:8" ht="16.5" customHeight="1" x14ac:dyDescent="0.3">
      <c r="A12" s="251"/>
      <c r="B12" s="20" t="s">
        <v>20</v>
      </c>
      <c r="C12" s="256"/>
      <c r="D12" s="17"/>
      <c r="E12" s="17"/>
      <c r="F12" s="17"/>
      <c r="G12" s="18"/>
    </row>
    <row r="13" spans="1:8" ht="28.5" thickBot="1" x14ac:dyDescent="0.35">
      <c r="A13" s="21" t="s">
        <v>21</v>
      </c>
      <c r="B13" s="22" t="s">
        <v>22</v>
      </c>
      <c r="C13" s="23" t="s">
        <v>23</v>
      </c>
      <c r="D13" s="24">
        <v>1.1121300000000001</v>
      </c>
      <c r="E13" s="24"/>
      <c r="F13" s="24"/>
      <c r="G13" s="25"/>
      <c r="H13" s="112" t="e">
        <f ca="1">atskaites_jedox!AC8</f>
        <v>#NAME?</v>
      </c>
    </row>
    <row r="14" spans="1:8" s="6" customFormat="1" ht="28.5" thickBot="1" x14ac:dyDescent="0.35">
      <c r="A14" s="26" t="s">
        <v>24</v>
      </c>
      <c r="B14" s="27" t="s">
        <v>25</v>
      </c>
      <c r="C14" s="28"/>
      <c r="D14" s="29">
        <f>SUM(D16*D25,D17*D26,D18*D27,D19*D28,D20*D29,D21*D30,D22*D31,D23*D32)</f>
        <v>332.85999999999996</v>
      </c>
      <c r="E14" s="29">
        <f t="shared" ref="E14:G14" si="3">SUM(E16*E25,E17*E26,E18*E27,E19*E28,E20*E29,E21*E30)</f>
        <v>0</v>
      </c>
      <c r="F14" s="29">
        <f t="shared" si="3"/>
        <v>0</v>
      </c>
      <c r="G14" s="30">
        <f t="shared" si="3"/>
        <v>0</v>
      </c>
    </row>
    <row r="15" spans="1:8" s="35" customFormat="1" ht="48.75" customHeight="1" x14ac:dyDescent="0.3">
      <c r="A15" s="257" t="s">
        <v>9</v>
      </c>
      <c r="B15" s="31" t="s">
        <v>26</v>
      </c>
      <c r="C15" s="32" t="s">
        <v>27</v>
      </c>
      <c r="D15" s="33"/>
      <c r="E15" s="33"/>
      <c r="F15" s="33"/>
      <c r="G15" s="34"/>
    </row>
    <row r="16" spans="1:8" s="35" customFormat="1" x14ac:dyDescent="0.3">
      <c r="A16" s="258"/>
      <c r="B16" s="36" t="s">
        <v>28</v>
      </c>
      <c r="C16" s="37" t="s">
        <v>29</v>
      </c>
      <c r="D16" s="38">
        <v>0.71000000000000008</v>
      </c>
      <c r="E16" s="39"/>
      <c r="F16" s="39"/>
      <c r="G16" s="40"/>
    </row>
    <row r="17" spans="1:7" s="35" customFormat="1" x14ac:dyDescent="0.3">
      <c r="A17" s="258"/>
      <c r="B17" s="36" t="s">
        <v>30</v>
      </c>
      <c r="C17" s="37" t="s">
        <v>31</v>
      </c>
      <c r="D17" s="41">
        <v>696</v>
      </c>
      <c r="E17" s="39"/>
      <c r="F17" s="39"/>
      <c r="G17" s="40"/>
    </row>
    <row r="18" spans="1:7" s="35" customFormat="1" ht="18.75" customHeight="1" x14ac:dyDescent="0.3">
      <c r="A18" s="258"/>
      <c r="B18" s="42" t="s">
        <v>32</v>
      </c>
      <c r="C18" s="37"/>
      <c r="D18" s="39"/>
      <c r="E18" s="39"/>
      <c r="F18" s="39"/>
      <c r="G18" s="40"/>
    </row>
    <row r="19" spans="1:7" s="35" customFormat="1" x14ac:dyDescent="0.3">
      <c r="A19" s="258"/>
      <c r="B19" s="36" t="s">
        <v>33</v>
      </c>
      <c r="C19" s="37"/>
      <c r="D19" s="39"/>
      <c r="E19" s="39"/>
      <c r="F19" s="39"/>
      <c r="G19" s="40"/>
    </row>
    <row r="20" spans="1:7" s="35" customFormat="1" x14ac:dyDescent="0.3">
      <c r="A20" s="258"/>
      <c r="B20" s="42" t="s">
        <v>34</v>
      </c>
      <c r="C20" s="37" t="s">
        <v>35</v>
      </c>
      <c r="D20" s="39">
        <v>615.36</v>
      </c>
      <c r="E20" s="39"/>
      <c r="F20" s="39"/>
      <c r="G20" s="40"/>
    </row>
    <row r="21" spans="1:7" s="35" customFormat="1" x14ac:dyDescent="0.3">
      <c r="A21" s="258"/>
      <c r="B21" s="36" t="s">
        <v>36</v>
      </c>
      <c r="C21" s="37"/>
      <c r="D21" s="39"/>
      <c r="E21" s="39"/>
      <c r="F21" s="39"/>
      <c r="G21" s="40"/>
    </row>
    <row r="22" spans="1:7" s="47" customFormat="1" ht="28" x14ac:dyDescent="0.35">
      <c r="A22" s="258"/>
      <c r="B22" s="43" t="s">
        <v>37</v>
      </c>
      <c r="C22" s="37" t="s">
        <v>38</v>
      </c>
      <c r="D22" s="44">
        <v>3</v>
      </c>
      <c r="E22" s="45"/>
      <c r="F22" s="45"/>
      <c r="G22" s="46"/>
    </row>
    <row r="23" spans="1:7" s="35" customFormat="1" ht="14.5" thickBot="1" x14ac:dyDescent="0.35">
      <c r="A23" s="258"/>
      <c r="B23" s="48" t="s">
        <v>39</v>
      </c>
      <c r="C23" s="49" t="s">
        <v>31</v>
      </c>
      <c r="D23" s="50">
        <v>1</v>
      </c>
      <c r="E23" s="51"/>
      <c r="F23" s="51"/>
      <c r="G23" s="52"/>
    </row>
    <row r="24" spans="1:7" s="35" customFormat="1" ht="28" x14ac:dyDescent="0.3">
      <c r="A24" s="258"/>
      <c r="B24" s="31" t="s">
        <v>40</v>
      </c>
      <c r="C24" s="260" t="s">
        <v>41</v>
      </c>
      <c r="D24" s="33"/>
      <c r="E24" s="33"/>
      <c r="F24" s="33"/>
      <c r="G24" s="34"/>
    </row>
    <row r="25" spans="1:7" s="35" customFormat="1" x14ac:dyDescent="0.3">
      <c r="A25" s="258"/>
      <c r="B25" s="36" t="s">
        <v>28</v>
      </c>
      <c r="C25" s="260"/>
      <c r="D25" s="39">
        <v>12.52112676056338</v>
      </c>
      <c r="E25" s="39"/>
      <c r="F25" s="39"/>
      <c r="G25" s="40"/>
    </row>
    <row r="26" spans="1:7" s="35" customFormat="1" x14ac:dyDescent="0.3">
      <c r="A26" s="258"/>
      <c r="B26" s="36" t="s">
        <v>30</v>
      </c>
      <c r="C26" s="260"/>
      <c r="D26" s="39">
        <v>0.10738505747126437</v>
      </c>
      <c r="E26" s="39"/>
      <c r="F26" s="39"/>
      <c r="G26" s="40"/>
    </row>
    <row r="27" spans="1:7" s="35" customFormat="1" ht="15" customHeight="1" x14ac:dyDescent="0.3">
      <c r="A27" s="258"/>
      <c r="B27" s="42" t="s">
        <v>32</v>
      </c>
      <c r="C27" s="260"/>
      <c r="D27" s="39"/>
      <c r="E27" s="39"/>
      <c r="F27" s="39"/>
      <c r="G27" s="40"/>
    </row>
    <row r="28" spans="1:7" s="35" customFormat="1" ht="31.5" customHeight="1" x14ac:dyDescent="0.3">
      <c r="A28" s="258"/>
      <c r="B28" s="42" t="s">
        <v>42</v>
      </c>
      <c r="C28" s="260"/>
      <c r="D28" s="39"/>
      <c r="E28" s="39"/>
      <c r="F28" s="39"/>
      <c r="G28" s="40"/>
    </row>
    <row r="29" spans="1:7" s="35" customFormat="1" ht="33" customHeight="1" x14ac:dyDescent="0.3">
      <c r="A29" s="258"/>
      <c r="B29" s="42" t="s">
        <v>43</v>
      </c>
      <c r="C29" s="260"/>
      <c r="D29" s="39">
        <v>0.37077483099323971</v>
      </c>
      <c r="E29" s="39"/>
      <c r="F29" s="39"/>
      <c r="G29" s="40"/>
    </row>
    <row r="30" spans="1:7" x14ac:dyDescent="0.3">
      <c r="A30" s="258"/>
      <c r="B30" s="36" t="s">
        <v>36</v>
      </c>
      <c r="C30" s="260"/>
      <c r="D30" s="39"/>
      <c r="E30" s="39"/>
      <c r="F30" s="39"/>
      <c r="G30" s="40"/>
    </row>
    <row r="31" spans="1:7" s="35" customFormat="1" x14ac:dyDescent="0.3">
      <c r="A31" s="258"/>
      <c r="B31" s="53" t="s">
        <v>37</v>
      </c>
      <c r="C31" s="260"/>
      <c r="D31" s="39">
        <v>2.8266666666666667</v>
      </c>
      <c r="E31" s="39"/>
      <c r="F31" s="39"/>
      <c r="G31" s="40"/>
    </row>
    <row r="32" spans="1:7" s="35" customFormat="1" ht="14.5" thickBot="1" x14ac:dyDescent="0.35">
      <c r="A32" s="259"/>
      <c r="B32" s="54" t="s">
        <v>39</v>
      </c>
      <c r="C32" s="261"/>
      <c r="D32" s="55">
        <v>12.59</v>
      </c>
      <c r="E32" s="55"/>
      <c r="F32" s="55"/>
      <c r="G32" s="56"/>
    </row>
    <row r="33" spans="1:8" s="6" customFormat="1" x14ac:dyDescent="0.3">
      <c r="A33" s="57" t="s">
        <v>44</v>
      </c>
      <c r="B33" s="58" t="s">
        <v>45</v>
      </c>
      <c r="C33" s="59"/>
      <c r="D33" s="60">
        <f>((D36/D37)-(D34/D35))*D35</f>
        <v>29326.373993748839</v>
      </c>
      <c r="E33" s="60" t="e">
        <f>((E36/E37)-(E35/#REF!))*#REF!</f>
        <v>#DIV/0!</v>
      </c>
      <c r="F33" s="60" t="e">
        <f t="shared" ref="F33:G33" si="4">((F36/F37)-(F34/F35))*F35</f>
        <v>#DIV/0!</v>
      </c>
      <c r="G33" s="61" t="e">
        <f t="shared" si="4"/>
        <v>#DIV/0!</v>
      </c>
    </row>
    <row r="34" spans="1:8" ht="56" x14ac:dyDescent="0.3">
      <c r="A34" s="262" t="s">
        <v>46</v>
      </c>
      <c r="B34" s="62" t="s">
        <v>47</v>
      </c>
      <c r="C34" s="63" t="s">
        <v>48</v>
      </c>
      <c r="D34" s="64">
        <v>37266.44</v>
      </c>
      <c r="E34" s="65"/>
      <c r="F34" s="66"/>
      <c r="G34" s="67"/>
      <c r="H34" s="111" t="e">
        <f ca="1">atskaites_jedox!AA8</f>
        <v>#NAME?</v>
      </c>
    </row>
    <row r="35" spans="1:8" x14ac:dyDescent="0.3">
      <c r="A35" s="263"/>
      <c r="B35" s="62" t="s">
        <v>49</v>
      </c>
      <c r="C35" s="63" t="s">
        <v>17</v>
      </c>
      <c r="D35" s="68">
        <f>D10</f>
        <v>93944.77</v>
      </c>
      <c r="E35" s="66"/>
      <c r="F35" s="66"/>
      <c r="G35" s="67"/>
      <c r="H35" s="111" t="e">
        <f ca="1">atskaites_jedox!AB8</f>
        <v>#NAME?</v>
      </c>
    </row>
    <row r="36" spans="1:8" ht="56" x14ac:dyDescent="0.3">
      <c r="A36" s="262" t="s">
        <v>50</v>
      </c>
      <c r="B36" s="62" t="s">
        <v>51</v>
      </c>
      <c r="C36" s="63" t="s">
        <v>48</v>
      </c>
      <c r="D36" s="64">
        <v>77661.729999999981</v>
      </c>
      <c r="E36" s="66"/>
      <c r="F36" s="66"/>
      <c r="G36" s="67"/>
      <c r="H36" s="111" t="e">
        <f ca="1">atskaites_jedox!C8</f>
        <v>#NAME?</v>
      </c>
    </row>
    <row r="37" spans="1:8" ht="14.5" thickBot="1" x14ac:dyDescent="0.35">
      <c r="A37" s="263"/>
      <c r="B37" s="69" t="s">
        <v>52</v>
      </c>
      <c r="C37" s="70" t="s">
        <v>17</v>
      </c>
      <c r="D37" s="71">
        <v>109560.06999999993</v>
      </c>
      <c r="E37" s="72"/>
      <c r="F37" s="72"/>
      <c r="G37" s="73"/>
      <c r="H37" s="111" t="e">
        <f ca="1">atskaites_jedox!D8</f>
        <v>#NAME?</v>
      </c>
    </row>
    <row r="40" spans="1:8" ht="14.5" thickBot="1" x14ac:dyDescent="0.35">
      <c r="B40" s="74" t="s">
        <v>53</v>
      </c>
      <c r="C40" s="75"/>
      <c r="D40" s="75"/>
      <c r="E40" s="75"/>
      <c r="F40" s="75"/>
      <c r="G40" s="75"/>
    </row>
    <row r="41" spans="1:8" ht="14.5" thickTop="1" x14ac:dyDescent="0.3"/>
    <row r="43" spans="1:8" x14ac:dyDescent="0.3">
      <c r="A43" s="1" t="s">
        <v>54</v>
      </c>
    </row>
    <row r="44" spans="1:8" ht="33" customHeight="1" x14ac:dyDescent="0.3">
      <c r="A44" s="246" t="s">
        <v>55</v>
      </c>
      <c r="B44" s="246"/>
      <c r="C44" s="246"/>
      <c r="D44" s="246"/>
      <c r="E44" s="246"/>
      <c r="F44" s="246"/>
      <c r="G44" s="246"/>
    </row>
    <row r="45" spans="1:8" x14ac:dyDescent="0.3">
      <c r="A45" s="35" t="s">
        <v>56</v>
      </c>
      <c r="B45" s="35"/>
      <c r="C45" s="35"/>
      <c r="D45" s="35"/>
      <c r="E45" s="35"/>
      <c r="F45" s="35"/>
      <c r="G45" s="35"/>
    </row>
    <row r="46" spans="1:8" ht="28.5" customHeight="1" x14ac:dyDescent="0.3">
      <c r="A46" s="264" t="s">
        <v>57</v>
      </c>
      <c r="B46" s="264"/>
      <c r="C46" s="264"/>
      <c r="D46" s="264"/>
      <c r="E46" s="264"/>
      <c r="F46" s="264"/>
      <c r="G46" s="264"/>
    </row>
    <row r="47" spans="1:8" ht="33" customHeight="1" x14ac:dyDescent="0.3">
      <c r="A47" s="246" t="s">
        <v>58</v>
      </c>
      <c r="B47" s="246"/>
      <c r="C47" s="246"/>
      <c r="D47" s="246"/>
      <c r="E47" s="246"/>
      <c r="F47" s="246"/>
      <c r="G47" s="246"/>
    </row>
    <row r="48" spans="1:8" ht="35.25" customHeight="1" x14ac:dyDescent="0.3">
      <c r="A48" s="246" t="s">
        <v>59</v>
      </c>
      <c r="B48" s="246"/>
      <c r="C48" s="246"/>
      <c r="D48" s="246"/>
      <c r="E48" s="246"/>
      <c r="F48" s="246"/>
      <c r="G48" s="246"/>
    </row>
    <row r="49" spans="1:7" x14ac:dyDescent="0.3">
      <c r="A49" s="35"/>
      <c r="B49" s="35"/>
      <c r="C49" s="35"/>
      <c r="D49" s="35"/>
      <c r="E49" s="35"/>
      <c r="F49" s="35"/>
      <c r="G49" s="35"/>
    </row>
    <row r="50" spans="1:7" x14ac:dyDescent="0.3">
      <c r="A50" s="76" t="s">
        <v>60</v>
      </c>
      <c r="B50" s="35"/>
      <c r="C50" s="35"/>
      <c r="D50" s="35"/>
      <c r="E50" s="35"/>
      <c r="F50" s="35"/>
      <c r="G50" s="35"/>
    </row>
    <row r="51" spans="1:7" ht="30" customHeight="1" x14ac:dyDescent="0.3">
      <c r="A51" s="246" t="s">
        <v>61</v>
      </c>
      <c r="B51" s="246"/>
      <c r="C51" s="246"/>
      <c r="D51" s="246"/>
      <c r="E51" s="246"/>
      <c r="F51" s="246"/>
      <c r="G51" s="246"/>
    </row>
    <row r="52" spans="1:7" ht="33" customHeight="1" x14ac:dyDescent="0.3">
      <c r="A52" s="246" t="s">
        <v>62</v>
      </c>
      <c r="B52" s="246"/>
      <c r="C52" s="246"/>
      <c r="D52" s="246"/>
      <c r="E52" s="246"/>
      <c r="F52" s="246"/>
      <c r="G52" s="246"/>
    </row>
    <row r="53" spans="1:7" ht="34.5" customHeight="1" x14ac:dyDescent="0.3">
      <c r="A53" s="246" t="s">
        <v>63</v>
      </c>
      <c r="B53" s="246"/>
      <c r="C53" s="246"/>
      <c r="D53" s="246"/>
      <c r="E53" s="246"/>
      <c r="F53" s="246"/>
      <c r="G53" s="246"/>
    </row>
    <row r="54" spans="1:7" ht="63" customHeight="1" x14ac:dyDescent="0.3">
      <c r="A54" s="246" t="s">
        <v>64</v>
      </c>
      <c r="B54" s="246"/>
      <c r="C54" s="246"/>
      <c r="D54" s="246"/>
      <c r="E54" s="246"/>
      <c r="F54" s="246"/>
      <c r="G54" s="246"/>
    </row>
    <row r="55" spans="1:7" ht="30.75" customHeight="1" x14ac:dyDescent="0.3">
      <c r="A55" s="246" t="s">
        <v>65</v>
      </c>
      <c r="B55" s="246"/>
      <c r="C55" s="246"/>
      <c r="D55" s="246"/>
      <c r="E55" s="246"/>
      <c r="F55" s="246"/>
      <c r="G55" s="246"/>
    </row>
    <row r="56" spans="1:7" ht="43.5" customHeight="1" x14ac:dyDescent="0.3">
      <c r="A56" s="247" t="s">
        <v>66</v>
      </c>
      <c r="B56" s="247"/>
      <c r="C56" s="247"/>
      <c r="D56" s="247"/>
      <c r="E56" s="247"/>
      <c r="F56" s="247"/>
      <c r="G56" s="247"/>
    </row>
    <row r="57" spans="1:7" ht="30" customHeight="1" x14ac:dyDescent="0.3">
      <c r="A57" s="246" t="s">
        <v>67</v>
      </c>
      <c r="B57" s="246"/>
      <c r="C57" s="246"/>
      <c r="D57" s="246"/>
      <c r="E57" s="246"/>
      <c r="F57" s="246"/>
      <c r="G57" s="246"/>
    </row>
    <row r="58" spans="1:7" ht="45" customHeight="1" x14ac:dyDescent="0.3">
      <c r="A58" s="246" t="s">
        <v>68</v>
      </c>
      <c r="B58" s="246"/>
      <c r="C58" s="246"/>
      <c r="D58" s="246"/>
      <c r="E58" s="246"/>
      <c r="F58" s="246"/>
      <c r="G58" s="246"/>
    </row>
    <row r="59" spans="1:7" ht="16.5" customHeight="1" x14ac:dyDescent="0.3">
      <c r="A59" s="77"/>
      <c r="B59" s="77"/>
      <c r="C59" s="77"/>
      <c r="D59" s="77"/>
      <c r="E59" s="77"/>
      <c r="F59" s="77"/>
      <c r="G59" s="77"/>
    </row>
    <row r="60" spans="1:7" x14ac:dyDescent="0.3">
      <c r="A60" s="35"/>
      <c r="B60" s="35"/>
      <c r="C60" s="35"/>
      <c r="D60" s="35"/>
      <c r="E60" s="35"/>
      <c r="F60" s="35"/>
      <c r="G60" s="35"/>
    </row>
    <row r="61" spans="1:7" x14ac:dyDescent="0.3">
      <c r="A61" s="35"/>
      <c r="B61" s="35"/>
      <c r="C61" s="35"/>
      <c r="D61" s="35"/>
      <c r="E61" s="35"/>
      <c r="F61" s="35"/>
      <c r="G61" s="35"/>
    </row>
  </sheetData>
  <mergeCells count="20">
    <mergeCell ref="A48:G48"/>
    <mergeCell ref="A1:G1"/>
    <mergeCell ref="A4:A12"/>
    <mergeCell ref="C4:C8"/>
    <mergeCell ref="C9:C12"/>
    <mergeCell ref="A15:A32"/>
    <mergeCell ref="C24:C32"/>
    <mergeCell ref="A34:A35"/>
    <mergeCell ref="A36:A37"/>
    <mergeCell ref="A44:G44"/>
    <mergeCell ref="A46:G46"/>
    <mergeCell ref="A47:G47"/>
    <mergeCell ref="A57:G57"/>
    <mergeCell ref="A58:G58"/>
    <mergeCell ref="A51:G51"/>
    <mergeCell ref="A52:G52"/>
    <mergeCell ref="A53:G53"/>
    <mergeCell ref="A54:G54"/>
    <mergeCell ref="A55:G55"/>
    <mergeCell ref="A56:G56"/>
  </mergeCells>
  <pageMargins left="0.25" right="0.25" top="0.75" bottom="0.75" header="0.3" footer="0.3"/>
  <pageSetup paperSize="9" scale="8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A5258-7B0A-45A2-A9BE-A1937FD294FC}">
  <sheetPr>
    <pageSetUpPr fitToPage="1"/>
  </sheetPr>
  <dimension ref="A1:I58"/>
  <sheetViews>
    <sheetView workbookViewId="0">
      <selection activeCell="H1" sqref="H1:I1048576"/>
    </sheetView>
  </sheetViews>
  <sheetFormatPr defaultRowHeight="14.5" x14ac:dyDescent="0.35"/>
  <cols>
    <col min="1" max="1" width="15.1796875" customWidth="1"/>
    <col min="2" max="2" width="51.26953125" customWidth="1"/>
    <col min="3" max="3" width="13" customWidth="1"/>
    <col min="4" max="4" width="14.1796875" customWidth="1"/>
    <col min="5" max="5" width="14.54296875" customWidth="1"/>
    <col min="6" max="6" width="12.453125" customWidth="1"/>
    <col min="7" max="7" width="13.1796875" customWidth="1"/>
    <col min="8" max="9" width="0" hidden="1" customWidth="1"/>
  </cols>
  <sheetData>
    <row r="1" spans="1:8" ht="42" customHeight="1" x14ac:dyDescent="0.35">
      <c r="A1" s="248" t="s">
        <v>0</v>
      </c>
      <c r="B1" s="248"/>
      <c r="C1" s="248"/>
      <c r="D1" s="248"/>
      <c r="E1" s="248"/>
      <c r="F1" s="248"/>
      <c r="G1" s="248"/>
    </row>
    <row r="2" spans="1:8" ht="28.5" thickBot="1" x14ac:dyDescent="0.4">
      <c r="A2" s="2" t="s">
        <v>1</v>
      </c>
      <c r="B2" s="3"/>
      <c r="C2" s="4" t="s">
        <v>2</v>
      </c>
      <c r="D2" s="4" t="s">
        <v>3</v>
      </c>
      <c r="E2" s="78" t="s">
        <v>4</v>
      </c>
      <c r="F2" s="4" t="s">
        <v>5</v>
      </c>
      <c r="G2" s="4" t="s">
        <v>6</v>
      </c>
    </row>
    <row r="3" spans="1:8" ht="15" thickBot="1" x14ac:dyDescent="0.4">
      <c r="A3" s="7" t="s">
        <v>7</v>
      </c>
      <c r="B3" s="8" t="s">
        <v>8</v>
      </c>
      <c r="C3" s="9"/>
      <c r="D3" s="10">
        <f>(D10-D9)*D13</f>
        <v>352.45252800000344</v>
      </c>
      <c r="E3" s="10">
        <f t="shared" ref="E3:G3" si="0">(E10-E9)*E13</f>
        <v>0</v>
      </c>
      <c r="F3" s="10">
        <f t="shared" si="0"/>
        <v>0</v>
      </c>
      <c r="G3" s="11">
        <f t="shared" si="0"/>
        <v>0</v>
      </c>
    </row>
    <row r="4" spans="1:8" ht="17.25" customHeight="1" x14ac:dyDescent="0.35">
      <c r="A4" s="249" t="s">
        <v>69</v>
      </c>
      <c r="B4" s="12" t="s">
        <v>10</v>
      </c>
      <c r="C4" s="252" t="s">
        <v>11</v>
      </c>
      <c r="D4" s="13">
        <v>31</v>
      </c>
      <c r="E4" s="14"/>
      <c r="F4" s="13"/>
      <c r="G4" s="15"/>
    </row>
    <row r="5" spans="1:8" x14ac:dyDescent="0.35">
      <c r="A5" s="250"/>
      <c r="B5" s="16" t="s">
        <v>12</v>
      </c>
      <c r="C5" s="252"/>
      <c r="D5" s="17">
        <v>11329</v>
      </c>
      <c r="E5" s="17"/>
      <c r="F5" s="17"/>
      <c r="G5" s="18"/>
    </row>
    <row r="6" spans="1:8" x14ac:dyDescent="0.35">
      <c r="A6" s="250"/>
      <c r="B6" s="16" t="s">
        <v>13</v>
      </c>
      <c r="C6" s="252"/>
      <c r="D6" s="17">
        <f t="shared" ref="D6:G6" si="1">D5+D7-D8</f>
        <v>11335</v>
      </c>
      <c r="E6" s="17">
        <f t="shared" si="1"/>
        <v>0</v>
      </c>
      <c r="F6" s="17">
        <f t="shared" si="1"/>
        <v>0</v>
      </c>
      <c r="G6" s="18">
        <f t="shared" si="1"/>
        <v>0</v>
      </c>
    </row>
    <row r="7" spans="1:8" ht="16.5" customHeight="1" x14ac:dyDescent="0.35">
      <c r="A7" s="250"/>
      <c r="B7" s="19" t="s">
        <v>14</v>
      </c>
      <c r="C7" s="252"/>
      <c r="D7" s="17">
        <v>6</v>
      </c>
      <c r="E7" s="17"/>
      <c r="F7" s="17"/>
      <c r="G7" s="18"/>
    </row>
    <row r="8" spans="1:8" ht="14.25" customHeight="1" x14ac:dyDescent="0.35">
      <c r="A8" s="250"/>
      <c r="B8" s="19" t="s">
        <v>15</v>
      </c>
      <c r="C8" s="253"/>
      <c r="D8" s="17"/>
      <c r="E8" s="17"/>
      <c r="F8" s="17"/>
      <c r="G8" s="18"/>
    </row>
    <row r="9" spans="1:8" ht="16.5" customHeight="1" x14ac:dyDescent="0.35">
      <c r="A9" s="250"/>
      <c r="B9" s="16" t="s">
        <v>16</v>
      </c>
      <c r="C9" s="254" t="s">
        <v>17</v>
      </c>
      <c r="D9" s="17">
        <v>122059.75</v>
      </c>
      <c r="E9" s="17"/>
      <c r="F9" s="17"/>
      <c r="G9" s="18"/>
    </row>
    <row r="10" spans="1:8" ht="19.5" customHeight="1" x14ac:dyDescent="0.35">
      <c r="A10" s="250"/>
      <c r="B10" s="16" t="s">
        <v>18</v>
      </c>
      <c r="C10" s="255"/>
      <c r="D10" s="17">
        <f t="shared" ref="D10:G10" si="2">D9+D11-D12</f>
        <v>122358.55</v>
      </c>
      <c r="E10" s="17">
        <f t="shared" si="2"/>
        <v>0</v>
      </c>
      <c r="F10" s="17">
        <f t="shared" si="2"/>
        <v>0</v>
      </c>
      <c r="G10" s="18">
        <f t="shared" si="2"/>
        <v>0</v>
      </c>
      <c r="H10" s="113" t="e">
        <f ca="1">atskaites_jedox!AE8</f>
        <v>#NAME?</v>
      </c>
    </row>
    <row r="11" spans="1:8" ht="17.25" customHeight="1" x14ac:dyDescent="0.35">
      <c r="A11" s="250"/>
      <c r="B11" s="20" t="s">
        <v>19</v>
      </c>
      <c r="C11" s="255"/>
      <c r="D11" s="17">
        <v>298.79999999999995</v>
      </c>
      <c r="E11" s="17"/>
      <c r="F11" s="17"/>
      <c r="G11" s="18"/>
    </row>
    <row r="12" spans="1:8" ht="17.25" customHeight="1" x14ac:dyDescent="0.35">
      <c r="A12" s="251"/>
      <c r="B12" s="20" t="s">
        <v>20</v>
      </c>
      <c r="C12" s="256"/>
      <c r="D12" s="17"/>
      <c r="E12" s="17"/>
      <c r="F12" s="17"/>
      <c r="G12" s="18"/>
    </row>
    <row r="13" spans="1:8" ht="30" customHeight="1" thickBot="1" x14ac:dyDescent="0.4">
      <c r="A13" s="21" t="s">
        <v>70</v>
      </c>
      <c r="B13" s="22" t="s">
        <v>22</v>
      </c>
      <c r="C13" s="23" t="s">
        <v>23</v>
      </c>
      <c r="D13" s="24">
        <v>1.1795599999999999</v>
      </c>
      <c r="E13" s="79"/>
      <c r="F13" s="79"/>
      <c r="G13" s="80"/>
      <c r="H13" s="114" t="e">
        <f ca="1">atskaites_jedox!AF8</f>
        <v>#NAME?</v>
      </c>
    </row>
    <row r="14" spans="1:8" ht="36" customHeight="1" thickBot="1" x14ac:dyDescent="0.4">
      <c r="A14" s="26" t="s">
        <v>24</v>
      </c>
      <c r="B14" s="81" t="s">
        <v>25</v>
      </c>
      <c r="C14" s="82"/>
      <c r="D14" s="83">
        <f>SUM(D16*D25,D17*D26,D18*D27,D19*D28,D20*D29,D21*D30,D22*D31,D23*D32)</f>
        <v>437.01999999999992</v>
      </c>
      <c r="E14" s="83">
        <f t="shared" ref="E14:G14" si="3">SUM(E16*E25,E17*E26,E18*E27,E19*E28,E20*E29,E21*E30)</f>
        <v>0</v>
      </c>
      <c r="F14" s="83">
        <f t="shared" si="3"/>
        <v>0</v>
      </c>
      <c r="G14" s="84">
        <f t="shared" si="3"/>
        <v>0</v>
      </c>
    </row>
    <row r="15" spans="1:8" ht="28.5" x14ac:dyDescent="0.35">
      <c r="A15" s="265" t="s">
        <v>69</v>
      </c>
      <c r="B15" s="85" t="s">
        <v>26</v>
      </c>
      <c r="C15" s="32" t="s">
        <v>27</v>
      </c>
      <c r="D15" s="86"/>
      <c r="E15" s="86"/>
      <c r="F15" s="86"/>
      <c r="G15" s="87"/>
    </row>
    <row r="16" spans="1:8" x14ac:dyDescent="0.35">
      <c r="A16" s="266"/>
      <c r="B16" s="36" t="s">
        <v>28</v>
      </c>
      <c r="C16" s="37"/>
      <c r="D16" s="39"/>
      <c r="E16" s="39"/>
      <c r="F16" s="39"/>
      <c r="G16" s="40"/>
    </row>
    <row r="17" spans="1:7" x14ac:dyDescent="0.35">
      <c r="A17" s="266"/>
      <c r="B17" s="36" t="s">
        <v>30</v>
      </c>
      <c r="C17" s="37" t="s">
        <v>31</v>
      </c>
      <c r="D17" s="41">
        <v>738</v>
      </c>
      <c r="E17" s="39"/>
      <c r="F17" s="39"/>
      <c r="G17" s="40"/>
    </row>
    <row r="18" spans="1:7" ht="16.5" customHeight="1" x14ac:dyDescent="0.35">
      <c r="A18" s="266"/>
      <c r="B18" s="42" t="s">
        <v>32</v>
      </c>
      <c r="C18" s="37"/>
      <c r="D18" s="39"/>
      <c r="E18" s="39"/>
      <c r="F18" s="39"/>
      <c r="G18" s="40"/>
    </row>
    <row r="19" spans="1:7" x14ac:dyDescent="0.35">
      <c r="A19" s="266"/>
      <c r="B19" s="36" t="s">
        <v>33</v>
      </c>
      <c r="C19" s="37"/>
      <c r="D19" s="39"/>
      <c r="E19" s="39"/>
      <c r="F19" s="39"/>
      <c r="G19" s="40"/>
    </row>
    <row r="20" spans="1:7" x14ac:dyDescent="0.35">
      <c r="A20" s="266"/>
      <c r="B20" s="42" t="s">
        <v>34</v>
      </c>
      <c r="C20" s="37" t="s">
        <v>35</v>
      </c>
      <c r="D20" s="39">
        <v>566.47</v>
      </c>
      <c r="E20" s="39"/>
      <c r="F20" s="39"/>
      <c r="G20" s="40"/>
    </row>
    <row r="21" spans="1:7" x14ac:dyDescent="0.35">
      <c r="A21" s="266"/>
      <c r="B21" s="36" t="s">
        <v>36</v>
      </c>
      <c r="C21" s="37"/>
      <c r="D21" s="39"/>
      <c r="E21" s="39"/>
      <c r="F21" s="39"/>
      <c r="G21" s="40"/>
    </row>
    <row r="22" spans="1:7" s="47" customFormat="1" ht="14" x14ac:dyDescent="0.35">
      <c r="A22" s="266"/>
      <c r="B22" s="88" t="s">
        <v>37</v>
      </c>
      <c r="C22" s="89" t="s">
        <v>38</v>
      </c>
      <c r="D22" s="44">
        <v>3</v>
      </c>
      <c r="E22" s="45"/>
      <c r="F22" s="45"/>
      <c r="G22" s="46"/>
    </row>
    <row r="23" spans="1:7" s="35" customFormat="1" thickBot="1" x14ac:dyDescent="0.35">
      <c r="A23" s="266"/>
      <c r="B23" s="48" t="s">
        <v>39</v>
      </c>
      <c r="C23" s="49" t="s">
        <v>31</v>
      </c>
      <c r="D23" s="50">
        <v>2</v>
      </c>
      <c r="E23" s="51"/>
      <c r="F23" s="51"/>
      <c r="G23" s="52"/>
    </row>
    <row r="24" spans="1:7" ht="33.75" customHeight="1" x14ac:dyDescent="0.35">
      <c r="A24" s="266"/>
      <c r="B24" s="31" t="s">
        <v>40</v>
      </c>
      <c r="C24" s="268" t="s">
        <v>41</v>
      </c>
      <c r="D24" s="33"/>
      <c r="E24" s="33"/>
      <c r="F24" s="33"/>
      <c r="G24" s="34"/>
    </row>
    <row r="25" spans="1:7" x14ac:dyDescent="0.35">
      <c r="A25" s="266"/>
      <c r="B25" s="36" t="s">
        <v>28</v>
      </c>
      <c r="C25" s="260"/>
      <c r="D25" s="39"/>
      <c r="E25" s="39"/>
      <c r="F25" s="39"/>
      <c r="G25" s="40"/>
    </row>
    <row r="26" spans="1:7" x14ac:dyDescent="0.35">
      <c r="A26" s="266"/>
      <c r="B26" s="36" t="s">
        <v>30</v>
      </c>
      <c r="C26" s="260"/>
      <c r="D26" s="39">
        <v>0.27155826558265578</v>
      </c>
      <c r="E26" s="39"/>
      <c r="F26" s="39"/>
      <c r="G26" s="40"/>
    </row>
    <row r="27" spans="1:7" ht="18.75" customHeight="1" x14ac:dyDescent="0.35">
      <c r="A27" s="266"/>
      <c r="B27" s="42" t="s">
        <v>32</v>
      </c>
      <c r="C27" s="260"/>
      <c r="D27" s="39"/>
      <c r="E27" s="39"/>
      <c r="F27" s="39"/>
      <c r="G27" s="40"/>
    </row>
    <row r="28" spans="1:7" ht="35.25" customHeight="1" x14ac:dyDescent="0.35">
      <c r="A28" s="266"/>
      <c r="B28" s="42" t="s">
        <v>42</v>
      </c>
      <c r="C28" s="260"/>
      <c r="D28" s="39"/>
      <c r="E28" s="39"/>
      <c r="F28" s="39"/>
      <c r="G28" s="40"/>
    </row>
    <row r="29" spans="1:7" ht="33.75" customHeight="1" x14ac:dyDescent="0.35">
      <c r="A29" s="266"/>
      <c r="B29" s="42" t="s">
        <v>43</v>
      </c>
      <c r="C29" s="260"/>
      <c r="D29" s="39">
        <v>0.37076985542041058</v>
      </c>
      <c r="E29" s="39"/>
      <c r="F29" s="39"/>
      <c r="G29" s="40"/>
    </row>
    <row r="30" spans="1:7" x14ac:dyDescent="0.35">
      <c r="A30" s="266"/>
      <c r="B30" s="36" t="s">
        <v>36</v>
      </c>
      <c r="C30" s="260"/>
      <c r="D30" s="39"/>
      <c r="E30" s="39"/>
      <c r="F30" s="39"/>
      <c r="G30" s="40"/>
    </row>
    <row r="31" spans="1:7" s="35" customFormat="1" ht="14" x14ac:dyDescent="0.3">
      <c r="A31" s="266"/>
      <c r="B31" s="90" t="s">
        <v>37</v>
      </c>
      <c r="C31" s="260"/>
      <c r="D31" s="86">
        <v>1.9833333333333334</v>
      </c>
      <c r="E31" s="86"/>
      <c r="F31" s="86"/>
      <c r="G31" s="87"/>
    </row>
    <row r="32" spans="1:7" s="35" customFormat="1" thickBot="1" x14ac:dyDescent="0.35">
      <c r="A32" s="267"/>
      <c r="B32" s="54" t="s">
        <v>39</v>
      </c>
      <c r="C32" s="261"/>
      <c r="D32" s="55">
        <v>10.315</v>
      </c>
      <c r="E32" s="55"/>
      <c r="F32" s="55"/>
      <c r="G32" s="56"/>
    </row>
    <row r="33" spans="1:9" x14ac:dyDescent="0.35">
      <c r="A33" s="91" t="s">
        <v>44</v>
      </c>
      <c r="B33" s="92" t="s">
        <v>45</v>
      </c>
      <c r="C33" s="93"/>
      <c r="D33" s="94">
        <f>((D36/D37)-(D34/D35))*D35</f>
        <v>29054.721574709733</v>
      </c>
      <c r="E33" s="94" t="e">
        <f>((E36/E37)-(E35/#REF!))*#REF!</f>
        <v>#DIV/0!</v>
      </c>
      <c r="F33" s="94" t="e">
        <f t="shared" ref="F33:G33" si="4">((F36/F37)-(F34/F35))*F35</f>
        <v>#DIV/0!</v>
      </c>
      <c r="G33" s="95" t="e">
        <f t="shared" si="4"/>
        <v>#DIV/0!</v>
      </c>
    </row>
    <row r="34" spans="1:9" ht="65.25" customHeight="1" x14ac:dyDescent="0.35">
      <c r="A34" s="262" t="s">
        <v>70</v>
      </c>
      <c r="B34" s="62" t="s">
        <v>47</v>
      </c>
      <c r="C34" s="63" t="s">
        <v>48</v>
      </c>
      <c r="D34" s="64">
        <v>56219.569999999992</v>
      </c>
      <c r="E34" s="65"/>
      <c r="F34" s="66"/>
      <c r="G34" s="67"/>
      <c r="H34" s="113" t="e">
        <f ca="1">atskaites_jedox!AD8</f>
        <v>#NAME?</v>
      </c>
    </row>
    <row r="35" spans="1:9" ht="15.75" customHeight="1" x14ac:dyDescent="0.35">
      <c r="A35" s="263"/>
      <c r="B35" s="62" t="s">
        <v>49</v>
      </c>
      <c r="C35" s="63" t="s">
        <v>17</v>
      </c>
      <c r="D35" s="68">
        <v>122358.55</v>
      </c>
      <c r="E35" s="66"/>
      <c r="F35" s="66"/>
      <c r="G35" s="67"/>
      <c r="H35" s="113" t="e">
        <f ca="1">atskaites_jedox!AE8</f>
        <v>#NAME?</v>
      </c>
      <c r="I35" t="b">
        <f>D35=D10</f>
        <v>1</v>
      </c>
    </row>
    <row r="36" spans="1:9" ht="56.5" x14ac:dyDescent="0.35">
      <c r="A36" s="262" t="s">
        <v>71</v>
      </c>
      <c r="B36" s="62" t="s">
        <v>51</v>
      </c>
      <c r="C36" s="63" t="s">
        <v>48</v>
      </c>
      <c r="D36" s="64">
        <v>101715.42000000001</v>
      </c>
      <c r="E36" s="66"/>
      <c r="F36" s="66"/>
      <c r="G36" s="67"/>
      <c r="H36" s="113" t="e">
        <f ca="1">atskaites_jedox!F8</f>
        <v>#NAME?</v>
      </c>
    </row>
    <row r="37" spans="1:9" ht="15" thickBot="1" x14ac:dyDescent="0.4">
      <c r="A37" s="263"/>
      <c r="B37" s="69" t="s">
        <v>52</v>
      </c>
      <c r="C37" s="70" t="s">
        <v>17</v>
      </c>
      <c r="D37" s="71">
        <v>145949.63</v>
      </c>
      <c r="E37" s="72"/>
      <c r="F37" s="72"/>
      <c r="G37" s="73"/>
      <c r="H37" s="113" t="e">
        <f ca="1">atskaites_jedox!G8</f>
        <v>#NAME?</v>
      </c>
    </row>
    <row r="38" spans="1:9" x14ac:dyDescent="0.35">
      <c r="A38" s="1"/>
      <c r="B38" s="1"/>
      <c r="C38" s="1"/>
      <c r="D38" s="1"/>
      <c r="E38" s="1"/>
      <c r="F38" s="1"/>
      <c r="G38" s="1"/>
    </row>
    <row r="39" spans="1:9" x14ac:dyDescent="0.35">
      <c r="A39" s="1"/>
      <c r="B39" s="1"/>
      <c r="C39" s="1"/>
      <c r="D39" s="1"/>
      <c r="E39" s="1"/>
      <c r="F39" s="1"/>
      <c r="G39" s="1"/>
    </row>
    <row r="40" spans="1:9" ht="15" thickBot="1" x14ac:dyDescent="0.4">
      <c r="A40" s="1"/>
      <c r="B40" s="74" t="s">
        <v>53</v>
      </c>
      <c r="C40" s="75"/>
      <c r="D40" s="75"/>
      <c r="E40" s="75"/>
      <c r="F40" s="75"/>
      <c r="G40" s="75"/>
    </row>
    <row r="41" spans="1:9" ht="15" thickTop="1" x14ac:dyDescent="0.35">
      <c r="A41" s="1"/>
      <c r="B41" s="1"/>
      <c r="C41" s="1"/>
      <c r="D41" s="1"/>
      <c r="E41" s="1"/>
      <c r="F41" s="1"/>
      <c r="G41" s="1"/>
    </row>
    <row r="42" spans="1:9" x14ac:dyDescent="0.35">
      <c r="A42" s="1"/>
      <c r="B42" s="1"/>
      <c r="C42" s="1"/>
      <c r="D42" s="1"/>
      <c r="E42" s="1"/>
      <c r="F42" s="1"/>
      <c r="G42" s="1"/>
    </row>
    <row r="43" spans="1:9" x14ac:dyDescent="0.35">
      <c r="A43" s="1" t="s">
        <v>54</v>
      </c>
      <c r="B43" s="1"/>
      <c r="C43" s="1"/>
      <c r="D43" s="1"/>
      <c r="E43" s="1"/>
      <c r="F43" s="1"/>
      <c r="G43" s="1"/>
    </row>
    <row r="44" spans="1:9" ht="32.25" customHeight="1" x14ac:dyDescent="0.35">
      <c r="A44" s="246" t="s">
        <v>55</v>
      </c>
      <c r="B44" s="246"/>
      <c r="C44" s="246"/>
      <c r="D44" s="246"/>
      <c r="E44" s="246"/>
      <c r="F44" s="246"/>
      <c r="G44" s="246"/>
    </row>
    <row r="45" spans="1:9" x14ac:dyDescent="0.35">
      <c r="A45" s="35" t="s">
        <v>56</v>
      </c>
      <c r="B45" s="35"/>
      <c r="C45" s="35"/>
      <c r="D45" s="35"/>
      <c r="E45" s="35"/>
      <c r="F45" s="35"/>
      <c r="G45" s="35"/>
    </row>
    <row r="46" spans="1:9" ht="33.75" customHeight="1" x14ac:dyDescent="0.35">
      <c r="A46" s="264" t="s">
        <v>57</v>
      </c>
      <c r="B46" s="264"/>
      <c r="C46" s="264"/>
      <c r="D46" s="264"/>
      <c r="E46" s="264"/>
      <c r="F46" s="264"/>
      <c r="G46" s="264"/>
    </row>
    <row r="47" spans="1:9" ht="30.75" customHeight="1" x14ac:dyDescent="0.35">
      <c r="A47" s="246" t="s">
        <v>58</v>
      </c>
      <c r="B47" s="246"/>
      <c r="C47" s="246"/>
      <c r="D47" s="246"/>
      <c r="E47" s="246"/>
      <c r="F47" s="246"/>
      <c r="G47" s="246"/>
    </row>
    <row r="48" spans="1:9" ht="34.5" customHeight="1" x14ac:dyDescent="0.35">
      <c r="A48" s="246" t="s">
        <v>59</v>
      </c>
      <c r="B48" s="246"/>
      <c r="C48" s="246"/>
      <c r="D48" s="246"/>
      <c r="E48" s="246"/>
      <c r="F48" s="246"/>
      <c r="G48" s="246"/>
    </row>
    <row r="49" spans="1:7" x14ac:dyDescent="0.35">
      <c r="A49" s="35"/>
      <c r="B49" s="35"/>
      <c r="C49" s="35"/>
      <c r="D49" s="35"/>
      <c r="E49" s="35"/>
      <c r="F49" s="35"/>
      <c r="G49" s="35"/>
    </row>
    <row r="50" spans="1:7" x14ac:dyDescent="0.35">
      <c r="A50" s="76" t="s">
        <v>60</v>
      </c>
      <c r="B50" s="35"/>
      <c r="C50" s="35"/>
      <c r="D50" s="35"/>
      <c r="E50" s="35"/>
      <c r="F50" s="35"/>
      <c r="G50" s="35"/>
    </row>
    <row r="51" spans="1:7" ht="36" customHeight="1" x14ac:dyDescent="0.35">
      <c r="A51" s="246" t="s">
        <v>61</v>
      </c>
      <c r="B51" s="246"/>
      <c r="C51" s="246"/>
      <c r="D51" s="246"/>
      <c r="E51" s="246"/>
      <c r="F51" s="246"/>
      <c r="G51" s="246"/>
    </row>
    <row r="52" spans="1:7" ht="33" customHeight="1" x14ac:dyDescent="0.35">
      <c r="A52" s="246" t="s">
        <v>62</v>
      </c>
      <c r="B52" s="246"/>
      <c r="C52" s="246"/>
      <c r="D52" s="246"/>
      <c r="E52" s="246"/>
      <c r="F52" s="246"/>
      <c r="G52" s="246"/>
    </row>
    <row r="53" spans="1:7" ht="33" customHeight="1" x14ac:dyDescent="0.35">
      <c r="A53" s="246" t="s">
        <v>63</v>
      </c>
      <c r="B53" s="246"/>
      <c r="C53" s="246"/>
      <c r="D53" s="246"/>
      <c r="E53" s="246"/>
      <c r="F53" s="246"/>
      <c r="G53" s="246"/>
    </row>
    <row r="54" spans="1:7" ht="66" customHeight="1" x14ac:dyDescent="0.35">
      <c r="A54" s="246" t="s">
        <v>64</v>
      </c>
      <c r="B54" s="246"/>
      <c r="C54" s="246"/>
      <c r="D54" s="246"/>
      <c r="E54" s="246"/>
      <c r="F54" s="246"/>
      <c r="G54" s="246"/>
    </row>
    <row r="55" spans="1:7" ht="36" customHeight="1" x14ac:dyDescent="0.35">
      <c r="A55" s="246" t="s">
        <v>65</v>
      </c>
      <c r="B55" s="246"/>
      <c r="C55" s="246"/>
      <c r="D55" s="246"/>
      <c r="E55" s="246"/>
      <c r="F55" s="246"/>
      <c r="G55" s="246"/>
    </row>
    <row r="56" spans="1:7" ht="48.75" customHeight="1" x14ac:dyDescent="0.35">
      <c r="A56" s="247" t="s">
        <v>66</v>
      </c>
      <c r="B56" s="247"/>
      <c r="C56" s="247"/>
      <c r="D56" s="247"/>
      <c r="E56" s="247"/>
      <c r="F56" s="247"/>
      <c r="G56" s="247"/>
    </row>
    <row r="57" spans="1:7" ht="35.25" customHeight="1" x14ac:dyDescent="0.35">
      <c r="A57" s="246" t="s">
        <v>67</v>
      </c>
      <c r="B57" s="246"/>
      <c r="C57" s="246"/>
      <c r="D57" s="246"/>
      <c r="E57" s="246"/>
      <c r="F57" s="246"/>
      <c r="G57" s="246"/>
    </row>
    <row r="58" spans="1:7" ht="45.75" customHeight="1" x14ac:dyDescent="0.35">
      <c r="A58" s="246" t="s">
        <v>68</v>
      </c>
      <c r="B58" s="246"/>
      <c r="C58" s="246"/>
      <c r="D58" s="246"/>
      <c r="E58" s="246"/>
      <c r="F58" s="246"/>
      <c r="G58" s="246"/>
    </row>
  </sheetData>
  <mergeCells count="20">
    <mergeCell ref="A57:G57"/>
    <mergeCell ref="A58:G58"/>
    <mergeCell ref="A51:G51"/>
    <mergeCell ref="A52:G52"/>
    <mergeCell ref="A53:G53"/>
    <mergeCell ref="A54:G54"/>
    <mergeCell ref="A55:G55"/>
    <mergeCell ref="A56:G56"/>
    <mergeCell ref="A48:G48"/>
    <mergeCell ref="A1:G1"/>
    <mergeCell ref="A4:A12"/>
    <mergeCell ref="C4:C8"/>
    <mergeCell ref="C9:C12"/>
    <mergeCell ref="A15:A32"/>
    <mergeCell ref="C24:C32"/>
    <mergeCell ref="A34:A35"/>
    <mergeCell ref="A36:A37"/>
    <mergeCell ref="A44:G44"/>
    <mergeCell ref="A46:G46"/>
    <mergeCell ref="A47:G47"/>
  </mergeCells>
  <pageMargins left="0.7" right="0.7" top="0.75" bottom="0.75" header="0.3" footer="0.3"/>
  <pageSetup paperSize="9" scale="6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DDEC8-1D8D-4B14-B81A-31D691D1B34D}">
  <sheetPr>
    <pageSetUpPr fitToPage="1"/>
  </sheetPr>
  <dimension ref="A1:H58"/>
  <sheetViews>
    <sheetView workbookViewId="0">
      <pane xSplit="3" ySplit="2" topLeftCell="D3" activePane="bottomRight" state="frozen"/>
      <selection pane="topRight" activeCell="D1" sqref="D1"/>
      <selection pane="bottomLeft" activeCell="A3" sqref="A3"/>
      <selection pane="bottomRight" activeCell="K1" sqref="K1"/>
    </sheetView>
  </sheetViews>
  <sheetFormatPr defaultRowHeight="14.5" x14ac:dyDescent="0.35"/>
  <cols>
    <col min="1" max="1" width="15.1796875" customWidth="1"/>
    <col min="2" max="2" width="56.7265625" customWidth="1"/>
    <col min="3" max="3" width="13" customWidth="1"/>
    <col min="4" max="4" width="14.1796875" customWidth="1"/>
    <col min="5" max="5" width="14.54296875" customWidth="1"/>
    <col min="6" max="6" width="12.453125" customWidth="1"/>
    <col min="7" max="7" width="13.1796875" customWidth="1"/>
    <col min="8" max="9" width="0" hidden="1" customWidth="1"/>
  </cols>
  <sheetData>
    <row r="1" spans="1:8" ht="42" customHeight="1" x14ac:dyDescent="0.35">
      <c r="A1" s="248" t="s">
        <v>0</v>
      </c>
      <c r="B1" s="248"/>
      <c r="C1" s="248"/>
      <c r="D1" s="248"/>
      <c r="E1" s="248"/>
      <c r="F1" s="248"/>
      <c r="G1" s="248"/>
    </row>
    <row r="2" spans="1:8" ht="28.5" thickBot="1" x14ac:dyDescent="0.4">
      <c r="A2" s="2" t="s">
        <v>1</v>
      </c>
      <c r="B2" s="3"/>
      <c r="C2" s="4" t="s">
        <v>2</v>
      </c>
      <c r="D2" s="4" t="s">
        <v>3</v>
      </c>
      <c r="E2" s="78" t="s">
        <v>4</v>
      </c>
      <c r="F2" s="4" t="s">
        <v>5</v>
      </c>
      <c r="G2" s="4" t="s">
        <v>6</v>
      </c>
    </row>
    <row r="3" spans="1:8" ht="15" thickBot="1" x14ac:dyDescent="0.4">
      <c r="A3" s="7" t="s">
        <v>7</v>
      </c>
      <c r="B3" s="8" t="s">
        <v>8</v>
      </c>
      <c r="C3" s="9"/>
      <c r="D3" s="10">
        <f>(D10-D9)*D13</f>
        <v>1049.8534634804198</v>
      </c>
      <c r="E3" s="10">
        <f t="shared" ref="E3:G3" si="0">(E10-E9)*E13</f>
        <v>0</v>
      </c>
      <c r="F3" s="10">
        <f t="shared" si="0"/>
        <v>0</v>
      </c>
      <c r="G3" s="11">
        <f t="shared" si="0"/>
        <v>0</v>
      </c>
    </row>
    <row r="4" spans="1:8" ht="17.25" customHeight="1" x14ac:dyDescent="0.35">
      <c r="A4" s="249" t="s">
        <v>72</v>
      </c>
      <c r="B4" s="12" t="s">
        <v>10</v>
      </c>
      <c r="C4" s="252" t="s">
        <v>11</v>
      </c>
      <c r="D4" s="13">
        <v>34</v>
      </c>
      <c r="E4" s="14"/>
      <c r="F4" s="13"/>
      <c r="G4" s="15"/>
    </row>
    <row r="5" spans="1:8" x14ac:dyDescent="0.35">
      <c r="A5" s="250"/>
      <c r="B5" s="16" t="s">
        <v>12</v>
      </c>
      <c r="C5" s="252"/>
      <c r="D5" s="17">
        <v>11634</v>
      </c>
      <c r="E5" s="17"/>
      <c r="F5" s="17"/>
      <c r="G5" s="18"/>
    </row>
    <row r="6" spans="1:8" x14ac:dyDescent="0.35">
      <c r="A6" s="250"/>
      <c r="B6" s="16" t="s">
        <v>13</v>
      </c>
      <c r="C6" s="252"/>
      <c r="D6" s="17">
        <f>D5+D7-D8</f>
        <v>11654</v>
      </c>
      <c r="E6" s="17">
        <f t="shared" ref="E6:G6" si="1">E5+E7-E8</f>
        <v>0</v>
      </c>
      <c r="F6" s="17">
        <f t="shared" si="1"/>
        <v>0</v>
      </c>
      <c r="G6" s="18">
        <f t="shared" si="1"/>
        <v>0</v>
      </c>
    </row>
    <row r="7" spans="1:8" ht="16.5" customHeight="1" x14ac:dyDescent="0.35">
      <c r="A7" s="250"/>
      <c r="B7" s="19" t="s">
        <v>14</v>
      </c>
      <c r="C7" s="252"/>
      <c r="D7" s="17">
        <v>20</v>
      </c>
      <c r="E7" s="17"/>
      <c r="F7" s="17"/>
      <c r="G7" s="18"/>
    </row>
    <row r="8" spans="1:8" ht="14.25" customHeight="1" x14ac:dyDescent="0.35">
      <c r="A8" s="250"/>
      <c r="B8" s="19" t="s">
        <v>15</v>
      </c>
      <c r="C8" s="253"/>
      <c r="D8" s="17"/>
      <c r="E8" s="17"/>
      <c r="F8" s="17"/>
      <c r="G8" s="18"/>
    </row>
    <row r="9" spans="1:8" ht="16.5" customHeight="1" x14ac:dyDescent="0.35">
      <c r="A9" s="250"/>
      <c r="B9" s="16" t="s">
        <v>16</v>
      </c>
      <c r="C9" s="254" t="s">
        <v>17</v>
      </c>
      <c r="D9" s="17">
        <v>125149.6</v>
      </c>
      <c r="E9" s="17"/>
      <c r="F9" s="17"/>
      <c r="G9" s="18"/>
    </row>
    <row r="10" spans="1:8" ht="19.5" customHeight="1" x14ac:dyDescent="0.35">
      <c r="A10" s="250"/>
      <c r="B10" s="16" t="s">
        <v>18</v>
      </c>
      <c r="C10" s="255"/>
      <c r="D10" s="17">
        <f>D9+D11-D12</f>
        <v>126145.60000000001</v>
      </c>
      <c r="E10" s="17">
        <f t="shared" ref="E10:G10" si="2">E9+E11-E12</f>
        <v>0</v>
      </c>
      <c r="F10" s="17">
        <f t="shared" si="2"/>
        <v>0</v>
      </c>
      <c r="G10" s="18">
        <f t="shared" si="2"/>
        <v>0</v>
      </c>
      <c r="H10" s="113" t="e">
        <f ca="1">atskaites_jedox!AH8</f>
        <v>#NAME?</v>
      </c>
    </row>
    <row r="11" spans="1:8" ht="17.25" customHeight="1" x14ac:dyDescent="0.35">
      <c r="A11" s="250"/>
      <c r="B11" s="20" t="s">
        <v>19</v>
      </c>
      <c r="C11" s="255"/>
      <c r="D11" s="17">
        <v>996</v>
      </c>
      <c r="E11" s="17"/>
      <c r="F11" s="17"/>
      <c r="G11" s="18"/>
    </row>
    <row r="12" spans="1:8" ht="17.25" customHeight="1" x14ac:dyDescent="0.35">
      <c r="A12" s="251"/>
      <c r="B12" s="20" t="s">
        <v>20</v>
      </c>
      <c r="C12" s="256"/>
      <c r="D12" s="17"/>
      <c r="E12" s="17"/>
      <c r="F12" s="17"/>
      <c r="G12" s="18"/>
    </row>
    <row r="13" spans="1:8" ht="30" customHeight="1" thickBot="1" x14ac:dyDescent="0.4">
      <c r="A13" s="21" t="s">
        <v>72</v>
      </c>
      <c r="B13" s="96" t="s">
        <v>22</v>
      </c>
      <c r="C13" s="97" t="s">
        <v>23</v>
      </c>
      <c r="D13" s="79">
        <v>1.0540697424502208</v>
      </c>
      <c r="E13" s="79"/>
      <c r="F13" s="79"/>
      <c r="G13" s="80"/>
      <c r="H13" s="114" t="e">
        <f ca="1">atskaites_jedox!AI8</f>
        <v>#NAME?</v>
      </c>
    </row>
    <row r="14" spans="1:8" ht="36" customHeight="1" thickBot="1" x14ac:dyDescent="0.4">
      <c r="A14" s="26" t="s">
        <v>24</v>
      </c>
      <c r="B14" s="81" t="s">
        <v>25</v>
      </c>
      <c r="C14" s="82"/>
      <c r="D14" s="83">
        <f>SUM(D16*D25,D17*D26,D18*D27,D19*D28,D20*D29,D21*D30,D22*D31,D23*D32)</f>
        <v>366.55959999999999</v>
      </c>
      <c r="E14" s="83">
        <f t="shared" ref="E14:G14" si="3">SUM(E16*E25,E17*E26,E18*E27,E19*E28,E20*E29,E21*E30,E22*E31,E23*E32)</f>
        <v>0</v>
      </c>
      <c r="F14" s="83">
        <f t="shared" si="3"/>
        <v>0</v>
      </c>
      <c r="G14" s="83">
        <f t="shared" si="3"/>
        <v>0</v>
      </c>
    </row>
    <row r="15" spans="1:8" ht="28.5" x14ac:dyDescent="0.35">
      <c r="A15" s="265" t="s">
        <v>72</v>
      </c>
      <c r="B15" s="31" t="s">
        <v>26</v>
      </c>
      <c r="C15" s="32" t="s">
        <v>27</v>
      </c>
      <c r="D15" s="33"/>
      <c r="E15" s="33"/>
      <c r="F15" s="33"/>
      <c r="G15" s="34"/>
    </row>
    <row r="16" spans="1:8" x14ac:dyDescent="0.35">
      <c r="A16" s="266"/>
      <c r="B16" s="36" t="s">
        <v>28</v>
      </c>
      <c r="C16" s="37"/>
      <c r="D16" s="39">
        <v>22.2</v>
      </c>
      <c r="E16" s="39"/>
      <c r="F16" s="39"/>
      <c r="G16" s="40"/>
    </row>
    <row r="17" spans="1:7" x14ac:dyDescent="0.35">
      <c r="A17" s="266"/>
      <c r="B17" s="36" t="s">
        <v>30</v>
      </c>
      <c r="C17" s="37" t="s">
        <v>31</v>
      </c>
      <c r="D17" s="39">
        <v>665</v>
      </c>
      <c r="E17" s="39"/>
      <c r="F17" s="39"/>
      <c r="G17" s="40"/>
    </row>
    <row r="18" spans="1:7" x14ac:dyDescent="0.35">
      <c r="A18" s="266"/>
      <c r="B18" s="42" t="s">
        <v>32</v>
      </c>
      <c r="C18" s="37"/>
      <c r="D18" s="39"/>
      <c r="E18" s="39"/>
      <c r="F18" s="39"/>
      <c r="G18" s="40"/>
    </row>
    <row r="19" spans="1:7" x14ac:dyDescent="0.35">
      <c r="A19" s="266"/>
      <c r="B19" s="36" t="s">
        <v>33</v>
      </c>
      <c r="C19" s="37"/>
      <c r="D19" s="39"/>
      <c r="E19" s="39"/>
      <c r="F19" s="39"/>
      <c r="G19" s="40"/>
    </row>
    <row r="20" spans="1:7" x14ac:dyDescent="0.35">
      <c r="A20" s="266"/>
      <c r="B20" s="42" t="s">
        <v>34</v>
      </c>
      <c r="C20" s="37" t="s">
        <v>35</v>
      </c>
      <c r="D20" s="39">
        <v>531.38</v>
      </c>
      <c r="E20" s="39"/>
      <c r="F20" s="39"/>
      <c r="G20" s="40"/>
    </row>
    <row r="21" spans="1:7" x14ac:dyDescent="0.35">
      <c r="A21" s="266"/>
      <c r="B21" s="36" t="s">
        <v>36</v>
      </c>
      <c r="C21" s="37"/>
      <c r="D21" s="39"/>
      <c r="E21" s="39"/>
      <c r="F21" s="39"/>
      <c r="G21" s="40"/>
    </row>
    <row r="22" spans="1:7" s="47" customFormat="1" ht="14" x14ac:dyDescent="0.35">
      <c r="A22" s="266"/>
      <c r="B22" s="88" t="s">
        <v>37</v>
      </c>
      <c r="C22" s="89" t="s">
        <v>38</v>
      </c>
      <c r="D22" s="44">
        <v>3</v>
      </c>
      <c r="E22" s="45"/>
      <c r="F22" s="45"/>
      <c r="G22" s="46"/>
    </row>
    <row r="23" spans="1:7" s="35" customFormat="1" thickBot="1" x14ac:dyDescent="0.35">
      <c r="A23" s="266"/>
      <c r="B23" s="48" t="s">
        <v>39</v>
      </c>
      <c r="C23" s="49" t="s">
        <v>31</v>
      </c>
      <c r="D23" s="50">
        <v>2</v>
      </c>
      <c r="E23" s="51"/>
      <c r="F23" s="51"/>
      <c r="G23" s="52"/>
    </row>
    <row r="24" spans="1:7" x14ac:dyDescent="0.35">
      <c r="A24" s="266"/>
      <c r="B24" s="31" t="s">
        <v>40</v>
      </c>
      <c r="C24" s="268" t="s">
        <v>41</v>
      </c>
      <c r="D24" s="33"/>
      <c r="E24" s="33"/>
      <c r="F24" s="33"/>
      <c r="G24" s="34"/>
    </row>
    <row r="25" spans="1:7" x14ac:dyDescent="0.35">
      <c r="A25" s="266"/>
      <c r="B25" s="36" t="s">
        <v>28</v>
      </c>
      <c r="C25" s="260"/>
      <c r="D25" s="39">
        <v>3.5950000000000002</v>
      </c>
      <c r="E25" s="39"/>
      <c r="F25" s="39"/>
      <c r="G25" s="40"/>
    </row>
    <row r="26" spans="1:7" x14ac:dyDescent="0.35">
      <c r="A26" s="266"/>
      <c r="B26" s="36" t="s">
        <v>30</v>
      </c>
      <c r="C26" s="260"/>
      <c r="D26" s="39">
        <v>0.1</v>
      </c>
      <c r="E26" s="39"/>
      <c r="F26" s="39"/>
      <c r="G26" s="40"/>
    </row>
    <row r="27" spans="1:7" x14ac:dyDescent="0.35">
      <c r="A27" s="266"/>
      <c r="B27" s="42" t="s">
        <v>32</v>
      </c>
      <c r="C27" s="260"/>
      <c r="D27" s="39"/>
      <c r="E27" s="39"/>
      <c r="F27" s="39"/>
      <c r="G27" s="40"/>
    </row>
    <row r="28" spans="1:7" x14ac:dyDescent="0.35">
      <c r="A28" s="266"/>
      <c r="B28" s="42" t="s">
        <v>42</v>
      </c>
      <c r="C28" s="260"/>
      <c r="D28" s="39"/>
      <c r="E28" s="39"/>
      <c r="F28" s="39"/>
      <c r="G28" s="40"/>
    </row>
    <row r="29" spans="1:7" ht="28.5" x14ac:dyDescent="0.35">
      <c r="A29" s="266"/>
      <c r="B29" s="42" t="s">
        <v>43</v>
      </c>
      <c r="C29" s="260"/>
      <c r="D29" s="39">
        <v>0.37</v>
      </c>
      <c r="E29" s="39"/>
      <c r="F29" s="39"/>
      <c r="G29" s="40"/>
    </row>
    <row r="30" spans="1:7" x14ac:dyDescent="0.35">
      <c r="A30" s="266"/>
      <c r="B30" s="36" t="s">
        <v>36</v>
      </c>
      <c r="C30" s="260"/>
      <c r="D30" s="39"/>
      <c r="E30" s="39"/>
      <c r="F30" s="39"/>
      <c r="G30" s="40"/>
    </row>
    <row r="31" spans="1:7" s="35" customFormat="1" ht="14" x14ac:dyDescent="0.3">
      <c r="A31" s="266"/>
      <c r="B31" s="90" t="s">
        <v>37</v>
      </c>
      <c r="C31" s="260"/>
      <c r="D31" s="86">
        <v>2.56</v>
      </c>
      <c r="E31" s="86"/>
      <c r="F31" s="86"/>
      <c r="G31" s="87"/>
    </row>
    <row r="32" spans="1:7" s="35" customFormat="1" thickBot="1" x14ac:dyDescent="0.35">
      <c r="A32" s="267"/>
      <c r="B32" s="54" t="s">
        <v>39</v>
      </c>
      <c r="C32" s="261"/>
      <c r="D32" s="55">
        <v>7.98</v>
      </c>
      <c r="E32" s="55"/>
      <c r="F32" s="55"/>
      <c r="G32" s="56"/>
    </row>
    <row r="33" spans="1:8" x14ac:dyDescent="0.35">
      <c r="A33" s="91" t="s">
        <v>44</v>
      </c>
      <c r="B33" s="92" t="s">
        <v>45</v>
      </c>
      <c r="C33" s="93"/>
      <c r="D33" s="94">
        <f>((D36/D37)-(D34/D35))*D35</f>
        <v>30798.142925118067</v>
      </c>
      <c r="E33" s="94" t="e">
        <f>((E36/E37)-(E35/#REF!))*#REF!</f>
        <v>#DIV/0!</v>
      </c>
      <c r="F33" s="94" t="e">
        <f t="shared" ref="F33:G33" si="4">((F36/F37)-(F34/F35))*F35</f>
        <v>#DIV/0!</v>
      </c>
      <c r="G33" s="95" t="e">
        <f t="shared" si="4"/>
        <v>#DIV/0!</v>
      </c>
    </row>
    <row r="34" spans="1:8" ht="65.25" customHeight="1" x14ac:dyDescent="0.35">
      <c r="A34" s="262" t="s">
        <v>73</v>
      </c>
      <c r="B34" s="62" t="s">
        <v>47</v>
      </c>
      <c r="C34" s="63" t="s">
        <v>48</v>
      </c>
      <c r="D34" s="64">
        <v>54977.990000000005</v>
      </c>
      <c r="E34" s="65"/>
      <c r="F34" s="66"/>
      <c r="G34" s="67"/>
      <c r="H34" s="113" t="e">
        <f ca="1">atskaites_jedox!AG8</f>
        <v>#NAME?</v>
      </c>
    </row>
    <row r="35" spans="1:8" ht="15.75" customHeight="1" x14ac:dyDescent="0.35">
      <c r="A35" s="263"/>
      <c r="B35" s="62" t="s">
        <v>49</v>
      </c>
      <c r="C35" s="63" t="s">
        <v>17</v>
      </c>
      <c r="D35" s="68">
        <v>126145.60000000001</v>
      </c>
      <c r="E35" s="66"/>
      <c r="F35" s="66"/>
      <c r="G35" s="67"/>
      <c r="H35" s="113" t="e">
        <f ca="1">atskaites_jedox!AH8</f>
        <v>#NAME?</v>
      </c>
    </row>
    <row r="36" spans="1:8" ht="42.5" x14ac:dyDescent="0.35">
      <c r="A36" s="262" t="s">
        <v>74</v>
      </c>
      <c r="B36" s="62" t="s">
        <v>51</v>
      </c>
      <c r="C36" s="63" t="s">
        <v>48</v>
      </c>
      <c r="D36" s="64">
        <v>103059.94999999998</v>
      </c>
      <c r="E36" s="66"/>
      <c r="F36" s="66"/>
      <c r="G36" s="67"/>
      <c r="H36" s="113" t="e">
        <f ca="1">atskaites_jedox!I8</f>
        <v>#NAME?</v>
      </c>
    </row>
    <row r="37" spans="1:8" ht="15" thickBot="1" x14ac:dyDescent="0.4">
      <c r="A37" s="263"/>
      <c r="B37" s="69" t="s">
        <v>52</v>
      </c>
      <c r="C37" s="70" t="s">
        <v>17</v>
      </c>
      <c r="D37" s="71">
        <v>151563.82999999999</v>
      </c>
      <c r="E37" s="72"/>
      <c r="F37" s="72"/>
      <c r="G37" s="73"/>
      <c r="H37" s="113" t="e">
        <f ca="1">atskaites_jedox!J8</f>
        <v>#NAME?</v>
      </c>
    </row>
    <row r="38" spans="1:8" x14ac:dyDescent="0.35">
      <c r="A38" s="1"/>
      <c r="B38" s="1"/>
      <c r="C38" s="1"/>
      <c r="D38" s="1"/>
      <c r="E38" s="1"/>
      <c r="F38" s="1"/>
      <c r="G38" s="1"/>
    </row>
    <row r="39" spans="1:8" x14ac:dyDescent="0.35">
      <c r="A39" s="1"/>
      <c r="B39" s="1"/>
      <c r="C39" s="1"/>
      <c r="D39" s="1"/>
      <c r="E39" s="1"/>
      <c r="F39" s="1"/>
      <c r="G39" s="1"/>
    </row>
    <row r="40" spans="1:8" ht="15" thickBot="1" x14ac:dyDescent="0.4">
      <c r="A40" s="1"/>
      <c r="B40" s="74" t="s">
        <v>53</v>
      </c>
      <c r="C40" s="75"/>
      <c r="D40" s="75"/>
      <c r="E40" s="75"/>
      <c r="F40" s="75"/>
      <c r="G40" s="75"/>
    </row>
    <row r="41" spans="1:8" ht="15" thickTop="1" x14ac:dyDescent="0.35">
      <c r="A41" s="1"/>
      <c r="B41" s="1"/>
      <c r="C41" s="1"/>
      <c r="D41" s="1"/>
      <c r="E41" s="1"/>
      <c r="F41" s="1"/>
      <c r="G41" s="1"/>
    </row>
    <row r="42" spans="1:8" x14ac:dyDescent="0.35">
      <c r="A42" s="1"/>
      <c r="B42" s="1"/>
      <c r="C42" s="1"/>
      <c r="D42" s="1"/>
      <c r="E42" s="1"/>
      <c r="F42" s="1"/>
      <c r="G42" s="1"/>
    </row>
    <row r="43" spans="1:8" x14ac:dyDescent="0.35">
      <c r="A43" s="1" t="s">
        <v>54</v>
      </c>
      <c r="B43" s="1"/>
      <c r="C43" s="1"/>
      <c r="D43" s="1"/>
      <c r="E43" s="1"/>
      <c r="F43" s="1"/>
      <c r="G43" s="1"/>
    </row>
    <row r="44" spans="1:8" ht="32.25" customHeight="1" x14ac:dyDescent="0.35">
      <c r="A44" s="246" t="s">
        <v>55</v>
      </c>
      <c r="B44" s="246"/>
      <c r="C44" s="246"/>
      <c r="D44" s="246"/>
      <c r="E44" s="246"/>
      <c r="F44" s="246"/>
      <c r="G44" s="246"/>
    </row>
    <row r="45" spans="1:8" x14ac:dyDescent="0.35">
      <c r="A45" s="35" t="s">
        <v>56</v>
      </c>
      <c r="B45" s="35"/>
      <c r="C45" s="35"/>
      <c r="D45" s="35"/>
      <c r="E45" s="35"/>
      <c r="F45" s="35"/>
      <c r="G45" s="35"/>
    </row>
    <row r="46" spans="1:8" ht="33.75" customHeight="1" x14ac:dyDescent="0.35">
      <c r="A46" s="264" t="s">
        <v>57</v>
      </c>
      <c r="B46" s="264"/>
      <c r="C46" s="264"/>
      <c r="D46" s="264"/>
      <c r="E46" s="264"/>
      <c r="F46" s="264"/>
      <c r="G46" s="264"/>
    </row>
    <row r="47" spans="1:8" ht="30.75" customHeight="1" x14ac:dyDescent="0.35">
      <c r="A47" s="246" t="s">
        <v>58</v>
      </c>
      <c r="B47" s="246"/>
      <c r="C47" s="246"/>
      <c r="D47" s="246"/>
      <c r="E47" s="246"/>
      <c r="F47" s="246"/>
      <c r="G47" s="246"/>
    </row>
    <row r="48" spans="1:8" ht="34.5" customHeight="1" x14ac:dyDescent="0.35">
      <c r="A48" s="246" t="s">
        <v>59</v>
      </c>
      <c r="B48" s="246"/>
      <c r="C48" s="246"/>
      <c r="D48" s="246"/>
      <c r="E48" s="246"/>
      <c r="F48" s="246"/>
      <c r="G48" s="246"/>
    </row>
    <row r="49" spans="1:7" x14ac:dyDescent="0.35">
      <c r="A49" s="35"/>
      <c r="B49" s="35"/>
      <c r="C49" s="35"/>
      <c r="D49" s="35"/>
      <c r="E49" s="35"/>
      <c r="F49" s="35"/>
      <c r="G49" s="35"/>
    </row>
    <row r="50" spans="1:7" x14ac:dyDescent="0.35">
      <c r="A50" s="76" t="s">
        <v>60</v>
      </c>
      <c r="B50" s="35"/>
      <c r="C50" s="35"/>
      <c r="D50" s="35"/>
      <c r="E50" s="35"/>
      <c r="F50" s="35"/>
      <c r="G50" s="35"/>
    </row>
    <row r="51" spans="1:7" ht="36" customHeight="1" x14ac:dyDescent="0.35">
      <c r="A51" s="246" t="s">
        <v>61</v>
      </c>
      <c r="B51" s="246"/>
      <c r="C51" s="246"/>
      <c r="D51" s="246"/>
      <c r="E51" s="246"/>
      <c r="F51" s="246"/>
      <c r="G51" s="246"/>
    </row>
    <row r="52" spans="1:7" ht="33" customHeight="1" x14ac:dyDescent="0.35">
      <c r="A52" s="246" t="s">
        <v>62</v>
      </c>
      <c r="B52" s="246"/>
      <c r="C52" s="246"/>
      <c r="D52" s="246"/>
      <c r="E52" s="246"/>
      <c r="F52" s="246"/>
      <c r="G52" s="246"/>
    </row>
    <row r="53" spans="1:7" ht="33" customHeight="1" x14ac:dyDescent="0.35">
      <c r="A53" s="246" t="s">
        <v>63</v>
      </c>
      <c r="B53" s="246"/>
      <c r="C53" s="246"/>
      <c r="D53" s="246"/>
      <c r="E53" s="246"/>
      <c r="F53" s="246"/>
      <c r="G53" s="246"/>
    </row>
    <row r="54" spans="1:7" ht="66" customHeight="1" x14ac:dyDescent="0.35">
      <c r="A54" s="246" t="s">
        <v>64</v>
      </c>
      <c r="B54" s="246"/>
      <c r="C54" s="246"/>
      <c r="D54" s="246"/>
      <c r="E54" s="246"/>
      <c r="F54" s="246"/>
      <c r="G54" s="246"/>
    </row>
    <row r="55" spans="1:7" ht="36" customHeight="1" x14ac:dyDescent="0.35">
      <c r="A55" s="246" t="s">
        <v>65</v>
      </c>
      <c r="B55" s="246"/>
      <c r="C55" s="246"/>
      <c r="D55" s="246"/>
      <c r="E55" s="246"/>
      <c r="F55" s="246"/>
      <c r="G55" s="246"/>
    </row>
    <row r="56" spans="1:7" ht="48.75" customHeight="1" x14ac:dyDescent="0.35">
      <c r="A56" s="247" t="s">
        <v>66</v>
      </c>
      <c r="B56" s="247"/>
      <c r="C56" s="247"/>
      <c r="D56" s="247"/>
      <c r="E56" s="247"/>
      <c r="F56" s="247"/>
      <c r="G56" s="247"/>
    </row>
    <row r="57" spans="1:7" ht="35.25" customHeight="1" x14ac:dyDescent="0.35">
      <c r="A57" s="246" t="s">
        <v>67</v>
      </c>
      <c r="B57" s="246"/>
      <c r="C57" s="246"/>
      <c r="D57" s="246"/>
      <c r="E57" s="246"/>
      <c r="F57" s="246"/>
      <c r="G57" s="246"/>
    </row>
    <row r="58" spans="1:7" ht="45.75" customHeight="1" x14ac:dyDescent="0.35">
      <c r="A58" s="246" t="s">
        <v>68</v>
      </c>
      <c r="B58" s="246"/>
      <c r="C58" s="246"/>
      <c r="D58" s="246"/>
      <c r="E58" s="246"/>
      <c r="F58" s="246"/>
      <c r="G58" s="246"/>
    </row>
  </sheetData>
  <mergeCells count="20">
    <mergeCell ref="A48:G48"/>
    <mergeCell ref="A1:G1"/>
    <mergeCell ref="A4:A12"/>
    <mergeCell ref="C4:C8"/>
    <mergeCell ref="C9:C12"/>
    <mergeCell ref="A15:A32"/>
    <mergeCell ref="C24:C32"/>
    <mergeCell ref="A34:A35"/>
    <mergeCell ref="A36:A37"/>
    <mergeCell ref="A44:G44"/>
    <mergeCell ref="A46:G46"/>
    <mergeCell ref="A47:G47"/>
    <mergeCell ref="A57:G57"/>
    <mergeCell ref="A58:G58"/>
    <mergeCell ref="A51:G51"/>
    <mergeCell ref="A52:G52"/>
    <mergeCell ref="A53:G53"/>
    <mergeCell ref="A54:G54"/>
    <mergeCell ref="A55:G55"/>
    <mergeCell ref="A56:G56"/>
  </mergeCells>
  <pageMargins left="0.7" right="0.7" top="0.75" bottom="0.75" header="0.3" footer="0.3"/>
  <pageSetup paperSize="9" scale="5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B94B3-6C48-4446-99EE-E7ADE5A34217}">
  <sheetPr>
    <pageSetUpPr fitToPage="1"/>
  </sheetPr>
  <dimension ref="A1:I60"/>
  <sheetViews>
    <sheetView workbookViewId="0">
      <pane xSplit="3" ySplit="2" topLeftCell="D3" activePane="bottomRight" state="frozen"/>
      <selection pane="topRight" activeCell="D1" sqref="D1"/>
      <selection pane="bottomLeft" activeCell="A3" sqref="A3"/>
      <selection pane="bottomRight" activeCell="H1" sqref="H1:I1048576"/>
    </sheetView>
  </sheetViews>
  <sheetFormatPr defaultColWidth="8.7265625" defaultRowHeight="14.5" x14ac:dyDescent="0.35"/>
  <cols>
    <col min="1" max="1" width="15.1796875" style="129" customWidth="1"/>
    <col min="2" max="2" width="56.7265625" style="129" customWidth="1"/>
    <col min="3" max="3" width="13" style="129" customWidth="1"/>
    <col min="4" max="4" width="14.1796875" style="129" customWidth="1"/>
    <col min="5" max="5" width="14.54296875" style="129" customWidth="1"/>
    <col min="6" max="6" width="12.453125" style="129" customWidth="1"/>
    <col min="7" max="7" width="13.1796875" style="129" customWidth="1"/>
    <col min="8" max="9" width="0" style="129" hidden="1" customWidth="1"/>
    <col min="10" max="16384" width="8.7265625" style="129"/>
  </cols>
  <sheetData>
    <row r="1" spans="1:8" ht="42" customHeight="1" x14ac:dyDescent="0.35">
      <c r="A1" s="271" t="s">
        <v>0</v>
      </c>
      <c r="B1" s="271"/>
      <c r="C1" s="271"/>
      <c r="D1" s="271"/>
      <c r="E1" s="271"/>
      <c r="F1" s="271"/>
      <c r="G1" s="271"/>
    </row>
    <row r="2" spans="1:8" ht="28.5" thickBot="1" x14ac:dyDescent="0.4">
      <c r="A2" s="130" t="s">
        <v>1</v>
      </c>
      <c r="B2" s="131"/>
      <c r="C2" s="132" t="s">
        <v>2</v>
      </c>
      <c r="D2" s="132" t="s">
        <v>3</v>
      </c>
      <c r="E2" s="133" t="s">
        <v>4</v>
      </c>
      <c r="F2" s="132" t="s">
        <v>5</v>
      </c>
      <c r="G2" s="132" t="s">
        <v>6</v>
      </c>
    </row>
    <row r="3" spans="1:8" ht="15" thickBot="1" x14ac:dyDescent="0.4">
      <c r="A3" s="134" t="s">
        <v>7</v>
      </c>
      <c r="B3" s="135" t="s">
        <v>8</v>
      </c>
      <c r="C3" s="136"/>
      <c r="D3" s="137">
        <f>(D10-D9)*D13</f>
        <v>6880.9907598392583</v>
      </c>
      <c r="E3" s="137">
        <f t="shared" ref="E3:G3" si="0">(E10-E9)*E13</f>
        <v>0</v>
      </c>
      <c r="F3" s="137">
        <f t="shared" si="0"/>
        <v>0</v>
      </c>
      <c r="G3" s="138">
        <f t="shared" si="0"/>
        <v>0</v>
      </c>
    </row>
    <row r="4" spans="1:8" ht="17.25" customHeight="1" x14ac:dyDescent="0.35">
      <c r="A4" s="272" t="s">
        <v>110</v>
      </c>
      <c r="B4" s="139" t="s">
        <v>10</v>
      </c>
      <c r="C4" s="275" t="s">
        <v>11</v>
      </c>
      <c r="D4" s="140">
        <v>33</v>
      </c>
      <c r="E4" s="141"/>
      <c r="F4" s="140"/>
      <c r="G4" s="142"/>
    </row>
    <row r="5" spans="1:8" x14ac:dyDescent="0.35">
      <c r="A5" s="273"/>
      <c r="B5" s="143" t="s">
        <v>12</v>
      </c>
      <c r="C5" s="275"/>
      <c r="D5" s="144">
        <v>11722</v>
      </c>
      <c r="E5" s="144"/>
      <c r="F5" s="144"/>
      <c r="G5" s="145"/>
    </row>
    <row r="6" spans="1:8" x14ac:dyDescent="0.35">
      <c r="A6" s="273"/>
      <c r="B6" s="143" t="s">
        <v>13</v>
      </c>
      <c r="C6" s="275"/>
      <c r="D6" s="144">
        <f>D5+D7-D8</f>
        <v>12294</v>
      </c>
      <c r="E6" s="144">
        <f t="shared" ref="E6:G6" si="1">E5+E7-E8</f>
        <v>0</v>
      </c>
      <c r="F6" s="144">
        <f t="shared" si="1"/>
        <v>0</v>
      </c>
      <c r="G6" s="145">
        <f t="shared" si="1"/>
        <v>0</v>
      </c>
    </row>
    <row r="7" spans="1:8" ht="16.5" customHeight="1" x14ac:dyDescent="0.35">
      <c r="A7" s="273"/>
      <c r="B7" s="146" t="s">
        <v>14</v>
      </c>
      <c r="C7" s="275"/>
      <c r="D7" s="144">
        <v>572</v>
      </c>
      <c r="E7" s="144"/>
      <c r="F7" s="144"/>
      <c r="G7" s="145"/>
    </row>
    <row r="8" spans="1:8" ht="14.25" customHeight="1" x14ac:dyDescent="0.35">
      <c r="A8" s="273"/>
      <c r="B8" s="146" t="s">
        <v>15</v>
      </c>
      <c r="C8" s="276"/>
      <c r="D8" s="144"/>
      <c r="E8" s="144"/>
      <c r="F8" s="144"/>
      <c r="G8" s="145"/>
    </row>
    <row r="9" spans="1:8" ht="16.5" customHeight="1" x14ac:dyDescent="0.35">
      <c r="A9" s="273"/>
      <c r="B9" s="143" t="s">
        <v>16</v>
      </c>
      <c r="C9" s="277" t="s">
        <v>17</v>
      </c>
      <c r="D9" s="144">
        <v>126601.97000000002</v>
      </c>
      <c r="E9" s="144"/>
      <c r="F9" s="144"/>
      <c r="G9" s="145"/>
    </row>
    <row r="10" spans="1:8" ht="19.5" customHeight="1" x14ac:dyDescent="0.35">
      <c r="A10" s="273"/>
      <c r="B10" s="143" t="s">
        <v>18</v>
      </c>
      <c r="C10" s="278"/>
      <c r="D10" s="144">
        <f>D9+D11-D12</f>
        <v>132379.17000000001</v>
      </c>
      <c r="E10" s="144">
        <f t="shared" ref="E10:G10" si="2">E9+E11-E12</f>
        <v>0</v>
      </c>
      <c r="F10" s="144">
        <f t="shared" si="2"/>
        <v>0</v>
      </c>
      <c r="G10" s="145">
        <f t="shared" si="2"/>
        <v>0</v>
      </c>
      <c r="H10" s="229" t="e">
        <f ca="1">atskaites_jedox!AK8</f>
        <v>#NAME?</v>
      </c>
    </row>
    <row r="11" spans="1:8" ht="17.25" customHeight="1" x14ac:dyDescent="0.35">
      <c r="A11" s="273"/>
      <c r="B11" s="147" t="s">
        <v>19</v>
      </c>
      <c r="C11" s="278"/>
      <c r="D11" s="144">
        <v>5777.2</v>
      </c>
      <c r="E11" s="144"/>
      <c r="F11" s="144"/>
      <c r="G11" s="145"/>
    </row>
    <row r="12" spans="1:8" ht="17.25" customHeight="1" x14ac:dyDescent="0.35">
      <c r="A12" s="274"/>
      <c r="B12" s="147" t="s">
        <v>20</v>
      </c>
      <c r="C12" s="279"/>
      <c r="D12" s="144"/>
      <c r="E12" s="144"/>
      <c r="F12" s="144"/>
      <c r="G12" s="145"/>
    </row>
    <row r="13" spans="1:8" ht="30" customHeight="1" thickBot="1" x14ac:dyDescent="0.4">
      <c r="A13" s="148" t="s">
        <v>110</v>
      </c>
      <c r="B13" s="149" t="s">
        <v>22</v>
      </c>
      <c r="C13" s="150" t="s">
        <v>23</v>
      </c>
      <c r="D13" s="151">
        <v>1.1910598144151598</v>
      </c>
      <c r="E13" s="151"/>
      <c r="F13" s="151"/>
      <c r="G13" s="152"/>
      <c r="H13" s="230" t="e">
        <f ca="1">atskaites_jedox!AL8</f>
        <v>#NAME?</v>
      </c>
    </row>
    <row r="14" spans="1:8" ht="36" customHeight="1" thickBot="1" x14ac:dyDescent="0.4">
      <c r="A14" s="153" t="s">
        <v>24</v>
      </c>
      <c r="B14" s="154" t="s">
        <v>25</v>
      </c>
      <c r="C14" s="155"/>
      <c r="D14" s="156">
        <f>SUM(D16*D26,D17*D27,D18*D28,D19*D29,D20*D30,D21*D31,D22*D32,D24*D34,D23*D33)</f>
        <v>506.084</v>
      </c>
      <c r="E14" s="156">
        <f t="shared" ref="E14:G14" si="3">SUM(E16*E26,E17*E27,E18*E28,E19*E29,E20*E30,E21*E31,E22*E32,E24*E34)</f>
        <v>0</v>
      </c>
      <c r="F14" s="156">
        <f t="shared" si="3"/>
        <v>0</v>
      </c>
      <c r="G14" s="156">
        <f t="shared" si="3"/>
        <v>0</v>
      </c>
    </row>
    <row r="15" spans="1:8" ht="28.5" x14ac:dyDescent="0.35">
      <c r="A15" s="280" t="s">
        <v>110</v>
      </c>
      <c r="B15" s="157" t="s">
        <v>26</v>
      </c>
      <c r="C15" s="158" t="s">
        <v>27</v>
      </c>
      <c r="D15" s="159"/>
      <c r="E15" s="159"/>
      <c r="F15" s="159"/>
      <c r="G15" s="160"/>
    </row>
    <row r="16" spans="1:8" x14ac:dyDescent="0.35">
      <c r="A16" s="281"/>
      <c r="B16" s="161" t="s">
        <v>28</v>
      </c>
      <c r="C16" s="162" t="s">
        <v>29</v>
      </c>
      <c r="D16" s="163">
        <v>11.84</v>
      </c>
      <c r="E16" s="163"/>
      <c r="F16" s="163"/>
      <c r="G16" s="164"/>
    </row>
    <row r="17" spans="1:7" x14ac:dyDescent="0.35">
      <c r="A17" s="281"/>
      <c r="B17" s="161" t="s">
        <v>30</v>
      </c>
      <c r="C17" s="162" t="s">
        <v>31</v>
      </c>
      <c r="D17" s="163">
        <v>465</v>
      </c>
      <c r="E17" s="163"/>
      <c r="F17" s="163"/>
      <c r="G17" s="164"/>
    </row>
    <row r="18" spans="1:7" x14ac:dyDescent="0.35">
      <c r="A18" s="281"/>
      <c r="B18" s="165" t="s">
        <v>32</v>
      </c>
      <c r="C18" s="162" t="s">
        <v>31</v>
      </c>
      <c r="D18" s="163">
        <v>3</v>
      </c>
      <c r="E18" s="163"/>
      <c r="F18" s="163"/>
      <c r="G18" s="164"/>
    </row>
    <row r="19" spans="1:7" x14ac:dyDescent="0.35">
      <c r="A19" s="281"/>
      <c r="B19" s="161" t="s">
        <v>33</v>
      </c>
      <c r="C19" s="162"/>
      <c r="D19" s="163"/>
      <c r="E19" s="163"/>
      <c r="F19" s="163"/>
      <c r="G19" s="164"/>
    </row>
    <row r="20" spans="1:7" x14ac:dyDescent="0.35">
      <c r="A20" s="281"/>
      <c r="B20" s="165" t="s">
        <v>34</v>
      </c>
      <c r="C20" s="162" t="s">
        <v>35</v>
      </c>
      <c r="D20" s="163">
        <v>652.79999999999995</v>
      </c>
      <c r="E20" s="163"/>
      <c r="F20" s="163"/>
      <c r="G20" s="164"/>
    </row>
    <row r="21" spans="1:7" x14ac:dyDescent="0.35">
      <c r="A21" s="281"/>
      <c r="B21" s="161" t="s">
        <v>36</v>
      </c>
      <c r="C21" s="162"/>
      <c r="D21" s="163"/>
      <c r="E21" s="163"/>
      <c r="F21" s="163"/>
      <c r="G21" s="164"/>
    </row>
    <row r="22" spans="1:7" s="171" customFormat="1" ht="14" x14ac:dyDescent="0.35">
      <c r="A22" s="281"/>
      <c r="B22" s="166" t="s">
        <v>37</v>
      </c>
      <c r="C22" s="167" t="s">
        <v>38</v>
      </c>
      <c r="D22" s="168">
        <v>3</v>
      </c>
      <c r="E22" s="169"/>
      <c r="F22" s="169"/>
      <c r="G22" s="170"/>
    </row>
    <row r="23" spans="1:7" s="171" customFormat="1" ht="14" x14ac:dyDescent="0.35">
      <c r="A23" s="281"/>
      <c r="B23" s="172" t="s">
        <v>111</v>
      </c>
      <c r="C23" s="162" t="s">
        <v>31</v>
      </c>
      <c r="D23" s="173">
        <v>6</v>
      </c>
      <c r="E23" s="174"/>
      <c r="F23" s="174"/>
      <c r="G23" s="175"/>
    </row>
    <row r="24" spans="1:7" s="181" customFormat="1" thickBot="1" x14ac:dyDescent="0.35">
      <c r="A24" s="281"/>
      <c r="B24" s="176" t="s">
        <v>39</v>
      </c>
      <c r="C24" s="177" t="s">
        <v>31</v>
      </c>
      <c r="D24" s="178">
        <v>1</v>
      </c>
      <c r="E24" s="179"/>
      <c r="F24" s="179"/>
      <c r="G24" s="180"/>
    </row>
    <row r="25" spans="1:7" x14ac:dyDescent="0.35">
      <c r="A25" s="281"/>
      <c r="B25" s="157" t="s">
        <v>40</v>
      </c>
      <c r="C25" s="283" t="s">
        <v>41</v>
      </c>
      <c r="D25" s="159"/>
      <c r="E25" s="159"/>
      <c r="F25" s="159"/>
      <c r="G25" s="160"/>
    </row>
    <row r="26" spans="1:7" x14ac:dyDescent="0.35">
      <c r="A26" s="281"/>
      <c r="B26" s="161" t="s">
        <v>28</v>
      </c>
      <c r="C26" s="284"/>
      <c r="D26" s="163">
        <v>14.2</v>
      </c>
      <c r="E26" s="163"/>
      <c r="F26" s="163"/>
      <c r="G26" s="164"/>
    </row>
    <row r="27" spans="1:7" x14ac:dyDescent="0.35">
      <c r="A27" s="281"/>
      <c r="B27" s="161" t="s">
        <v>30</v>
      </c>
      <c r="C27" s="284"/>
      <c r="D27" s="163">
        <v>0.1</v>
      </c>
      <c r="E27" s="163"/>
      <c r="F27" s="163"/>
      <c r="G27" s="164"/>
    </row>
    <row r="28" spans="1:7" x14ac:dyDescent="0.35">
      <c r="A28" s="281"/>
      <c r="B28" s="165" t="s">
        <v>32</v>
      </c>
      <c r="C28" s="284"/>
      <c r="D28" s="163">
        <f>5.25/3</f>
        <v>1.75</v>
      </c>
      <c r="E28" s="163"/>
      <c r="F28" s="163"/>
      <c r="G28" s="164"/>
    </row>
    <row r="29" spans="1:7" x14ac:dyDescent="0.35">
      <c r="A29" s="281"/>
      <c r="B29" s="165" t="s">
        <v>42</v>
      </c>
      <c r="C29" s="284"/>
      <c r="D29" s="163"/>
      <c r="E29" s="163"/>
      <c r="F29" s="163"/>
      <c r="G29" s="164"/>
    </row>
    <row r="30" spans="1:7" ht="28.5" x14ac:dyDescent="0.35">
      <c r="A30" s="281"/>
      <c r="B30" s="165" t="s">
        <v>43</v>
      </c>
      <c r="C30" s="284"/>
      <c r="D30" s="163">
        <v>0.37</v>
      </c>
      <c r="E30" s="163"/>
      <c r="F30" s="163"/>
      <c r="G30" s="164"/>
    </row>
    <row r="31" spans="1:7" x14ac:dyDescent="0.35">
      <c r="A31" s="281"/>
      <c r="B31" s="161" t="s">
        <v>36</v>
      </c>
      <c r="C31" s="284"/>
      <c r="D31" s="163"/>
      <c r="E31" s="163"/>
      <c r="F31" s="163"/>
      <c r="G31" s="164"/>
    </row>
    <row r="32" spans="1:7" s="181" customFormat="1" ht="14" x14ac:dyDescent="0.3">
      <c r="A32" s="281"/>
      <c r="B32" s="182" t="s">
        <v>37</v>
      </c>
      <c r="C32" s="284"/>
      <c r="D32" s="183">
        <f>6.5/3</f>
        <v>2.1666666666666665</v>
      </c>
      <c r="E32" s="183"/>
      <c r="F32" s="183"/>
      <c r="G32" s="184"/>
    </row>
    <row r="33" spans="1:9" s="181" customFormat="1" ht="14" x14ac:dyDescent="0.3">
      <c r="A33" s="281"/>
      <c r="B33" s="185" t="s">
        <v>111</v>
      </c>
      <c r="C33" s="284"/>
      <c r="D33" s="163">
        <v>4.2699999999999996</v>
      </c>
      <c r="E33" s="163"/>
      <c r="F33" s="163"/>
      <c r="G33" s="164"/>
    </row>
    <row r="34" spans="1:9" s="181" customFormat="1" thickBot="1" x14ac:dyDescent="0.35">
      <c r="A34" s="282"/>
      <c r="B34" s="186" t="s">
        <v>39</v>
      </c>
      <c r="C34" s="285"/>
      <c r="D34" s="187">
        <v>12.55</v>
      </c>
      <c r="E34" s="187"/>
      <c r="F34" s="187"/>
      <c r="G34" s="188"/>
    </row>
    <row r="35" spans="1:9" x14ac:dyDescent="0.35">
      <c r="A35" s="189" t="s">
        <v>44</v>
      </c>
      <c r="B35" s="190" t="s">
        <v>45</v>
      </c>
      <c r="C35" s="191"/>
      <c r="D35" s="192">
        <f>((D38/D39)-(D36/D37))*D37</f>
        <v>21227.607595879977</v>
      </c>
      <c r="E35" s="192" t="e">
        <f>((E38/E39)-(E37/#REF!))*#REF!</f>
        <v>#DIV/0!</v>
      </c>
      <c r="F35" s="192" t="e">
        <f t="shared" ref="F35:G35" si="4">((F38/F39)-(F36/F37))*F37</f>
        <v>#DIV/0!</v>
      </c>
      <c r="G35" s="193" t="e">
        <f t="shared" si="4"/>
        <v>#DIV/0!</v>
      </c>
    </row>
    <row r="36" spans="1:9" ht="65.25" customHeight="1" x14ac:dyDescent="0.35">
      <c r="A36" s="286" t="s">
        <v>112</v>
      </c>
      <c r="B36" s="194" t="s">
        <v>47</v>
      </c>
      <c r="C36" s="195" t="s">
        <v>48</v>
      </c>
      <c r="D36" s="196">
        <v>54919.63</v>
      </c>
      <c r="E36" s="197"/>
      <c r="F36" s="198"/>
      <c r="G36" s="199"/>
      <c r="H36" s="229" t="e">
        <f ca="1">atskaites_jedox!AJ8</f>
        <v>#NAME?</v>
      </c>
    </row>
    <row r="37" spans="1:9" ht="15.75" customHeight="1" x14ac:dyDescent="0.35">
      <c r="A37" s="287"/>
      <c r="B37" s="194" t="s">
        <v>49</v>
      </c>
      <c r="C37" s="195" t="s">
        <v>17</v>
      </c>
      <c r="D37" s="200">
        <v>132379.17000000001</v>
      </c>
      <c r="E37" s="198"/>
      <c r="F37" s="198"/>
      <c r="G37" s="199"/>
      <c r="H37" s="229" t="e">
        <f ca="1">atskaites_jedox!AK8</f>
        <v>#NAME?</v>
      </c>
      <c r="I37" s="129" t="e">
        <f ca="1">H37=D10</f>
        <v>#NAME?</v>
      </c>
    </row>
    <row r="38" spans="1:9" ht="42.5" x14ac:dyDescent="0.35">
      <c r="A38" s="286" t="s">
        <v>113</v>
      </c>
      <c r="B38" s="194" t="s">
        <v>51</v>
      </c>
      <c r="C38" s="195" t="s">
        <v>48</v>
      </c>
      <c r="D38" s="196">
        <v>87551.54</v>
      </c>
      <c r="E38" s="198"/>
      <c r="F38" s="198"/>
      <c r="G38" s="199"/>
      <c r="H38" s="229" t="e">
        <f ca="1">atskaites_jedox!L8</f>
        <v>#NAME?</v>
      </c>
    </row>
    <row r="39" spans="1:9" ht="15" thickBot="1" x14ac:dyDescent="0.4">
      <c r="A39" s="287"/>
      <c r="B39" s="201" t="s">
        <v>52</v>
      </c>
      <c r="C39" s="202" t="s">
        <v>17</v>
      </c>
      <c r="D39" s="203">
        <v>152205.13</v>
      </c>
      <c r="E39" s="204"/>
      <c r="F39" s="204"/>
      <c r="G39" s="205"/>
      <c r="H39" s="229" t="e">
        <f ca="1">atskaites_jedox!M8</f>
        <v>#NAME?</v>
      </c>
    </row>
    <row r="40" spans="1:9" x14ac:dyDescent="0.35">
      <c r="A40" s="206"/>
      <c r="B40" s="206"/>
      <c r="C40" s="206"/>
      <c r="D40" s="206"/>
      <c r="E40" s="206"/>
      <c r="F40" s="206"/>
      <c r="G40" s="206"/>
    </row>
    <row r="41" spans="1:9" x14ac:dyDescent="0.35">
      <c r="A41" s="206"/>
      <c r="B41" s="206"/>
      <c r="C41" s="206"/>
      <c r="D41" s="206"/>
      <c r="E41" s="206"/>
      <c r="F41" s="206"/>
      <c r="G41" s="206"/>
    </row>
    <row r="42" spans="1:9" ht="15" thickBot="1" x14ac:dyDescent="0.4">
      <c r="A42" s="206"/>
      <c r="B42" s="207" t="s">
        <v>53</v>
      </c>
      <c r="C42" s="208"/>
      <c r="D42" s="208"/>
      <c r="E42" s="208"/>
      <c r="F42" s="208"/>
      <c r="G42" s="208"/>
    </row>
    <row r="43" spans="1:9" ht="15" thickTop="1" x14ac:dyDescent="0.35">
      <c r="A43" s="206"/>
      <c r="B43" s="206"/>
      <c r="C43" s="206"/>
      <c r="D43" s="206"/>
      <c r="E43" s="206"/>
      <c r="F43" s="206"/>
      <c r="G43" s="206"/>
    </row>
    <row r="44" spans="1:9" x14ac:dyDescent="0.35">
      <c r="A44" s="206"/>
      <c r="B44" s="206"/>
      <c r="C44" s="206"/>
      <c r="D44" s="206"/>
      <c r="E44" s="206"/>
      <c r="F44" s="206"/>
      <c r="G44" s="206"/>
    </row>
    <row r="45" spans="1:9" x14ac:dyDescent="0.35">
      <c r="A45" s="206" t="s">
        <v>54</v>
      </c>
      <c r="B45" s="206"/>
      <c r="C45" s="206"/>
      <c r="D45" s="206"/>
      <c r="E45" s="206"/>
      <c r="F45" s="206"/>
      <c r="G45" s="206"/>
    </row>
    <row r="46" spans="1:9" ht="32.25" customHeight="1" x14ac:dyDescent="0.35">
      <c r="A46" s="269" t="s">
        <v>55</v>
      </c>
      <c r="B46" s="269"/>
      <c r="C46" s="269"/>
      <c r="D46" s="269"/>
      <c r="E46" s="269"/>
      <c r="F46" s="269"/>
      <c r="G46" s="269"/>
    </row>
    <row r="47" spans="1:9" x14ac:dyDescent="0.35">
      <c r="A47" s="181" t="s">
        <v>56</v>
      </c>
      <c r="B47" s="181"/>
      <c r="C47" s="181"/>
      <c r="D47" s="181"/>
      <c r="E47" s="181"/>
      <c r="F47" s="181"/>
      <c r="G47" s="181"/>
    </row>
    <row r="48" spans="1:9" ht="33.75" customHeight="1" x14ac:dyDescent="0.35">
      <c r="A48" s="288" t="s">
        <v>57</v>
      </c>
      <c r="B48" s="288"/>
      <c r="C48" s="288"/>
      <c r="D48" s="288"/>
      <c r="E48" s="288"/>
      <c r="F48" s="288"/>
      <c r="G48" s="288"/>
    </row>
    <row r="49" spans="1:7" ht="30.75" customHeight="1" x14ac:dyDescent="0.35">
      <c r="A49" s="269" t="s">
        <v>58</v>
      </c>
      <c r="B49" s="269"/>
      <c r="C49" s="269"/>
      <c r="D49" s="269"/>
      <c r="E49" s="269"/>
      <c r="F49" s="269"/>
      <c r="G49" s="269"/>
    </row>
    <row r="50" spans="1:7" ht="34.5" customHeight="1" x14ac:dyDescent="0.35">
      <c r="A50" s="269" t="s">
        <v>59</v>
      </c>
      <c r="B50" s="269"/>
      <c r="C50" s="269"/>
      <c r="D50" s="269"/>
      <c r="E50" s="269"/>
      <c r="F50" s="269"/>
      <c r="G50" s="269"/>
    </row>
    <row r="51" spans="1:7" x14ac:dyDescent="0.35">
      <c r="A51" s="181"/>
      <c r="B51" s="181"/>
      <c r="C51" s="181"/>
      <c r="D51" s="181"/>
      <c r="E51" s="181"/>
      <c r="F51" s="181"/>
      <c r="G51" s="181"/>
    </row>
    <row r="52" spans="1:7" x14ac:dyDescent="0.35">
      <c r="A52" s="209" t="s">
        <v>60</v>
      </c>
      <c r="B52" s="181"/>
      <c r="C52" s="181"/>
      <c r="D52" s="181"/>
      <c r="E52" s="181"/>
      <c r="F52" s="181"/>
      <c r="G52" s="181"/>
    </row>
    <row r="53" spans="1:7" ht="36" customHeight="1" x14ac:dyDescent="0.35">
      <c r="A53" s="269" t="s">
        <v>61</v>
      </c>
      <c r="B53" s="269"/>
      <c r="C53" s="269"/>
      <c r="D53" s="269"/>
      <c r="E53" s="269"/>
      <c r="F53" s="269"/>
      <c r="G53" s="269"/>
    </row>
    <row r="54" spans="1:7" ht="33" customHeight="1" x14ac:dyDescent="0.35">
      <c r="A54" s="269" t="s">
        <v>62</v>
      </c>
      <c r="B54" s="269"/>
      <c r="C54" s="269"/>
      <c r="D54" s="269"/>
      <c r="E54" s="269"/>
      <c r="F54" s="269"/>
      <c r="G54" s="269"/>
    </row>
    <row r="55" spans="1:7" ht="33" customHeight="1" x14ac:dyDescent="0.35">
      <c r="A55" s="269" t="s">
        <v>63</v>
      </c>
      <c r="B55" s="269"/>
      <c r="C55" s="269"/>
      <c r="D55" s="269"/>
      <c r="E55" s="269"/>
      <c r="F55" s="269"/>
      <c r="G55" s="269"/>
    </row>
    <row r="56" spans="1:7" ht="66" customHeight="1" x14ac:dyDescent="0.35">
      <c r="A56" s="269" t="s">
        <v>64</v>
      </c>
      <c r="B56" s="269"/>
      <c r="C56" s="269"/>
      <c r="D56" s="269"/>
      <c r="E56" s="269"/>
      <c r="F56" s="269"/>
      <c r="G56" s="269"/>
    </row>
    <row r="57" spans="1:7" ht="36" customHeight="1" x14ac:dyDescent="0.35">
      <c r="A57" s="269" t="s">
        <v>65</v>
      </c>
      <c r="B57" s="269"/>
      <c r="C57" s="269"/>
      <c r="D57" s="269"/>
      <c r="E57" s="269"/>
      <c r="F57" s="269"/>
      <c r="G57" s="269"/>
    </row>
    <row r="58" spans="1:7" ht="48.75" customHeight="1" x14ac:dyDescent="0.35">
      <c r="A58" s="270" t="s">
        <v>66</v>
      </c>
      <c r="B58" s="270"/>
      <c r="C58" s="270"/>
      <c r="D58" s="270"/>
      <c r="E58" s="270"/>
      <c r="F58" s="270"/>
      <c r="G58" s="270"/>
    </row>
    <row r="59" spans="1:7" ht="35.25" customHeight="1" x14ac:dyDescent="0.35">
      <c r="A59" s="269" t="s">
        <v>67</v>
      </c>
      <c r="B59" s="269"/>
      <c r="C59" s="269"/>
      <c r="D59" s="269"/>
      <c r="E59" s="269"/>
      <c r="F59" s="269"/>
      <c r="G59" s="269"/>
    </row>
    <row r="60" spans="1:7" ht="45.75" customHeight="1" x14ac:dyDescent="0.35">
      <c r="A60" s="269" t="s">
        <v>68</v>
      </c>
      <c r="B60" s="269"/>
      <c r="C60" s="269"/>
      <c r="D60" s="269"/>
      <c r="E60" s="269"/>
      <c r="F60" s="269"/>
      <c r="G60" s="269"/>
    </row>
  </sheetData>
  <mergeCells count="20">
    <mergeCell ref="A50:G50"/>
    <mergeCell ref="A1:G1"/>
    <mergeCell ref="A4:A12"/>
    <mergeCell ref="C4:C8"/>
    <mergeCell ref="C9:C12"/>
    <mergeCell ref="A15:A34"/>
    <mergeCell ref="C25:C34"/>
    <mergeCell ref="A36:A37"/>
    <mergeCell ref="A38:A39"/>
    <mergeCell ref="A46:G46"/>
    <mergeCell ref="A48:G48"/>
    <mergeCell ref="A49:G49"/>
    <mergeCell ref="A59:G59"/>
    <mergeCell ref="A60:G60"/>
    <mergeCell ref="A53:G53"/>
    <mergeCell ref="A54:G54"/>
    <mergeCell ref="A55:G55"/>
    <mergeCell ref="A56:G56"/>
    <mergeCell ref="A57:G57"/>
    <mergeCell ref="A58:G58"/>
  </mergeCells>
  <pageMargins left="0.7" right="0.7" top="0.75" bottom="0.75" header="0.3" footer="0.3"/>
  <pageSetup paperSize="9" scale="5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734A7-5747-4469-ACA8-863AE6AB9428}">
  <dimension ref="A3:F8"/>
  <sheetViews>
    <sheetView tabSelected="1" zoomScale="80" zoomScaleNormal="80" workbookViewId="0">
      <selection activeCell="J20" sqref="J20"/>
    </sheetView>
  </sheetViews>
  <sheetFormatPr defaultRowHeight="14.5" x14ac:dyDescent="0.35"/>
  <cols>
    <col min="1" max="1" width="54.453125" customWidth="1"/>
    <col min="2" max="6" width="13.54296875" customWidth="1"/>
  </cols>
  <sheetData>
    <row r="3" spans="1:6" x14ac:dyDescent="0.35">
      <c r="A3" s="127" t="s">
        <v>109</v>
      </c>
      <c r="B3" s="211" t="s">
        <v>108</v>
      </c>
      <c r="C3" s="212"/>
      <c r="D3" s="212"/>
      <c r="E3" s="212"/>
      <c r="F3" s="212"/>
    </row>
    <row r="4" spans="1:6" ht="29" x14ac:dyDescent="0.35">
      <c r="A4" s="127" t="s">
        <v>106</v>
      </c>
      <c r="B4" s="212" t="s">
        <v>9</v>
      </c>
      <c r="C4" s="212" t="s">
        <v>90</v>
      </c>
      <c r="D4" s="212" t="s">
        <v>95</v>
      </c>
      <c r="E4" s="212" t="s">
        <v>100</v>
      </c>
      <c r="F4" s="212" t="s">
        <v>107</v>
      </c>
    </row>
    <row r="5" spans="1:6" ht="62.5" customHeight="1" x14ac:dyDescent="0.35">
      <c r="A5" s="231" t="s">
        <v>82</v>
      </c>
      <c r="B5" s="232">
        <v>0</v>
      </c>
      <c r="C5" s="232">
        <v>352.45252800000344</v>
      </c>
      <c r="D5" s="232">
        <v>1049.8534634804198</v>
      </c>
      <c r="E5" s="232">
        <v>6880.9907598392583</v>
      </c>
      <c r="F5" s="233">
        <v>8283.2967513196818</v>
      </c>
    </row>
    <row r="6" spans="1:6" ht="62.5" customHeight="1" x14ac:dyDescent="0.35">
      <c r="A6" s="231" t="s">
        <v>84</v>
      </c>
      <c r="B6" s="232">
        <v>332.85999999999996</v>
      </c>
      <c r="C6" s="232">
        <v>437.01999999999992</v>
      </c>
      <c r="D6" s="232">
        <v>366.55959999999999</v>
      </c>
      <c r="E6" s="232">
        <v>506.084</v>
      </c>
      <c r="F6" s="233">
        <v>1642.5236</v>
      </c>
    </row>
    <row r="7" spans="1:6" ht="62.5" customHeight="1" x14ac:dyDescent="0.35">
      <c r="A7" s="231" t="s">
        <v>85</v>
      </c>
      <c r="B7" s="232">
        <v>29326.373993748839</v>
      </c>
      <c r="C7" s="232">
        <v>29054.721574709733</v>
      </c>
      <c r="D7" s="232">
        <v>30798.142925118067</v>
      </c>
      <c r="E7" s="232">
        <v>21227.607595879977</v>
      </c>
      <c r="F7" s="233">
        <v>110406.84608945662</v>
      </c>
    </row>
    <row r="8" spans="1:6" x14ac:dyDescent="0.35">
      <c r="A8" s="128" t="s">
        <v>107</v>
      </c>
      <c r="B8" s="114">
        <v>29659.23399374884</v>
      </c>
      <c r="C8" s="114">
        <v>29844.194102709735</v>
      </c>
      <c r="D8" s="114">
        <v>32214.555988598488</v>
      </c>
      <c r="E8" s="114">
        <v>28614.682355719237</v>
      </c>
      <c r="F8" s="114">
        <v>120332.6664407763</v>
      </c>
    </row>
  </sheetData>
  <pageMargins left="0.7" right="0.7" top="0.75" bottom="0.75" header="0.3" footer="0.3"/>
  <pageSetup paperSize="9" orientation="landscape" horizontalDpi="300" verticalDpi="300"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92BFD-7B0A-467E-A7E1-9ABA66FE42BC}">
  <dimension ref="B1:H147"/>
  <sheetViews>
    <sheetView zoomScale="80" zoomScaleNormal="80" workbookViewId="0">
      <pane ySplit="5" topLeftCell="A6" activePane="bottomLeft" state="frozen"/>
      <selection pane="bottomLeft" activeCell="N17" sqref="N17"/>
    </sheetView>
  </sheetViews>
  <sheetFormatPr defaultRowHeight="14.5" x14ac:dyDescent="0.35"/>
  <cols>
    <col min="1" max="1" width="5.453125" customWidth="1"/>
    <col min="2" max="2" width="49.26953125" customWidth="1"/>
    <col min="3" max="3" width="37.54296875" customWidth="1"/>
    <col min="4" max="4" width="13.453125" style="245" customWidth="1"/>
    <col min="5" max="5" width="18.453125" style="234" bestFit="1" customWidth="1"/>
    <col min="6" max="6" width="13.7265625" style="234" customWidth="1"/>
    <col min="7" max="7" width="23.453125" style="234" bestFit="1" customWidth="1"/>
    <col min="8" max="8" width="9.1796875" style="234"/>
  </cols>
  <sheetData>
    <row r="1" spans="2:7" x14ac:dyDescent="0.35">
      <c r="B1" s="289" t="s">
        <v>0</v>
      </c>
      <c r="C1" s="289"/>
      <c r="D1" s="289"/>
      <c r="E1" s="289"/>
      <c r="F1" s="289"/>
      <c r="G1" s="289"/>
    </row>
    <row r="2" spans="2:7" x14ac:dyDescent="0.35">
      <c r="B2" s="289"/>
      <c r="C2" s="289"/>
      <c r="D2" s="289"/>
      <c r="E2" s="289"/>
      <c r="F2" s="289"/>
      <c r="G2" s="289"/>
    </row>
    <row r="5" spans="2:7" ht="15.5" x14ac:dyDescent="0.35">
      <c r="B5" s="213" t="s">
        <v>78</v>
      </c>
      <c r="C5" s="213" t="s">
        <v>2</v>
      </c>
      <c r="D5" s="235" t="s">
        <v>79</v>
      </c>
      <c r="E5" s="236" t="s">
        <v>80</v>
      </c>
      <c r="F5" s="236" t="s">
        <v>81</v>
      </c>
      <c r="G5" s="236" t="s">
        <v>1</v>
      </c>
    </row>
    <row r="6" spans="2:7" ht="42" x14ac:dyDescent="0.35">
      <c r="B6" s="214" t="s">
        <v>82</v>
      </c>
      <c r="C6" s="215"/>
      <c r="D6" s="237">
        <v>0</v>
      </c>
      <c r="E6" s="238" t="s">
        <v>83</v>
      </c>
      <c r="F6" s="238" t="s">
        <v>105</v>
      </c>
      <c r="G6" s="238" t="s">
        <v>9</v>
      </c>
    </row>
    <row r="7" spans="2:7" x14ac:dyDescent="0.35">
      <c r="B7" s="216" t="s">
        <v>10</v>
      </c>
      <c r="C7" s="115" t="s">
        <v>11</v>
      </c>
      <c r="D7" s="239">
        <v>30</v>
      </c>
      <c r="E7" s="238" t="s">
        <v>83</v>
      </c>
      <c r="F7" s="238" t="s">
        <v>105</v>
      </c>
      <c r="G7" s="238" t="s">
        <v>9</v>
      </c>
    </row>
    <row r="8" spans="2:7" x14ac:dyDescent="0.35">
      <c r="B8" s="118" t="s">
        <v>12</v>
      </c>
      <c r="C8" s="115" t="s">
        <v>11</v>
      </c>
      <c r="D8" s="239">
        <v>8831</v>
      </c>
      <c r="E8" s="238" t="s">
        <v>83</v>
      </c>
      <c r="F8" s="238" t="s">
        <v>105</v>
      </c>
      <c r="G8" s="238" t="s">
        <v>9</v>
      </c>
    </row>
    <row r="9" spans="2:7" x14ac:dyDescent="0.35">
      <c r="B9" s="118" t="s">
        <v>13</v>
      </c>
      <c r="C9" s="115" t="s">
        <v>11</v>
      </c>
      <c r="D9" s="239">
        <v>8831</v>
      </c>
      <c r="E9" s="238" t="s">
        <v>83</v>
      </c>
      <c r="F9" s="238" t="s">
        <v>105</v>
      </c>
      <c r="G9" s="238" t="s">
        <v>9</v>
      </c>
    </row>
    <row r="10" spans="2:7" x14ac:dyDescent="0.35">
      <c r="B10" s="119" t="s">
        <v>14</v>
      </c>
      <c r="C10" s="115" t="s">
        <v>11</v>
      </c>
      <c r="D10" s="239"/>
      <c r="E10" s="238" t="s">
        <v>83</v>
      </c>
      <c r="F10" s="238" t="s">
        <v>105</v>
      </c>
      <c r="G10" s="238" t="s">
        <v>9</v>
      </c>
    </row>
    <row r="11" spans="2:7" x14ac:dyDescent="0.35">
      <c r="B11" s="119" t="s">
        <v>15</v>
      </c>
      <c r="C11" s="115" t="s">
        <v>11</v>
      </c>
      <c r="D11" s="239"/>
      <c r="E11" s="238" t="s">
        <v>83</v>
      </c>
      <c r="F11" s="238" t="s">
        <v>105</v>
      </c>
      <c r="G11" s="238" t="s">
        <v>9</v>
      </c>
    </row>
    <row r="12" spans="2:7" x14ac:dyDescent="0.35">
      <c r="B12" s="118" t="s">
        <v>16</v>
      </c>
      <c r="C12" s="116" t="s">
        <v>17</v>
      </c>
      <c r="D12" s="239">
        <v>93944.77</v>
      </c>
      <c r="E12" s="238" t="s">
        <v>83</v>
      </c>
      <c r="F12" s="238" t="s">
        <v>105</v>
      </c>
      <c r="G12" s="238" t="s">
        <v>9</v>
      </c>
    </row>
    <row r="13" spans="2:7" x14ac:dyDescent="0.35">
      <c r="B13" s="118" t="s">
        <v>18</v>
      </c>
      <c r="C13" s="116" t="s">
        <v>17</v>
      </c>
      <c r="D13" s="239">
        <v>93944.77</v>
      </c>
      <c r="E13" s="238" t="s">
        <v>83</v>
      </c>
      <c r="F13" s="238" t="s">
        <v>105</v>
      </c>
      <c r="G13" s="238" t="s">
        <v>9</v>
      </c>
    </row>
    <row r="14" spans="2:7" x14ac:dyDescent="0.35">
      <c r="B14" s="120" t="s">
        <v>19</v>
      </c>
      <c r="C14" s="116" t="s">
        <v>17</v>
      </c>
      <c r="D14" s="239"/>
      <c r="E14" s="238" t="s">
        <v>83</v>
      </c>
      <c r="F14" s="238" t="s">
        <v>105</v>
      </c>
      <c r="G14" s="238" t="s">
        <v>9</v>
      </c>
    </row>
    <row r="15" spans="2:7" x14ac:dyDescent="0.35">
      <c r="B15" s="120" t="s">
        <v>20</v>
      </c>
      <c r="C15" s="116" t="s">
        <v>17</v>
      </c>
      <c r="D15" s="239"/>
      <c r="E15" s="238" t="s">
        <v>83</v>
      </c>
      <c r="F15" s="238" t="s">
        <v>105</v>
      </c>
      <c r="G15" s="238" t="s">
        <v>9</v>
      </c>
    </row>
    <row r="16" spans="2:7" x14ac:dyDescent="0.35">
      <c r="B16" s="118" t="s">
        <v>22</v>
      </c>
      <c r="C16" s="217" t="s">
        <v>23</v>
      </c>
      <c r="D16" s="239">
        <v>1.1121300000000001</v>
      </c>
      <c r="E16" s="238" t="s">
        <v>83</v>
      </c>
      <c r="F16" s="238" t="s">
        <v>105</v>
      </c>
      <c r="G16" s="238" t="s">
        <v>9</v>
      </c>
    </row>
    <row r="17" spans="2:7" ht="56.5" x14ac:dyDescent="0.35">
      <c r="B17" s="218" t="s">
        <v>84</v>
      </c>
      <c r="C17" s="219"/>
      <c r="D17" s="240">
        <v>332.85999999999996</v>
      </c>
      <c r="E17" s="238" t="s">
        <v>83</v>
      </c>
      <c r="F17" s="238" t="s">
        <v>105</v>
      </c>
      <c r="G17" s="238" t="s">
        <v>9</v>
      </c>
    </row>
    <row r="18" spans="2:7" ht="28.5" x14ac:dyDescent="0.35">
      <c r="B18" s="123" t="s">
        <v>26</v>
      </c>
      <c r="C18" s="220" t="s">
        <v>27</v>
      </c>
      <c r="D18" s="239"/>
      <c r="E18" s="238" t="s">
        <v>83</v>
      </c>
      <c r="F18" s="238" t="s">
        <v>105</v>
      </c>
      <c r="G18" s="238" t="s">
        <v>9</v>
      </c>
    </row>
    <row r="19" spans="2:7" x14ac:dyDescent="0.35">
      <c r="B19" s="121" t="s">
        <v>28</v>
      </c>
      <c r="C19" s="37" t="s">
        <v>29</v>
      </c>
      <c r="D19" s="239">
        <v>0.71000000000000008</v>
      </c>
      <c r="E19" s="238" t="s">
        <v>83</v>
      </c>
      <c r="F19" s="238" t="s">
        <v>105</v>
      </c>
      <c r="G19" s="238" t="s">
        <v>9</v>
      </c>
    </row>
    <row r="20" spans="2:7" x14ac:dyDescent="0.35">
      <c r="B20" s="121" t="s">
        <v>30</v>
      </c>
      <c r="C20" s="37" t="s">
        <v>31</v>
      </c>
      <c r="D20" s="239">
        <v>696</v>
      </c>
      <c r="E20" s="238" t="s">
        <v>83</v>
      </c>
      <c r="F20" s="238" t="s">
        <v>105</v>
      </c>
      <c r="G20" s="238" t="s">
        <v>9</v>
      </c>
    </row>
    <row r="21" spans="2:7" x14ac:dyDescent="0.35">
      <c r="B21" s="122" t="s">
        <v>32</v>
      </c>
      <c r="C21" s="37"/>
      <c r="D21" s="239"/>
      <c r="E21" s="238" t="s">
        <v>83</v>
      </c>
      <c r="F21" s="238" t="s">
        <v>105</v>
      </c>
      <c r="G21" s="238" t="s">
        <v>9</v>
      </c>
    </row>
    <row r="22" spans="2:7" x14ac:dyDescent="0.35">
      <c r="B22" s="121" t="s">
        <v>33</v>
      </c>
      <c r="C22" s="37"/>
      <c r="D22" s="239"/>
      <c r="E22" s="238" t="s">
        <v>83</v>
      </c>
      <c r="F22" s="238" t="s">
        <v>105</v>
      </c>
      <c r="G22" s="238" t="s">
        <v>9</v>
      </c>
    </row>
    <row r="23" spans="2:7" x14ac:dyDescent="0.35">
      <c r="B23" s="122" t="s">
        <v>34</v>
      </c>
      <c r="C23" s="37" t="s">
        <v>35</v>
      </c>
      <c r="D23" s="239">
        <v>615.36</v>
      </c>
      <c r="E23" s="238" t="s">
        <v>83</v>
      </c>
      <c r="F23" s="238" t="s">
        <v>105</v>
      </c>
      <c r="G23" s="238" t="s">
        <v>9</v>
      </c>
    </row>
    <row r="24" spans="2:7" x14ac:dyDescent="0.35">
      <c r="B24" s="121" t="s">
        <v>36</v>
      </c>
      <c r="C24" s="37"/>
      <c r="D24" s="239"/>
      <c r="E24" s="238" t="s">
        <v>83</v>
      </c>
      <c r="F24" s="238" t="s">
        <v>105</v>
      </c>
      <c r="G24" s="238" t="s">
        <v>9</v>
      </c>
    </row>
    <row r="25" spans="2:7" x14ac:dyDescent="0.35">
      <c r="B25" s="124" t="s">
        <v>37</v>
      </c>
      <c r="C25" s="37" t="s">
        <v>38</v>
      </c>
      <c r="D25" s="239">
        <v>3</v>
      </c>
      <c r="E25" s="238" t="s">
        <v>83</v>
      </c>
      <c r="F25" s="238" t="s">
        <v>105</v>
      </c>
      <c r="G25" s="238" t="s">
        <v>9</v>
      </c>
    </row>
    <row r="26" spans="2:7" x14ac:dyDescent="0.35">
      <c r="B26" s="125" t="s">
        <v>39</v>
      </c>
      <c r="C26" s="37" t="s">
        <v>31</v>
      </c>
      <c r="D26" s="239">
        <v>1</v>
      </c>
      <c r="E26" s="238" t="s">
        <v>83</v>
      </c>
      <c r="F26" s="238" t="s">
        <v>105</v>
      </c>
      <c r="G26" s="238" t="s">
        <v>9</v>
      </c>
    </row>
    <row r="27" spans="2:7" ht="28.5" x14ac:dyDescent="0.35">
      <c r="B27" s="123" t="s">
        <v>40</v>
      </c>
      <c r="C27" s="117" t="s">
        <v>41</v>
      </c>
      <c r="D27" s="239"/>
      <c r="E27" s="238" t="s">
        <v>83</v>
      </c>
      <c r="F27" s="238" t="s">
        <v>105</v>
      </c>
      <c r="G27" s="238" t="s">
        <v>9</v>
      </c>
    </row>
    <row r="28" spans="2:7" x14ac:dyDescent="0.35">
      <c r="B28" s="121" t="s">
        <v>28</v>
      </c>
      <c r="C28" s="117" t="s">
        <v>41</v>
      </c>
      <c r="D28" s="239">
        <v>12.52112676056338</v>
      </c>
      <c r="E28" s="238" t="s">
        <v>83</v>
      </c>
      <c r="F28" s="238" t="s">
        <v>105</v>
      </c>
      <c r="G28" s="238" t="s">
        <v>9</v>
      </c>
    </row>
    <row r="29" spans="2:7" x14ac:dyDescent="0.35">
      <c r="B29" s="121" t="s">
        <v>30</v>
      </c>
      <c r="C29" s="117" t="s">
        <v>41</v>
      </c>
      <c r="D29" s="239">
        <v>0.10738505747126437</v>
      </c>
      <c r="E29" s="238" t="s">
        <v>83</v>
      </c>
      <c r="F29" s="238" t="s">
        <v>105</v>
      </c>
      <c r="G29" s="238" t="s">
        <v>9</v>
      </c>
    </row>
    <row r="30" spans="2:7" x14ac:dyDescent="0.35">
      <c r="B30" s="122" t="s">
        <v>32</v>
      </c>
      <c r="C30" s="117" t="s">
        <v>41</v>
      </c>
      <c r="D30" s="239"/>
      <c r="E30" s="238" t="s">
        <v>83</v>
      </c>
      <c r="F30" s="238" t="s">
        <v>105</v>
      </c>
      <c r="G30" s="238" t="s">
        <v>9</v>
      </c>
    </row>
    <row r="31" spans="2:7" ht="28.5" x14ac:dyDescent="0.35">
      <c r="B31" s="122" t="s">
        <v>42</v>
      </c>
      <c r="C31" s="117" t="s">
        <v>41</v>
      </c>
      <c r="D31" s="239"/>
      <c r="E31" s="238" t="s">
        <v>83</v>
      </c>
      <c r="F31" s="238" t="s">
        <v>105</v>
      </c>
      <c r="G31" s="238" t="s">
        <v>9</v>
      </c>
    </row>
    <row r="32" spans="2:7" ht="28.5" x14ac:dyDescent="0.35">
      <c r="B32" s="122" t="s">
        <v>43</v>
      </c>
      <c r="C32" s="117" t="s">
        <v>41</v>
      </c>
      <c r="D32" s="239">
        <v>0.37077483099323971</v>
      </c>
      <c r="E32" s="238" t="s">
        <v>83</v>
      </c>
      <c r="F32" s="238" t="s">
        <v>105</v>
      </c>
      <c r="G32" s="238" t="s">
        <v>9</v>
      </c>
    </row>
    <row r="33" spans="2:7" x14ac:dyDescent="0.35">
      <c r="B33" s="121" t="s">
        <v>36</v>
      </c>
      <c r="C33" s="117" t="s">
        <v>41</v>
      </c>
      <c r="D33" s="239"/>
      <c r="E33" s="238" t="s">
        <v>83</v>
      </c>
      <c r="F33" s="238" t="s">
        <v>105</v>
      </c>
      <c r="G33" s="238" t="s">
        <v>9</v>
      </c>
    </row>
    <row r="34" spans="2:7" x14ac:dyDescent="0.35">
      <c r="B34" s="125" t="s">
        <v>37</v>
      </c>
      <c r="C34" s="117" t="s">
        <v>41</v>
      </c>
      <c r="D34" s="239">
        <v>2.8266666666666667</v>
      </c>
      <c r="E34" s="238" t="s">
        <v>83</v>
      </c>
      <c r="F34" s="238" t="s">
        <v>105</v>
      </c>
      <c r="G34" s="238" t="s">
        <v>9</v>
      </c>
    </row>
    <row r="35" spans="2:7" x14ac:dyDescent="0.35">
      <c r="B35" s="125" t="s">
        <v>39</v>
      </c>
      <c r="C35" s="117" t="s">
        <v>41</v>
      </c>
      <c r="D35" s="239">
        <v>12.59</v>
      </c>
      <c r="E35" s="238" t="s">
        <v>83</v>
      </c>
      <c r="F35" s="238" t="s">
        <v>105</v>
      </c>
      <c r="G35" s="238" t="s">
        <v>9</v>
      </c>
    </row>
    <row r="36" spans="2:7" ht="28.5" x14ac:dyDescent="0.35">
      <c r="B36" s="221" t="s">
        <v>85</v>
      </c>
      <c r="C36" s="222"/>
      <c r="D36" s="241">
        <v>29326.373993748839</v>
      </c>
      <c r="E36" s="238" t="s">
        <v>83</v>
      </c>
      <c r="F36" s="238" t="s">
        <v>105</v>
      </c>
      <c r="G36" s="238" t="s">
        <v>9</v>
      </c>
    </row>
    <row r="37" spans="2:7" ht="56.5" x14ac:dyDescent="0.35">
      <c r="B37" s="126" t="s">
        <v>86</v>
      </c>
      <c r="C37" s="63" t="s">
        <v>48</v>
      </c>
      <c r="D37" s="242">
        <v>37266.44</v>
      </c>
      <c r="E37" s="238" t="s">
        <v>83</v>
      </c>
      <c r="F37" s="238" t="s">
        <v>105</v>
      </c>
      <c r="G37" s="238" t="s">
        <v>9</v>
      </c>
    </row>
    <row r="38" spans="2:7" x14ac:dyDescent="0.35">
      <c r="B38" s="126" t="s">
        <v>87</v>
      </c>
      <c r="C38" s="63" t="s">
        <v>17</v>
      </c>
      <c r="D38" s="242">
        <v>93944.77</v>
      </c>
      <c r="E38" s="238" t="s">
        <v>83</v>
      </c>
      <c r="F38" s="238" t="s">
        <v>105</v>
      </c>
      <c r="G38" s="238" t="s">
        <v>9</v>
      </c>
    </row>
    <row r="39" spans="2:7" ht="56.5" x14ac:dyDescent="0.35">
      <c r="B39" s="126" t="s">
        <v>88</v>
      </c>
      <c r="C39" s="63" t="s">
        <v>48</v>
      </c>
      <c r="D39" s="242">
        <v>77661.729999999981</v>
      </c>
      <c r="E39" s="238" t="s">
        <v>83</v>
      </c>
      <c r="F39" s="238" t="s">
        <v>105</v>
      </c>
      <c r="G39" s="238" t="s">
        <v>9</v>
      </c>
    </row>
    <row r="40" spans="2:7" x14ac:dyDescent="0.35">
      <c r="B40" s="126" t="s">
        <v>89</v>
      </c>
      <c r="C40" s="63" t="s">
        <v>17</v>
      </c>
      <c r="D40" s="242">
        <v>109560.06999999993</v>
      </c>
      <c r="E40" s="238" t="s">
        <v>83</v>
      </c>
      <c r="F40" s="238" t="s">
        <v>105</v>
      </c>
      <c r="G40" s="238" t="s">
        <v>9</v>
      </c>
    </row>
    <row r="41" spans="2:7" ht="42" x14ac:dyDescent="0.35">
      <c r="B41" s="214" t="s">
        <v>82</v>
      </c>
      <c r="C41" s="215"/>
      <c r="D41" s="237">
        <v>352.45252800000344</v>
      </c>
      <c r="E41" s="238" t="s">
        <v>83</v>
      </c>
      <c r="F41" s="238" t="s">
        <v>105</v>
      </c>
      <c r="G41" s="238" t="s">
        <v>90</v>
      </c>
    </row>
    <row r="42" spans="2:7" x14ac:dyDescent="0.35">
      <c r="B42" s="216" t="s">
        <v>10</v>
      </c>
      <c r="C42" s="115" t="s">
        <v>11</v>
      </c>
      <c r="D42" s="239">
        <v>31</v>
      </c>
      <c r="E42" s="238" t="s">
        <v>83</v>
      </c>
      <c r="F42" s="238" t="s">
        <v>105</v>
      </c>
      <c r="G42" s="238" t="s">
        <v>90</v>
      </c>
    </row>
    <row r="43" spans="2:7" x14ac:dyDescent="0.35">
      <c r="B43" s="118" t="s">
        <v>12</v>
      </c>
      <c r="C43" s="115" t="s">
        <v>11</v>
      </c>
      <c r="D43" s="239">
        <v>11329</v>
      </c>
      <c r="E43" s="238" t="s">
        <v>83</v>
      </c>
      <c r="F43" s="238" t="s">
        <v>105</v>
      </c>
      <c r="G43" s="238" t="s">
        <v>90</v>
      </c>
    </row>
    <row r="44" spans="2:7" x14ac:dyDescent="0.35">
      <c r="B44" s="118" t="s">
        <v>13</v>
      </c>
      <c r="C44" s="115" t="s">
        <v>11</v>
      </c>
      <c r="D44" s="239">
        <v>11335</v>
      </c>
      <c r="E44" s="238" t="s">
        <v>83</v>
      </c>
      <c r="F44" s="238" t="s">
        <v>105</v>
      </c>
      <c r="G44" s="238" t="s">
        <v>90</v>
      </c>
    </row>
    <row r="45" spans="2:7" x14ac:dyDescent="0.35">
      <c r="B45" s="119" t="s">
        <v>14</v>
      </c>
      <c r="C45" s="115" t="s">
        <v>11</v>
      </c>
      <c r="D45" s="239">
        <v>6</v>
      </c>
      <c r="E45" s="238" t="s">
        <v>83</v>
      </c>
      <c r="F45" s="238" t="s">
        <v>105</v>
      </c>
      <c r="G45" s="238" t="s">
        <v>90</v>
      </c>
    </row>
    <row r="46" spans="2:7" x14ac:dyDescent="0.35">
      <c r="B46" s="119" t="s">
        <v>15</v>
      </c>
      <c r="C46" s="115" t="s">
        <v>11</v>
      </c>
      <c r="D46" s="239"/>
      <c r="E46" s="238" t="s">
        <v>83</v>
      </c>
      <c r="F46" s="238" t="s">
        <v>105</v>
      </c>
      <c r="G46" s="238" t="s">
        <v>90</v>
      </c>
    </row>
    <row r="47" spans="2:7" x14ac:dyDescent="0.35">
      <c r="B47" s="118" t="s">
        <v>16</v>
      </c>
      <c r="C47" s="116" t="s">
        <v>17</v>
      </c>
      <c r="D47" s="239">
        <v>122059.75</v>
      </c>
      <c r="E47" s="238" t="s">
        <v>83</v>
      </c>
      <c r="F47" s="238" t="s">
        <v>105</v>
      </c>
      <c r="G47" s="238" t="s">
        <v>90</v>
      </c>
    </row>
    <row r="48" spans="2:7" x14ac:dyDescent="0.35">
      <c r="B48" s="118" t="s">
        <v>18</v>
      </c>
      <c r="C48" s="116" t="s">
        <v>17</v>
      </c>
      <c r="D48" s="239">
        <v>122358.55</v>
      </c>
      <c r="E48" s="238" t="s">
        <v>83</v>
      </c>
      <c r="F48" s="238" t="s">
        <v>105</v>
      </c>
      <c r="G48" s="238" t="s">
        <v>90</v>
      </c>
    </row>
    <row r="49" spans="2:7" x14ac:dyDescent="0.35">
      <c r="B49" s="120" t="s">
        <v>19</v>
      </c>
      <c r="C49" s="116" t="s">
        <v>17</v>
      </c>
      <c r="D49" s="239">
        <v>298.79999999999995</v>
      </c>
      <c r="E49" s="238" t="s">
        <v>83</v>
      </c>
      <c r="F49" s="238" t="s">
        <v>105</v>
      </c>
      <c r="G49" s="238" t="s">
        <v>90</v>
      </c>
    </row>
    <row r="50" spans="2:7" x14ac:dyDescent="0.35">
      <c r="B50" s="120" t="s">
        <v>20</v>
      </c>
      <c r="C50" s="116" t="s">
        <v>17</v>
      </c>
      <c r="D50" s="239"/>
      <c r="E50" s="238" t="s">
        <v>83</v>
      </c>
      <c r="F50" s="238" t="s">
        <v>105</v>
      </c>
      <c r="G50" s="238" t="s">
        <v>90</v>
      </c>
    </row>
    <row r="51" spans="2:7" x14ac:dyDescent="0.35">
      <c r="B51" s="118" t="s">
        <v>22</v>
      </c>
      <c r="C51" s="217" t="s">
        <v>23</v>
      </c>
      <c r="D51" s="239">
        <v>1.1795599999999999</v>
      </c>
      <c r="E51" s="238" t="s">
        <v>83</v>
      </c>
      <c r="F51" s="238" t="s">
        <v>105</v>
      </c>
      <c r="G51" s="238" t="s">
        <v>90</v>
      </c>
    </row>
    <row r="52" spans="2:7" ht="56.5" x14ac:dyDescent="0.35">
      <c r="B52" s="218" t="s">
        <v>84</v>
      </c>
      <c r="C52" s="219"/>
      <c r="D52" s="240">
        <v>437.01999999999992</v>
      </c>
      <c r="E52" s="238" t="s">
        <v>83</v>
      </c>
      <c r="F52" s="238" t="s">
        <v>105</v>
      </c>
      <c r="G52" s="238" t="s">
        <v>90</v>
      </c>
    </row>
    <row r="53" spans="2:7" ht="28.5" x14ac:dyDescent="0.35">
      <c r="B53" s="123" t="s">
        <v>26</v>
      </c>
      <c r="C53" s="220" t="s">
        <v>27</v>
      </c>
      <c r="D53" s="239"/>
      <c r="E53" s="238" t="s">
        <v>83</v>
      </c>
      <c r="F53" s="238" t="s">
        <v>105</v>
      </c>
      <c r="G53" s="238" t="s">
        <v>90</v>
      </c>
    </row>
    <row r="54" spans="2:7" x14ac:dyDescent="0.35">
      <c r="B54" s="121" t="s">
        <v>28</v>
      </c>
      <c r="C54" s="37"/>
      <c r="D54" s="239"/>
      <c r="E54" s="238" t="s">
        <v>83</v>
      </c>
      <c r="F54" s="238" t="s">
        <v>105</v>
      </c>
      <c r="G54" s="238" t="s">
        <v>90</v>
      </c>
    </row>
    <row r="55" spans="2:7" x14ac:dyDescent="0.35">
      <c r="B55" s="121" t="s">
        <v>30</v>
      </c>
      <c r="C55" s="37" t="s">
        <v>31</v>
      </c>
      <c r="D55" s="239">
        <v>738</v>
      </c>
      <c r="E55" s="238" t="s">
        <v>83</v>
      </c>
      <c r="F55" s="238" t="s">
        <v>105</v>
      </c>
      <c r="G55" s="238" t="s">
        <v>90</v>
      </c>
    </row>
    <row r="56" spans="2:7" x14ac:dyDescent="0.35">
      <c r="B56" s="122" t="s">
        <v>32</v>
      </c>
      <c r="C56" s="37"/>
      <c r="D56" s="239"/>
      <c r="E56" s="238" t="s">
        <v>83</v>
      </c>
      <c r="F56" s="238" t="s">
        <v>105</v>
      </c>
      <c r="G56" s="238" t="s">
        <v>90</v>
      </c>
    </row>
    <row r="57" spans="2:7" x14ac:dyDescent="0.35">
      <c r="B57" s="121" t="s">
        <v>33</v>
      </c>
      <c r="C57" s="37"/>
      <c r="D57" s="239"/>
      <c r="E57" s="238" t="s">
        <v>83</v>
      </c>
      <c r="F57" s="238" t="s">
        <v>105</v>
      </c>
      <c r="G57" s="238" t="s">
        <v>90</v>
      </c>
    </row>
    <row r="58" spans="2:7" x14ac:dyDescent="0.35">
      <c r="B58" s="122" t="s">
        <v>34</v>
      </c>
      <c r="C58" s="37" t="s">
        <v>35</v>
      </c>
      <c r="D58" s="239">
        <v>566.47</v>
      </c>
      <c r="E58" s="238" t="s">
        <v>83</v>
      </c>
      <c r="F58" s="238" t="s">
        <v>105</v>
      </c>
      <c r="G58" s="238" t="s">
        <v>90</v>
      </c>
    </row>
    <row r="59" spans="2:7" x14ac:dyDescent="0.35">
      <c r="B59" s="121" t="s">
        <v>36</v>
      </c>
      <c r="C59" s="37"/>
      <c r="D59" s="239"/>
      <c r="E59" s="238" t="s">
        <v>83</v>
      </c>
      <c r="F59" s="238" t="s">
        <v>105</v>
      </c>
      <c r="G59" s="238" t="s">
        <v>90</v>
      </c>
    </row>
    <row r="60" spans="2:7" x14ac:dyDescent="0.35">
      <c r="B60" s="124" t="s">
        <v>37</v>
      </c>
      <c r="C60" s="37" t="s">
        <v>38</v>
      </c>
      <c r="D60" s="239">
        <v>3</v>
      </c>
      <c r="E60" s="238" t="s">
        <v>83</v>
      </c>
      <c r="F60" s="238" t="s">
        <v>105</v>
      </c>
      <c r="G60" s="238" t="s">
        <v>90</v>
      </c>
    </row>
    <row r="61" spans="2:7" x14ac:dyDescent="0.35">
      <c r="B61" s="125" t="s">
        <v>39</v>
      </c>
      <c r="C61" s="37" t="s">
        <v>31</v>
      </c>
      <c r="D61" s="239">
        <v>2</v>
      </c>
      <c r="E61" s="238" t="s">
        <v>83</v>
      </c>
      <c r="F61" s="238" t="s">
        <v>105</v>
      </c>
      <c r="G61" s="238" t="s">
        <v>90</v>
      </c>
    </row>
    <row r="62" spans="2:7" ht="28.5" x14ac:dyDescent="0.35">
      <c r="B62" s="123" t="s">
        <v>40</v>
      </c>
      <c r="C62" s="117" t="s">
        <v>41</v>
      </c>
      <c r="D62" s="239"/>
      <c r="E62" s="238" t="s">
        <v>83</v>
      </c>
      <c r="F62" s="238" t="s">
        <v>105</v>
      </c>
      <c r="G62" s="238" t="s">
        <v>90</v>
      </c>
    </row>
    <row r="63" spans="2:7" x14ac:dyDescent="0.35">
      <c r="B63" s="121" t="s">
        <v>28</v>
      </c>
      <c r="C63" s="117" t="s">
        <v>41</v>
      </c>
      <c r="D63" s="239"/>
      <c r="E63" s="238" t="s">
        <v>83</v>
      </c>
      <c r="F63" s="238" t="s">
        <v>105</v>
      </c>
      <c r="G63" s="238" t="s">
        <v>90</v>
      </c>
    </row>
    <row r="64" spans="2:7" x14ac:dyDescent="0.35">
      <c r="B64" s="121" t="s">
        <v>30</v>
      </c>
      <c r="C64" s="117" t="s">
        <v>41</v>
      </c>
      <c r="D64" s="239">
        <v>0.27155826558265578</v>
      </c>
      <c r="E64" s="238" t="s">
        <v>83</v>
      </c>
      <c r="F64" s="238" t="s">
        <v>105</v>
      </c>
      <c r="G64" s="238" t="s">
        <v>90</v>
      </c>
    </row>
    <row r="65" spans="2:7" x14ac:dyDescent="0.35">
      <c r="B65" s="122" t="s">
        <v>32</v>
      </c>
      <c r="C65" s="117" t="s">
        <v>41</v>
      </c>
      <c r="D65" s="239"/>
      <c r="E65" s="238" t="s">
        <v>83</v>
      </c>
      <c r="F65" s="238" t="s">
        <v>105</v>
      </c>
      <c r="G65" s="238" t="s">
        <v>90</v>
      </c>
    </row>
    <row r="66" spans="2:7" ht="28.5" x14ac:dyDescent="0.35">
      <c r="B66" s="122" t="s">
        <v>42</v>
      </c>
      <c r="C66" s="117" t="s">
        <v>41</v>
      </c>
      <c r="D66" s="239"/>
      <c r="E66" s="238" t="s">
        <v>83</v>
      </c>
      <c r="F66" s="238" t="s">
        <v>105</v>
      </c>
      <c r="G66" s="238" t="s">
        <v>90</v>
      </c>
    </row>
    <row r="67" spans="2:7" ht="28.5" x14ac:dyDescent="0.35">
      <c r="B67" s="122" t="s">
        <v>43</v>
      </c>
      <c r="C67" s="117" t="s">
        <v>41</v>
      </c>
      <c r="D67" s="239">
        <v>0.37076985542041058</v>
      </c>
      <c r="E67" s="238" t="s">
        <v>83</v>
      </c>
      <c r="F67" s="238" t="s">
        <v>105</v>
      </c>
      <c r="G67" s="238" t="s">
        <v>90</v>
      </c>
    </row>
    <row r="68" spans="2:7" x14ac:dyDescent="0.35">
      <c r="B68" s="121" t="s">
        <v>36</v>
      </c>
      <c r="C68" s="117" t="s">
        <v>41</v>
      </c>
      <c r="D68" s="239"/>
      <c r="E68" s="238" t="s">
        <v>83</v>
      </c>
      <c r="F68" s="238" t="s">
        <v>105</v>
      </c>
      <c r="G68" s="238" t="s">
        <v>90</v>
      </c>
    </row>
    <row r="69" spans="2:7" x14ac:dyDescent="0.35">
      <c r="B69" s="125" t="s">
        <v>37</v>
      </c>
      <c r="C69" s="117" t="s">
        <v>41</v>
      </c>
      <c r="D69" s="239">
        <v>1.9833333333333334</v>
      </c>
      <c r="E69" s="238" t="s">
        <v>83</v>
      </c>
      <c r="F69" s="238" t="s">
        <v>105</v>
      </c>
      <c r="G69" s="238" t="s">
        <v>90</v>
      </c>
    </row>
    <row r="70" spans="2:7" x14ac:dyDescent="0.35">
      <c r="B70" s="125" t="s">
        <v>39</v>
      </c>
      <c r="C70" s="117" t="s">
        <v>41</v>
      </c>
      <c r="D70" s="239">
        <v>10.315</v>
      </c>
      <c r="E70" s="238" t="s">
        <v>83</v>
      </c>
      <c r="F70" s="238" t="s">
        <v>105</v>
      </c>
      <c r="G70" s="238" t="s">
        <v>90</v>
      </c>
    </row>
    <row r="71" spans="2:7" ht="28.5" x14ac:dyDescent="0.35">
      <c r="B71" s="221" t="s">
        <v>85</v>
      </c>
      <c r="C71" s="222"/>
      <c r="D71" s="243">
        <v>29054.721574709733</v>
      </c>
      <c r="E71" s="238" t="s">
        <v>83</v>
      </c>
      <c r="F71" s="238" t="s">
        <v>105</v>
      </c>
      <c r="G71" s="238" t="s">
        <v>90</v>
      </c>
    </row>
    <row r="72" spans="2:7" ht="56.5" x14ac:dyDescent="0.35">
      <c r="B72" s="126" t="s">
        <v>91</v>
      </c>
      <c r="C72" s="63" t="s">
        <v>48</v>
      </c>
      <c r="D72" s="244">
        <v>56219.569999999992</v>
      </c>
      <c r="E72" s="238" t="s">
        <v>83</v>
      </c>
      <c r="F72" s="238" t="s">
        <v>105</v>
      </c>
      <c r="G72" s="238" t="s">
        <v>90</v>
      </c>
    </row>
    <row r="73" spans="2:7" x14ac:dyDescent="0.35">
      <c r="B73" s="126" t="s">
        <v>92</v>
      </c>
      <c r="C73" s="63" t="s">
        <v>17</v>
      </c>
      <c r="D73" s="244">
        <v>122358.55</v>
      </c>
      <c r="E73" s="238" t="s">
        <v>83</v>
      </c>
      <c r="F73" s="238" t="s">
        <v>105</v>
      </c>
      <c r="G73" s="238" t="s">
        <v>90</v>
      </c>
    </row>
    <row r="74" spans="2:7" ht="56.5" x14ac:dyDescent="0.35">
      <c r="B74" s="126" t="s">
        <v>93</v>
      </c>
      <c r="C74" s="63" t="s">
        <v>48</v>
      </c>
      <c r="D74" s="244">
        <v>101715.42000000001</v>
      </c>
      <c r="E74" s="238" t="s">
        <v>83</v>
      </c>
      <c r="F74" s="238" t="s">
        <v>105</v>
      </c>
      <c r="G74" s="238" t="s">
        <v>90</v>
      </c>
    </row>
    <row r="75" spans="2:7" x14ac:dyDescent="0.35">
      <c r="B75" s="126" t="s">
        <v>94</v>
      </c>
      <c r="C75" s="63" t="s">
        <v>17</v>
      </c>
      <c r="D75" s="244">
        <v>145949.63</v>
      </c>
      <c r="E75" s="238" t="s">
        <v>83</v>
      </c>
      <c r="F75" s="238" t="s">
        <v>105</v>
      </c>
      <c r="G75" s="238" t="s">
        <v>90</v>
      </c>
    </row>
    <row r="76" spans="2:7" ht="42" x14ac:dyDescent="0.35">
      <c r="B76" s="214" t="s">
        <v>82</v>
      </c>
      <c r="C76" s="215"/>
      <c r="D76" s="243">
        <v>1049.8534634804198</v>
      </c>
      <c r="E76" s="238" t="s">
        <v>83</v>
      </c>
      <c r="F76" s="238" t="s">
        <v>105</v>
      </c>
      <c r="G76" s="238" t="s">
        <v>95</v>
      </c>
    </row>
    <row r="77" spans="2:7" x14ac:dyDescent="0.35">
      <c r="B77" s="216" t="s">
        <v>10</v>
      </c>
      <c r="C77" s="115" t="s">
        <v>11</v>
      </c>
      <c r="D77" s="244">
        <v>34</v>
      </c>
      <c r="E77" s="238" t="s">
        <v>83</v>
      </c>
      <c r="F77" s="238" t="s">
        <v>105</v>
      </c>
      <c r="G77" s="238" t="s">
        <v>95</v>
      </c>
    </row>
    <row r="78" spans="2:7" x14ac:dyDescent="0.35">
      <c r="B78" s="118" t="s">
        <v>12</v>
      </c>
      <c r="C78" s="115" t="s">
        <v>11</v>
      </c>
      <c r="D78" s="244">
        <v>11634</v>
      </c>
      <c r="E78" s="238" t="s">
        <v>83</v>
      </c>
      <c r="F78" s="238" t="s">
        <v>105</v>
      </c>
      <c r="G78" s="238" t="s">
        <v>95</v>
      </c>
    </row>
    <row r="79" spans="2:7" x14ac:dyDescent="0.35">
      <c r="B79" s="118" t="s">
        <v>13</v>
      </c>
      <c r="C79" s="115" t="s">
        <v>11</v>
      </c>
      <c r="D79" s="244">
        <v>11654</v>
      </c>
      <c r="E79" s="238" t="s">
        <v>83</v>
      </c>
      <c r="F79" s="238" t="s">
        <v>105</v>
      </c>
      <c r="G79" s="238" t="s">
        <v>95</v>
      </c>
    </row>
    <row r="80" spans="2:7" x14ac:dyDescent="0.35">
      <c r="B80" s="119" t="s">
        <v>14</v>
      </c>
      <c r="C80" s="115" t="s">
        <v>11</v>
      </c>
      <c r="D80" s="244">
        <v>20</v>
      </c>
      <c r="E80" s="238" t="s">
        <v>83</v>
      </c>
      <c r="F80" s="238" t="s">
        <v>105</v>
      </c>
      <c r="G80" s="238" t="s">
        <v>95</v>
      </c>
    </row>
    <row r="81" spans="2:7" x14ac:dyDescent="0.35">
      <c r="B81" s="119" t="s">
        <v>15</v>
      </c>
      <c r="C81" s="115" t="s">
        <v>11</v>
      </c>
      <c r="D81" s="244"/>
      <c r="E81" s="238" t="s">
        <v>83</v>
      </c>
      <c r="F81" s="238" t="s">
        <v>105</v>
      </c>
      <c r="G81" s="238" t="s">
        <v>95</v>
      </c>
    </row>
    <row r="82" spans="2:7" x14ac:dyDescent="0.35">
      <c r="B82" s="118" t="s">
        <v>16</v>
      </c>
      <c r="C82" s="116" t="s">
        <v>17</v>
      </c>
      <c r="D82" s="244">
        <v>125149.6</v>
      </c>
      <c r="E82" s="238" t="s">
        <v>83</v>
      </c>
      <c r="F82" s="238" t="s">
        <v>105</v>
      </c>
      <c r="G82" s="238" t="s">
        <v>95</v>
      </c>
    </row>
    <row r="83" spans="2:7" x14ac:dyDescent="0.35">
      <c r="B83" s="118" t="s">
        <v>18</v>
      </c>
      <c r="C83" s="116" t="s">
        <v>17</v>
      </c>
      <c r="D83" s="244">
        <v>126145.60000000001</v>
      </c>
      <c r="E83" s="238" t="s">
        <v>83</v>
      </c>
      <c r="F83" s="238" t="s">
        <v>105</v>
      </c>
      <c r="G83" s="238" t="s">
        <v>95</v>
      </c>
    </row>
    <row r="84" spans="2:7" x14ac:dyDescent="0.35">
      <c r="B84" s="120" t="s">
        <v>19</v>
      </c>
      <c r="C84" s="116" t="s">
        <v>17</v>
      </c>
      <c r="D84" s="244">
        <v>996</v>
      </c>
      <c r="E84" s="238" t="s">
        <v>83</v>
      </c>
      <c r="F84" s="238" t="s">
        <v>105</v>
      </c>
      <c r="G84" s="238" t="s">
        <v>95</v>
      </c>
    </row>
    <row r="85" spans="2:7" x14ac:dyDescent="0.35">
      <c r="B85" s="120" t="s">
        <v>20</v>
      </c>
      <c r="C85" s="116" t="s">
        <v>17</v>
      </c>
      <c r="D85" s="244"/>
      <c r="E85" s="238" t="s">
        <v>83</v>
      </c>
      <c r="F85" s="238" t="s">
        <v>105</v>
      </c>
      <c r="G85" s="238" t="s">
        <v>95</v>
      </c>
    </row>
    <row r="86" spans="2:7" x14ac:dyDescent="0.35">
      <c r="B86" s="118" t="s">
        <v>22</v>
      </c>
      <c r="C86" s="217" t="s">
        <v>23</v>
      </c>
      <c r="D86" s="244">
        <v>1.0540697424502208</v>
      </c>
      <c r="E86" s="238" t="s">
        <v>83</v>
      </c>
      <c r="F86" s="238" t="s">
        <v>105</v>
      </c>
      <c r="G86" s="238" t="s">
        <v>95</v>
      </c>
    </row>
    <row r="87" spans="2:7" ht="56.5" x14ac:dyDescent="0.35">
      <c r="B87" s="218" t="s">
        <v>84</v>
      </c>
      <c r="C87" s="219"/>
      <c r="D87" s="243">
        <v>366.55959999999999</v>
      </c>
      <c r="E87" s="238" t="s">
        <v>83</v>
      </c>
      <c r="F87" s="238" t="s">
        <v>105</v>
      </c>
      <c r="G87" s="238" t="s">
        <v>95</v>
      </c>
    </row>
    <row r="88" spans="2:7" ht="28.5" x14ac:dyDescent="0.35">
      <c r="B88" s="123" t="s">
        <v>26</v>
      </c>
      <c r="C88" s="220" t="s">
        <v>27</v>
      </c>
      <c r="D88" s="244"/>
      <c r="E88" s="238" t="s">
        <v>83</v>
      </c>
      <c r="F88" s="238" t="s">
        <v>105</v>
      </c>
      <c r="G88" s="238" t="s">
        <v>95</v>
      </c>
    </row>
    <row r="89" spans="2:7" x14ac:dyDescent="0.35">
      <c r="B89" s="121" t="s">
        <v>28</v>
      </c>
      <c r="C89" s="37"/>
      <c r="D89" s="244">
        <v>22.2</v>
      </c>
      <c r="E89" s="238" t="s">
        <v>83</v>
      </c>
      <c r="F89" s="238" t="s">
        <v>105</v>
      </c>
      <c r="G89" s="238" t="s">
        <v>95</v>
      </c>
    </row>
    <row r="90" spans="2:7" x14ac:dyDescent="0.35">
      <c r="B90" s="121" t="s">
        <v>30</v>
      </c>
      <c r="C90" s="37" t="s">
        <v>31</v>
      </c>
      <c r="D90" s="244">
        <v>665</v>
      </c>
      <c r="E90" s="238" t="s">
        <v>83</v>
      </c>
      <c r="F90" s="238" t="s">
        <v>105</v>
      </c>
      <c r="G90" s="238" t="s">
        <v>95</v>
      </c>
    </row>
    <row r="91" spans="2:7" x14ac:dyDescent="0.35">
      <c r="B91" s="122" t="s">
        <v>32</v>
      </c>
      <c r="C91" s="37"/>
      <c r="D91" s="244"/>
      <c r="E91" s="238" t="s">
        <v>83</v>
      </c>
      <c r="F91" s="238" t="s">
        <v>105</v>
      </c>
      <c r="G91" s="238" t="s">
        <v>95</v>
      </c>
    </row>
    <row r="92" spans="2:7" x14ac:dyDescent="0.35">
      <c r="B92" s="121" t="s">
        <v>33</v>
      </c>
      <c r="C92" s="37"/>
      <c r="D92" s="244"/>
      <c r="E92" s="238" t="s">
        <v>83</v>
      </c>
      <c r="F92" s="238" t="s">
        <v>105</v>
      </c>
      <c r="G92" s="238" t="s">
        <v>95</v>
      </c>
    </row>
    <row r="93" spans="2:7" x14ac:dyDescent="0.35">
      <c r="B93" s="122" t="s">
        <v>34</v>
      </c>
      <c r="C93" s="37" t="s">
        <v>35</v>
      </c>
      <c r="D93" s="244">
        <v>531.38</v>
      </c>
      <c r="E93" s="238" t="s">
        <v>83</v>
      </c>
      <c r="F93" s="238" t="s">
        <v>105</v>
      </c>
      <c r="G93" s="238" t="s">
        <v>95</v>
      </c>
    </row>
    <row r="94" spans="2:7" x14ac:dyDescent="0.35">
      <c r="B94" s="121" t="s">
        <v>36</v>
      </c>
      <c r="C94" s="37"/>
      <c r="D94" s="244"/>
      <c r="E94" s="238" t="s">
        <v>83</v>
      </c>
      <c r="F94" s="238" t="s">
        <v>105</v>
      </c>
      <c r="G94" s="238" t="s">
        <v>95</v>
      </c>
    </row>
    <row r="95" spans="2:7" x14ac:dyDescent="0.35">
      <c r="B95" s="124" t="s">
        <v>37</v>
      </c>
      <c r="C95" s="37" t="s">
        <v>38</v>
      </c>
      <c r="D95" s="244">
        <v>3</v>
      </c>
      <c r="E95" s="238" t="s">
        <v>83</v>
      </c>
      <c r="F95" s="238" t="s">
        <v>105</v>
      </c>
      <c r="G95" s="238" t="s">
        <v>95</v>
      </c>
    </row>
    <row r="96" spans="2:7" x14ac:dyDescent="0.35">
      <c r="B96" s="125" t="s">
        <v>39</v>
      </c>
      <c r="C96" s="37" t="s">
        <v>31</v>
      </c>
      <c r="D96" s="244">
        <v>2</v>
      </c>
      <c r="E96" s="238" t="s">
        <v>83</v>
      </c>
      <c r="F96" s="238" t="s">
        <v>105</v>
      </c>
      <c r="G96" s="238" t="s">
        <v>95</v>
      </c>
    </row>
    <row r="97" spans="2:7" ht="28.5" x14ac:dyDescent="0.35">
      <c r="B97" s="123" t="s">
        <v>40</v>
      </c>
      <c r="C97" s="117" t="s">
        <v>41</v>
      </c>
      <c r="D97" s="244"/>
      <c r="E97" s="238" t="s">
        <v>83</v>
      </c>
      <c r="F97" s="238" t="s">
        <v>105</v>
      </c>
      <c r="G97" s="238" t="s">
        <v>95</v>
      </c>
    </row>
    <row r="98" spans="2:7" x14ac:dyDescent="0.35">
      <c r="B98" s="121" t="s">
        <v>28</v>
      </c>
      <c r="C98" s="117" t="s">
        <v>41</v>
      </c>
      <c r="D98" s="244">
        <v>3.5950000000000002</v>
      </c>
      <c r="E98" s="238" t="s">
        <v>83</v>
      </c>
      <c r="F98" s="238" t="s">
        <v>105</v>
      </c>
      <c r="G98" s="238" t="s">
        <v>95</v>
      </c>
    </row>
    <row r="99" spans="2:7" x14ac:dyDescent="0.35">
      <c r="B99" s="121" t="s">
        <v>30</v>
      </c>
      <c r="C99" s="117" t="s">
        <v>41</v>
      </c>
      <c r="D99" s="244">
        <v>0.1</v>
      </c>
      <c r="E99" s="238" t="s">
        <v>83</v>
      </c>
      <c r="F99" s="238" t="s">
        <v>105</v>
      </c>
      <c r="G99" s="238" t="s">
        <v>95</v>
      </c>
    </row>
    <row r="100" spans="2:7" x14ac:dyDescent="0.35">
      <c r="B100" s="122" t="s">
        <v>32</v>
      </c>
      <c r="C100" s="117" t="s">
        <v>41</v>
      </c>
      <c r="D100" s="244"/>
      <c r="E100" s="238" t="s">
        <v>83</v>
      </c>
      <c r="F100" s="238" t="s">
        <v>105</v>
      </c>
      <c r="G100" s="238" t="s">
        <v>95</v>
      </c>
    </row>
    <row r="101" spans="2:7" ht="28.5" x14ac:dyDescent="0.35">
      <c r="B101" s="122" t="s">
        <v>42</v>
      </c>
      <c r="C101" s="117" t="s">
        <v>41</v>
      </c>
      <c r="D101" s="244"/>
      <c r="E101" s="238" t="s">
        <v>83</v>
      </c>
      <c r="F101" s="238" t="s">
        <v>105</v>
      </c>
      <c r="G101" s="238" t="s">
        <v>95</v>
      </c>
    </row>
    <row r="102" spans="2:7" ht="28.5" x14ac:dyDescent="0.35">
      <c r="B102" s="122" t="s">
        <v>43</v>
      </c>
      <c r="C102" s="117" t="s">
        <v>41</v>
      </c>
      <c r="D102" s="244">
        <v>0.37</v>
      </c>
      <c r="E102" s="238" t="s">
        <v>83</v>
      </c>
      <c r="F102" s="238" t="s">
        <v>105</v>
      </c>
      <c r="G102" s="238" t="s">
        <v>95</v>
      </c>
    </row>
    <row r="103" spans="2:7" x14ac:dyDescent="0.35">
      <c r="B103" s="121" t="s">
        <v>36</v>
      </c>
      <c r="C103" s="117" t="s">
        <v>41</v>
      </c>
      <c r="D103" s="244"/>
      <c r="E103" s="238" t="s">
        <v>83</v>
      </c>
      <c r="F103" s="238" t="s">
        <v>105</v>
      </c>
      <c r="G103" s="238" t="s">
        <v>95</v>
      </c>
    </row>
    <row r="104" spans="2:7" x14ac:dyDescent="0.35">
      <c r="B104" s="125" t="s">
        <v>37</v>
      </c>
      <c r="C104" s="117" t="s">
        <v>41</v>
      </c>
      <c r="D104" s="244">
        <v>2.56</v>
      </c>
      <c r="E104" s="238" t="s">
        <v>83</v>
      </c>
      <c r="F104" s="238" t="s">
        <v>105</v>
      </c>
      <c r="G104" s="238" t="s">
        <v>95</v>
      </c>
    </row>
    <row r="105" spans="2:7" x14ac:dyDescent="0.35">
      <c r="B105" s="125" t="s">
        <v>39</v>
      </c>
      <c r="C105" s="117" t="s">
        <v>41</v>
      </c>
      <c r="D105" s="244">
        <v>7.98</v>
      </c>
      <c r="E105" s="238" t="s">
        <v>83</v>
      </c>
      <c r="F105" s="238" t="s">
        <v>105</v>
      </c>
      <c r="G105" s="238" t="s">
        <v>95</v>
      </c>
    </row>
    <row r="106" spans="2:7" ht="28.5" x14ac:dyDescent="0.35">
      <c r="B106" s="221" t="s">
        <v>85</v>
      </c>
      <c r="C106" s="222"/>
      <c r="D106" s="243">
        <v>30798.142925118067</v>
      </c>
      <c r="E106" s="238" t="s">
        <v>83</v>
      </c>
      <c r="F106" s="238" t="s">
        <v>105</v>
      </c>
      <c r="G106" s="238" t="s">
        <v>95</v>
      </c>
    </row>
    <row r="107" spans="2:7" ht="56.5" x14ac:dyDescent="0.35">
      <c r="B107" s="126" t="s">
        <v>96</v>
      </c>
      <c r="C107" s="63" t="s">
        <v>48</v>
      </c>
      <c r="D107" s="244">
        <v>54977.990000000005</v>
      </c>
      <c r="E107" s="238" t="s">
        <v>83</v>
      </c>
      <c r="F107" s="238" t="s">
        <v>105</v>
      </c>
      <c r="G107" s="238" t="s">
        <v>95</v>
      </c>
    </row>
    <row r="108" spans="2:7" x14ac:dyDescent="0.35">
      <c r="B108" s="126" t="s">
        <v>97</v>
      </c>
      <c r="C108" s="63" t="s">
        <v>17</v>
      </c>
      <c r="D108" s="244">
        <v>126145.60000000001</v>
      </c>
      <c r="E108" s="238" t="s">
        <v>83</v>
      </c>
      <c r="F108" s="238" t="s">
        <v>105</v>
      </c>
      <c r="G108" s="238" t="s">
        <v>95</v>
      </c>
    </row>
    <row r="109" spans="2:7" ht="56.5" x14ac:dyDescent="0.35">
      <c r="B109" s="126" t="s">
        <v>98</v>
      </c>
      <c r="C109" s="63" t="s">
        <v>48</v>
      </c>
      <c r="D109" s="244">
        <v>103059.94999999998</v>
      </c>
      <c r="E109" s="238" t="s">
        <v>83</v>
      </c>
      <c r="F109" s="238" t="s">
        <v>105</v>
      </c>
      <c r="G109" s="238" t="s">
        <v>95</v>
      </c>
    </row>
    <row r="110" spans="2:7" x14ac:dyDescent="0.35">
      <c r="B110" s="126" t="s">
        <v>99</v>
      </c>
      <c r="C110" s="63" t="s">
        <v>17</v>
      </c>
      <c r="D110" s="244">
        <v>151563.82999999999</v>
      </c>
      <c r="E110" s="238" t="s">
        <v>83</v>
      </c>
      <c r="F110" s="238" t="s">
        <v>105</v>
      </c>
      <c r="G110" s="238" t="s">
        <v>95</v>
      </c>
    </row>
    <row r="111" spans="2:7" ht="42" x14ac:dyDescent="0.35">
      <c r="B111" s="214" t="s">
        <v>82</v>
      </c>
      <c r="C111" s="215"/>
      <c r="D111" s="243">
        <v>6880.9907598392583</v>
      </c>
      <c r="E111" s="238" t="s">
        <v>83</v>
      </c>
      <c r="F111" s="238" t="s">
        <v>105</v>
      </c>
      <c r="G111" s="238" t="s">
        <v>100</v>
      </c>
    </row>
    <row r="112" spans="2:7" x14ac:dyDescent="0.35">
      <c r="B112" s="216" t="s">
        <v>10</v>
      </c>
      <c r="C112" s="115" t="s">
        <v>11</v>
      </c>
      <c r="D112" s="244">
        <v>33</v>
      </c>
      <c r="E112" s="238" t="s">
        <v>83</v>
      </c>
      <c r="F112" s="238" t="s">
        <v>105</v>
      </c>
      <c r="G112" s="238" t="s">
        <v>100</v>
      </c>
    </row>
    <row r="113" spans="2:7" x14ac:dyDescent="0.35">
      <c r="B113" s="118" t="s">
        <v>12</v>
      </c>
      <c r="C113" s="115" t="s">
        <v>11</v>
      </c>
      <c r="D113" s="244">
        <v>11722</v>
      </c>
      <c r="E113" s="238" t="s">
        <v>83</v>
      </c>
      <c r="F113" s="238" t="s">
        <v>105</v>
      </c>
      <c r="G113" s="238" t="s">
        <v>100</v>
      </c>
    </row>
    <row r="114" spans="2:7" x14ac:dyDescent="0.35">
      <c r="B114" s="118" t="s">
        <v>13</v>
      </c>
      <c r="C114" s="115" t="s">
        <v>11</v>
      </c>
      <c r="D114" s="244">
        <v>12294</v>
      </c>
      <c r="E114" s="238" t="s">
        <v>83</v>
      </c>
      <c r="F114" s="238" t="s">
        <v>105</v>
      </c>
      <c r="G114" s="238" t="s">
        <v>100</v>
      </c>
    </row>
    <row r="115" spans="2:7" x14ac:dyDescent="0.35">
      <c r="B115" s="119" t="s">
        <v>14</v>
      </c>
      <c r="C115" s="115" t="s">
        <v>11</v>
      </c>
      <c r="D115" s="244">
        <v>572</v>
      </c>
      <c r="E115" s="238" t="s">
        <v>83</v>
      </c>
      <c r="F115" s="238" t="s">
        <v>105</v>
      </c>
      <c r="G115" s="238" t="s">
        <v>100</v>
      </c>
    </row>
    <row r="116" spans="2:7" x14ac:dyDescent="0.35">
      <c r="B116" s="119" t="s">
        <v>15</v>
      </c>
      <c r="C116" s="115" t="s">
        <v>11</v>
      </c>
      <c r="D116" s="244"/>
      <c r="E116" s="238" t="s">
        <v>83</v>
      </c>
      <c r="F116" s="238" t="s">
        <v>105</v>
      </c>
      <c r="G116" s="238" t="s">
        <v>100</v>
      </c>
    </row>
    <row r="117" spans="2:7" x14ac:dyDescent="0.35">
      <c r="B117" s="118" t="s">
        <v>16</v>
      </c>
      <c r="C117" s="116" t="s">
        <v>17</v>
      </c>
      <c r="D117" s="244">
        <v>126601.97000000002</v>
      </c>
      <c r="E117" s="238" t="s">
        <v>83</v>
      </c>
      <c r="F117" s="238" t="s">
        <v>105</v>
      </c>
      <c r="G117" s="238" t="s">
        <v>100</v>
      </c>
    </row>
    <row r="118" spans="2:7" x14ac:dyDescent="0.35">
      <c r="B118" s="118" t="s">
        <v>18</v>
      </c>
      <c r="C118" s="116" t="s">
        <v>17</v>
      </c>
      <c r="D118" s="244">
        <v>132379.17000000001</v>
      </c>
      <c r="E118" s="238" t="s">
        <v>83</v>
      </c>
      <c r="F118" s="238" t="s">
        <v>105</v>
      </c>
      <c r="G118" s="238" t="s">
        <v>100</v>
      </c>
    </row>
    <row r="119" spans="2:7" x14ac:dyDescent="0.35">
      <c r="B119" s="120" t="s">
        <v>19</v>
      </c>
      <c r="C119" s="116" t="s">
        <v>17</v>
      </c>
      <c r="D119" s="244">
        <v>5777.2</v>
      </c>
      <c r="E119" s="238" t="s">
        <v>83</v>
      </c>
      <c r="F119" s="238" t="s">
        <v>105</v>
      </c>
      <c r="G119" s="238" t="s">
        <v>100</v>
      </c>
    </row>
    <row r="120" spans="2:7" x14ac:dyDescent="0.35">
      <c r="B120" s="120" t="s">
        <v>20</v>
      </c>
      <c r="C120" s="116" t="s">
        <v>17</v>
      </c>
      <c r="D120" s="244"/>
      <c r="E120" s="238" t="s">
        <v>83</v>
      </c>
      <c r="F120" s="238" t="s">
        <v>105</v>
      </c>
      <c r="G120" s="238" t="s">
        <v>100</v>
      </c>
    </row>
    <row r="121" spans="2:7" x14ac:dyDescent="0.35">
      <c r="B121" s="118" t="s">
        <v>22</v>
      </c>
      <c r="C121" s="217" t="s">
        <v>23</v>
      </c>
      <c r="D121" s="244">
        <v>1.1910598144151598</v>
      </c>
      <c r="E121" s="238" t="s">
        <v>83</v>
      </c>
      <c r="F121" s="238" t="s">
        <v>105</v>
      </c>
      <c r="G121" s="238" t="s">
        <v>100</v>
      </c>
    </row>
    <row r="122" spans="2:7" ht="56.5" x14ac:dyDescent="0.35">
      <c r="B122" s="218" t="s">
        <v>84</v>
      </c>
      <c r="C122" s="219"/>
      <c r="D122" s="243">
        <v>506.084</v>
      </c>
      <c r="E122" s="238" t="s">
        <v>83</v>
      </c>
      <c r="F122" s="238" t="s">
        <v>105</v>
      </c>
      <c r="G122" s="238" t="s">
        <v>100</v>
      </c>
    </row>
    <row r="123" spans="2:7" ht="28.5" x14ac:dyDescent="0.35">
      <c r="B123" s="223" t="s">
        <v>26</v>
      </c>
      <c r="C123" s="224" t="s">
        <v>27</v>
      </c>
      <c r="D123" s="244"/>
      <c r="E123" s="238" t="s">
        <v>83</v>
      </c>
      <c r="F123" s="238" t="s">
        <v>105</v>
      </c>
      <c r="G123" s="238" t="s">
        <v>100</v>
      </c>
    </row>
    <row r="124" spans="2:7" x14ac:dyDescent="0.35">
      <c r="B124" s="225" t="s">
        <v>28</v>
      </c>
      <c r="C124" s="162" t="s">
        <v>29</v>
      </c>
      <c r="D124" s="244">
        <v>11.84</v>
      </c>
      <c r="E124" s="238" t="s">
        <v>83</v>
      </c>
      <c r="F124" s="238" t="s">
        <v>105</v>
      </c>
      <c r="G124" s="238" t="s">
        <v>100</v>
      </c>
    </row>
    <row r="125" spans="2:7" x14ac:dyDescent="0.35">
      <c r="B125" s="225" t="s">
        <v>30</v>
      </c>
      <c r="C125" s="162" t="s">
        <v>31</v>
      </c>
      <c r="D125" s="244">
        <v>465</v>
      </c>
      <c r="E125" s="238" t="s">
        <v>83</v>
      </c>
      <c r="F125" s="238" t="s">
        <v>105</v>
      </c>
      <c r="G125" s="238" t="s">
        <v>100</v>
      </c>
    </row>
    <row r="126" spans="2:7" x14ac:dyDescent="0.35">
      <c r="B126" s="226" t="s">
        <v>32</v>
      </c>
      <c r="C126" s="162" t="s">
        <v>31</v>
      </c>
      <c r="D126" s="244">
        <v>3</v>
      </c>
      <c r="E126" s="238" t="s">
        <v>83</v>
      </c>
      <c r="F126" s="238" t="s">
        <v>105</v>
      </c>
      <c r="G126" s="238" t="s">
        <v>100</v>
      </c>
    </row>
    <row r="127" spans="2:7" x14ac:dyDescent="0.35">
      <c r="B127" s="225" t="s">
        <v>33</v>
      </c>
      <c r="C127" s="162"/>
      <c r="D127" s="244"/>
      <c r="E127" s="238" t="s">
        <v>83</v>
      </c>
      <c r="F127" s="238" t="s">
        <v>105</v>
      </c>
      <c r="G127" s="238" t="s">
        <v>100</v>
      </c>
    </row>
    <row r="128" spans="2:7" x14ac:dyDescent="0.35">
      <c r="B128" s="226" t="s">
        <v>34</v>
      </c>
      <c r="C128" s="162" t="s">
        <v>35</v>
      </c>
      <c r="D128" s="244">
        <v>652.79999999999995</v>
      </c>
      <c r="E128" s="238" t="s">
        <v>83</v>
      </c>
      <c r="F128" s="238" t="s">
        <v>105</v>
      </c>
      <c r="G128" s="238" t="s">
        <v>100</v>
      </c>
    </row>
    <row r="129" spans="2:7" x14ac:dyDescent="0.35">
      <c r="B129" s="225" t="s">
        <v>36</v>
      </c>
      <c r="C129" s="162"/>
      <c r="D129" s="244"/>
      <c r="E129" s="238" t="s">
        <v>83</v>
      </c>
      <c r="F129" s="238" t="s">
        <v>105</v>
      </c>
      <c r="G129" s="238" t="s">
        <v>100</v>
      </c>
    </row>
    <row r="130" spans="2:7" x14ac:dyDescent="0.35">
      <c r="B130" s="227" t="s">
        <v>37</v>
      </c>
      <c r="C130" s="162" t="s">
        <v>38</v>
      </c>
      <c r="D130" s="244">
        <v>3</v>
      </c>
      <c r="E130" s="238" t="s">
        <v>83</v>
      </c>
      <c r="F130" s="238" t="s">
        <v>105</v>
      </c>
      <c r="G130" s="238" t="s">
        <v>100</v>
      </c>
    </row>
    <row r="131" spans="2:7" x14ac:dyDescent="0.35">
      <c r="B131" s="227" t="s">
        <v>111</v>
      </c>
      <c r="C131" s="162" t="s">
        <v>31</v>
      </c>
      <c r="D131" s="244">
        <v>6</v>
      </c>
      <c r="E131" s="238" t="s">
        <v>83</v>
      </c>
      <c r="F131" s="238" t="s">
        <v>105</v>
      </c>
      <c r="G131" s="238" t="s">
        <v>100</v>
      </c>
    </row>
    <row r="132" spans="2:7" x14ac:dyDescent="0.35">
      <c r="B132" s="228" t="s">
        <v>39</v>
      </c>
      <c r="C132" s="162" t="s">
        <v>31</v>
      </c>
      <c r="D132" s="244">
        <v>1</v>
      </c>
      <c r="E132" s="238" t="s">
        <v>83</v>
      </c>
      <c r="F132" s="238" t="s">
        <v>105</v>
      </c>
      <c r="G132" s="238" t="s">
        <v>100</v>
      </c>
    </row>
    <row r="133" spans="2:7" ht="28.5" x14ac:dyDescent="0.35">
      <c r="B133" s="223" t="s">
        <v>40</v>
      </c>
      <c r="C133" s="210" t="s">
        <v>41</v>
      </c>
      <c r="D133" s="244"/>
      <c r="E133" s="238" t="s">
        <v>83</v>
      </c>
      <c r="F133" s="238" t="s">
        <v>105</v>
      </c>
      <c r="G133" s="238" t="s">
        <v>100</v>
      </c>
    </row>
    <row r="134" spans="2:7" x14ac:dyDescent="0.35">
      <c r="B134" s="225" t="s">
        <v>28</v>
      </c>
      <c r="C134" s="210" t="s">
        <v>41</v>
      </c>
      <c r="D134" s="244">
        <v>14.2</v>
      </c>
      <c r="E134" s="238" t="s">
        <v>83</v>
      </c>
      <c r="F134" s="238" t="s">
        <v>105</v>
      </c>
      <c r="G134" s="238" t="s">
        <v>100</v>
      </c>
    </row>
    <row r="135" spans="2:7" x14ac:dyDescent="0.35">
      <c r="B135" s="225" t="s">
        <v>30</v>
      </c>
      <c r="C135" s="210" t="s">
        <v>41</v>
      </c>
      <c r="D135" s="244">
        <v>0.1</v>
      </c>
      <c r="E135" s="238" t="s">
        <v>83</v>
      </c>
      <c r="F135" s="238" t="s">
        <v>105</v>
      </c>
      <c r="G135" s="238" t="s">
        <v>100</v>
      </c>
    </row>
    <row r="136" spans="2:7" x14ac:dyDescent="0.35">
      <c r="B136" s="226" t="s">
        <v>32</v>
      </c>
      <c r="C136" s="210" t="s">
        <v>41</v>
      </c>
      <c r="D136" s="244">
        <v>1.75</v>
      </c>
      <c r="E136" s="238" t="s">
        <v>83</v>
      </c>
      <c r="F136" s="238" t="s">
        <v>105</v>
      </c>
      <c r="G136" s="238" t="s">
        <v>100</v>
      </c>
    </row>
    <row r="137" spans="2:7" ht="28.5" x14ac:dyDescent="0.35">
      <c r="B137" s="226" t="s">
        <v>42</v>
      </c>
      <c r="C137" s="210" t="s">
        <v>41</v>
      </c>
      <c r="D137" s="244"/>
      <c r="E137" s="238" t="s">
        <v>83</v>
      </c>
      <c r="F137" s="238" t="s">
        <v>105</v>
      </c>
      <c r="G137" s="238" t="s">
        <v>100</v>
      </c>
    </row>
    <row r="138" spans="2:7" ht="28.5" x14ac:dyDescent="0.35">
      <c r="B138" s="226" t="s">
        <v>43</v>
      </c>
      <c r="C138" s="210" t="s">
        <v>41</v>
      </c>
      <c r="D138" s="244">
        <v>0.37</v>
      </c>
      <c r="E138" s="238" t="s">
        <v>83</v>
      </c>
      <c r="F138" s="238" t="s">
        <v>105</v>
      </c>
      <c r="G138" s="238" t="s">
        <v>100</v>
      </c>
    </row>
    <row r="139" spans="2:7" x14ac:dyDescent="0.35">
      <c r="B139" s="225" t="s">
        <v>36</v>
      </c>
      <c r="C139" s="210" t="s">
        <v>41</v>
      </c>
      <c r="D139" s="244"/>
      <c r="E139" s="238" t="s">
        <v>83</v>
      </c>
      <c r="F139" s="238" t="s">
        <v>105</v>
      </c>
      <c r="G139" s="238" t="s">
        <v>100</v>
      </c>
    </row>
    <row r="140" spans="2:7" x14ac:dyDescent="0.35">
      <c r="B140" s="228" t="s">
        <v>37</v>
      </c>
      <c r="C140" s="210" t="s">
        <v>41</v>
      </c>
      <c r="D140" s="244">
        <v>2.1666666666666665</v>
      </c>
      <c r="E140" s="238" t="s">
        <v>83</v>
      </c>
      <c r="F140" s="238" t="s">
        <v>105</v>
      </c>
      <c r="G140" s="238" t="s">
        <v>100</v>
      </c>
    </row>
    <row r="141" spans="2:7" x14ac:dyDescent="0.35">
      <c r="B141" s="228" t="s">
        <v>111</v>
      </c>
      <c r="C141" s="210" t="s">
        <v>41</v>
      </c>
      <c r="D141" s="244">
        <v>4.2699999999999996</v>
      </c>
      <c r="E141" s="238" t="s">
        <v>83</v>
      </c>
      <c r="F141" s="238" t="s">
        <v>105</v>
      </c>
      <c r="G141" s="238" t="s">
        <v>100</v>
      </c>
    </row>
    <row r="142" spans="2:7" x14ac:dyDescent="0.35">
      <c r="B142" s="228" t="s">
        <v>39</v>
      </c>
      <c r="C142" s="210" t="s">
        <v>41</v>
      </c>
      <c r="D142" s="244">
        <v>12.55</v>
      </c>
      <c r="E142" s="238" t="s">
        <v>83</v>
      </c>
      <c r="F142" s="238" t="s">
        <v>105</v>
      </c>
      <c r="G142" s="238" t="s">
        <v>100</v>
      </c>
    </row>
    <row r="143" spans="2:7" ht="28.5" x14ac:dyDescent="0.35">
      <c r="B143" s="221" t="s">
        <v>85</v>
      </c>
      <c r="C143" s="222"/>
      <c r="D143" s="243">
        <v>21227.607595879977</v>
      </c>
      <c r="E143" s="238" t="s">
        <v>83</v>
      </c>
      <c r="F143" s="238" t="s">
        <v>105</v>
      </c>
      <c r="G143" s="238" t="s">
        <v>100</v>
      </c>
    </row>
    <row r="144" spans="2:7" ht="56.5" x14ac:dyDescent="0.35">
      <c r="B144" s="126" t="s">
        <v>101</v>
      </c>
      <c r="C144" s="63" t="s">
        <v>48</v>
      </c>
      <c r="D144" s="244">
        <v>54919.63</v>
      </c>
      <c r="E144" s="238" t="s">
        <v>83</v>
      </c>
      <c r="F144" s="238" t="s">
        <v>105</v>
      </c>
      <c r="G144" s="238" t="s">
        <v>100</v>
      </c>
    </row>
    <row r="145" spans="2:7" x14ac:dyDescent="0.35">
      <c r="B145" s="126" t="s">
        <v>102</v>
      </c>
      <c r="C145" s="63" t="s">
        <v>17</v>
      </c>
      <c r="D145" s="244">
        <v>132379.17000000001</v>
      </c>
      <c r="E145" s="238" t="s">
        <v>83</v>
      </c>
      <c r="F145" s="238" t="s">
        <v>105</v>
      </c>
      <c r="G145" s="238" t="s">
        <v>100</v>
      </c>
    </row>
    <row r="146" spans="2:7" ht="56.5" x14ac:dyDescent="0.35">
      <c r="B146" s="126" t="s">
        <v>103</v>
      </c>
      <c r="C146" s="63" t="s">
        <v>48</v>
      </c>
      <c r="D146" s="244">
        <v>87551.54</v>
      </c>
      <c r="E146" s="238" t="s">
        <v>83</v>
      </c>
      <c r="F146" s="238" t="s">
        <v>105</v>
      </c>
      <c r="G146" s="238" t="s">
        <v>100</v>
      </c>
    </row>
    <row r="147" spans="2:7" x14ac:dyDescent="0.35">
      <c r="B147" s="126" t="s">
        <v>104</v>
      </c>
      <c r="C147" s="63" t="s">
        <v>17</v>
      </c>
      <c r="D147" s="244">
        <v>152205.13</v>
      </c>
      <c r="E147" s="238" t="s">
        <v>83</v>
      </c>
      <c r="F147" s="238" t="s">
        <v>105</v>
      </c>
      <c r="G147" s="238" t="s">
        <v>100</v>
      </c>
    </row>
  </sheetData>
  <mergeCells count="1">
    <mergeCell ref="B1:G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084301-E7BF-4C82-B7A7-DAD7BACFE6CE}">
  <dimension ref="B2:AL8"/>
  <sheetViews>
    <sheetView workbookViewId="0">
      <selection activeCell="AG26" sqref="AG26"/>
    </sheetView>
  </sheetViews>
  <sheetFormatPr defaultColWidth="8.7265625" defaultRowHeight="14.5" x14ac:dyDescent="0.35"/>
  <cols>
    <col min="1" max="1" width="3.7265625" style="99" customWidth="1"/>
    <col min="2" max="2" width="20.1796875" style="99" bestFit="1" customWidth="1"/>
    <col min="3" max="38" width="14.7265625" style="99" customWidth="1"/>
    <col min="39" max="16384" width="8.7265625" style="99"/>
  </cols>
  <sheetData>
    <row r="2" spans="2:38" ht="15" x14ac:dyDescent="0.4">
      <c r="B2" s="98" t="s">
        <v>75</v>
      </c>
      <c r="D2" s="100" t="e">
        <f ca="1">_xll.PALO.VIEW.DIMNAME($B$2,$B$3,0,0)</f>
        <v>#NAME?</v>
      </c>
      <c r="E2" s="100" t="e">
        <f ca="1">_xll.PALO.VIEW.DIMNAME($B$2,$B$3,0,1)</f>
        <v>#NAME?</v>
      </c>
      <c r="F2" s="100" t="e">
        <f ca="1">_xll.PALO.VIEW.DIMNAME($B$2,$B$3,0,2)</f>
        <v>#NAME?</v>
      </c>
      <c r="G2" s="100" t="e">
        <f ca="1">_xll.PALO.VIEW.DIMNAME($B$2,$B$3,0,3)</f>
        <v>#NAME?</v>
      </c>
      <c r="H2" s="100" t="e">
        <f ca="1">_xll.PALO.VIEW.DIMNAME($B$2,$B$3,0,4)</f>
        <v>#NAME?</v>
      </c>
      <c r="I2" s="100" t="e">
        <f ca="1">_xll.PALO.VIEW.DIMNAME($B$2,$B$3,0,5)</f>
        <v>#NAME?</v>
      </c>
      <c r="J2" s="100" t="e">
        <f ca="1">_xll.PALO.VIEW.DIMNAME($B$2,$B$3,0,6)</f>
        <v>#NAME?</v>
      </c>
    </row>
    <row r="3" spans="2:38" ht="15" x14ac:dyDescent="0.4">
      <c r="B3" s="101" t="e">
        <f ca="1">_xll.PALO.CUBE($B$2,"PnL_")</f>
        <v>#NAME?</v>
      </c>
      <c r="D3" s="102" t="e">
        <f ca="1">_xll.PALO.ENAME($B$2,$B$3,0,0,0)</f>
        <v>#NAME?</v>
      </c>
      <c r="E3" s="102" t="e">
        <f ca="1">_xll.PALO.ENAME($B$2,$B$3,0,1,0)</f>
        <v>#NAME?</v>
      </c>
      <c r="F3" s="102" t="e">
        <f ca="1">_xll.PALO.ENAME($B$2,$B$3,0,2,0)</f>
        <v>#NAME?</v>
      </c>
      <c r="G3" s="103" t="e">
        <f ca="1">_xll.PALO.ENAME($B$2,$B$3,0,3,0)</f>
        <v>#NAME?</v>
      </c>
      <c r="H3" s="103" t="e">
        <f ca="1">_xll.PALO.ENAME($B$2,$B$3,0,4,0)</f>
        <v>#NAME?</v>
      </c>
      <c r="I3" s="102" t="e">
        <f ca="1">_xll.PALO.ENAME($B$2,$B$3,0,5,0)</f>
        <v>#NAME?</v>
      </c>
      <c r="J3" s="102" t="e">
        <f ca="1">_xll.PALO.ENAME($B$2,$B$3,0,6,0)</f>
        <v>#NAME?</v>
      </c>
    </row>
    <row r="4" spans="2:38" x14ac:dyDescent="0.35">
      <c r="B4" s="104" t="s">
        <v>76</v>
      </c>
    </row>
    <row r="5" spans="2:38" ht="15" x14ac:dyDescent="0.4">
      <c r="B5" s="105" t="s">
        <v>77</v>
      </c>
    </row>
    <row r="6" spans="2:38" ht="15" x14ac:dyDescent="0.4">
      <c r="C6" s="106" t="e">
        <f ca="1">_xll.PALO.ENAME($B$2,$B$3,2,0,0)</f>
        <v>#NAME?</v>
      </c>
      <c r="D6" s="107" t="e">
        <f ca="1">_xll.PALO.ENAME($B$2,$B$3,2,0,1)</f>
        <v>#NAME?</v>
      </c>
      <c r="E6" s="107" t="e">
        <f ca="1">_xll.PALO.ENAME($B$2,$B$3,2,0,2)</f>
        <v>#NAME?</v>
      </c>
      <c r="F6" s="106" t="e">
        <f ca="1">_xll.PALO.ENAME($B$2,$B$3,2,0,3)</f>
        <v>#NAME?</v>
      </c>
      <c r="G6" s="107" t="e">
        <f ca="1">_xll.PALO.ENAME($B$2,$B$3,2,0,4)</f>
        <v>#NAME?</v>
      </c>
      <c r="H6" s="107" t="e">
        <f ca="1">_xll.PALO.ENAME($B$2,$B$3,2,0,5)</f>
        <v>#NAME?</v>
      </c>
      <c r="I6" s="106" t="e">
        <f ca="1">_xll.PALO.ENAME($B$2,$B$3,2,0,6)</f>
        <v>#NAME?</v>
      </c>
      <c r="J6" s="107" t="e">
        <f ca="1">_xll.PALO.ENAME($B$2,$B$3,2,0,7)</f>
        <v>#NAME?</v>
      </c>
      <c r="K6" s="107" t="e">
        <f ca="1">_xll.PALO.ENAME($B$2,$B$3,2,0,8)</f>
        <v>#NAME?</v>
      </c>
      <c r="L6" s="106" t="e">
        <f ca="1">_xll.PALO.ENAME($B$2,$B$3,2,0,9)</f>
        <v>#NAME?</v>
      </c>
      <c r="M6" s="107" t="e">
        <f ca="1">_xll.PALO.ENAME($B$2,$B$3,2,0,10)</f>
        <v>#NAME?</v>
      </c>
      <c r="N6" s="107" t="e">
        <f ca="1">_xll.PALO.ENAME($B$2,$B$3,2,0,11)</f>
        <v>#NAME?</v>
      </c>
      <c r="O6" s="106" t="e">
        <f ca="1">_xll.PALO.ENAME($B$2,$B$3,2,0,12)</f>
        <v>#NAME?</v>
      </c>
      <c r="P6" s="107" t="e">
        <f ca="1">_xll.PALO.ENAME($B$2,$B$3,2,0,13)</f>
        <v>#NAME?</v>
      </c>
      <c r="Q6" s="107" t="e">
        <f ca="1">_xll.PALO.ENAME($B$2,$B$3,2,0,14)</f>
        <v>#NAME?</v>
      </c>
      <c r="R6" s="106" t="e">
        <f ca="1">_xll.PALO.ENAME($B$2,$B$3,2,0,15)</f>
        <v>#NAME?</v>
      </c>
      <c r="S6" s="107" t="e">
        <f ca="1">_xll.PALO.ENAME($B$2,$B$3,2,0,16)</f>
        <v>#NAME?</v>
      </c>
      <c r="T6" s="107" t="e">
        <f ca="1">_xll.PALO.ENAME($B$2,$B$3,2,0,17)</f>
        <v>#NAME?</v>
      </c>
      <c r="U6" s="106" t="e">
        <f ca="1">_xll.PALO.ENAME($B$2,$B$3,2,0,18)</f>
        <v>#NAME?</v>
      </c>
      <c r="V6" s="107" t="e">
        <f ca="1">_xll.PALO.ENAME($B$2,$B$3,2,0,19)</f>
        <v>#NAME?</v>
      </c>
      <c r="W6" s="107" t="e">
        <f ca="1">_xll.PALO.ENAME($B$2,$B$3,2,0,20)</f>
        <v>#NAME?</v>
      </c>
      <c r="X6" s="106" t="e">
        <f ca="1">_xll.PALO.ENAME($B$2,$B$3,2,0,21)</f>
        <v>#NAME?</v>
      </c>
      <c r="Y6" s="107" t="e">
        <f ca="1">_xll.PALO.ENAME($B$2,$B$3,2,0,22)</f>
        <v>#NAME?</v>
      </c>
      <c r="Z6" s="107" t="e">
        <f ca="1">_xll.PALO.ENAME($B$2,$B$3,2,0,23)</f>
        <v>#NAME?</v>
      </c>
      <c r="AA6" s="106" t="e">
        <f ca="1">_xll.PALO.ENAME($B$2,$B$3,2,0,24)</f>
        <v>#NAME?</v>
      </c>
      <c r="AB6" s="107" t="e">
        <f ca="1">_xll.PALO.ENAME($B$2,$B$3,2,0,25)</f>
        <v>#NAME?</v>
      </c>
      <c r="AC6" s="107" t="e">
        <f ca="1">_xll.PALO.ENAME($B$2,$B$3,2,0,26)</f>
        <v>#NAME?</v>
      </c>
      <c r="AD6" s="106" t="e">
        <f ca="1">_xll.PALO.ENAME($B$2,$B$3,2,0,27)</f>
        <v>#NAME?</v>
      </c>
      <c r="AE6" s="107" t="e">
        <f ca="1">_xll.PALO.ENAME($B$2,$B$3,2,0,28)</f>
        <v>#NAME?</v>
      </c>
      <c r="AF6" s="107" t="e">
        <f ca="1">_xll.PALO.ENAME($B$2,$B$3,2,0,29)</f>
        <v>#NAME?</v>
      </c>
      <c r="AG6" s="106" t="e">
        <f ca="1">_xll.PALO.ENAME($B$2,$B$3,2,0,30)</f>
        <v>#NAME?</v>
      </c>
      <c r="AH6" s="107" t="e">
        <f ca="1">_xll.PALO.ENAME($B$2,$B$3,2,0,31)</f>
        <v>#NAME?</v>
      </c>
      <c r="AI6" s="107" t="e">
        <f ca="1">_xll.PALO.ENAME($B$2,$B$3,2,0,32)</f>
        <v>#NAME?</v>
      </c>
      <c r="AJ6" s="106" t="e">
        <f ca="1">_xll.PALO.ENAME($B$2,$B$3,2,0,33)</f>
        <v>#NAME?</v>
      </c>
      <c r="AK6" s="107" t="e">
        <f ca="1">_xll.PALO.ENAME($B$2,$B$3,2,0,34)</f>
        <v>#NAME?</v>
      </c>
      <c r="AL6" s="107" t="e">
        <f ca="1">_xll.PALO.ENAME($B$2,$B$3,2,0,35)</f>
        <v>#NAME?</v>
      </c>
    </row>
    <row r="7" spans="2:38" ht="28" x14ac:dyDescent="0.4">
      <c r="C7" s="108" t="e">
        <f ca="1">_xll.PALO.ENAME($B$2,$B$3,2,1,0)</f>
        <v>#NAME?</v>
      </c>
      <c r="D7" s="108" t="e">
        <f ca="1">_xll.PALO.ENAME($B$2,$B$3,2,1,1)</f>
        <v>#NAME?</v>
      </c>
      <c r="E7" s="108" t="e">
        <f ca="1">_xll.PALO.ENAME($B$2,$B$3,2,1,2)</f>
        <v>#NAME?</v>
      </c>
      <c r="F7" s="108" t="e">
        <f ca="1">_xll.PALO.ENAME($B$2,$B$3,2,1,3)</f>
        <v>#NAME?</v>
      </c>
      <c r="G7" s="108" t="e">
        <f ca="1">_xll.PALO.ENAME($B$2,$B$3,2,1,4)</f>
        <v>#NAME?</v>
      </c>
      <c r="H7" s="108" t="e">
        <f ca="1">_xll.PALO.ENAME($B$2,$B$3,2,1,5)</f>
        <v>#NAME?</v>
      </c>
      <c r="I7" s="108" t="e">
        <f ca="1">_xll.PALO.ENAME($B$2,$B$3,2,1,6)</f>
        <v>#NAME?</v>
      </c>
      <c r="J7" s="108" t="e">
        <f ca="1">_xll.PALO.ENAME($B$2,$B$3,2,1,7)</f>
        <v>#NAME?</v>
      </c>
      <c r="K7" s="108" t="e">
        <f ca="1">_xll.PALO.ENAME($B$2,$B$3,2,1,8)</f>
        <v>#NAME?</v>
      </c>
      <c r="L7" s="108" t="e">
        <f ca="1">_xll.PALO.ENAME($B$2,$B$3,2,1,9)</f>
        <v>#NAME?</v>
      </c>
      <c r="M7" s="108" t="e">
        <f ca="1">_xll.PALO.ENAME($B$2,$B$3,2,1,10)</f>
        <v>#NAME?</v>
      </c>
      <c r="N7" s="108" t="e">
        <f ca="1">_xll.PALO.ENAME($B$2,$B$3,2,1,11)</f>
        <v>#NAME?</v>
      </c>
      <c r="O7" s="108" t="e">
        <f ca="1">_xll.PALO.ENAME($B$2,$B$3,2,1,12)</f>
        <v>#NAME?</v>
      </c>
      <c r="P7" s="108" t="e">
        <f ca="1">_xll.PALO.ENAME($B$2,$B$3,2,1,13)</f>
        <v>#NAME?</v>
      </c>
      <c r="Q7" s="108" t="e">
        <f ca="1">_xll.PALO.ENAME($B$2,$B$3,2,1,14)</f>
        <v>#NAME?</v>
      </c>
      <c r="R7" s="108" t="e">
        <f ca="1">_xll.PALO.ENAME($B$2,$B$3,2,1,15)</f>
        <v>#NAME?</v>
      </c>
      <c r="S7" s="108" t="e">
        <f ca="1">_xll.PALO.ENAME($B$2,$B$3,2,1,16)</f>
        <v>#NAME?</v>
      </c>
      <c r="T7" s="108" t="e">
        <f ca="1">_xll.PALO.ENAME($B$2,$B$3,2,1,17)</f>
        <v>#NAME?</v>
      </c>
      <c r="U7" s="108" t="e">
        <f ca="1">_xll.PALO.ENAME($B$2,$B$3,2,1,18)</f>
        <v>#NAME?</v>
      </c>
      <c r="V7" s="108" t="e">
        <f ca="1">_xll.PALO.ENAME($B$2,$B$3,2,1,19)</f>
        <v>#NAME?</v>
      </c>
      <c r="W7" s="108" t="e">
        <f ca="1">_xll.PALO.ENAME($B$2,$B$3,2,1,20)</f>
        <v>#NAME?</v>
      </c>
      <c r="X7" s="108" t="e">
        <f ca="1">_xll.PALO.ENAME($B$2,$B$3,2,1,21)</f>
        <v>#NAME?</v>
      </c>
      <c r="Y7" s="108" t="e">
        <f ca="1">_xll.PALO.ENAME($B$2,$B$3,2,1,22)</f>
        <v>#NAME?</v>
      </c>
      <c r="Z7" s="108" t="e">
        <f ca="1">_xll.PALO.ENAME($B$2,$B$3,2,1,23)</f>
        <v>#NAME?</v>
      </c>
      <c r="AA7" s="108" t="e">
        <f ca="1">_xll.PALO.ENAME($B$2,$B$3,2,1,24)</f>
        <v>#NAME?</v>
      </c>
      <c r="AB7" s="108" t="e">
        <f ca="1">_xll.PALO.ENAME($B$2,$B$3,2,1,25)</f>
        <v>#NAME?</v>
      </c>
      <c r="AC7" s="108" t="e">
        <f ca="1">_xll.PALO.ENAME($B$2,$B$3,2,1,26)</f>
        <v>#NAME?</v>
      </c>
      <c r="AD7" s="108" t="e">
        <f ca="1">_xll.PALO.ENAME($B$2,$B$3,2,1,27)</f>
        <v>#NAME?</v>
      </c>
      <c r="AE7" s="108" t="e">
        <f ca="1">_xll.PALO.ENAME($B$2,$B$3,2,1,28)</f>
        <v>#NAME?</v>
      </c>
      <c r="AF7" s="108" t="e">
        <f ca="1">_xll.PALO.ENAME($B$2,$B$3,2,1,29)</f>
        <v>#NAME?</v>
      </c>
      <c r="AG7" s="108" t="e">
        <f ca="1">_xll.PALO.ENAME($B$2,$B$3,2,1,30)</f>
        <v>#NAME?</v>
      </c>
      <c r="AH7" s="108" t="e">
        <f ca="1">_xll.PALO.ENAME($B$2,$B$3,2,1,31)</f>
        <v>#NAME?</v>
      </c>
      <c r="AI7" s="108" t="e">
        <f ca="1">_xll.PALO.ENAME($B$2,$B$3,2,1,32)</f>
        <v>#NAME?</v>
      </c>
      <c r="AJ7" s="108" t="e">
        <f ca="1">_xll.PALO.ENAME($B$2,$B$3,2,1,33)</f>
        <v>#NAME?</v>
      </c>
      <c r="AK7" s="108" t="e">
        <f ca="1">_xll.PALO.ENAME($B$2,$B$3,2,1,34)</f>
        <v>#NAME?</v>
      </c>
      <c r="AL7" s="108" t="e">
        <f ca="1">_xll.PALO.ENAME($B$2,$B$3,2,1,35)</f>
        <v>#NAME?</v>
      </c>
    </row>
    <row r="8" spans="2:38" ht="15" x14ac:dyDescent="0.4">
      <c r="B8" s="109" t="e">
        <f ca="1">_xll.PALO.ENAME($B$2,$B$3,1,0,0)</f>
        <v>#NAME?</v>
      </c>
      <c r="C8" s="110" t="e">
        <f ca="1">_xll.PALO.DATA($B$2,$B$3,_xll.PALO.EL("Time",C$6),_xll.PALO.EL("Partner",$B8),_xll.PALO.EL($D$2,$D$3),_xll.PALO.EL($E$2,$E$3),_xll.PALO.EL($F$2,$F$3),_xll.PALO.EL($G$2,$G$3),_xll.PALO.EL($H$2,$H$3),_xll.PALO.EL($I$2,$I$3),_xll.PALO.EL($J$2,$J$3),_xll.PALO.EL("Position",C$7))</f>
        <v>#NAME?</v>
      </c>
      <c r="D8" s="110" t="e">
        <f ca="1">_xll.PALO.DATA($B$2,$B$3,_xll.PALO.EL("Time",D$6),_xll.PALO.EL("Partner",$B8),_xll.PALO.EL($D$2,$D$3),_xll.PALO.EL($E$2,$E$3),_xll.PALO.EL($F$2,$F$3),_xll.PALO.EL($G$2,$G$3),_xll.PALO.EL($H$2,$H$3),_xll.PALO.EL($I$2,$I$3),_xll.PALO.EL($J$2,$J$3),_xll.PALO.EL("Position",D$7))</f>
        <v>#NAME?</v>
      </c>
      <c r="E8" s="110" t="e">
        <f ca="1">_xll.PALO.DATA($B$2,$B$3,_xll.PALO.EL("Time",E$6),_xll.PALO.EL("Partner",$B8),_xll.PALO.EL($D$2,$D$3),_xll.PALO.EL($E$2,$E$3),_xll.PALO.EL($F$2,$F$3),_xll.PALO.EL($G$2,$G$3),_xll.PALO.EL($H$2,$H$3),_xll.PALO.EL($I$2,$I$3),_xll.PALO.EL($J$2,$J$3),_xll.PALO.EL("Position",E$7))</f>
        <v>#NAME?</v>
      </c>
      <c r="F8" s="110" t="e">
        <f ca="1">_xll.PALO.DATA($B$2,$B$3,_xll.PALO.EL("Time",F$6),_xll.PALO.EL("Partner",$B8),_xll.PALO.EL($D$2,$D$3),_xll.PALO.EL($E$2,$E$3),_xll.PALO.EL($F$2,$F$3),_xll.PALO.EL($G$2,$G$3),_xll.PALO.EL($H$2,$H$3),_xll.PALO.EL($I$2,$I$3),_xll.PALO.EL($J$2,$J$3),_xll.PALO.EL("Position",F$7))</f>
        <v>#NAME?</v>
      </c>
      <c r="G8" s="110" t="e">
        <f ca="1">_xll.PALO.DATA($B$2,$B$3,_xll.PALO.EL("Time",G$6),_xll.PALO.EL("Partner",$B8),_xll.PALO.EL($D$2,$D$3),_xll.PALO.EL($E$2,$E$3),_xll.PALO.EL($F$2,$F$3),_xll.PALO.EL($G$2,$G$3),_xll.PALO.EL($H$2,$H$3),_xll.PALO.EL($I$2,$I$3),_xll.PALO.EL($J$2,$J$3),_xll.PALO.EL("Position",G$7))</f>
        <v>#NAME?</v>
      </c>
      <c r="H8" s="110" t="e">
        <f ca="1">_xll.PALO.DATA($B$2,$B$3,_xll.PALO.EL("Time",H$6),_xll.PALO.EL("Partner",$B8),_xll.PALO.EL($D$2,$D$3),_xll.PALO.EL($E$2,$E$3),_xll.PALO.EL($F$2,$F$3),_xll.PALO.EL($G$2,$G$3),_xll.PALO.EL($H$2,$H$3),_xll.PALO.EL($I$2,$I$3),_xll.PALO.EL($J$2,$J$3),_xll.PALO.EL("Position",H$7))</f>
        <v>#NAME?</v>
      </c>
      <c r="I8" s="110" t="e">
        <f ca="1">_xll.PALO.DATA($B$2,$B$3,_xll.PALO.EL("Time",I$6),_xll.PALO.EL("Partner",$B8),_xll.PALO.EL($D$2,$D$3),_xll.PALO.EL($E$2,$E$3),_xll.PALO.EL($F$2,$F$3),_xll.PALO.EL($G$2,$G$3),_xll.PALO.EL($H$2,$H$3),_xll.PALO.EL($I$2,$I$3),_xll.PALO.EL($J$2,$J$3),_xll.PALO.EL("Position",I$7))</f>
        <v>#NAME?</v>
      </c>
      <c r="J8" s="110" t="e">
        <f ca="1">_xll.PALO.DATA($B$2,$B$3,_xll.PALO.EL("Time",J$6),_xll.PALO.EL("Partner",$B8),_xll.PALO.EL($D$2,$D$3),_xll.PALO.EL($E$2,$E$3),_xll.PALO.EL($F$2,$F$3),_xll.PALO.EL($G$2,$G$3),_xll.PALO.EL($H$2,$H$3),_xll.PALO.EL($I$2,$I$3),_xll.PALO.EL($J$2,$J$3),_xll.PALO.EL("Position",J$7))</f>
        <v>#NAME?</v>
      </c>
      <c r="K8" s="110" t="e">
        <f ca="1">_xll.PALO.DATA($B$2,$B$3,_xll.PALO.EL("Time",K$6),_xll.PALO.EL("Partner",$B8),_xll.PALO.EL($D$2,$D$3),_xll.PALO.EL($E$2,$E$3),_xll.PALO.EL($F$2,$F$3),_xll.PALO.EL($G$2,$G$3),_xll.PALO.EL($H$2,$H$3),_xll.PALO.EL($I$2,$I$3),_xll.PALO.EL($J$2,$J$3),_xll.PALO.EL("Position",K$7))</f>
        <v>#NAME?</v>
      </c>
      <c r="L8" s="110" t="e">
        <f ca="1">_xll.PALO.DATA($B$2,$B$3,_xll.PALO.EL("Time",L$6),_xll.PALO.EL("Partner",$B8),_xll.PALO.EL($D$2,$D$3),_xll.PALO.EL($E$2,$E$3),_xll.PALO.EL($F$2,$F$3),_xll.PALO.EL($G$2,$G$3),_xll.PALO.EL($H$2,$H$3),_xll.PALO.EL($I$2,$I$3),_xll.PALO.EL($J$2,$J$3),_xll.PALO.EL("Position",L$7))</f>
        <v>#NAME?</v>
      </c>
      <c r="M8" s="110" t="e">
        <f ca="1">_xll.PALO.DATA($B$2,$B$3,_xll.PALO.EL("Time",M$6),_xll.PALO.EL("Partner",$B8),_xll.PALO.EL($D$2,$D$3),_xll.PALO.EL($E$2,$E$3),_xll.PALO.EL($F$2,$F$3),_xll.PALO.EL($G$2,$G$3),_xll.PALO.EL($H$2,$H$3),_xll.PALO.EL($I$2,$I$3),_xll.PALO.EL($J$2,$J$3),_xll.PALO.EL("Position",M$7))</f>
        <v>#NAME?</v>
      </c>
      <c r="N8" s="110" t="e">
        <f ca="1">_xll.PALO.DATA($B$2,$B$3,_xll.PALO.EL("Time",N$6),_xll.PALO.EL("Partner",$B8),_xll.PALO.EL($D$2,$D$3),_xll.PALO.EL($E$2,$E$3),_xll.PALO.EL($F$2,$F$3),_xll.PALO.EL($G$2,$G$3),_xll.PALO.EL($H$2,$H$3),_xll.PALO.EL($I$2,$I$3),_xll.PALO.EL($J$2,$J$3),_xll.PALO.EL("Position",N$7))</f>
        <v>#NAME?</v>
      </c>
      <c r="O8" s="110" t="e">
        <f ca="1">_xll.PALO.DATA($B$2,$B$3,_xll.PALO.EL("Time",O$6),_xll.PALO.EL("Partner",$B8),_xll.PALO.EL($D$2,$D$3),_xll.PALO.EL($E$2,$E$3),_xll.PALO.EL($F$2,$F$3),_xll.PALO.EL($G$2,$G$3),_xll.PALO.EL($H$2,$H$3),_xll.PALO.EL($I$2,$I$3),_xll.PALO.EL($J$2,$J$3),_xll.PALO.EL("Position",O$7))</f>
        <v>#NAME?</v>
      </c>
      <c r="P8" s="110" t="e">
        <f ca="1">_xll.PALO.DATA($B$2,$B$3,_xll.PALO.EL("Time",P$6),_xll.PALO.EL("Partner",$B8),_xll.PALO.EL($D$2,$D$3),_xll.PALO.EL($E$2,$E$3),_xll.PALO.EL($F$2,$F$3),_xll.PALO.EL($G$2,$G$3),_xll.PALO.EL($H$2,$H$3),_xll.PALO.EL($I$2,$I$3),_xll.PALO.EL($J$2,$J$3),_xll.PALO.EL("Position",P$7))</f>
        <v>#NAME?</v>
      </c>
      <c r="Q8" s="110" t="e">
        <f ca="1">_xll.PALO.DATA($B$2,$B$3,_xll.PALO.EL("Time",Q$6),_xll.PALO.EL("Partner",$B8),_xll.PALO.EL($D$2,$D$3),_xll.PALO.EL($E$2,$E$3),_xll.PALO.EL($F$2,$F$3),_xll.PALO.EL($G$2,$G$3),_xll.PALO.EL($H$2,$H$3),_xll.PALO.EL($I$2,$I$3),_xll.PALO.EL($J$2,$J$3),_xll.PALO.EL("Position",Q$7))</f>
        <v>#NAME?</v>
      </c>
      <c r="R8" s="110" t="e">
        <f ca="1">_xll.PALO.DATA($B$2,$B$3,_xll.PALO.EL("Time",R$6),_xll.PALO.EL("Partner",$B8),_xll.PALO.EL($D$2,$D$3),_xll.PALO.EL($E$2,$E$3),_xll.PALO.EL($F$2,$F$3),_xll.PALO.EL($G$2,$G$3),_xll.PALO.EL($H$2,$H$3),_xll.PALO.EL($I$2,$I$3),_xll.PALO.EL($J$2,$J$3),_xll.PALO.EL("Position",R$7))</f>
        <v>#NAME?</v>
      </c>
      <c r="S8" s="110" t="e">
        <f ca="1">_xll.PALO.DATA($B$2,$B$3,_xll.PALO.EL("Time",S$6),_xll.PALO.EL("Partner",$B8),_xll.PALO.EL($D$2,$D$3),_xll.PALO.EL($E$2,$E$3),_xll.PALO.EL($F$2,$F$3),_xll.PALO.EL($G$2,$G$3),_xll.PALO.EL($H$2,$H$3),_xll.PALO.EL($I$2,$I$3),_xll.PALO.EL($J$2,$J$3),_xll.PALO.EL("Position",S$7))</f>
        <v>#NAME?</v>
      </c>
      <c r="T8" s="110" t="e">
        <f ca="1">_xll.PALO.DATA($B$2,$B$3,_xll.PALO.EL("Time",T$6),_xll.PALO.EL("Partner",$B8),_xll.PALO.EL($D$2,$D$3),_xll.PALO.EL($E$2,$E$3),_xll.PALO.EL($F$2,$F$3),_xll.PALO.EL($G$2,$G$3),_xll.PALO.EL($H$2,$H$3),_xll.PALO.EL($I$2,$I$3),_xll.PALO.EL($J$2,$J$3),_xll.PALO.EL("Position",T$7))</f>
        <v>#NAME?</v>
      </c>
      <c r="U8" s="110" t="e">
        <f ca="1">_xll.PALO.DATA($B$2,$B$3,_xll.PALO.EL("Time",U$6),_xll.PALO.EL("Partner",$B8),_xll.PALO.EL($D$2,$D$3),_xll.PALO.EL($E$2,$E$3),_xll.PALO.EL($F$2,$F$3),_xll.PALO.EL($G$2,$G$3),_xll.PALO.EL($H$2,$H$3),_xll.PALO.EL($I$2,$I$3),_xll.PALO.EL($J$2,$J$3),_xll.PALO.EL("Position",U$7))</f>
        <v>#NAME?</v>
      </c>
      <c r="V8" s="110" t="e">
        <f ca="1">_xll.PALO.DATA($B$2,$B$3,_xll.PALO.EL("Time",V$6),_xll.PALO.EL("Partner",$B8),_xll.PALO.EL($D$2,$D$3),_xll.PALO.EL($E$2,$E$3),_xll.PALO.EL($F$2,$F$3),_xll.PALO.EL($G$2,$G$3),_xll.PALO.EL($H$2,$H$3),_xll.PALO.EL($I$2,$I$3),_xll.PALO.EL($J$2,$J$3),_xll.PALO.EL("Position",V$7))</f>
        <v>#NAME?</v>
      </c>
      <c r="W8" s="110" t="e">
        <f ca="1">_xll.PALO.DATA($B$2,$B$3,_xll.PALO.EL("Time",W$6),_xll.PALO.EL("Partner",$B8),_xll.PALO.EL($D$2,$D$3),_xll.PALO.EL($E$2,$E$3),_xll.PALO.EL($F$2,$F$3),_xll.PALO.EL($G$2,$G$3),_xll.PALO.EL($H$2,$H$3),_xll.PALO.EL($I$2,$I$3),_xll.PALO.EL($J$2,$J$3),_xll.PALO.EL("Position",W$7))</f>
        <v>#NAME?</v>
      </c>
      <c r="X8" s="110" t="e">
        <f ca="1">_xll.PALO.DATA($B$2,$B$3,_xll.PALO.EL("Time",X$6),_xll.PALO.EL("Partner",$B8),_xll.PALO.EL($D$2,$D$3),_xll.PALO.EL($E$2,$E$3),_xll.PALO.EL($F$2,$F$3),_xll.PALO.EL($G$2,$G$3),_xll.PALO.EL($H$2,$H$3),_xll.PALO.EL($I$2,$I$3),_xll.PALO.EL($J$2,$J$3),_xll.PALO.EL("Position",X$7))</f>
        <v>#NAME?</v>
      </c>
      <c r="Y8" s="110" t="e">
        <f ca="1">_xll.PALO.DATA($B$2,$B$3,_xll.PALO.EL("Time",Y$6),_xll.PALO.EL("Partner",$B8),_xll.PALO.EL($D$2,$D$3),_xll.PALO.EL($E$2,$E$3),_xll.PALO.EL($F$2,$F$3),_xll.PALO.EL($G$2,$G$3),_xll.PALO.EL($H$2,$H$3),_xll.PALO.EL($I$2,$I$3),_xll.PALO.EL($J$2,$J$3),_xll.PALO.EL("Position",Y$7))</f>
        <v>#NAME?</v>
      </c>
      <c r="Z8" s="110" t="e">
        <f ca="1">_xll.PALO.DATA($B$2,$B$3,_xll.PALO.EL("Time",Z$6),_xll.PALO.EL("Partner",$B8),_xll.PALO.EL($D$2,$D$3),_xll.PALO.EL($E$2,$E$3),_xll.PALO.EL($F$2,$F$3),_xll.PALO.EL($G$2,$G$3),_xll.PALO.EL($H$2,$H$3),_xll.PALO.EL($I$2,$I$3),_xll.PALO.EL($J$2,$J$3),_xll.PALO.EL("Position",Z$7))</f>
        <v>#NAME?</v>
      </c>
      <c r="AA8" s="110" t="e">
        <f ca="1">_xll.PALO.DATA($B$2,$B$3,_xll.PALO.EL("Time",AA$6),_xll.PALO.EL("Partner",$B8),_xll.PALO.EL($D$2,$D$3),_xll.PALO.EL($E$2,$E$3),_xll.PALO.EL($F$2,$F$3),_xll.PALO.EL($G$2,$G$3),_xll.PALO.EL($H$2,$H$3),_xll.PALO.EL($I$2,$I$3),_xll.PALO.EL($J$2,$J$3),_xll.PALO.EL("Position",AA$7))</f>
        <v>#NAME?</v>
      </c>
      <c r="AB8" s="110" t="e">
        <f ca="1">_xll.PALO.DATA($B$2,$B$3,_xll.PALO.EL("Time",AB$6),_xll.PALO.EL("Partner",$B8),_xll.PALO.EL($D$2,$D$3),_xll.PALO.EL($E$2,$E$3),_xll.PALO.EL($F$2,$F$3),_xll.PALO.EL($G$2,$G$3),_xll.PALO.EL($H$2,$H$3),_xll.PALO.EL($I$2,$I$3),_xll.PALO.EL($J$2,$J$3),_xll.PALO.EL("Position",AB$7))</f>
        <v>#NAME?</v>
      </c>
      <c r="AC8" s="110" t="e">
        <f ca="1">_xll.PALO.DATA($B$2,$B$3,_xll.PALO.EL("Time",AC$6),_xll.PALO.EL("Partner",$B8),_xll.PALO.EL($D$2,$D$3),_xll.PALO.EL($E$2,$E$3),_xll.PALO.EL($F$2,$F$3),_xll.PALO.EL($G$2,$G$3),_xll.PALO.EL($H$2,$H$3),_xll.PALO.EL($I$2,$I$3),_xll.PALO.EL($J$2,$J$3),_xll.PALO.EL("Position",AC$7))</f>
        <v>#NAME?</v>
      </c>
      <c r="AD8" s="110" t="e">
        <f ca="1">_xll.PALO.DATA($B$2,$B$3,_xll.PALO.EL("Time",AD$6),_xll.PALO.EL("Partner",$B8),_xll.PALO.EL($D$2,$D$3),_xll.PALO.EL($E$2,$E$3),_xll.PALO.EL($F$2,$F$3),_xll.PALO.EL($G$2,$G$3),_xll.PALO.EL($H$2,$H$3),_xll.PALO.EL($I$2,$I$3),_xll.PALO.EL($J$2,$J$3),_xll.PALO.EL("Position",AD$7))</f>
        <v>#NAME?</v>
      </c>
      <c r="AE8" s="110" t="e">
        <f ca="1">_xll.PALO.DATA($B$2,$B$3,_xll.PALO.EL("Time",AE$6),_xll.PALO.EL("Partner",$B8),_xll.PALO.EL($D$2,$D$3),_xll.PALO.EL($E$2,$E$3),_xll.PALO.EL($F$2,$F$3),_xll.PALO.EL($G$2,$G$3),_xll.PALO.EL($H$2,$H$3),_xll.PALO.EL($I$2,$I$3),_xll.PALO.EL($J$2,$J$3),_xll.PALO.EL("Position",AE$7))</f>
        <v>#NAME?</v>
      </c>
      <c r="AF8" s="110" t="e">
        <f ca="1">_xll.PALO.DATA($B$2,$B$3,_xll.PALO.EL("Time",AF$6),_xll.PALO.EL("Partner",$B8),_xll.PALO.EL($D$2,$D$3),_xll.PALO.EL($E$2,$E$3),_xll.PALO.EL($F$2,$F$3),_xll.PALO.EL($G$2,$G$3),_xll.PALO.EL($H$2,$H$3),_xll.PALO.EL($I$2,$I$3),_xll.PALO.EL($J$2,$J$3),_xll.PALO.EL("Position",AF$7))</f>
        <v>#NAME?</v>
      </c>
      <c r="AG8" s="110" t="e">
        <f ca="1">_xll.PALO.DATA($B$2,$B$3,_xll.PALO.EL("Time",AG$6),_xll.PALO.EL("Partner",$B8),_xll.PALO.EL($D$2,$D$3),_xll.PALO.EL($E$2,$E$3),_xll.PALO.EL($F$2,$F$3),_xll.PALO.EL($G$2,$G$3),_xll.PALO.EL($H$2,$H$3),_xll.PALO.EL($I$2,$I$3),_xll.PALO.EL($J$2,$J$3),_xll.PALO.EL("Position",AG$7))</f>
        <v>#NAME?</v>
      </c>
      <c r="AH8" s="110" t="e">
        <f ca="1">_xll.PALO.DATA($B$2,$B$3,_xll.PALO.EL("Time",AH$6),_xll.PALO.EL("Partner",$B8),_xll.PALO.EL($D$2,$D$3),_xll.PALO.EL($E$2,$E$3),_xll.PALO.EL($F$2,$F$3),_xll.PALO.EL($G$2,$G$3),_xll.PALO.EL($H$2,$H$3),_xll.PALO.EL($I$2,$I$3),_xll.PALO.EL($J$2,$J$3),_xll.PALO.EL("Position",AH$7))</f>
        <v>#NAME?</v>
      </c>
      <c r="AI8" s="110" t="e">
        <f ca="1">_xll.PALO.DATA($B$2,$B$3,_xll.PALO.EL("Time",AI$6),_xll.PALO.EL("Partner",$B8),_xll.PALO.EL($D$2,$D$3),_xll.PALO.EL($E$2,$E$3),_xll.PALO.EL($F$2,$F$3),_xll.PALO.EL($G$2,$G$3),_xll.PALO.EL($H$2,$H$3),_xll.PALO.EL($I$2,$I$3),_xll.PALO.EL($J$2,$J$3),_xll.PALO.EL("Position",AI$7))</f>
        <v>#NAME?</v>
      </c>
      <c r="AJ8" s="110" t="e">
        <f ca="1">_xll.PALO.DATA($B$2,$B$3,_xll.PALO.EL("Time",AJ$6),_xll.PALO.EL("Partner",$B8),_xll.PALO.EL($D$2,$D$3),_xll.PALO.EL($E$2,$E$3),_xll.PALO.EL($F$2,$F$3),_xll.PALO.EL($G$2,$G$3),_xll.PALO.EL($H$2,$H$3),_xll.PALO.EL($I$2,$I$3),_xll.PALO.EL($J$2,$J$3),_xll.PALO.EL("Position",AJ$7))</f>
        <v>#NAME?</v>
      </c>
      <c r="AK8" s="110" t="e">
        <f ca="1">_xll.PALO.DATA($B$2,$B$3,_xll.PALO.EL("Time",AK$6),_xll.PALO.EL("Partner",$B8),_xll.PALO.EL($D$2,$D$3),_xll.PALO.EL($E$2,$E$3),_xll.PALO.EL($F$2,$F$3),_xll.PALO.EL($G$2,$G$3),_xll.PALO.EL($H$2,$H$3),_xll.PALO.EL($I$2,$I$3),_xll.PALO.EL($J$2,$J$3),_xll.PALO.EL("Position",AK$7))</f>
        <v>#NAME?</v>
      </c>
      <c r="AL8" s="110" t="e">
        <f ca="1">_xll.PALO.DATA($B$2,$B$3,_xll.PALO.EL("Time",AL$6),_xll.PALO.EL("Partner",$B8),_xll.PALO.EL($D$2,$D$3),_xll.PALO.EL($E$2,$E$3),_xll.PALO.EL($F$2,$F$3),_xll.PALO.EL($G$2,$G$3),_xll.PALO.EL($H$2,$H$3),_xll.PALO.EL($I$2,$I$3),_xll.PALO.EL($J$2,$J$3),_xll.PALO.EL("Position",AL$7))</f>
        <v>#NAME?</v>
      </c>
    </row>
  </sheetData>
  <dataValidations count="1">
    <dataValidation type="custom" allowBlank="1" showInputMessage="1" error="849c530ea7ca4329a83e4a7e327c4dc6" sqref="B3" xr:uid="{ABF2878A-6653-44B0-93FA-1151309C8A10}">
      <formula1>TRUE</formula1>
    </dataValidation>
  </dataValidations>
  <pageMargins left="0.7" right="0.7" top="0.75" bottom="0.75" header="0.3" footer="0.3"/>
  <pageSetup orientation="portrait" r:id="rId1"/>
  <customProperties>
    <customPr name="jedoxview_849c530ea7ca4329a83e4a7e327c4dc6"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marts</vt:lpstr>
      <vt:lpstr>aprīlis</vt:lpstr>
      <vt:lpstr>maijs</vt:lpstr>
      <vt:lpstr>jūnijs</vt:lpstr>
      <vt:lpstr>PIVOT_apkopojums</vt:lpstr>
      <vt:lpstr>PIVOT</vt:lpstr>
      <vt:lpstr>atskaites_jedox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Oksana Zālīte</dc:creator>
  <cp:lastModifiedBy>Solvita Vaivode</cp:lastModifiedBy>
  <cp:lastPrinted>2021-08-06T08:24:11Z</cp:lastPrinted>
  <dcterms:created xsi:type="dcterms:W3CDTF">2021-05-26T14:04:12Z</dcterms:created>
  <dcterms:modified xsi:type="dcterms:W3CDTF">2021-08-25T09:10:38Z</dcterms:modified>
</cp:coreProperties>
</file>