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 filterPrivacy="1" defaultThemeVersion="124226"/>
  <xr:revisionPtr revIDLastSave="0" documentId="8_{061B5CF4-947A-4AB8-9356-599AACC96B22}" xr6:coauthVersionLast="36" xr6:coauthVersionMax="36" xr10:uidLastSave="{00000000-0000-0000-0000-000000000000}"/>
  <bookViews>
    <workbookView xWindow="0" yWindow="0" windowWidth="38400" windowHeight="17625" tabRatio="862" firstSheet="2" activeTab="2" xr2:uid="{00000000-000D-0000-FFFF-FFFF00000000}"/>
  </bookViews>
  <sheets>
    <sheet name="PIVOT0T-5.04.2016." sheetId="7" state="hidden" r:id="rId1"/>
    <sheet name="05.04.2016." sheetId="1" state="hidden" r:id="rId2"/>
    <sheet name="2023_2 darbinieki" sheetId="16" r:id="rId3"/>
  </sheets>
  <definedNames>
    <definedName name="_xlnm._FilterDatabase" localSheetId="1" hidden="1">'05.04.2016.'!$A$1:$H$385</definedName>
    <definedName name="_xlnm.Print_Area" localSheetId="1">'05.04.2016.'!$A$1:$I$385</definedName>
    <definedName name="_xlnm.Print_Area" localSheetId="2">'2023_2 darbinieki'!$A$2:$N$13</definedName>
  </definedNames>
  <calcPr calcId="191029"/>
  <pivotCaches>
    <pivotCache cacheId="0" r:id="rId4"/>
  </pivotCaches>
</workbook>
</file>

<file path=xl/calcChain.xml><?xml version="1.0" encoding="utf-8"?>
<calcChain xmlns="http://schemas.openxmlformats.org/spreadsheetml/2006/main">
  <c r="C7" i="16" l="1"/>
  <c r="D7" i="16" s="1"/>
  <c r="C6" i="16"/>
  <c r="F8" i="16"/>
  <c r="B8" i="16"/>
  <c r="M7" i="16"/>
  <c r="L7" i="16"/>
  <c r="K7" i="16"/>
  <c r="G7" i="16"/>
  <c r="G8" i="16" s="1"/>
  <c r="E7" i="16"/>
  <c r="M6" i="16"/>
  <c r="L6" i="16"/>
  <c r="K6" i="16"/>
  <c r="G6" i="16"/>
  <c r="E6" i="16"/>
  <c r="D6" i="16" l="1"/>
  <c r="H6" i="16"/>
  <c r="M8" i="16"/>
  <c r="L8" i="16"/>
  <c r="K8" i="16"/>
  <c r="I7" i="16"/>
  <c r="J7" i="16" s="1"/>
  <c r="N7" i="16" s="1"/>
  <c r="E8" i="16"/>
  <c r="D8" i="16"/>
  <c r="C8" i="16"/>
  <c r="I6" i="16"/>
  <c r="H7" i="16"/>
  <c r="H8" i="16" l="1"/>
  <c r="I8" i="16"/>
  <c r="J6" i="16"/>
  <c r="J8" i="16" s="1"/>
  <c r="N6" i="16" l="1"/>
  <c r="N8" i="16" s="1"/>
  <c r="F376" i="1" l="1"/>
  <c r="J382" i="1" l="1"/>
  <c r="J375" i="1"/>
  <c r="E375" i="1" s="1"/>
  <c r="G375" i="1" s="1"/>
  <c r="J374" i="1"/>
  <c r="E374" i="1" s="1"/>
  <c r="H374" i="1" s="1"/>
  <c r="J373" i="1"/>
  <c r="E373" i="1" s="1"/>
  <c r="G373" i="1" s="1"/>
  <c r="F385" i="1"/>
  <c r="F383" i="1"/>
  <c r="E382" i="1"/>
  <c r="H382" i="1" s="1"/>
  <c r="J358" i="1"/>
  <c r="E358" i="1" s="1"/>
  <c r="H358" i="1" s="1"/>
  <c r="J351" i="1"/>
  <c r="E351" i="1" s="1"/>
  <c r="H351" i="1" s="1"/>
  <c r="J350" i="1"/>
  <c r="E350" i="1" s="1"/>
  <c r="H350" i="1" s="1"/>
  <c r="J349" i="1"/>
  <c r="E349" i="1" s="1"/>
  <c r="H349" i="1" s="1"/>
  <c r="J334" i="1"/>
  <c r="E334" i="1" s="1"/>
  <c r="H334" i="1" s="1"/>
  <c r="J327" i="1"/>
  <c r="E327" i="1" s="1"/>
  <c r="H327" i="1" s="1"/>
  <c r="J326" i="1"/>
  <c r="E326" i="1" s="1"/>
  <c r="G326" i="1" s="1"/>
  <c r="J325" i="1"/>
  <c r="E325" i="1" s="1"/>
  <c r="H325" i="1" s="1"/>
  <c r="J310" i="1"/>
  <c r="E310" i="1" s="1"/>
  <c r="H310" i="1" s="1"/>
  <c r="J303" i="1"/>
  <c r="E303" i="1" s="1"/>
  <c r="H303" i="1" s="1"/>
  <c r="J302" i="1"/>
  <c r="E302" i="1" s="1"/>
  <c r="H302" i="1" s="1"/>
  <c r="J301" i="1"/>
  <c r="E301" i="1" s="1"/>
  <c r="G301" i="1" s="1"/>
  <c r="J286" i="1"/>
  <c r="E286" i="1" s="1"/>
  <c r="H286" i="1" s="1"/>
  <c r="J279" i="1"/>
  <c r="E279" i="1" s="1"/>
  <c r="H279" i="1" s="1"/>
  <c r="J278" i="1"/>
  <c r="E278" i="1" s="1"/>
  <c r="H278" i="1" s="1"/>
  <c r="J277" i="1"/>
  <c r="E277" i="1" s="1"/>
  <c r="H277" i="1" s="1"/>
  <c r="J262" i="1"/>
  <c r="E262" i="1" s="1"/>
  <c r="H262" i="1" s="1"/>
  <c r="J255" i="1"/>
  <c r="E255" i="1" s="1"/>
  <c r="H255" i="1" s="1"/>
  <c r="J254" i="1"/>
  <c r="E254" i="1" s="1"/>
  <c r="H254" i="1" s="1"/>
  <c r="J253" i="1"/>
  <c r="E253" i="1" s="1"/>
  <c r="H253" i="1" s="1"/>
  <c r="J238" i="1"/>
  <c r="E238" i="1" s="1"/>
  <c r="H238" i="1" s="1"/>
  <c r="J231" i="1"/>
  <c r="E231" i="1" s="1"/>
  <c r="H231" i="1" s="1"/>
  <c r="J230" i="1"/>
  <c r="E230" i="1" s="1"/>
  <c r="H230" i="1" s="1"/>
  <c r="J229" i="1"/>
  <c r="E229" i="1" s="1"/>
  <c r="G229" i="1" s="1"/>
  <c r="J214" i="1"/>
  <c r="E214" i="1" s="1"/>
  <c r="H214" i="1" s="1"/>
  <c r="J207" i="1"/>
  <c r="E207" i="1" s="1"/>
  <c r="H207" i="1" s="1"/>
  <c r="J206" i="1"/>
  <c r="E206" i="1" s="1"/>
  <c r="H206" i="1" s="1"/>
  <c r="J205" i="1"/>
  <c r="E205" i="1" s="1"/>
  <c r="G205" i="1" s="1"/>
  <c r="J190" i="1"/>
  <c r="E190" i="1" s="1"/>
  <c r="H190" i="1" s="1"/>
  <c r="J183" i="1"/>
  <c r="E183" i="1" s="1"/>
  <c r="H183" i="1" s="1"/>
  <c r="J182" i="1"/>
  <c r="E182" i="1" s="1"/>
  <c r="H182" i="1" s="1"/>
  <c r="J181" i="1"/>
  <c r="E181" i="1" s="1"/>
  <c r="G181" i="1" s="1"/>
  <c r="J166" i="1"/>
  <c r="E166" i="1" s="1"/>
  <c r="H166" i="1" s="1"/>
  <c r="J159" i="1"/>
  <c r="E159" i="1" s="1"/>
  <c r="H159" i="1" s="1"/>
  <c r="J158" i="1"/>
  <c r="E158" i="1" s="1"/>
  <c r="H158" i="1" s="1"/>
  <c r="J157" i="1"/>
  <c r="E157" i="1" s="1"/>
  <c r="H157" i="1" s="1"/>
  <c r="J142" i="1"/>
  <c r="E142" i="1" s="1"/>
  <c r="H142" i="1" s="1"/>
  <c r="J135" i="1"/>
  <c r="E135" i="1" s="1"/>
  <c r="H135" i="1" s="1"/>
  <c r="J134" i="1"/>
  <c r="E134" i="1" s="1"/>
  <c r="G134" i="1" s="1"/>
  <c r="J133" i="1"/>
  <c r="E133" i="1" s="1"/>
  <c r="H133" i="1" s="1"/>
  <c r="J118" i="1"/>
  <c r="E118" i="1" s="1"/>
  <c r="H118" i="1" s="1"/>
  <c r="J111" i="1"/>
  <c r="E111" i="1" s="1"/>
  <c r="H111" i="1" s="1"/>
  <c r="J110" i="1"/>
  <c r="E110" i="1" s="1"/>
  <c r="H110" i="1" s="1"/>
  <c r="J109" i="1"/>
  <c r="E109" i="1" s="1"/>
  <c r="G109" i="1" s="1"/>
  <c r="J94" i="1"/>
  <c r="E94" i="1" s="1"/>
  <c r="H94" i="1" s="1"/>
  <c r="J87" i="1"/>
  <c r="E87" i="1" s="1"/>
  <c r="H87" i="1" s="1"/>
  <c r="J86" i="1"/>
  <c r="E86" i="1" s="1"/>
  <c r="G86" i="1" s="1"/>
  <c r="J85" i="1"/>
  <c r="E85" i="1" s="1"/>
  <c r="H85" i="1" s="1"/>
  <c r="J70" i="1"/>
  <c r="E70" i="1" s="1"/>
  <c r="H70" i="1" s="1"/>
  <c r="J63" i="1"/>
  <c r="E63" i="1" s="1"/>
  <c r="H63" i="1" s="1"/>
  <c r="J62" i="1"/>
  <c r="E62" i="1" s="1"/>
  <c r="H62" i="1" s="1"/>
  <c r="J61" i="1"/>
  <c r="E61" i="1" s="1"/>
  <c r="H61" i="1" s="1"/>
  <c r="J46" i="1"/>
  <c r="E46" i="1" s="1"/>
  <c r="H46" i="1" s="1"/>
  <c r="J39" i="1"/>
  <c r="E39" i="1" s="1"/>
  <c r="H39" i="1" s="1"/>
  <c r="J38" i="1"/>
  <c r="E38" i="1" s="1"/>
  <c r="H38" i="1" s="1"/>
  <c r="J37" i="1"/>
  <c r="E37" i="1" s="1"/>
  <c r="H37" i="1" s="1"/>
  <c r="J22" i="1"/>
  <c r="E22" i="1" s="1"/>
  <c r="G22" i="1" s="1"/>
  <c r="J15" i="1"/>
  <c r="E15" i="1" s="1"/>
  <c r="H15" i="1" s="1"/>
  <c r="J14" i="1"/>
  <c r="E14" i="1" s="1"/>
  <c r="G14" i="1" s="1"/>
  <c r="J13" i="1"/>
  <c r="E13" i="1" s="1"/>
  <c r="G13" i="1" s="1"/>
  <c r="G142" i="1" l="1"/>
  <c r="G334" i="1"/>
  <c r="H22" i="1"/>
  <c r="G46" i="1"/>
  <c r="G238" i="1"/>
  <c r="G94" i="1"/>
  <c r="G286" i="1"/>
  <c r="G190" i="1"/>
  <c r="G382" i="1"/>
  <c r="G70" i="1"/>
  <c r="G118" i="1"/>
  <c r="G166" i="1"/>
  <c r="G214" i="1"/>
  <c r="G262" i="1"/>
  <c r="G310" i="1"/>
  <c r="G358" i="1"/>
  <c r="G207" i="1"/>
  <c r="H375" i="1"/>
  <c r="G111" i="1"/>
  <c r="G279" i="1"/>
  <c r="G183" i="1"/>
  <c r="G87" i="1"/>
  <c r="G303" i="1"/>
  <c r="G63" i="1"/>
  <c r="G159" i="1"/>
  <c r="G255" i="1"/>
  <c r="G351" i="1"/>
  <c r="G15" i="1"/>
  <c r="G39" i="1"/>
  <c r="G135" i="1"/>
  <c r="G231" i="1"/>
  <c r="G327" i="1"/>
  <c r="H86" i="1"/>
  <c r="G278" i="1"/>
  <c r="G182" i="1"/>
  <c r="H14" i="1"/>
  <c r="G38" i="1"/>
  <c r="G374" i="1"/>
  <c r="G230" i="1"/>
  <c r="H301" i="1"/>
  <c r="H134" i="1"/>
  <c r="G62" i="1"/>
  <c r="G110" i="1"/>
  <c r="G158" i="1"/>
  <c r="G206" i="1"/>
  <c r="G254" i="1"/>
  <c r="G302" i="1"/>
  <c r="G350" i="1"/>
  <c r="H326" i="1"/>
  <c r="H109" i="1"/>
  <c r="H205" i="1"/>
  <c r="H13" i="1"/>
  <c r="G277" i="1"/>
  <c r="G85" i="1"/>
  <c r="G37" i="1"/>
  <c r="G133" i="1"/>
  <c r="H181" i="1"/>
  <c r="H229" i="1"/>
  <c r="H373" i="1"/>
  <c r="G61" i="1"/>
  <c r="G157" i="1"/>
  <c r="G253" i="1"/>
  <c r="G349" i="1"/>
  <c r="G325" i="1"/>
  <c r="D376" i="1"/>
  <c r="D352" i="1"/>
  <c r="D328" i="1"/>
  <c r="D304" i="1"/>
  <c r="D280" i="1"/>
  <c r="D256" i="1"/>
  <c r="D232" i="1"/>
  <c r="D208" i="1"/>
  <c r="D184" i="1"/>
  <c r="D160" i="1"/>
  <c r="D136" i="1"/>
  <c r="D112" i="1"/>
  <c r="D88" i="1"/>
  <c r="D64" i="1"/>
  <c r="D40" i="1"/>
  <c r="E381" i="1"/>
  <c r="G381" i="1" s="1"/>
  <c r="E378" i="1"/>
  <c r="H378" i="1" s="1"/>
  <c r="E377" i="1"/>
  <c r="G377" i="1" s="1"/>
  <c r="H372" i="1"/>
  <c r="G372" i="1"/>
  <c r="E372" i="1"/>
  <c r="H371" i="1"/>
  <c r="F371" i="1"/>
  <c r="D371" i="1" s="1"/>
  <c r="E369" i="1"/>
  <c r="H369" i="1" s="1"/>
  <c r="E368" i="1"/>
  <c r="G368" i="1" s="1"/>
  <c r="E367" i="1"/>
  <c r="G367" i="1" s="1"/>
  <c r="E364" i="1"/>
  <c r="H364" i="1" s="1"/>
  <c r="D385" i="1"/>
  <c r="D384" i="1" s="1"/>
  <c r="H384" i="1"/>
  <c r="G384" i="1"/>
  <c r="E384" i="1"/>
  <c r="D383" i="1"/>
  <c r="D382" i="1"/>
  <c r="D379" i="1"/>
  <c r="D375" i="1"/>
  <c r="D374" i="1"/>
  <c r="D373" i="1"/>
  <c r="F363" i="1"/>
  <c r="E354" i="1"/>
  <c r="H354" i="1" s="1"/>
  <c r="E343" i="1"/>
  <c r="G343" i="1" s="1"/>
  <c r="F361" i="1"/>
  <c r="D361" i="1" s="1"/>
  <c r="D360" i="1" s="1"/>
  <c r="H360" i="1"/>
  <c r="G360" i="1"/>
  <c r="E360" i="1"/>
  <c r="F359" i="1"/>
  <c r="D359" i="1" s="1"/>
  <c r="D358" i="1"/>
  <c r="H357" i="1"/>
  <c r="G357" i="1"/>
  <c r="D357" i="1"/>
  <c r="D355" i="1"/>
  <c r="H353" i="1"/>
  <c r="G353" i="1"/>
  <c r="D353" i="1"/>
  <c r="D351" i="1"/>
  <c r="D350" i="1"/>
  <c r="D349" i="1"/>
  <c r="H348" i="1"/>
  <c r="G348" i="1"/>
  <c r="E348" i="1"/>
  <c r="H347" i="1"/>
  <c r="F347" i="1"/>
  <c r="D347" i="1" s="1"/>
  <c r="E345" i="1"/>
  <c r="G345" i="1" s="1"/>
  <c r="E344" i="1"/>
  <c r="G344" i="1" s="1"/>
  <c r="E340" i="1"/>
  <c r="G340" i="1" s="1"/>
  <c r="F339" i="1"/>
  <c r="E330" i="1"/>
  <c r="H330" i="1" s="1"/>
  <c r="E319" i="1"/>
  <c r="G319" i="1" s="1"/>
  <c r="E316" i="1"/>
  <c r="H316" i="1" s="1"/>
  <c r="F337" i="1"/>
  <c r="D337" i="1" s="1"/>
  <c r="D336" i="1" s="1"/>
  <c r="H336" i="1"/>
  <c r="G336" i="1"/>
  <c r="E336" i="1"/>
  <c r="F335" i="1"/>
  <c r="D335" i="1" s="1"/>
  <c r="D334" i="1"/>
  <c r="H333" i="1"/>
  <c r="G333" i="1"/>
  <c r="D333" i="1"/>
  <c r="D331" i="1"/>
  <c r="H329" i="1"/>
  <c r="G329" i="1"/>
  <c r="D329" i="1"/>
  <c r="D327" i="1"/>
  <c r="D326" i="1"/>
  <c r="D325" i="1"/>
  <c r="H324" i="1"/>
  <c r="G324" i="1"/>
  <c r="E324" i="1"/>
  <c r="H323" i="1"/>
  <c r="F323" i="1"/>
  <c r="D323" i="1" s="1"/>
  <c r="H321" i="1"/>
  <c r="G321" i="1"/>
  <c r="D321" i="1"/>
  <c r="E320" i="1"/>
  <c r="H320" i="1" s="1"/>
  <c r="F315" i="1"/>
  <c r="E306" i="1"/>
  <c r="H306" i="1" s="1"/>
  <c r="E295" i="1"/>
  <c r="G295" i="1" s="1"/>
  <c r="F313" i="1"/>
  <c r="D313" i="1" s="1"/>
  <c r="D312" i="1" s="1"/>
  <c r="H312" i="1"/>
  <c r="G312" i="1"/>
  <c r="E312" i="1"/>
  <c r="F311" i="1"/>
  <c r="D311" i="1" s="1"/>
  <c r="D310" i="1"/>
  <c r="H309" i="1"/>
  <c r="G309" i="1"/>
  <c r="D309" i="1"/>
  <c r="D307" i="1"/>
  <c r="H305" i="1"/>
  <c r="G305" i="1"/>
  <c r="D305" i="1"/>
  <c r="D303" i="1"/>
  <c r="D302" i="1"/>
  <c r="D301" i="1"/>
  <c r="H300" i="1"/>
  <c r="G300" i="1"/>
  <c r="E300" i="1"/>
  <c r="H299" i="1"/>
  <c r="F299" i="1"/>
  <c r="D299" i="1" s="1"/>
  <c r="H297" i="1"/>
  <c r="G297" i="1"/>
  <c r="D297" i="1"/>
  <c r="E296" i="1"/>
  <c r="G296" i="1" s="1"/>
  <c r="E292" i="1"/>
  <c r="D292" i="1" s="1"/>
  <c r="F291" i="1"/>
  <c r="E282" i="1"/>
  <c r="H282" i="1" s="1"/>
  <c r="E271" i="1"/>
  <c r="D271" i="1" s="1"/>
  <c r="H271" i="1" s="1"/>
  <c r="F289" i="1"/>
  <c r="D289" i="1" s="1"/>
  <c r="D288" i="1" s="1"/>
  <c r="H288" i="1"/>
  <c r="G288" i="1"/>
  <c r="E288" i="1"/>
  <c r="F287" i="1"/>
  <c r="D287" i="1" s="1"/>
  <c r="D286" i="1"/>
  <c r="H285" i="1"/>
  <c r="G285" i="1"/>
  <c r="D285" i="1"/>
  <c r="D283" i="1"/>
  <c r="H281" i="1"/>
  <c r="G281" i="1"/>
  <c r="D281" i="1"/>
  <c r="D279" i="1"/>
  <c r="D278" i="1"/>
  <c r="D277" i="1"/>
  <c r="H276" i="1"/>
  <c r="G276" i="1"/>
  <c r="E276" i="1"/>
  <c r="H275" i="1"/>
  <c r="F275" i="1"/>
  <c r="D275" i="1" s="1"/>
  <c r="E273" i="1"/>
  <c r="G273" i="1" s="1"/>
  <c r="E272" i="1"/>
  <c r="G272" i="1" s="1"/>
  <c r="E268" i="1"/>
  <c r="D268" i="1" s="1"/>
  <c r="F267" i="1"/>
  <c r="E258" i="1"/>
  <c r="G258" i="1" s="1"/>
  <c r="E247" i="1"/>
  <c r="D247" i="1" s="1"/>
  <c r="H247" i="1" s="1"/>
  <c r="F265" i="1"/>
  <c r="D265" i="1" s="1"/>
  <c r="D264" i="1" s="1"/>
  <c r="H264" i="1"/>
  <c r="G264" i="1"/>
  <c r="E264" i="1"/>
  <c r="F263" i="1"/>
  <c r="D263" i="1" s="1"/>
  <c r="D262" i="1"/>
  <c r="H261" i="1"/>
  <c r="G261" i="1"/>
  <c r="D261" i="1"/>
  <c r="D259" i="1"/>
  <c r="H257" i="1"/>
  <c r="G257" i="1"/>
  <c r="D257" i="1"/>
  <c r="D255" i="1"/>
  <c r="D254" i="1"/>
  <c r="D253" i="1"/>
  <c r="H252" i="1"/>
  <c r="G252" i="1"/>
  <c r="E252" i="1"/>
  <c r="D252" i="1" s="1"/>
  <c r="H251" i="1"/>
  <c r="F251" i="1"/>
  <c r="D251" i="1" s="1"/>
  <c r="E249" i="1"/>
  <c r="D249" i="1" s="1"/>
  <c r="E248" i="1"/>
  <c r="D248" i="1" s="1"/>
  <c r="E244" i="1"/>
  <c r="D244" i="1" s="1"/>
  <c r="F243" i="1"/>
  <c r="E234" i="1"/>
  <c r="H234" i="1" s="1"/>
  <c r="E223" i="1"/>
  <c r="D223" i="1" s="1"/>
  <c r="H223" i="1" s="1"/>
  <c r="F241" i="1"/>
  <c r="D241" i="1" s="1"/>
  <c r="D240" i="1" s="1"/>
  <c r="H240" i="1"/>
  <c r="G240" i="1"/>
  <c r="E240" i="1"/>
  <c r="F239" i="1"/>
  <c r="D239" i="1" s="1"/>
  <c r="D238" i="1"/>
  <c r="H237" i="1"/>
  <c r="G237" i="1"/>
  <c r="D237" i="1"/>
  <c r="D235" i="1"/>
  <c r="H233" i="1"/>
  <c r="G233" i="1"/>
  <c r="D233" i="1"/>
  <c r="D231" i="1"/>
  <c r="D230" i="1"/>
  <c r="D229" i="1"/>
  <c r="H228" i="1"/>
  <c r="G228" i="1"/>
  <c r="E228" i="1"/>
  <c r="D228" i="1" s="1"/>
  <c r="H227" i="1"/>
  <c r="F227" i="1"/>
  <c r="D227" i="1" s="1"/>
  <c r="E225" i="1"/>
  <c r="D225" i="1" s="1"/>
  <c r="E224" i="1"/>
  <c r="D224" i="1" s="1"/>
  <c r="E220" i="1"/>
  <c r="D220" i="1" s="1"/>
  <c r="F219" i="1"/>
  <c r="E210" i="1"/>
  <c r="H210" i="1" s="1"/>
  <c r="E199" i="1"/>
  <c r="G199" i="1" s="1"/>
  <c r="F217" i="1"/>
  <c r="D217" i="1" s="1"/>
  <c r="D216" i="1" s="1"/>
  <c r="H216" i="1"/>
  <c r="G216" i="1"/>
  <c r="E216" i="1"/>
  <c r="F215" i="1"/>
  <c r="D215" i="1" s="1"/>
  <c r="D214" i="1"/>
  <c r="H213" i="1"/>
  <c r="G213" i="1"/>
  <c r="D213" i="1"/>
  <c r="D211" i="1"/>
  <c r="H209" i="1"/>
  <c r="G209" i="1"/>
  <c r="D209" i="1"/>
  <c r="D207" i="1"/>
  <c r="D206" i="1"/>
  <c r="D205" i="1"/>
  <c r="H204" i="1"/>
  <c r="G204" i="1"/>
  <c r="E204" i="1"/>
  <c r="H203" i="1"/>
  <c r="F203" i="1"/>
  <c r="D203" i="1" s="1"/>
  <c r="E201" i="1"/>
  <c r="D201" i="1" s="1"/>
  <c r="E200" i="1"/>
  <c r="D200" i="1" s="1"/>
  <c r="E196" i="1"/>
  <c r="D196" i="1" s="1"/>
  <c r="F195" i="1"/>
  <c r="E186" i="1"/>
  <c r="H186" i="1" s="1"/>
  <c r="E177" i="1"/>
  <c r="H177" i="1" s="1"/>
  <c r="E175" i="1"/>
  <c r="D175" i="1" s="1"/>
  <c r="H175" i="1" s="1"/>
  <c r="F193" i="1"/>
  <c r="D193" i="1" s="1"/>
  <c r="D192" i="1" s="1"/>
  <c r="H192" i="1"/>
  <c r="G192" i="1"/>
  <c r="E192" i="1"/>
  <c r="F191" i="1"/>
  <c r="D191" i="1" s="1"/>
  <c r="D190" i="1"/>
  <c r="H189" i="1"/>
  <c r="G189" i="1"/>
  <c r="D189" i="1"/>
  <c r="D187" i="1"/>
  <c r="H185" i="1"/>
  <c r="G185" i="1"/>
  <c r="D185" i="1"/>
  <c r="D183" i="1"/>
  <c r="D182" i="1"/>
  <c r="D181" i="1"/>
  <c r="H180" i="1"/>
  <c r="G180" i="1"/>
  <c r="E180" i="1"/>
  <c r="H179" i="1"/>
  <c r="F179" i="1"/>
  <c r="D179" i="1" s="1"/>
  <c r="E176" i="1"/>
  <c r="H176" i="1" s="1"/>
  <c r="E172" i="1"/>
  <c r="D172" i="1" s="1"/>
  <c r="F171" i="1"/>
  <c r="E153" i="1"/>
  <c r="G153" i="1" s="1"/>
  <c r="E162" i="1"/>
  <c r="F164" i="1" s="1"/>
  <c r="E151" i="1"/>
  <c r="G151" i="1" s="1"/>
  <c r="F169" i="1"/>
  <c r="D169" i="1" s="1"/>
  <c r="D168" i="1" s="1"/>
  <c r="H168" i="1"/>
  <c r="G168" i="1"/>
  <c r="E168" i="1"/>
  <c r="F167" i="1"/>
  <c r="D167" i="1" s="1"/>
  <c r="D166" i="1"/>
  <c r="H165" i="1"/>
  <c r="G165" i="1"/>
  <c r="D165" i="1"/>
  <c r="D163" i="1"/>
  <c r="H161" i="1"/>
  <c r="G161" i="1"/>
  <c r="D161" i="1"/>
  <c r="D159" i="1"/>
  <c r="D158" i="1"/>
  <c r="D157" i="1"/>
  <c r="H156" i="1"/>
  <c r="G156" i="1"/>
  <c r="E156" i="1"/>
  <c r="H155" i="1"/>
  <c r="F155" i="1"/>
  <c r="D155" i="1" s="1"/>
  <c r="H153" i="1"/>
  <c r="E152" i="1"/>
  <c r="D152" i="1" s="1"/>
  <c r="E148" i="1"/>
  <c r="D148" i="1" s="1"/>
  <c r="F147" i="1"/>
  <c r="E138" i="1"/>
  <c r="H138" i="1" s="1"/>
  <c r="E127" i="1"/>
  <c r="D127" i="1" s="1"/>
  <c r="H127" i="1" s="1"/>
  <c r="F145" i="1"/>
  <c r="D145" i="1" s="1"/>
  <c r="D144" i="1" s="1"/>
  <c r="H144" i="1"/>
  <c r="G144" i="1"/>
  <c r="E144" i="1"/>
  <c r="F143" i="1"/>
  <c r="D143" i="1" s="1"/>
  <c r="D142" i="1"/>
  <c r="H141" i="1"/>
  <c r="G141" i="1"/>
  <c r="D141" i="1"/>
  <c r="D139" i="1"/>
  <c r="H137" i="1"/>
  <c r="G137" i="1"/>
  <c r="D137" i="1"/>
  <c r="D135" i="1"/>
  <c r="D134" i="1"/>
  <c r="D133" i="1"/>
  <c r="H132" i="1"/>
  <c r="G132" i="1"/>
  <c r="E132" i="1"/>
  <c r="H131" i="1"/>
  <c r="F131" i="1"/>
  <c r="D131" i="1" s="1"/>
  <c r="E129" i="1"/>
  <c r="D129" i="1" s="1"/>
  <c r="E128" i="1"/>
  <c r="D128" i="1" s="1"/>
  <c r="E124" i="1"/>
  <c r="D124" i="1" s="1"/>
  <c r="F123" i="1"/>
  <c r="E114" i="1"/>
  <c r="E103" i="1"/>
  <c r="G103" i="1" s="1"/>
  <c r="F121" i="1"/>
  <c r="D121" i="1" s="1"/>
  <c r="D120" i="1" s="1"/>
  <c r="H120" i="1"/>
  <c r="G120" i="1"/>
  <c r="E120" i="1"/>
  <c r="F119" i="1"/>
  <c r="D119" i="1" s="1"/>
  <c r="H117" i="1"/>
  <c r="G117" i="1"/>
  <c r="D117" i="1"/>
  <c r="D115" i="1"/>
  <c r="G113" i="1"/>
  <c r="D111" i="1"/>
  <c r="D110" i="1"/>
  <c r="D109" i="1"/>
  <c r="H108" i="1"/>
  <c r="G108" i="1"/>
  <c r="E108" i="1"/>
  <c r="D108" i="1" s="1"/>
  <c r="H107" i="1"/>
  <c r="F107" i="1"/>
  <c r="D107" i="1" s="1"/>
  <c r="E105" i="1"/>
  <c r="G105" i="1" s="1"/>
  <c r="E104" i="1"/>
  <c r="G104" i="1" s="1"/>
  <c r="E100" i="1"/>
  <c r="H100" i="1" s="1"/>
  <c r="F99" i="1"/>
  <c r="E90" i="1"/>
  <c r="H90" i="1" s="1"/>
  <c r="D89" i="1"/>
  <c r="E8" i="1"/>
  <c r="D8" i="1" s="1"/>
  <c r="E32" i="1"/>
  <c r="D32" i="1" s="1"/>
  <c r="E56" i="1"/>
  <c r="D56" i="1" s="1"/>
  <c r="E80" i="1"/>
  <c r="D80" i="1" s="1"/>
  <c r="E79" i="1"/>
  <c r="G79" i="1" s="1"/>
  <c r="E55" i="1"/>
  <c r="D55" i="1" s="1"/>
  <c r="H55" i="1" s="1"/>
  <c r="F97" i="1"/>
  <c r="D97" i="1" s="1"/>
  <c r="D96" i="1" s="1"/>
  <c r="H96" i="1"/>
  <c r="G96" i="1"/>
  <c r="E96" i="1"/>
  <c r="F95" i="1"/>
  <c r="D95" i="1" s="1"/>
  <c r="D94" i="1"/>
  <c r="H93" i="1"/>
  <c r="G93" i="1"/>
  <c r="D93" i="1"/>
  <c r="D91" i="1"/>
  <c r="D87" i="1"/>
  <c r="D86" i="1"/>
  <c r="D85" i="1"/>
  <c r="H84" i="1"/>
  <c r="G84" i="1"/>
  <c r="E84" i="1"/>
  <c r="D84" i="1" s="1"/>
  <c r="H83" i="1"/>
  <c r="F83" i="1"/>
  <c r="D83" i="1" s="1"/>
  <c r="E81" i="1"/>
  <c r="D81" i="1" s="1"/>
  <c r="E76" i="1"/>
  <c r="D76" i="1" s="1"/>
  <c r="F75" i="1"/>
  <c r="H65" i="1"/>
  <c r="G65" i="1"/>
  <c r="H59" i="1"/>
  <c r="F59" i="1"/>
  <c r="D59" i="1" s="1"/>
  <c r="F73" i="1"/>
  <c r="D73" i="1" s="1"/>
  <c r="D72" i="1" s="1"/>
  <c r="H72" i="1"/>
  <c r="G72" i="1"/>
  <c r="E72" i="1"/>
  <c r="F71" i="1"/>
  <c r="D71" i="1" s="1"/>
  <c r="H69" i="1"/>
  <c r="G69" i="1"/>
  <c r="D69" i="1"/>
  <c r="E66" i="1"/>
  <c r="D68" i="1" s="1"/>
  <c r="D65" i="1"/>
  <c r="D63" i="1"/>
  <c r="D62" i="1"/>
  <c r="D61" i="1"/>
  <c r="H60" i="1"/>
  <c r="G60" i="1"/>
  <c r="E60" i="1"/>
  <c r="E57" i="1"/>
  <c r="D57" i="1" s="1"/>
  <c r="E52" i="1"/>
  <c r="D52" i="1" s="1"/>
  <c r="F51" i="1"/>
  <c r="E42" i="1"/>
  <c r="H42" i="1" s="1"/>
  <c r="E31" i="1"/>
  <c r="D31" i="1" s="1"/>
  <c r="H31" i="1" s="1"/>
  <c r="E28" i="1"/>
  <c r="E29" i="1" s="1"/>
  <c r="D29" i="1" s="1"/>
  <c r="F49" i="1"/>
  <c r="D49" i="1" s="1"/>
  <c r="D48" i="1" s="1"/>
  <c r="H48" i="1"/>
  <c r="G48" i="1"/>
  <c r="E48" i="1"/>
  <c r="F47" i="1"/>
  <c r="D47" i="1" s="1"/>
  <c r="H45" i="1"/>
  <c r="G45" i="1"/>
  <c r="D45" i="1"/>
  <c r="D41" i="1"/>
  <c r="D39" i="1"/>
  <c r="D38" i="1"/>
  <c r="D37" i="1"/>
  <c r="H36" i="1"/>
  <c r="G36" i="1"/>
  <c r="E36" i="1"/>
  <c r="D36" i="1" s="1"/>
  <c r="H35" i="1"/>
  <c r="F35" i="1"/>
  <c r="D35" i="1" s="1"/>
  <c r="E33" i="1"/>
  <c r="D33" i="1" s="1"/>
  <c r="F27" i="1"/>
  <c r="D13" i="1"/>
  <c r="D14" i="1"/>
  <c r="D15" i="1"/>
  <c r="D16" i="1"/>
  <c r="D17" i="1"/>
  <c r="D21" i="1"/>
  <c r="F3" i="1"/>
  <c r="H12" i="1"/>
  <c r="G12" i="1"/>
  <c r="E12" i="1"/>
  <c r="F11" i="1"/>
  <c r="E18" i="1"/>
  <c r="D19" i="1" s="1"/>
  <c r="H21" i="1"/>
  <c r="G21" i="1"/>
  <c r="F23" i="1"/>
  <c r="D23" i="1" s="1"/>
  <c r="G24" i="1"/>
  <c r="H24" i="1"/>
  <c r="E24" i="1"/>
  <c r="F25" i="1"/>
  <c r="D25" i="1" s="1"/>
  <c r="D24" i="1" s="1"/>
  <c r="H11" i="1"/>
  <c r="E9" i="1"/>
  <c r="D9" i="1" s="1"/>
  <c r="E7" i="1"/>
  <c r="G7" i="1" s="1"/>
  <c r="E4" i="1"/>
  <c r="E5" i="1" s="1"/>
  <c r="D5" i="1" s="1"/>
  <c r="D377" i="1" l="1"/>
  <c r="H377" i="1"/>
  <c r="D368" i="1"/>
  <c r="D381" i="1"/>
  <c r="H272" i="1"/>
  <c r="G369" i="1"/>
  <c r="H381" i="1"/>
  <c r="H292" i="1"/>
  <c r="H293" i="1" s="1"/>
  <c r="H294" i="1" s="1"/>
  <c r="F308" i="1"/>
  <c r="D308" i="1" s="1"/>
  <c r="F240" i="1"/>
  <c r="F264" i="1"/>
  <c r="G271" i="1"/>
  <c r="D369" i="1"/>
  <c r="E370" i="1"/>
  <c r="F188" i="1"/>
  <c r="D188" i="1" s="1"/>
  <c r="F380" i="1"/>
  <c r="F116" i="1"/>
  <c r="F106" i="1" s="1"/>
  <c r="F332" i="1"/>
  <c r="F140" i="1"/>
  <c r="F356" i="1"/>
  <c r="H258" i="1"/>
  <c r="H368" i="1"/>
  <c r="G175" i="1"/>
  <c r="E298" i="1"/>
  <c r="D364" i="1"/>
  <c r="G364" i="1"/>
  <c r="G365" i="1" s="1"/>
  <c r="G366" i="1" s="1"/>
  <c r="D372" i="1"/>
  <c r="D367" i="1"/>
  <c r="H367" i="1" s="1"/>
  <c r="E365" i="1"/>
  <c r="E366" i="1" s="1"/>
  <c r="D366" i="1" s="1"/>
  <c r="D378" i="1"/>
  <c r="H370" i="1"/>
  <c r="H365" i="1"/>
  <c r="G378" i="1"/>
  <c r="F384" i="1"/>
  <c r="E322" i="1"/>
  <c r="H340" i="1"/>
  <c r="H341" i="1" s="1"/>
  <c r="H344" i="1"/>
  <c r="H345" i="1"/>
  <c r="D340" i="1"/>
  <c r="D344" i="1"/>
  <c r="D345" i="1"/>
  <c r="E346" i="1"/>
  <c r="D348" i="1"/>
  <c r="D343" i="1"/>
  <c r="H343" i="1" s="1"/>
  <c r="E341" i="1"/>
  <c r="E342" i="1" s="1"/>
  <c r="D342" i="1" s="1"/>
  <c r="D354" i="1"/>
  <c r="G341" i="1"/>
  <c r="H346" i="1"/>
  <c r="G354" i="1"/>
  <c r="F360" i="1"/>
  <c r="D199" i="1"/>
  <c r="H199" i="1" s="1"/>
  <c r="G292" i="1"/>
  <c r="G293" i="1" s="1"/>
  <c r="H296" i="1"/>
  <c r="D296" i="1"/>
  <c r="D324" i="1"/>
  <c r="H317" i="1"/>
  <c r="D316" i="1"/>
  <c r="D319" i="1"/>
  <c r="H319" i="1" s="1"/>
  <c r="D320" i="1"/>
  <c r="D330" i="1"/>
  <c r="E317" i="1"/>
  <c r="D317" i="1" s="1"/>
  <c r="H322" i="1"/>
  <c r="G316" i="1"/>
  <c r="G320" i="1"/>
  <c r="G330" i="1"/>
  <c r="F336" i="1"/>
  <c r="G223" i="1"/>
  <c r="G250" i="1"/>
  <c r="H273" i="1"/>
  <c r="D300" i="1"/>
  <c r="D295" i="1"/>
  <c r="H295" i="1" s="1"/>
  <c r="E293" i="1"/>
  <c r="E294" i="1" s="1"/>
  <c r="D294" i="1" s="1"/>
  <c r="D306" i="1"/>
  <c r="H298" i="1"/>
  <c r="G306" i="1"/>
  <c r="F312" i="1"/>
  <c r="F72" i="1"/>
  <c r="G268" i="1"/>
  <c r="G269" i="1" s="1"/>
  <c r="D272" i="1"/>
  <c r="D273" i="1"/>
  <c r="D177" i="1"/>
  <c r="H268" i="1"/>
  <c r="H269" i="1" s="1"/>
  <c r="G220" i="1"/>
  <c r="G221" i="1" s="1"/>
  <c r="G222" i="1" s="1"/>
  <c r="G225" i="1"/>
  <c r="E274" i="1"/>
  <c r="D276" i="1"/>
  <c r="E269" i="1"/>
  <c r="E270" i="1" s="1"/>
  <c r="D270" i="1" s="1"/>
  <c r="D282" i="1"/>
  <c r="H274" i="1"/>
  <c r="G282" i="1"/>
  <c r="F288" i="1"/>
  <c r="H148" i="1"/>
  <c r="H149" i="1" s="1"/>
  <c r="G172" i="1"/>
  <c r="G173" i="1" s="1"/>
  <c r="G177" i="1"/>
  <c r="F260" i="1"/>
  <c r="D260" i="1" s="1"/>
  <c r="D258" i="1"/>
  <c r="E250" i="1"/>
  <c r="G244" i="1"/>
  <c r="G247" i="1"/>
  <c r="G248" i="1"/>
  <c r="G249" i="1"/>
  <c r="H244" i="1"/>
  <c r="H248" i="1"/>
  <c r="H249" i="1"/>
  <c r="E245" i="1"/>
  <c r="D245" i="1" s="1"/>
  <c r="G176" i="1"/>
  <c r="G196" i="1"/>
  <c r="G197" i="1" s="1"/>
  <c r="G224" i="1"/>
  <c r="H226" i="1"/>
  <c r="D176" i="1"/>
  <c r="E221" i="1"/>
  <c r="D221" i="1" s="1"/>
  <c r="E226" i="1"/>
  <c r="D234" i="1"/>
  <c r="H220" i="1"/>
  <c r="H224" i="1"/>
  <c r="H225" i="1"/>
  <c r="G234" i="1"/>
  <c r="F236" i="1"/>
  <c r="H172" i="1"/>
  <c r="H173" i="1" s="1"/>
  <c r="H174" i="1" s="1"/>
  <c r="H196" i="1"/>
  <c r="H197" i="1" s="1"/>
  <c r="H198" i="1" s="1"/>
  <c r="G200" i="1"/>
  <c r="G201" i="1"/>
  <c r="H200" i="1"/>
  <c r="H201" i="1"/>
  <c r="E202" i="1"/>
  <c r="D204" i="1"/>
  <c r="E197" i="1"/>
  <c r="E198" i="1" s="1"/>
  <c r="D198" i="1" s="1"/>
  <c r="D210" i="1"/>
  <c r="H202" i="1"/>
  <c r="G210" i="1"/>
  <c r="F216" i="1"/>
  <c r="H152" i="1"/>
  <c r="G76" i="1"/>
  <c r="G77" i="1" s="1"/>
  <c r="E178" i="1"/>
  <c r="D180" i="1"/>
  <c r="E173" i="1"/>
  <c r="E174" i="1" s="1"/>
  <c r="D174" i="1" s="1"/>
  <c r="D186" i="1"/>
  <c r="H178" i="1"/>
  <c r="G186" i="1"/>
  <c r="F192" i="1"/>
  <c r="F120" i="1"/>
  <c r="G127" i="1"/>
  <c r="G148" i="1"/>
  <c r="G149" i="1" s="1"/>
  <c r="G150" i="1" s="1"/>
  <c r="G152" i="1"/>
  <c r="G124" i="1"/>
  <c r="G125" i="1" s="1"/>
  <c r="H124" i="1"/>
  <c r="H125" i="1" s="1"/>
  <c r="D153" i="1"/>
  <c r="E154" i="1"/>
  <c r="D156" i="1"/>
  <c r="D151" i="1"/>
  <c r="H151" i="1" s="1"/>
  <c r="D164" i="1"/>
  <c r="F154" i="1"/>
  <c r="H162" i="1"/>
  <c r="E149" i="1"/>
  <c r="D162" i="1"/>
  <c r="G162" i="1"/>
  <c r="F168" i="1"/>
  <c r="H104" i="1"/>
  <c r="G128" i="1"/>
  <c r="G129" i="1"/>
  <c r="H128" i="1"/>
  <c r="H129" i="1"/>
  <c r="D104" i="1"/>
  <c r="D118" i="1"/>
  <c r="E130" i="1"/>
  <c r="D132" i="1"/>
  <c r="E125" i="1"/>
  <c r="E126" i="1" s="1"/>
  <c r="D126" i="1" s="1"/>
  <c r="D138" i="1"/>
  <c r="H130" i="1"/>
  <c r="G138" i="1"/>
  <c r="F144" i="1"/>
  <c r="H76" i="1"/>
  <c r="H77" i="1" s="1"/>
  <c r="E58" i="1"/>
  <c r="D66" i="1"/>
  <c r="D79" i="1"/>
  <c r="H79" i="1" s="1"/>
  <c r="D100" i="1"/>
  <c r="H105" i="1"/>
  <c r="D105" i="1"/>
  <c r="D103" i="1"/>
  <c r="H103" i="1" s="1"/>
  <c r="E101" i="1"/>
  <c r="E106" i="1"/>
  <c r="H113" i="1"/>
  <c r="H114" i="1"/>
  <c r="G100" i="1"/>
  <c r="D113" i="1"/>
  <c r="D114" i="1"/>
  <c r="H101" i="1"/>
  <c r="G114" i="1"/>
  <c r="G106" i="1" s="1"/>
  <c r="E34" i="1"/>
  <c r="F10" i="1"/>
  <c r="D4" i="1"/>
  <c r="G66" i="1"/>
  <c r="G58" i="1" s="1"/>
  <c r="G81" i="1"/>
  <c r="F48" i="1"/>
  <c r="H66" i="1"/>
  <c r="H81" i="1"/>
  <c r="E82" i="1"/>
  <c r="G89" i="1"/>
  <c r="H89" i="1"/>
  <c r="G8" i="1"/>
  <c r="H8" i="1"/>
  <c r="G32" i="1"/>
  <c r="H32" i="1"/>
  <c r="G56" i="1"/>
  <c r="H56" i="1"/>
  <c r="G80" i="1"/>
  <c r="H80" i="1"/>
  <c r="E77" i="1"/>
  <c r="E78" i="1" s="1"/>
  <c r="D78" i="1" s="1"/>
  <c r="D90" i="1"/>
  <c r="G90" i="1"/>
  <c r="F92" i="1"/>
  <c r="F96" i="1"/>
  <c r="D46" i="1"/>
  <c r="D70" i="1"/>
  <c r="E10" i="1"/>
  <c r="H34" i="1"/>
  <c r="D60" i="1"/>
  <c r="F58" i="1"/>
  <c r="D67" i="1"/>
  <c r="E53" i="1"/>
  <c r="D53" i="1" s="1"/>
  <c r="G52" i="1"/>
  <c r="G55" i="1"/>
  <c r="G57" i="1"/>
  <c r="H52" i="1"/>
  <c r="H57" i="1"/>
  <c r="H4" i="1"/>
  <c r="H5" i="1" s="1"/>
  <c r="G9" i="1"/>
  <c r="D7" i="1"/>
  <c r="H7" i="1" s="1"/>
  <c r="D11" i="1"/>
  <c r="D20" i="1"/>
  <c r="D12" i="1"/>
  <c r="H9" i="1"/>
  <c r="D22" i="1"/>
  <c r="D18" i="1"/>
  <c r="G4" i="1"/>
  <c r="D44" i="1"/>
  <c r="D42" i="1"/>
  <c r="G42" i="1"/>
  <c r="G34" i="1" s="1"/>
  <c r="G28" i="1"/>
  <c r="G31" i="1"/>
  <c r="G33" i="1"/>
  <c r="H28" i="1"/>
  <c r="H33" i="1"/>
  <c r="D28" i="1"/>
  <c r="E30" i="1"/>
  <c r="D30" i="1" s="1"/>
  <c r="F24" i="1"/>
  <c r="E6" i="1"/>
  <c r="G18" i="1"/>
  <c r="G10" i="1" s="1"/>
  <c r="H18" i="1"/>
  <c r="D116" i="1" l="1"/>
  <c r="D106" i="1" s="1"/>
  <c r="F50" i="1"/>
  <c r="G370" i="1"/>
  <c r="H250" i="1"/>
  <c r="G346" i="1"/>
  <c r="G298" i="1"/>
  <c r="F2" i="1"/>
  <c r="D365" i="1"/>
  <c r="D363" i="1" s="1"/>
  <c r="E363" i="1"/>
  <c r="E362" i="1" s="1"/>
  <c r="D380" i="1"/>
  <c r="D370" i="1" s="1"/>
  <c r="F370" i="1"/>
  <c r="F362" i="1" s="1"/>
  <c r="G363" i="1"/>
  <c r="H366" i="1"/>
  <c r="H363" i="1" s="1"/>
  <c r="H362" i="1" s="1"/>
  <c r="H10" i="1"/>
  <c r="D250" i="1"/>
  <c r="F298" i="1"/>
  <c r="F290" i="1" s="1"/>
  <c r="D341" i="1"/>
  <c r="D339" i="1" s="1"/>
  <c r="E339" i="1"/>
  <c r="E338" i="1" s="1"/>
  <c r="D356" i="1"/>
  <c r="D346" i="1" s="1"/>
  <c r="F346" i="1"/>
  <c r="F338" i="1" s="1"/>
  <c r="G342" i="1"/>
  <c r="G339" i="1" s="1"/>
  <c r="H342" i="1"/>
  <c r="H339" i="1" s="1"/>
  <c r="H338" i="1" s="1"/>
  <c r="G78" i="1"/>
  <c r="G75" i="1" s="1"/>
  <c r="F98" i="1"/>
  <c r="G130" i="1"/>
  <c r="G154" i="1"/>
  <c r="E318" i="1"/>
  <c r="D318" i="1" s="1"/>
  <c r="D315" i="1" s="1"/>
  <c r="G317" i="1"/>
  <c r="D332" i="1"/>
  <c r="D322" i="1" s="1"/>
  <c r="F322" i="1"/>
  <c r="F314" i="1" s="1"/>
  <c r="H318" i="1"/>
  <c r="H315" i="1" s="1"/>
  <c r="H314" i="1" s="1"/>
  <c r="G322" i="1"/>
  <c r="G274" i="1"/>
  <c r="D298" i="1"/>
  <c r="H291" i="1"/>
  <c r="H290" i="1" s="1"/>
  <c r="D293" i="1"/>
  <c r="D291" i="1" s="1"/>
  <c r="E291" i="1"/>
  <c r="E290" i="1" s="1"/>
  <c r="G294" i="1"/>
  <c r="G291" i="1" s="1"/>
  <c r="E246" i="1"/>
  <c r="D246" i="1" s="1"/>
  <c r="D243" i="1" s="1"/>
  <c r="D242" i="1" s="1"/>
  <c r="G178" i="1"/>
  <c r="G226" i="1"/>
  <c r="G202" i="1"/>
  <c r="D269" i="1"/>
  <c r="D267" i="1" s="1"/>
  <c r="E267" i="1"/>
  <c r="E266" i="1" s="1"/>
  <c r="D284" i="1"/>
  <c r="D274" i="1" s="1"/>
  <c r="F274" i="1"/>
  <c r="F266" i="1" s="1"/>
  <c r="G270" i="1"/>
  <c r="G267" i="1" s="1"/>
  <c r="H270" i="1"/>
  <c r="H267" i="1" s="1"/>
  <c r="H266" i="1" s="1"/>
  <c r="F250" i="1"/>
  <c r="F242" i="1" s="1"/>
  <c r="H245" i="1"/>
  <c r="G245" i="1"/>
  <c r="G246" i="1" s="1"/>
  <c r="G243" i="1" s="1"/>
  <c r="G242" i="1" s="1"/>
  <c r="D236" i="1"/>
  <c r="D226" i="1" s="1"/>
  <c r="F226" i="1"/>
  <c r="F218" i="1" s="1"/>
  <c r="H221" i="1"/>
  <c r="H222" i="1" s="1"/>
  <c r="G219" i="1"/>
  <c r="E222" i="1"/>
  <c r="D222" i="1" s="1"/>
  <c r="D219" i="1" s="1"/>
  <c r="D154" i="1"/>
  <c r="D197" i="1"/>
  <c r="D195" i="1" s="1"/>
  <c r="E195" i="1"/>
  <c r="E194" i="1" s="1"/>
  <c r="D212" i="1"/>
  <c r="D202" i="1" s="1"/>
  <c r="F202" i="1"/>
  <c r="F194" i="1" s="1"/>
  <c r="G198" i="1"/>
  <c r="G195" i="1" s="1"/>
  <c r="H195" i="1"/>
  <c r="H194" i="1" s="1"/>
  <c r="F178" i="1"/>
  <c r="F170" i="1" s="1"/>
  <c r="D178" i="1"/>
  <c r="H171" i="1"/>
  <c r="H170" i="1" s="1"/>
  <c r="D173" i="1"/>
  <c r="D171" i="1" s="1"/>
  <c r="E171" i="1"/>
  <c r="E170" i="1" s="1"/>
  <c r="G174" i="1"/>
  <c r="G171" i="1" s="1"/>
  <c r="H58" i="1"/>
  <c r="H154" i="1"/>
  <c r="D149" i="1"/>
  <c r="G147" i="1"/>
  <c r="E150" i="1"/>
  <c r="D150" i="1" s="1"/>
  <c r="F146" i="1"/>
  <c r="H150" i="1"/>
  <c r="H147" i="1" s="1"/>
  <c r="D125" i="1"/>
  <c r="D123" i="1" s="1"/>
  <c r="E123" i="1"/>
  <c r="E122" i="1" s="1"/>
  <c r="D140" i="1"/>
  <c r="D130" i="1" s="1"/>
  <c r="F130" i="1"/>
  <c r="F122" i="1" s="1"/>
  <c r="G126" i="1"/>
  <c r="G123" i="1" s="1"/>
  <c r="G122" i="1" s="1"/>
  <c r="H126" i="1"/>
  <c r="H123" i="1" s="1"/>
  <c r="H122" i="1" s="1"/>
  <c r="H106" i="1"/>
  <c r="G101" i="1"/>
  <c r="D101" i="1"/>
  <c r="H102" i="1"/>
  <c r="H99" i="1" s="1"/>
  <c r="E102" i="1"/>
  <c r="D102" i="1" s="1"/>
  <c r="D58" i="1"/>
  <c r="H82" i="1"/>
  <c r="E54" i="1"/>
  <c r="D54" i="1" s="1"/>
  <c r="D51" i="1" s="1"/>
  <c r="G82" i="1"/>
  <c r="D92" i="1"/>
  <c r="D82" i="1" s="1"/>
  <c r="F82" i="1"/>
  <c r="F74" i="1" s="1"/>
  <c r="D77" i="1"/>
  <c r="D75" i="1" s="1"/>
  <c r="E75" i="1"/>
  <c r="E74" i="1" s="1"/>
  <c r="H78" i="1"/>
  <c r="H75" i="1" s="1"/>
  <c r="H53" i="1"/>
  <c r="G53" i="1"/>
  <c r="G54" i="1" s="1"/>
  <c r="G51" i="1" s="1"/>
  <c r="G50" i="1" s="1"/>
  <c r="E3" i="1"/>
  <c r="E2" i="1" s="1"/>
  <c r="D6" i="1"/>
  <c r="D10" i="1"/>
  <c r="D43" i="1"/>
  <c r="D34" i="1" s="1"/>
  <c r="E27" i="1"/>
  <c r="E26" i="1" s="1"/>
  <c r="D27" i="1"/>
  <c r="H29" i="1"/>
  <c r="H30" i="1" s="1"/>
  <c r="H27" i="1" s="1"/>
  <c r="H26" i="1" s="1"/>
  <c r="G29" i="1"/>
  <c r="G30" i="1" s="1"/>
  <c r="G27" i="1" s="1"/>
  <c r="G26" i="1" s="1"/>
  <c r="H6" i="1"/>
  <c r="H3" i="1" s="1"/>
  <c r="G5" i="1"/>
  <c r="G6" i="1" s="1"/>
  <c r="G338" i="1" l="1"/>
  <c r="G290" i="1"/>
  <c r="G362" i="1"/>
  <c r="E243" i="1"/>
  <c r="E242" i="1" s="1"/>
  <c r="G146" i="1"/>
  <c r="D362" i="1"/>
  <c r="D314" i="1"/>
  <c r="E315" i="1"/>
  <c r="E314" i="1" s="1"/>
  <c r="H2" i="1"/>
  <c r="D338" i="1"/>
  <c r="G194" i="1"/>
  <c r="G266" i="1"/>
  <c r="D50" i="1"/>
  <c r="G318" i="1"/>
  <c r="G315" i="1" s="1"/>
  <c r="G314" i="1" s="1"/>
  <c r="G218" i="1"/>
  <c r="D290" i="1"/>
  <c r="G170" i="1"/>
  <c r="D266" i="1"/>
  <c r="H246" i="1"/>
  <c r="H243" i="1" s="1"/>
  <c r="H242" i="1" s="1"/>
  <c r="D218" i="1"/>
  <c r="H219" i="1"/>
  <c r="H218" i="1" s="1"/>
  <c r="E219" i="1"/>
  <c r="E218" i="1" s="1"/>
  <c r="D194" i="1"/>
  <c r="H146" i="1"/>
  <c r="D170" i="1"/>
  <c r="H98" i="1"/>
  <c r="E147" i="1"/>
  <c r="E146" i="1" s="1"/>
  <c r="D147" i="1"/>
  <c r="D146" i="1" s="1"/>
  <c r="E99" i="1"/>
  <c r="E98" i="1" s="1"/>
  <c r="D99" i="1"/>
  <c r="D98" i="1" s="1"/>
  <c r="D122" i="1"/>
  <c r="G74" i="1"/>
  <c r="G102" i="1"/>
  <c r="G99" i="1" s="1"/>
  <c r="G98" i="1" s="1"/>
  <c r="E51" i="1"/>
  <c r="E50" i="1" s="1"/>
  <c r="H74" i="1"/>
  <c r="D74" i="1"/>
  <c r="F34" i="1"/>
  <c r="F26" i="1" s="1"/>
  <c r="H54" i="1"/>
  <c r="H51" i="1" s="1"/>
  <c r="H50" i="1" s="1"/>
  <c r="D26" i="1"/>
  <c r="D3" i="1"/>
  <c r="D2" i="1" s="1"/>
  <c r="G3" i="1"/>
  <c r="G2" i="1" s="1"/>
</calcChain>
</file>

<file path=xl/sharedStrings.xml><?xml version="1.0" encoding="utf-8"?>
<sst xmlns="http://schemas.openxmlformats.org/spreadsheetml/2006/main" count="1177" uniqueCount="124">
  <si>
    <t>Atlīdzība</t>
  </si>
  <si>
    <t>Piemaksa par diplomātisko rangu</t>
  </si>
  <si>
    <t>Darba devēja valsts sociālās apdrošināšanas obligātās iemaksas</t>
  </si>
  <si>
    <t>Darba devēja izdevumi veselības, dzīvības un nelaimes gadījumu apdrošināšanai</t>
  </si>
  <si>
    <t>Preces un pakalpojumi</t>
  </si>
  <si>
    <t>Ārvalstīs strādājošo darbinieku bērna pirmsskolas un skolas izdevumu kompensācija</t>
  </si>
  <si>
    <t>2017.gads</t>
  </si>
  <si>
    <t>2018.gads</t>
  </si>
  <si>
    <t>2019.gads</t>
  </si>
  <si>
    <t>Mēnešalga 2 264 euro (14.A mēnešalgu grupa)</t>
  </si>
  <si>
    <t>Mēnešalga 1 287 euro (10.mēnešalgu grupa)</t>
  </si>
  <si>
    <t>Mēnešalga 1 382 euro (11.mēnešalgu grupa)</t>
  </si>
  <si>
    <t>2017.g. pastāvīgie</t>
  </si>
  <si>
    <t>2017.g. vienreizējie</t>
  </si>
  <si>
    <t>Pabalsts dienesta vajadzībām izmantojamā transporta izdevumu segšanai</t>
  </si>
  <si>
    <t>Pārējie komandējumu un dienesta braucienu izdevumi</t>
  </si>
  <si>
    <t>Ceļa izdevumi atvaļinājumā (uz un no atvaļinājuma)</t>
  </si>
  <si>
    <t>Stacionāro telefonu - sakaru pakalpojumi</t>
  </si>
  <si>
    <t>Mobilo telefonu - sakaru pakalpojumi</t>
  </si>
  <si>
    <t>Pasta pakalpojumi</t>
  </si>
  <si>
    <t>Izdevumi par transporta pakalpojumiem</t>
  </si>
  <si>
    <t>Ārvalstīs strādājošo darbinieku dzīvokļa īres un komunālo izdevumu kompensācija</t>
  </si>
  <si>
    <t>Mākleru pakalpojumi</t>
  </si>
  <si>
    <t>Citi ar dienesta dzīvokļa īri saistītie izdevumi</t>
  </si>
  <si>
    <t>Informācijas sistēmas licenču nomas izdevumi</t>
  </si>
  <si>
    <t>Biroja preces</t>
  </si>
  <si>
    <t xml:space="preserve">Inventārs </t>
  </si>
  <si>
    <t>Pamatkapitāla veidošana</t>
  </si>
  <si>
    <t>Datortehnika, sakaru un cita biroja tehnika</t>
  </si>
  <si>
    <t>Galda balss sarunu iekārta 260 euro, dators 800 euro.</t>
  </si>
  <si>
    <t>Piezīmes</t>
  </si>
  <si>
    <t>461 EUR/1 licence</t>
  </si>
  <si>
    <t>Depozīts 1 mēneša maksas apmērā</t>
  </si>
  <si>
    <t xml:space="preserve">izdevumi kopā 
2.sekretārs AAE (1 amatpersona) </t>
  </si>
  <si>
    <t xml:space="preserve">izdevumi kopā 
2.sekretārs Baltkrievija (1 amatpersona) </t>
  </si>
  <si>
    <t>Depozīts 2 mēneša maksas apmērā</t>
  </si>
  <si>
    <t>Depozīts 1.5 mēneša maksas apmērā</t>
  </si>
  <si>
    <t>Depozīts 2 mēnešu maksas apmērā</t>
  </si>
  <si>
    <t>Depozīts 3 mēnešu maksas apmērā</t>
  </si>
  <si>
    <t>Konteiners vienai personai ar ģimeni 3 500 euro</t>
  </si>
  <si>
    <t>Column2</t>
  </si>
  <si>
    <r>
      <t xml:space="preserve">izdevumi kopā 
</t>
    </r>
    <r>
      <rPr>
        <b/>
        <i/>
        <sz val="12"/>
        <rFont val="Times New Roman"/>
        <family val="1"/>
        <charset val="186"/>
      </rPr>
      <t xml:space="preserve">vēstnieks AAE (1 amatpersona) </t>
    </r>
  </si>
  <si>
    <r>
      <t xml:space="preserve">izdevumi kopā 
</t>
    </r>
    <r>
      <rPr>
        <b/>
        <i/>
        <sz val="12"/>
        <rFont val="Times New Roman"/>
        <family val="1"/>
        <charset val="186"/>
      </rPr>
      <t xml:space="preserve">2.sekretārs Čehija (1 amatpersona) </t>
    </r>
  </si>
  <si>
    <r>
      <t xml:space="preserve">izdevumi kopā 
</t>
    </r>
    <r>
      <rPr>
        <b/>
        <i/>
        <sz val="12"/>
        <rFont val="Times New Roman"/>
        <family val="1"/>
        <charset val="186"/>
      </rPr>
      <t xml:space="preserve">2.sekretārs Dānija (1 amatpersona) </t>
    </r>
  </si>
  <si>
    <r>
      <t>izdevumi kopā 
2</t>
    </r>
    <r>
      <rPr>
        <b/>
        <i/>
        <sz val="12"/>
        <rFont val="Times New Roman"/>
        <family val="1"/>
        <charset val="186"/>
      </rPr>
      <t xml:space="preserve">.sekretārs Grieķija (1 amatpersona) </t>
    </r>
  </si>
  <si>
    <r>
      <t>izdevumi kopā 
2</t>
    </r>
    <r>
      <rPr>
        <b/>
        <i/>
        <sz val="12"/>
        <rFont val="Times New Roman"/>
        <family val="1"/>
        <charset val="186"/>
      </rPr>
      <t xml:space="preserve">.sekretārs Izraēla (1 amatpersona) </t>
    </r>
  </si>
  <si>
    <r>
      <t>izdevumi kopā 
2</t>
    </r>
    <r>
      <rPr>
        <b/>
        <i/>
        <sz val="12"/>
        <rFont val="Times New Roman"/>
        <family val="1"/>
        <charset val="186"/>
      </rPr>
      <t xml:space="preserve">.sekretārs Japāna (1 amatpersona) </t>
    </r>
  </si>
  <si>
    <r>
      <t>izdevumi kopā 
2</t>
    </r>
    <r>
      <rPr>
        <b/>
        <i/>
        <sz val="12"/>
        <rFont val="Times New Roman"/>
        <family val="1"/>
        <charset val="186"/>
      </rPr>
      <t xml:space="preserve">.sekretārs Kazahstānā (1 amatpersona) </t>
    </r>
  </si>
  <si>
    <r>
      <t>izdevumi kopā 
2</t>
    </r>
    <r>
      <rPr>
        <b/>
        <i/>
        <sz val="12"/>
        <rFont val="Times New Roman"/>
        <family val="1"/>
        <charset val="186"/>
      </rPr>
      <t xml:space="preserve">.sekretārs Ķīnā (1 amatpersona) </t>
    </r>
  </si>
  <si>
    <r>
      <t>izdevumi kopā 
2</t>
    </r>
    <r>
      <rPr>
        <b/>
        <i/>
        <sz val="12"/>
        <rFont val="Times New Roman"/>
        <family val="1"/>
        <charset val="186"/>
      </rPr>
      <t xml:space="preserve">.sekretārs Moldovā (1 amatpersona) </t>
    </r>
  </si>
  <si>
    <r>
      <t>izdevumi kopā 
2</t>
    </r>
    <r>
      <rPr>
        <b/>
        <i/>
        <sz val="12"/>
        <rFont val="Times New Roman"/>
        <family val="1"/>
        <charset val="186"/>
      </rPr>
      <t xml:space="preserve">.sekretārs Uzbekistānā (1 amatpersona) </t>
    </r>
  </si>
  <si>
    <r>
      <t>izdevumi kopā 
2</t>
    </r>
    <r>
      <rPr>
        <b/>
        <i/>
        <sz val="12"/>
        <rFont val="Times New Roman"/>
        <family val="1"/>
        <charset val="186"/>
      </rPr>
      <t xml:space="preserve">.sekretārs ANO Ņujorkā (1 amatpersona) </t>
    </r>
  </si>
  <si>
    <r>
      <t>izdevumi kopā 
1</t>
    </r>
    <r>
      <rPr>
        <b/>
        <i/>
        <sz val="12"/>
        <rFont val="Times New Roman"/>
        <family val="1"/>
        <charset val="186"/>
      </rPr>
      <t xml:space="preserve">.sekretārs ANO Ņujorkā (1 amatpersona) </t>
    </r>
  </si>
  <si>
    <r>
      <t>izdevumi kopā 
2</t>
    </r>
    <r>
      <rPr>
        <b/>
        <i/>
        <sz val="12"/>
        <rFont val="Times New Roman"/>
        <family val="1"/>
        <charset val="186"/>
      </rPr>
      <t xml:space="preserve">.sekretārs EDSO Vīnē (1 amatpersona) </t>
    </r>
  </si>
  <si>
    <r>
      <t>izdevumi kopā 
2</t>
    </r>
    <r>
      <rPr>
        <b/>
        <i/>
        <sz val="12"/>
        <rFont val="Times New Roman"/>
        <family val="1"/>
        <charset val="186"/>
      </rPr>
      <t xml:space="preserve">.sekretārs ES Briselē (2 amatpersona) </t>
    </r>
  </si>
  <si>
    <r>
      <rPr>
        <b/>
        <sz val="12"/>
        <color theme="1"/>
        <rFont val="Times New Roman"/>
        <family val="1"/>
        <charset val="186"/>
      </rPr>
      <t>Informācijas tehnoloģiju dep. informācija:</t>
    </r>
    <r>
      <rPr>
        <sz val="12"/>
        <color theme="1"/>
        <rFont val="Times New Roman"/>
        <family val="1"/>
        <charset val="186"/>
      </rPr>
      <t xml:space="preserve">
Printeris (180), monitors (200)</t>
    </r>
    <r>
      <rPr>
        <b/>
        <sz val="12"/>
        <color theme="1"/>
        <rFont val="Times New Roman"/>
        <family val="1"/>
        <charset val="186"/>
      </rPr>
      <t xml:space="preserve">
Diplomātiskā nodrošinājuma dep. informācija: </t>
    </r>
    <r>
      <rPr>
        <sz val="12"/>
        <color theme="1"/>
        <rFont val="Times New Roman"/>
        <family val="1"/>
        <charset val="186"/>
      </rPr>
      <t xml:space="preserve">
Biroja galds (213), dokumentu plaukts (120), biroja krēsls (213), apmeklētāja krēsls (100), drēbju pakaramais statīvs (60), atvilkņu skapis (183), galda lampa (50)</t>
    </r>
  </si>
  <si>
    <t>Transporta pabalsts dienesta vajadzībām 71.14*12 mēneši=853.68 euro.</t>
  </si>
  <si>
    <t>Nav informācijas, ielikta aplēse</t>
  </si>
  <si>
    <t>Grand Total</t>
  </si>
  <si>
    <t>Row Labels</t>
  </si>
  <si>
    <t>EKK</t>
  </si>
  <si>
    <t>Finanšu rādītājs (euro)</t>
  </si>
  <si>
    <t>1115</t>
  </si>
  <si>
    <t>1143</t>
  </si>
  <si>
    <t>1210</t>
  </si>
  <si>
    <t>12241</t>
  </si>
  <si>
    <t>Algas pabalsts, 
pabalsts par dzīvesbiedra un bērna uzturēšanos ārvalstīs, 
piemaksa par apdraudējumu dienesta vietā (piemaksa par dienestu īpašos apstākļos)</t>
  </si>
  <si>
    <t>12243</t>
  </si>
  <si>
    <t>1227</t>
  </si>
  <si>
    <t>21222</t>
  </si>
  <si>
    <t>21223</t>
  </si>
  <si>
    <t>22191</t>
  </si>
  <si>
    <t>22192</t>
  </si>
  <si>
    <t>22193</t>
  </si>
  <si>
    <t>2233</t>
  </si>
  <si>
    <t>2237</t>
  </si>
  <si>
    <t>22381</t>
  </si>
  <si>
    <t>22383</t>
  </si>
  <si>
    <t>22384</t>
  </si>
  <si>
    <t>2311</t>
  </si>
  <si>
    <t>2312</t>
  </si>
  <si>
    <t>5238</t>
  </si>
  <si>
    <t>Izmaksu centrs</t>
  </si>
  <si>
    <t>AAE VĒSTNIEKS</t>
  </si>
  <si>
    <t>AAE 2.SEKRETĀRS</t>
  </si>
  <si>
    <t>BALTKRIEVIJA 2.SEKRETĀRS</t>
  </si>
  <si>
    <t>ČEHIJA 2.SEKRETĀRS</t>
  </si>
  <si>
    <t>DĀNIJA 2.SEKRETĀRS</t>
  </si>
  <si>
    <t>GRIEĶIJA 2.SEKRETĀRS</t>
  </si>
  <si>
    <t>IZRAĒLA 2.SEKRETĀRS</t>
  </si>
  <si>
    <t>JAPĀNA 2.SEKRETĀRS</t>
  </si>
  <si>
    <t>KAZAHSTĀNA 2.SEKRETĀRS</t>
  </si>
  <si>
    <t>ĶĪNA 2.SEKRETĀRS</t>
  </si>
  <si>
    <t>MOLDOVA 2.SEKRETĀRS</t>
  </si>
  <si>
    <t>UZBEKISTĀNA 2.SEKRETĀRS</t>
  </si>
  <si>
    <t>ANO ŅUJORKĀ 2.SEKRETĀRS</t>
  </si>
  <si>
    <t>ANO ŅUJORKĀ 1.SEKRETĀRS</t>
  </si>
  <si>
    <t>EDSO VĪNĒ 2.SEKRETĀRS</t>
  </si>
  <si>
    <t>ES BRISELĒ - 2 PERSONAS 2.SEKRETĀRS</t>
  </si>
  <si>
    <t>Sum of 2017.gads</t>
  </si>
  <si>
    <t>Sum of 2017.g. pastāvīgie</t>
  </si>
  <si>
    <t>Sum of 2017.g. vienreizējie</t>
  </si>
  <si>
    <t>Sum of 2018.gads</t>
  </si>
  <si>
    <t>Sum of 2019.gads</t>
  </si>
  <si>
    <t>2252</t>
  </si>
  <si>
    <t>(Multiple Items)</t>
  </si>
  <si>
    <t>Atlīdzības izmaksas:</t>
  </si>
  <si>
    <t>mēnešalga</t>
  </si>
  <si>
    <t>piemaksa par diplomātisko rangu</t>
  </si>
  <si>
    <t>mēneša amatalga
+ piemaksa par diplomātisko rangu</t>
  </si>
  <si>
    <r>
      <t xml:space="preserve">aizvietošanas piemaksa 30% 
1 mēnesis </t>
    </r>
    <r>
      <rPr>
        <b/>
        <i/>
        <sz val="10"/>
        <rFont val="Times New Roman"/>
        <family val="1"/>
        <charset val="186"/>
      </rPr>
      <t>(atvaļinājuma laikā)</t>
    </r>
  </si>
  <si>
    <t>mēneši</t>
  </si>
  <si>
    <t>mēneša amatalga gadā</t>
  </si>
  <si>
    <t>piemaksas gadā</t>
  </si>
  <si>
    <t>atalgojums gadā</t>
  </si>
  <si>
    <t>soc. nodoklis</t>
  </si>
  <si>
    <t>atvaļinājuma pabalsts 50% no mēnešalgas</t>
  </si>
  <si>
    <t>veselības apdrošināšana</t>
  </si>
  <si>
    <t>atlīdzība kopā</t>
  </si>
  <si>
    <t>Kopā:</t>
  </si>
  <si>
    <t>novērtēšanas prēmija 75 % no mēnešalgas</t>
  </si>
  <si>
    <t>Nepieciešamais finansējums papildus 2 amata vietām CA pilnam gadam, EUR</t>
  </si>
  <si>
    <r>
      <t xml:space="preserve">otrais sekretārs </t>
    </r>
    <r>
      <rPr>
        <sz val="10"/>
        <color rgb="FFFF0000"/>
        <rFont val="Times New Roman"/>
        <family val="1"/>
        <charset val="186"/>
      </rPr>
      <t>(10 MAG. viduspunkts)</t>
    </r>
  </si>
  <si>
    <t xml:space="preserve"> I pielikums 
Konceptuālajam ziņojumam
“Par Eiropas Savienības tiesību aktos atļautajiem izņēmumiem sankciju piemērošanā un Latvijas kompetentajām iestādēm šo izņēmumu piemērošanā”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</si>
</sst>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€&quot;\ #,##0"/>
    <numFmt numFmtId="165" formatCode="#,##0.0"/>
  </numFmts>
  <fonts count="17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b/>
      <i/>
      <sz val="12"/>
      <name val="Times New Roman"/>
      <family val="1"/>
      <charset val="186"/>
    </font>
    <font>
      <sz val="12"/>
      <name val="Times New Roman"/>
      <family val="1"/>
      <charset val="186"/>
    </font>
    <font>
      <sz val="12"/>
      <color theme="0"/>
      <name val="Times New Roman"/>
      <family val="1"/>
      <charset val="186"/>
    </font>
    <font>
      <sz val="11"/>
      <name val="Times New Roman"/>
      <family val="1"/>
      <charset val="186"/>
    </font>
    <font>
      <sz val="12"/>
      <color rgb="FFFF0000"/>
      <name val="Times New Roman"/>
      <family val="1"/>
      <charset val="186"/>
    </font>
    <font>
      <b/>
      <sz val="11"/>
      <name val="Times New Roman"/>
      <family val="1"/>
      <charset val="186"/>
    </font>
    <font>
      <sz val="10"/>
      <name val="Times New Roman"/>
      <family val="1"/>
      <charset val="186"/>
    </font>
    <font>
      <b/>
      <i/>
      <sz val="10"/>
      <color indexed="12"/>
      <name val="Times New Roman"/>
      <family val="1"/>
      <charset val="186"/>
    </font>
    <font>
      <b/>
      <sz val="10"/>
      <name val="Times New Roman"/>
      <family val="1"/>
      <charset val="186"/>
    </font>
    <font>
      <b/>
      <i/>
      <sz val="10"/>
      <name val="Times New Roman"/>
      <family val="1"/>
      <charset val="186"/>
    </font>
    <font>
      <sz val="8"/>
      <name val="Times New Roman"/>
      <family val="1"/>
      <charset val="186"/>
    </font>
    <font>
      <sz val="10"/>
      <color rgb="FFFF0000"/>
      <name val="Times New Roman"/>
      <family val="1"/>
      <charset val="186"/>
    </font>
    <font>
      <sz val="10"/>
      <name val="Arial"/>
      <family val="2"/>
      <charset val="186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16" fillId="0" borderId="0"/>
  </cellStyleXfs>
  <cellXfs count="70">
    <xf numFmtId="0" fontId="0" fillId="0" borderId="0" xfId="0"/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3" fillId="0" borderId="0" xfId="0" applyFont="1"/>
    <xf numFmtId="0" fontId="1" fillId="2" borderId="1" xfId="0" applyFont="1" applyFill="1" applyBorder="1" applyAlignment="1">
      <alignment vertical="center" wrapText="1"/>
    </xf>
    <xf numFmtId="3" fontId="1" fillId="2" borderId="2" xfId="0" applyNumberFormat="1" applyFont="1" applyFill="1" applyBorder="1" applyAlignment="1">
      <alignment horizontal="right" vertical="top" wrapText="1"/>
    </xf>
    <xf numFmtId="3" fontId="1" fillId="0" borderId="2" xfId="0" applyNumberFormat="1" applyFont="1" applyBorder="1" applyAlignment="1">
      <alignment horizontal="right" vertical="top" wrapText="1"/>
    </xf>
    <xf numFmtId="3" fontId="1" fillId="2" borderId="3" xfId="0" applyNumberFormat="1" applyFont="1" applyFill="1" applyBorder="1" applyAlignment="1">
      <alignment horizontal="right" vertical="top" wrapText="1"/>
    </xf>
    <xf numFmtId="0" fontId="3" fillId="2" borderId="3" xfId="0" applyFont="1" applyFill="1" applyBorder="1" applyAlignment="1">
      <alignment vertical="top" wrapText="1"/>
    </xf>
    <xf numFmtId="3" fontId="5" fillId="0" borderId="5" xfId="0" applyNumberFormat="1" applyFont="1" applyFill="1" applyBorder="1" applyAlignment="1">
      <alignment horizontal="right" vertical="top" wrapText="1"/>
    </xf>
    <xf numFmtId="49" fontId="1" fillId="0" borderId="1" xfId="0" applyNumberFormat="1" applyFont="1" applyBorder="1" applyAlignment="1">
      <alignment horizontal="justify" vertical="top"/>
    </xf>
    <xf numFmtId="3" fontId="1" fillId="0" borderId="3" xfId="0" applyNumberFormat="1" applyFont="1" applyBorder="1" applyAlignment="1">
      <alignment horizontal="right" vertical="top" wrapText="1"/>
    </xf>
    <xf numFmtId="0" fontId="3" fillId="0" borderId="3" xfId="0" applyFont="1" applyFill="1" applyBorder="1" applyAlignment="1">
      <alignment vertical="top" wrapText="1"/>
    </xf>
    <xf numFmtId="3" fontId="5" fillId="0" borderId="2" xfId="0" applyNumberFormat="1" applyFont="1" applyFill="1" applyBorder="1" applyAlignment="1">
      <alignment horizontal="right" vertical="top" wrapText="1"/>
    </xf>
    <xf numFmtId="49" fontId="5" fillId="0" borderId="1" xfId="0" applyNumberFormat="1" applyFont="1" applyBorder="1" applyAlignment="1">
      <alignment horizontal="justify" vertical="top"/>
    </xf>
    <xf numFmtId="3" fontId="5" fillId="0" borderId="2" xfId="0" applyNumberFormat="1" applyFont="1" applyBorder="1" applyAlignment="1">
      <alignment horizontal="right" vertical="top" wrapText="1"/>
    </xf>
    <xf numFmtId="3" fontId="5" fillId="0" borderId="3" xfId="0" applyNumberFormat="1" applyFont="1" applyBorder="1" applyAlignment="1">
      <alignment horizontal="right" vertical="top" wrapText="1"/>
    </xf>
    <xf numFmtId="3" fontId="5" fillId="0" borderId="3" xfId="0" applyNumberFormat="1" applyFont="1" applyFill="1" applyBorder="1" applyAlignment="1">
      <alignment horizontal="right" vertical="top" wrapText="1"/>
    </xf>
    <xf numFmtId="49" fontId="5" fillId="0" borderId="3" xfId="0" applyNumberFormat="1" applyFont="1" applyBorder="1" applyAlignment="1">
      <alignment horizontal="justify" vertical="top"/>
    </xf>
    <xf numFmtId="0" fontId="6" fillId="0" borderId="3" xfId="0" applyFont="1" applyFill="1" applyBorder="1" applyAlignment="1">
      <alignment vertical="top" wrapText="1"/>
    </xf>
    <xf numFmtId="49" fontId="5" fillId="0" borderId="4" xfId="0" applyNumberFormat="1" applyFont="1" applyFill="1" applyBorder="1" applyAlignment="1">
      <alignment horizontal="left" vertical="top" wrapText="1"/>
    </xf>
    <xf numFmtId="49" fontId="1" fillId="0" borderId="4" xfId="0" applyNumberFormat="1" applyFont="1" applyFill="1" applyBorder="1" applyAlignment="1">
      <alignment horizontal="left" vertical="top" wrapText="1"/>
    </xf>
    <xf numFmtId="3" fontId="1" fillId="0" borderId="2" xfId="0" applyNumberFormat="1" applyFont="1" applyFill="1" applyBorder="1" applyAlignment="1">
      <alignment horizontal="right" vertical="top" wrapText="1"/>
    </xf>
    <xf numFmtId="3" fontId="1" fillId="0" borderId="3" xfId="0" applyNumberFormat="1" applyFont="1" applyFill="1" applyBorder="1" applyAlignment="1">
      <alignment horizontal="right" vertical="top" wrapText="1"/>
    </xf>
    <xf numFmtId="0" fontId="2" fillId="0" borderId="0" xfId="0" applyFont="1"/>
    <xf numFmtId="49" fontId="5" fillId="0" borderId="7" xfId="0" applyNumberFormat="1" applyFont="1" applyFill="1" applyBorder="1" applyAlignment="1">
      <alignment horizontal="left" vertical="top" wrapText="1"/>
    </xf>
    <xf numFmtId="3" fontId="5" fillId="0" borderId="8" xfId="0" applyNumberFormat="1" applyFont="1" applyFill="1" applyBorder="1" applyAlignment="1">
      <alignment horizontal="right" vertical="top" wrapText="1"/>
    </xf>
    <xf numFmtId="3" fontId="5" fillId="0" borderId="9" xfId="0" applyNumberFormat="1" applyFont="1" applyFill="1" applyBorder="1" applyAlignment="1">
      <alignment horizontal="right" vertical="top" wrapText="1"/>
    </xf>
    <xf numFmtId="0" fontId="3" fillId="0" borderId="9" xfId="0" applyFont="1" applyFill="1" applyBorder="1" applyAlignment="1">
      <alignment vertical="top" wrapText="1"/>
    </xf>
    <xf numFmtId="0" fontId="3" fillId="0" borderId="0" xfId="0" applyFont="1" applyFill="1" applyBorder="1" applyAlignment="1">
      <alignment vertical="top" wrapText="1"/>
    </xf>
    <xf numFmtId="49" fontId="7" fillId="0" borderId="3" xfId="0" applyNumberFormat="1" applyFont="1" applyBorder="1" applyAlignment="1">
      <alignment horizontal="left" vertical="top" wrapText="1"/>
    </xf>
    <xf numFmtId="0" fontId="0" fillId="0" borderId="0" xfId="0" pivotButton="1"/>
    <xf numFmtId="0" fontId="0" fillId="0" borderId="0" xfId="0" applyAlignment="1">
      <alignment horizontal="left"/>
    </xf>
    <xf numFmtId="0" fontId="1" fillId="0" borderId="5" xfId="0" applyFont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top"/>
    </xf>
    <xf numFmtId="49" fontId="5" fillId="0" borderId="1" xfId="0" applyNumberFormat="1" applyFont="1" applyBorder="1" applyAlignment="1">
      <alignment horizontal="center" vertical="top"/>
    </xf>
    <xf numFmtId="49" fontId="5" fillId="0" borderId="3" xfId="0" applyNumberFormat="1" applyFont="1" applyBorder="1" applyAlignment="1">
      <alignment horizontal="center" vertical="top"/>
    </xf>
    <xf numFmtId="49" fontId="7" fillId="0" borderId="3" xfId="0" applyNumberFormat="1" applyFont="1" applyBorder="1" applyAlignment="1">
      <alignment horizontal="center" vertical="top" wrapText="1"/>
    </xf>
    <xf numFmtId="49" fontId="5" fillId="0" borderId="4" xfId="0" applyNumberFormat="1" applyFont="1" applyFill="1" applyBorder="1" applyAlignment="1">
      <alignment horizontal="center" vertical="top" wrapText="1"/>
    </xf>
    <xf numFmtId="49" fontId="1" fillId="0" borderId="4" xfId="0" applyNumberFormat="1" applyFont="1" applyFill="1" applyBorder="1" applyAlignment="1">
      <alignment horizontal="center" vertical="top" wrapText="1"/>
    </xf>
    <xf numFmtId="0" fontId="3" fillId="0" borderId="0" xfId="0" applyFont="1" applyAlignment="1">
      <alignment horizontal="center" vertical="top"/>
    </xf>
    <xf numFmtId="49" fontId="5" fillId="0" borderId="1" xfId="0" applyNumberFormat="1" applyFont="1" applyBorder="1" applyAlignment="1">
      <alignment horizontal="justify" vertical="top" wrapText="1"/>
    </xf>
    <xf numFmtId="164" fontId="0" fillId="0" borderId="0" xfId="0" applyNumberFormat="1"/>
    <xf numFmtId="3" fontId="8" fillId="0" borderId="2" xfId="0" applyNumberFormat="1" applyFont="1" applyFill="1" applyBorder="1" applyAlignment="1">
      <alignment horizontal="right" vertical="top" wrapText="1"/>
    </xf>
    <xf numFmtId="3" fontId="10" fillId="0" borderId="0" xfId="0" applyNumberFormat="1" applyFont="1"/>
    <xf numFmtId="1" fontId="10" fillId="0" borderId="0" xfId="0" applyNumberFormat="1" applyFont="1"/>
    <xf numFmtId="1" fontId="10" fillId="0" borderId="0" xfId="0" applyNumberFormat="1" applyFont="1" applyFill="1"/>
    <xf numFmtId="1" fontId="11" fillId="0" borderId="0" xfId="0" applyNumberFormat="1" applyFont="1"/>
    <xf numFmtId="1" fontId="12" fillId="3" borderId="11" xfId="0" applyNumberFormat="1" applyFont="1" applyFill="1" applyBorder="1" applyAlignment="1">
      <alignment horizontal="center" vertical="center" wrapText="1"/>
    </xf>
    <xf numFmtId="3" fontId="12" fillId="3" borderId="11" xfId="0" applyNumberFormat="1" applyFont="1" applyFill="1" applyBorder="1" applyAlignment="1">
      <alignment horizontal="center" vertical="center" wrapText="1"/>
    </xf>
    <xf numFmtId="1" fontId="12" fillId="0" borderId="11" xfId="0" applyNumberFormat="1" applyFont="1" applyBorder="1" applyAlignment="1">
      <alignment horizontal="center" vertical="center" wrapText="1"/>
    </xf>
    <xf numFmtId="3" fontId="12" fillId="0" borderId="11" xfId="0" applyNumberFormat="1" applyFont="1" applyFill="1" applyBorder="1" applyAlignment="1">
      <alignment horizontal="center" vertical="center" wrapText="1"/>
    </xf>
    <xf numFmtId="1" fontId="12" fillId="0" borderId="0" xfId="0" applyNumberFormat="1" applyFont="1" applyAlignment="1">
      <alignment horizontal="center" vertical="center" wrapText="1"/>
    </xf>
    <xf numFmtId="3" fontId="13" fillId="3" borderId="11" xfId="0" applyNumberFormat="1" applyFont="1" applyFill="1" applyBorder="1" applyAlignment="1">
      <alignment horizontal="right"/>
    </xf>
    <xf numFmtId="1" fontId="13" fillId="3" borderId="11" xfId="0" applyNumberFormat="1" applyFont="1" applyFill="1" applyBorder="1" applyAlignment="1">
      <alignment horizontal="right"/>
    </xf>
    <xf numFmtId="1" fontId="13" fillId="0" borderId="0" xfId="0" applyNumberFormat="1" applyFont="1"/>
    <xf numFmtId="3" fontId="10" fillId="0" borderId="0" xfId="0" applyNumberFormat="1" applyFont="1" applyFill="1"/>
    <xf numFmtId="1" fontId="14" fillId="0" borderId="0" xfId="0" applyNumberFormat="1" applyFont="1"/>
    <xf numFmtId="1" fontId="10" fillId="0" borderId="0" xfId="0" applyNumberFormat="1" applyFont="1"/>
    <xf numFmtId="3" fontId="13" fillId="4" borderId="11" xfId="0" applyNumberFormat="1" applyFont="1" applyFill="1" applyBorder="1" applyAlignment="1">
      <alignment horizontal="right"/>
    </xf>
    <xf numFmtId="3" fontId="10" fillId="4" borderId="11" xfId="0" applyNumberFormat="1" applyFont="1" applyFill="1" applyBorder="1" applyAlignment="1">
      <alignment horizontal="right"/>
    </xf>
    <xf numFmtId="3" fontId="10" fillId="4" borderId="11" xfId="0" applyNumberFormat="1" applyFont="1" applyFill="1" applyBorder="1"/>
    <xf numFmtId="1" fontId="10" fillId="4" borderId="11" xfId="0" applyNumberFormat="1" applyFont="1" applyFill="1" applyBorder="1"/>
    <xf numFmtId="165" fontId="10" fillId="4" borderId="11" xfId="0" applyNumberFormat="1" applyFont="1" applyFill="1" applyBorder="1"/>
    <xf numFmtId="1" fontId="15" fillId="0" borderId="0" xfId="0" applyNumberFormat="1" applyFont="1"/>
    <xf numFmtId="0" fontId="7" fillId="0" borderId="0" xfId="0" applyFont="1" applyAlignment="1">
      <alignment horizontal="right" vertical="center" wrapText="1"/>
    </xf>
    <xf numFmtId="1" fontId="9" fillId="0" borderId="0" xfId="0" applyNumberFormat="1" applyFont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1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alignment horizontal="center" vertical="center" textRotation="0" wrapText="1" indent="0" justifyLastLine="0" shrinkToFit="0" readingOrder="0"/>
    </dxf>
    <dxf>
      <numFmt numFmtId="164" formatCode="&quot;€&quot;\ #,##0"/>
    </dxf>
  </dxfs>
  <tableStyles count="0" defaultTableStyle="TableStyleMedium2" defaultPivotStyle="PivotStyleMedium9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hor" refreshedDate="42468.41585208333" createdVersion="4" refreshedVersion="4" minRefreshableVersion="3" recordCount="384" xr:uid="{00000000-000A-0000-FFFF-FFFF00000000}">
  <cacheSource type="worksheet">
    <worksheetSource name="Table2"/>
  </cacheSource>
  <cacheFields count="10">
    <cacheField name="Finanšu rādītājs (euro)" numFmtId="0">
      <sharedItems/>
    </cacheField>
    <cacheField name="Izmaksu centrs" numFmtId="0">
      <sharedItems containsBlank="1" count="17">
        <m/>
        <s v="AAE VĒSTNIEKS"/>
        <s v="AAE 2.SEKRETĀRS"/>
        <s v="BALTKRIEVIJA 2.SEKRETĀRS"/>
        <s v="ČEHIJA 2.SEKRETĀRS"/>
        <s v="DĀNIJA 2.SEKRETĀRS"/>
        <s v="GRIEĶIJA 2.SEKRETĀRS"/>
        <s v="IZRAĒLA 2.SEKRETĀRS"/>
        <s v="JAPĀNA 2.SEKRETĀRS"/>
        <s v="KAZAHSTĀNA 2.SEKRETĀRS"/>
        <s v="ĶĪNA 2.SEKRETĀRS"/>
        <s v="MOLDOVA 2.SEKRETĀRS"/>
        <s v="UZBEKISTĀNA 2.SEKRETĀRS"/>
        <s v="ANO ŅUJORKĀ 2.SEKRETĀRS"/>
        <s v="ANO ŅUJORKĀ 1.SEKRETĀRS"/>
        <s v="EDSO VĪNĒ 2.SEKRETĀRS"/>
        <s v="ES BRISELĒ - 2 PERSONAS 2.SEKRETĀRS"/>
      </sharedItems>
    </cacheField>
    <cacheField name="EKK" numFmtId="0">
      <sharedItems containsBlank="1" count="21">
        <m/>
        <s v="1115"/>
        <s v="1143"/>
        <s v="1210"/>
        <s v="12243"/>
        <s v="12241"/>
        <s v="1227"/>
        <s v="21222"/>
        <s v="21223"/>
        <s v="22191"/>
        <s v="22192"/>
        <s v="22193"/>
        <s v="2233"/>
        <s v="2237"/>
        <s v="22381"/>
        <s v="22383"/>
        <s v="22384"/>
        <s v="2252"/>
        <s v="2311"/>
        <s v="2312"/>
        <s v="5238"/>
      </sharedItems>
    </cacheField>
    <cacheField name="2017.gads" numFmtId="3">
      <sharedItems containsSemiMixedTypes="0" containsString="0" containsNumber="1" containsInteger="1" minValue="0" maxValue="187679"/>
    </cacheField>
    <cacheField name="2017.g. pastāvīgie" numFmtId="3">
      <sharedItems containsString="0" containsBlank="1" containsNumber="1" containsInteger="1" minValue="0" maxValue="166821"/>
    </cacheField>
    <cacheField name="2017.g. vienreizējie" numFmtId="3">
      <sharedItems containsString="0" containsBlank="1" containsNumber="1" containsInteger="1" minValue="0" maxValue="21992"/>
    </cacheField>
    <cacheField name="2018.gads" numFmtId="3">
      <sharedItems containsString="0" containsBlank="1" containsNumber="1" containsInteger="1" minValue="0" maxValue="166821"/>
    </cacheField>
    <cacheField name="2019.gads" numFmtId="3">
      <sharedItems containsString="0" containsBlank="1" containsNumber="1" containsInteger="1" minValue="0" maxValue="171821"/>
    </cacheField>
    <cacheField name="Piezīmes" numFmtId="0">
      <sharedItems containsBlank="1" containsMixedTypes="1" containsNumber="1" containsInteger="1" minValue="370" maxValue="1150" longText="1"/>
    </cacheField>
    <cacheField name="Column2" numFmtId="3">
      <sharedItems containsString="0" containsBlank="1" containsNumber="1" minValue="45.666666666666664" maxValue="225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84">
  <r>
    <s v="izdevumi kopā _x000a_vēstnieks AAE (1 amatpersona) "/>
    <x v="0"/>
    <x v="0"/>
    <n v="177747"/>
    <n v="166821"/>
    <n v="10926"/>
    <n v="166821"/>
    <n v="171821"/>
    <m/>
    <m/>
  </r>
  <r>
    <s v="Atlīdzība"/>
    <x v="0"/>
    <x v="0"/>
    <n v="96045"/>
    <n v="96045"/>
    <n v="0"/>
    <n v="96045"/>
    <n v="96045"/>
    <m/>
    <m/>
  </r>
  <r>
    <s v="Mēnešalga 2 264 euro (14.A mēnešalgu grupa)"/>
    <x v="1"/>
    <x v="1"/>
    <n v="27168"/>
    <n v="27168"/>
    <m/>
    <n v="27168"/>
    <n v="27168"/>
    <m/>
    <m/>
  </r>
  <r>
    <s v="Piemaksa par diplomātisko rangu"/>
    <x v="1"/>
    <x v="2"/>
    <n v="5434"/>
    <n v="5434"/>
    <m/>
    <n v="5434"/>
    <n v="5434"/>
    <m/>
    <m/>
  </r>
  <r>
    <s v="Darba devēja valsts sociālās apdrošināšanas obligātās iemaksas"/>
    <x v="1"/>
    <x v="3"/>
    <n v="7691"/>
    <n v="7691"/>
    <m/>
    <n v="7691"/>
    <n v="7691"/>
    <m/>
    <m/>
  </r>
  <r>
    <s v="Algas pabalsts, _x000a_pabalsts par dzīvesbiedra un bērna uzturēšanos ārvalstīs, _x000a_piemaksa par apdraudējumu dienesta vietā (piemaksa par dienestu īpašos apstākļos)"/>
    <x v="1"/>
    <x v="4"/>
    <n v="50098"/>
    <n v="50098"/>
    <m/>
    <n v="50098"/>
    <n v="50098"/>
    <m/>
    <m/>
  </r>
  <r>
    <s v="Pabalsts dienesta vajadzībām izmantojamā transporta izdevumu segšanai"/>
    <x v="1"/>
    <x v="5"/>
    <n v="854"/>
    <n v="854"/>
    <m/>
    <n v="854"/>
    <n v="854"/>
    <s v="Transporta pabalsts dienesta vajadzībām 71.14*12 mēneši=853.68 euro."/>
    <m/>
  </r>
  <r>
    <s v="Darba devēja izdevumi veselības, dzīvības un nelaimes gadījumu apdrošināšanai"/>
    <x v="1"/>
    <x v="6"/>
    <n v="4800"/>
    <n v="4800"/>
    <m/>
    <n v="4800"/>
    <n v="4800"/>
    <m/>
    <m/>
  </r>
  <r>
    <s v="Preces un pakalpojumi"/>
    <x v="0"/>
    <x v="0"/>
    <n v="80642"/>
    <n v="70776"/>
    <n v="9866"/>
    <n v="70776"/>
    <n v="75776"/>
    <m/>
    <m/>
  </r>
  <r>
    <s v="Pārējie komandējumu un dienesta braucienu izdevumi"/>
    <x v="1"/>
    <x v="7"/>
    <n v="1500"/>
    <m/>
    <n v="1500"/>
    <m/>
    <n v="1500"/>
    <n v="1000"/>
    <m/>
  </r>
  <r>
    <s v="Ceļa izdevumi atvaļinājumā (uz un no atvaļinājuma)"/>
    <x v="1"/>
    <x v="8"/>
    <n v="3000"/>
    <n v="3000"/>
    <m/>
    <n v="3000"/>
    <n v="3000"/>
    <m/>
    <m/>
  </r>
  <r>
    <s v="Stacionāro telefonu - sakaru pakalpojumi"/>
    <x v="1"/>
    <x v="9"/>
    <n v="1500"/>
    <n v="1500"/>
    <m/>
    <n v="1500"/>
    <n v="1500"/>
    <m/>
    <n v="1500"/>
  </r>
  <r>
    <s v="Mobilo telefonu - sakaru pakalpojumi"/>
    <x v="1"/>
    <x v="10"/>
    <n v="2250"/>
    <n v="2250"/>
    <m/>
    <n v="2250"/>
    <n v="2250"/>
    <m/>
    <n v="2250"/>
  </r>
  <r>
    <s v="Pasta pakalpojumi"/>
    <x v="1"/>
    <x v="11"/>
    <n v="500"/>
    <n v="500"/>
    <m/>
    <n v="500"/>
    <n v="500"/>
    <m/>
    <n v="500"/>
  </r>
  <r>
    <s v="Izdevumi par transporta pakalpojumiem"/>
    <x v="1"/>
    <x v="12"/>
    <n v="3500"/>
    <m/>
    <n v="3500"/>
    <m/>
    <n v="3500"/>
    <s v="Konteiners vienai personai ar ģimeni 3 500 euro"/>
    <m/>
  </r>
  <r>
    <s v="Ārvalstīs strādājošo darbinieku bērna pirmsskolas un skolas izdevumu kompensācija"/>
    <x v="1"/>
    <x v="13"/>
    <n v="20000"/>
    <n v="20000"/>
    <m/>
    <n v="20000"/>
    <n v="20000"/>
    <s v="Nav informācijas, ielikta aplēse"/>
    <m/>
  </r>
  <r>
    <s v="Ārvalstīs strādājošo darbinieku dzīvokļa īres un komunālo izdevumu kompensācija"/>
    <x v="1"/>
    <x v="14"/>
    <n v="42565"/>
    <n v="42565"/>
    <m/>
    <n v="42565"/>
    <n v="42565"/>
    <m/>
    <m/>
  </r>
  <r>
    <s v="Mākleru pakalpojumi"/>
    <x v="1"/>
    <x v="15"/>
    <n v="3547"/>
    <m/>
    <n v="3547"/>
    <m/>
    <m/>
    <m/>
    <m/>
  </r>
  <r>
    <s v="Citi ar dienesta dzīvokļa īri saistītie izdevumi"/>
    <x v="1"/>
    <x v="16"/>
    <n v="0"/>
    <m/>
    <m/>
    <m/>
    <m/>
    <m/>
    <m/>
  </r>
  <r>
    <s v="Informācijas sistēmas licenču nomas izdevumi"/>
    <x v="1"/>
    <x v="17"/>
    <n v="461"/>
    <n v="461"/>
    <m/>
    <n v="461"/>
    <n v="461"/>
    <s v="461 EUR/1 licence"/>
    <m/>
  </r>
  <r>
    <s v="Biroja preces"/>
    <x v="1"/>
    <x v="18"/>
    <n v="500"/>
    <n v="500"/>
    <m/>
    <n v="500"/>
    <n v="500"/>
    <m/>
    <n v="500"/>
  </r>
  <r>
    <s v="Inventārs "/>
    <x v="1"/>
    <x v="19"/>
    <n v="1319"/>
    <m/>
    <n v="1319"/>
    <m/>
    <m/>
    <s v="Informācijas tehnoloģiju dep. informācija:_x000a_Printeris (180), monitors (200)_x000a_Diplomātiskā nodrošinājuma dep. informācija: _x000a_Biroja galds (213), dokumentu plaukts (120), biroja krēsls (213), apmeklētāja krēsls (100), drēbju pakaramais statīvs (60), atvilkņu skapis (183), galda lampa (50)"/>
    <m/>
  </r>
  <r>
    <s v="Pamatkapitāla veidošana"/>
    <x v="0"/>
    <x v="0"/>
    <n v="1060"/>
    <n v="0"/>
    <n v="1060"/>
    <n v="0"/>
    <n v="0"/>
    <m/>
    <m/>
  </r>
  <r>
    <s v="Datortehnika, sakaru un cita biroja tehnika"/>
    <x v="1"/>
    <x v="20"/>
    <n v="1060"/>
    <m/>
    <n v="1060"/>
    <m/>
    <m/>
    <s v="Galda balss sarunu iekārta 260 euro, dators 800 euro."/>
    <m/>
  </r>
  <r>
    <s v="izdevumi kopā _x000a_2.sekretārs AAE (1 amatpersona) "/>
    <x v="0"/>
    <x v="0"/>
    <n v="121758"/>
    <n v="112598"/>
    <n v="9160"/>
    <n v="112598"/>
    <n v="117598"/>
    <m/>
    <m/>
  </r>
  <r>
    <s v="Atlīdzība"/>
    <x v="0"/>
    <x v="0"/>
    <n v="63021"/>
    <n v="63021"/>
    <n v="0"/>
    <n v="63021"/>
    <n v="63021"/>
    <m/>
    <m/>
  </r>
  <r>
    <s v="Mēnešalga 1 287 euro (10.mēnešalgu grupa)"/>
    <x v="2"/>
    <x v="1"/>
    <n v="15444"/>
    <n v="15444"/>
    <m/>
    <n v="15444"/>
    <n v="15444"/>
    <m/>
    <m/>
  </r>
  <r>
    <s v="Piemaksa par diplomātisko rangu"/>
    <x v="2"/>
    <x v="2"/>
    <n v="3089"/>
    <n v="3089"/>
    <m/>
    <n v="3089"/>
    <n v="3089"/>
    <m/>
    <m/>
  </r>
  <r>
    <s v="Darba devēja valsts sociālās apdrošināšanas obligātās iemaksas"/>
    <x v="2"/>
    <x v="3"/>
    <n v="4372"/>
    <n v="4372"/>
    <m/>
    <n v="4372"/>
    <n v="4372"/>
    <m/>
    <m/>
  </r>
  <r>
    <s v="Algas pabalsts, _x000a_pabalsts par dzīvesbiedra un bērna uzturēšanos ārvalstīs, _x000a_piemaksa par apdraudējumu dienesta vietā (piemaksa par dienestu īpašos apstākļos)"/>
    <x v="2"/>
    <x v="4"/>
    <n v="34462"/>
    <n v="34462"/>
    <m/>
    <n v="34462"/>
    <n v="34462"/>
    <m/>
    <m/>
  </r>
  <r>
    <s v="Pabalsts dienesta vajadzībām izmantojamā transporta izdevumu segšanai"/>
    <x v="2"/>
    <x v="5"/>
    <n v="854"/>
    <n v="854"/>
    <m/>
    <n v="854"/>
    <n v="854"/>
    <s v="Transporta pabalsts dienesta vajadzībām 71.14*12 mēneši=853.68 euro."/>
    <m/>
  </r>
  <r>
    <s v="Darba devēja izdevumi veselības, dzīvības un nelaimes gadījumu apdrošināšanai"/>
    <x v="2"/>
    <x v="6"/>
    <n v="4800"/>
    <n v="4800"/>
    <m/>
    <n v="4800"/>
    <n v="4800"/>
    <m/>
    <m/>
  </r>
  <r>
    <s v="Preces un pakalpojumi"/>
    <x v="0"/>
    <x v="0"/>
    <n v="57677"/>
    <n v="49577"/>
    <n v="8100"/>
    <n v="49577"/>
    <n v="54577"/>
    <m/>
    <m/>
  </r>
  <r>
    <s v="Pārējie komandējumu un dienesta braucienu izdevumi"/>
    <x v="2"/>
    <x v="7"/>
    <n v="1500"/>
    <m/>
    <n v="1500"/>
    <m/>
    <n v="1500"/>
    <n v="1000"/>
    <m/>
  </r>
  <r>
    <s v="Ceļa izdevumi atvaļinājumā (uz un no atvaļinājuma)"/>
    <x v="2"/>
    <x v="8"/>
    <n v="3000"/>
    <n v="3000"/>
    <m/>
    <n v="3000"/>
    <n v="3000"/>
    <m/>
    <m/>
  </r>
  <r>
    <s v="Stacionāro telefonu - sakaru pakalpojumi"/>
    <x v="2"/>
    <x v="9"/>
    <n v="1500"/>
    <n v="1500"/>
    <m/>
    <n v="1500"/>
    <n v="1500"/>
    <m/>
    <n v="1500"/>
  </r>
  <r>
    <s v="Mobilo telefonu - sakaru pakalpojumi"/>
    <x v="2"/>
    <x v="10"/>
    <n v="2250"/>
    <n v="2250"/>
    <m/>
    <n v="2250"/>
    <n v="2250"/>
    <m/>
    <n v="2250"/>
  </r>
  <r>
    <s v="Pasta pakalpojumi"/>
    <x v="2"/>
    <x v="11"/>
    <n v="500"/>
    <n v="500"/>
    <m/>
    <n v="500"/>
    <n v="500"/>
    <m/>
    <n v="500"/>
  </r>
  <r>
    <s v="Izdevumi par transporta pakalpojumiem"/>
    <x v="2"/>
    <x v="12"/>
    <n v="3500"/>
    <m/>
    <n v="3500"/>
    <m/>
    <n v="3500"/>
    <s v="Konteiners vienai personai ar ģimeni 3 500 euro"/>
    <m/>
  </r>
  <r>
    <s v="Ārvalstīs strādājošo darbinieku bērna pirmsskolas un skolas izdevumu kompensācija"/>
    <x v="2"/>
    <x v="13"/>
    <n v="20000"/>
    <n v="20000"/>
    <m/>
    <n v="20000"/>
    <n v="20000"/>
    <s v="Nav informācijas, ielikta aplēse"/>
    <m/>
  </r>
  <r>
    <s v="Ārvalstīs strādājošo darbinieku dzīvokļa īres un komunālo izdevumu kompensācija"/>
    <x v="2"/>
    <x v="14"/>
    <n v="21366"/>
    <n v="21366"/>
    <m/>
    <n v="21366"/>
    <n v="21366"/>
    <m/>
    <m/>
  </r>
  <r>
    <s v="Mākleru pakalpojumi"/>
    <x v="2"/>
    <x v="15"/>
    <n v="1781"/>
    <m/>
    <n v="1781"/>
    <m/>
    <m/>
    <m/>
    <m/>
  </r>
  <r>
    <s v="Citi ar dienesta dzīvokļa īri saistītie izdevumi"/>
    <x v="2"/>
    <x v="16"/>
    <n v="0"/>
    <m/>
    <m/>
    <m/>
    <m/>
    <m/>
    <m/>
  </r>
  <r>
    <s v="Informācijas sistēmas licenču nomas izdevumi"/>
    <x v="2"/>
    <x v="17"/>
    <n v="461"/>
    <n v="461"/>
    <m/>
    <n v="461"/>
    <n v="461"/>
    <s v="461 EUR/1 licence"/>
    <m/>
  </r>
  <r>
    <s v="Biroja preces"/>
    <x v="2"/>
    <x v="18"/>
    <n v="500"/>
    <n v="500"/>
    <m/>
    <n v="500"/>
    <n v="500"/>
    <m/>
    <n v="500"/>
  </r>
  <r>
    <s v="Inventārs "/>
    <x v="2"/>
    <x v="19"/>
    <n v="1319"/>
    <m/>
    <n v="1319"/>
    <m/>
    <m/>
    <s v="Informācijas tehnoloģiju dep. informācija:_x000a_Printeris (180), monitors (200)_x000a_Diplomātiskā nodrošinājuma dep. informācija: _x000a_Biroja galds (213), dokumentu plaukts (120), biroja krēsls (213), apmeklētāja krēsls (100), drēbju pakaramais statīvs (60), atvilkņu skapis (183), galda lampa (50)"/>
    <m/>
  </r>
  <r>
    <s v="Pamatkapitāla veidošana"/>
    <x v="0"/>
    <x v="0"/>
    <n v="1060"/>
    <n v="0"/>
    <n v="1060"/>
    <n v="0"/>
    <n v="0"/>
    <m/>
    <m/>
  </r>
  <r>
    <s v="Datortehnika, sakaru un cita biroja tehnika"/>
    <x v="2"/>
    <x v="20"/>
    <n v="1060"/>
    <m/>
    <n v="1060"/>
    <m/>
    <m/>
    <s v="Galda balss sarunu iekārta 260 euro, dators 800 euro."/>
    <m/>
  </r>
  <r>
    <s v="izdevumi kopā _x000a_2.sekretārs Baltkrievija (1 amatpersona) "/>
    <x v="0"/>
    <x v="0"/>
    <n v="98688"/>
    <n v="91364"/>
    <n v="7324"/>
    <n v="91364"/>
    <n v="95419"/>
    <m/>
    <m/>
  </r>
  <r>
    <s v="Atlīdzība"/>
    <x v="0"/>
    <x v="0"/>
    <n v="48070"/>
    <n v="48070"/>
    <n v="0"/>
    <n v="48070"/>
    <n v="48070"/>
    <m/>
    <m/>
  </r>
  <r>
    <s v="Mēnešalga 1 287 euro (10.mēnešalgu grupa)"/>
    <x v="3"/>
    <x v="1"/>
    <n v="15444"/>
    <n v="15444"/>
    <m/>
    <n v="15444"/>
    <n v="15444"/>
    <m/>
    <m/>
  </r>
  <r>
    <s v="Piemaksa par diplomātisko rangu"/>
    <x v="3"/>
    <x v="2"/>
    <n v="3089"/>
    <n v="3089"/>
    <m/>
    <n v="3089"/>
    <n v="3089"/>
    <m/>
    <m/>
  </r>
  <r>
    <s v="Darba devēja valsts sociālās apdrošināšanas obligātās iemaksas"/>
    <x v="3"/>
    <x v="3"/>
    <n v="4372"/>
    <n v="4372"/>
    <m/>
    <n v="4372"/>
    <n v="4372"/>
    <m/>
    <m/>
  </r>
  <r>
    <s v="Algas pabalsts, _x000a_pabalsts par dzīvesbiedra un bērna uzturēšanos ārvalstīs, _x000a_piemaksa par apdraudējumu dienesta vietā (piemaksa par dienestu īpašos apstākļos)"/>
    <x v="3"/>
    <x v="4"/>
    <n v="19511"/>
    <n v="19511"/>
    <m/>
    <n v="19511"/>
    <n v="19511"/>
    <m/>
    <m/>
  </r>
  <r>
    <s v="Pabalsts dienesta vajadzībām izmantojamā transporta izdevumu segšanai"/>
    <x v="3"/>
    <x v="5"/>
    <n v="854"/>
    <n v="854"/>
    <m/>
    <n v="854"/>
    <n v="854"/>
    <s v="Transporta pabalsts dienesta vajadzībām 71.14*12 mēneši=853.68 euro."/>
    <m/>
  </r>
  <r>
    <s v="Darba devēja izdevumi veselības, dzīvības un nelaimes gadījumu apdrošināšanai"/>
    <x v="3"/>
    <x v="6"/>
    <n v="4800"/>
    <n v="4800"/>
    <m/>
    <n v="4800"/>
    <n v="4800"/>
    <m/>
    <m/>
  </r>
  <r>
    <s v="Preces un pakalpojumi"/>
    <x v="0"/>
    <x v="0"/>
    <n v="49558"/>
    <n v="43294"/>
    <n v="6264"/>
    <n v="43294"/>
    <n v="47349"/>
    <m/>
    <m/>
  </r>
  <r>
    <s v="Pārējie komandējumu un dienesta braucienu izdevumi"/>
    <x v="3"/>
    <x v="7"/>
    <n v="555"/>
    <m/>
    <n v="555"/>
    <m/>
    <n v="555"/>
    <n v="370"/>
    <m/>
  </r>
  <r>
    <s v="Ceļa izdevumi atvaļinājumā (uz un no atvaļinājuma)"/>
    <x v="3"/>
    <x v="8"/>
    <n v="1110"/>
    <n v="1110"/>
    <m/>
    <n v="1110"/>
    <n v="1110"/>
    <m/>
    <m/>
  </r>
  <r>
    <s v="Stacionāro telefonu - sakaru pakalpojumi"/>
    <x v="3"/>
    <x v="9"/>
    <n v="231"/>
    <n v="231"/>
    <m/>
    <n v="231"/>
    <n v="231"/>
    <m/>
    <n v="230.76923076923077"/>
  </r>
  <r>
    <s v="Mobilo telefonu - sakaru pakalpojumi"/>
    <x v="3"/>
    <x v="10"/>
    <n v="347"/>
    <n v="347"/>
    <m/>
    <n v="347"/>
    <n v="347"/>
    <m/>
    <n v="346.15384615384613"/>
  </r>
  <r>
    <s v="Pasta pakalpojumi"/>
    <x v="3"/>
    <x v="11"/>
    <n v="77"/>
    <n v="77"/>
    <m/>
    <n v="77"/>
    <n v="77"/>
    <m/>
    <n v="76.92307692307692"/>
  </r>
  <r>
    <s v="Izdevumi par transporta pakalpojumiem"/>
    <x v="3"/>
    <x v="12"/>
    <n v="3500"/>
    <m/>
    <n v="3500"/>
    <m/>
    <n v="3500"/>
    <s v="Konteiners vienai personai ar ģimeni 3 500 euro"/>
    <m/>
  </r>
  <r>
    <s v="Ārvalstīs strādājošo darbinieku bērna pirmsskolas un skolas izdevumu kompensācija"/>
    <x v="3"/>
    <x v="13"/>
    <n v="19625"/>
    <n v="19625"/>
    <m/>
    <n v="19625"/>
    <n v="19625"/>
    <m/>
    <m/>
  </r>
  <r>
    <s v="Ārvalstīs strādājošo darbinieku dzīvokļa īres un komunālo izdevumu kompensācija"/>
    <x v="3"/>
    <x v="14"/>
    <n v="21366"/>
    <n v="21366"/>
    <m/>
    <n v="21366"/>
    <n v="21366"/>
    <m/>
    <m/>
  </r>
  <r>
    <s v="Mākleru pakalpojumi"/>
    <x v="3"/>
    <x v="15"/>
    <n v="890"/>
    <m/>
    <n v="890"/>
    <m/>
    <m/>
    <m/>
    <m/>
  </r>
  <r>
    <s v="Citi ar dienesta dzīvokļa īri saistītie izdevumi"/>
    <x v="3"/>
    <x v="16"/>
    <n v="0"/>
    <m/>
    <m/>
    <m/>
    <m/>
    <m/>
    <m/>
  </r>
  <r>
    <s v="Informācijas sistēmas licenču nomas izdevumi"/>
    <x v="3"/>
    <x v="17"/>
    <n v="461"/>
    <n v="461"/>
    <m/>
    <n v="461"/>
    <n v="461"/>
    <s v="461 EUR/1 licence"/>
    <m/>
  </r>
  <r>
    <s v="Biroja preces"/>
    <x v="3"/>
    <x v="18"/>
    <n v="77"/>
    <n v="77"/>
    <m/>
    <n v="77"/>
    <n v="77"/>
    <m/>
    <n v="76.92307692307692"/>
  </r>
  <r>
    <s v="Inventārs "/>
    <x v="3"/>
    <x v="19"/>
    <n v="1319"/>
    <m/>
    <n v="1319"/>
    <m/>
    <m/>
    <s v="Informācijas tehnoloģiju dep. informācija:_x000a_Printeris (180), monitors (200)_x000a_Diplomātiskā nodrošinājuma dep. informācija: _x000a_Biroja galds (213), dokumentu plaukts (120), biroja krēsls (213), apmeklētāja krēsls (100), drēbju pakaramais statīvs (60), atvilkņu skapis (183), galda lampa (50)"/>
    <m/>
  </r>
  <r>
    <s v="Pamatkapitāla veidošana"/>
    <x v="0"/>
    <x v="0"/>
    <n v="1060"/>
    <n v="0"/>
    <n v="1060"/>
    <n v="0"/>
    <n v="0"/>
    <m/>
    <m/>
  </r>
  <r>
    <s v="Datortehnika, sakaru un cita biroja tehnika"/>
    <x v="3"/>
    <x v="20"/>
    <n v="1060"/>
    <m/>
    <n v="1060"/>
    <m/>
    <m/>
    <s v="Galda balss sarunu iekārta 260 euro, dators 800 euro."/>
    <m/>
  </r>
  <r>
    <s v="izdevumi kopā _x000a_2.sekretārs Čehija (1 amatpersona) "/>
    <x v="0"/>
    <x v="0"/>
    <n v="93986"/>
    <n v="85106"/>
    <n v="8880"/>
    <n v="85106"/>
    <n v="89251"/>
    <m/>
    <m/>
  </r>
  <r>
    <s v="Atlīdzība"/>
    <x v="0"/>
    <x v="0"/>
    <n v="51119"/>
    <n v="51119"/>
    <n v="0"/>
    <n v="51119"/>
    <n v="51119"/>
    <m/>
    <m/>
  </r>
  <r>
    <s v="Mēnešalga 1 287 euro (10.mēnešalgu grupa)"/>
    <x v="4"/>
    <x v="1"/>
    <n v="15444"/>
    <n v="15444"/>
    <m/>
    <n v="15444"/>
    <n v="15444"/>
    <m/>
    <m/>
  </r>
  <r>
    <s v="Piemaksa par diplomātisko rangu"/>
    <x v="4"/>
    <x v="2"/>
    <n v="3089"/>
    <n v="3089"/>
    <m/>
    <n v="3089"/>
    <n v="3089"/>
    <m/>
    <m/>
  </r>
  <r>
    <s v="Darba devēja valsts sociālās apdrošināšanas obligātās iemaksas"/>
    <x v="4"/>
    <x v="3"/>
    <n v="4372"/>
    <n v="4372"/>
    <m/>
    <n v="4372"/>
    <n v="4372"/>
    <m/>
    <m/>
  </r>
  <r>
    <s v="Algas pabalsts, _x000a_pabalsts par dzīvesbiedra un bērna uzturēšanos ārvalstīs, _x000a_piemaksa par apdraudējumu dienesta vietā (piemaksa par dienestu īpašos apstākļos)"/>
    <x v="4"/>
    <x v="4"/>
    <n v="22560"/>
    <n v="22560"/>
    <m/>
    <n v="22560"/>
    <n v="22560"/>
    <m/>
    <m/>
  </r>
  <r>
    <s v="Pabalsts dienesta vajadzībām izmantojamā transporta izdevumu segšanai"/>
    <x v="4"/>
    <x v="5"/>
    <n v="854"/>
    <n v="854"/>
    <m/>
    <n v="854"/>
    <n v="854"/>
    <s v="Transporta pabalsts dienesta vajadzībām 71.14*12 mēneši=853.68 euro."/>
    <m/>
  </r>
  <r>
    <s v="Darba devēja izdevumi veselības, dzīvības un nelaimes gadījumu apdrošināšanai"/>
    <x v="4"/>
    <x v="6"/>
    <n v="4800"/>
    <n v="4800"/>
    <m/>
    <n v="4800"/>
    <n v="4800"/>
    <m/>
    <m/>
  </r>
  <r>
    <s v="Preces un pakalpojumi"/>
    <x v="0"/>
    <x v="0"/>
    <n v="41807"/>
    <n v="33987"/>
    <n v="7820"/>
    <n v="33987"/>
    <n v="38132"/>
    <m/>
    <m/>
  </r>
  <r>
    <s v="Pārējie komandējumu un dienesta braucienu izdevumi"/>
    <x v="4"/>
    <x v="7"/>
    <n v="645"/>
    <m/>
    <n v="645"/>
    <m/>
    <n v="645"/>
    <n v="430"/>
    <m/>
  </r>
  <r>
    <s v="Ceļa izdevumi atvaļinājumā (uz un no atvaļinājuma)"/>
    <x v="4"/>
    <x v="8"/>
    <n v="1290"/>
    <n v="1290"/>
    <m/>
    <n v="1290"/>
    <n v="1290"/>
    <m/>
    <m/>
  </r>
  <r>
    <s v="Stacionāro telefonu - sakaru pakalpojumi"/>
    <x v="4"/>
    <x v="9"/>
    <n v="234"/>
    <n v="234"/>
    <m/>
    <n v="234"/>
    <n v="234"/>
    <m/>
    <n v="233.33333333333334"/>
  </r>
  <r>
    <s v="Mobilo telefonu - sakaru pakalpojumi"/>
    <x v="4"/>
    <x v="10"/>
    <n v="710"/>
    <n v="710"/>
    <m/>
    <n v="710"/>
    <n v="710"/>
    <m/>
    <n v="710"/>
  </r>
  <r>
    <s v="Pasta pakalpojumi"/>
    <x v="4"/>
    <x v="11"/>
    <n v="157"/>
    <n v="157"/>
    <m/>
    <n v="157"/>
    <n v="157"/>
    <m/>
    <n v="156.66666666666666"/>
  </r>
  <r>
    <s v="Izdevumi par transporta pakalpojumiem"/>
    <x v="4"/>
    <x v="12"/>
    <n v="3500"/>
    <m/>
    <n v="3500"/>
    <m/>
    <n v="3500"/>
    <s v="Konteiners vienai personai ar ģimeni 3 500 euro"/>
    <m/>
  </r>
  <r>
    <s v="Ārvalstīs strādājošo darbinieku bērna pirmsskolas un skolas izdevumu kompensācija"/>
    <x v="4"/>
    <x v="13"/>
    <n v="16650"/>
    <n v="16650"/>
    <m/>
    <n v="16650"/>
    <n v="16650"/>
    <m/>
    <m/>
  </r>
  <r>
    <s v="Ārvalstīs strādājošo darbinieku dzīvokļa īres un komunālo izdevumu kompensācija"/>
    <x v="4"/>
    <x v="14"/>
    <n v="14135"/>
    <n v="14135"/>
    <m/>
    <n v="14135"/>
    <n v="14135"/>
    <m/>
    <m/>
  </r>
  <r>
    <s v="Mākleru pakalpojumi"/>
    <x v="4"/>
    <x v="15"/>
    <n v="1178"/>
    <m/>
    <n v="1178"/>
    <m/>
    <m/>
    <m/>
    <m/>
  </r>
  <r>
    <s v="Citi ar dienesta dzīvokļa īri saistītie izdevumi"/>
    <x v="4"/>
    <x v="16"/>
    <n v="1178"/>
    <m/>
    <n v="1178"/>
    <m/>
    <m/>
    <s v="Depozīts 1 mēneša maksas apmērā"/>
    <m/>
  </r>
  <r>
    <s v="Informācijas sistēmas licenču nomas izdevumi"/>
    <x v="4"/>
    <x v="17"/>
    <n v="461"/>
    <n v="461"/>
    <m/>
    <n v="461"/>
    <n v="461"/>
    <s v="461 EUR/1 licence"/>
    <m/>
  </r>
  <r>
    <s v="Biroja preces"/>
    <x v="4"/>
    <x v="18"/>
    <n v="350"/>
    <n v="350"/>
    <m/>
    <n v="350"/>
    <n v="350"/>
    <m/>
    <n v="350"/>
  </r>
  <r>
    <s v="Inventārs "/>
    <x v="4"/>
    <x v="19"/>
    <n v="1319"/>
    <m/>
    <n v="1319"/>
    <m/>
    <m/>
    <s v="Informācijas tehnoloģiju dep. informācija:_x000a_Printeris (180), monitors (200)_x000a_Diplomātiskā nodrošinājuma dep. informācija: _x000a_Biroja galds (213), dokumentu plaukts (120), biroja krēsls (213), apmeklētāja krēsls (100), drēbju pakaramais statīvs (60), atvilkņu skapis (183), galda lampa (50)"/>
    <m/>
  </r>
  <r>
    <s v="Pamatkapitāla veidošana"/>
    <x v="0"/>
    <x v="0"/>
    <n v="1060"/>
    <n v="0"/>
    <n v="1060"/>
    <n v="0"/>
    <n v="0"/>
    <m/>
    <m/>
  </r>
  <r>
    <s v="Datortehnika, sakaru un cita biroja tehnika"/>
    <x v="4"/>
    <x v="20"/>
    <n v="1060"/>
    <m/>
    <n v="1060"/>
    <m/>
    <m/>
    <s v="Galda balss sarunu iekārta 260 euro, dators 800 euro."/>
    <m/>
  </r>
  <r>
    <s v="izdevumi kopā _x000a_2.sekretārs Dānija (1 amatpersona) "/>
    <x v="0"/>
    <x v="0"/>
    <n v="125007"/>
    <n v="113593"/>
    <n v="11414"/>
    <n v="113593"/>
    <n v="117738"/>
    <m/>
    <m/>
  </r>
  <r>
    <s v="Atlīdzība"/>
    <x v="0"/>
    <x v="0"/>
    <n v="69068"/>
    <n v="69068"/>
    <n v="0"/>
    <n v="69068"/>
    <n v="69068"/>
    <m/>
    <m/>
  </r>
  <r>
    <s v="Mēnešalga 1 287 euro (10.mēnešalgu grupa)"/>
    <x v="5"/>
    <x v="1"/>
    <n v="15444"/>
    <n v="15444"/>
    <m/>
    <n v="15444"/>
    <n v="15444"/>
    <m/>
    <m/>
  </r>
  <r>
    <s v="Piemaksa par diplomātisko rangu"/>
    <x v="5"/>
    <x v="2"/>
    <n v="3089"/>
    <n v="3089"/>
    <m/>
    <n v="3089"/>
    <n v="3089"/>
    <m/>
    <m/>
  </r>
  <r>
    <s v="Darba devēja valsts sociālās apdrošināšanas obligātās iemaksas"/>
    <x v="5"/>
    <x v="3"/>
    <n v="4372"/>
    <n v="4372"/>
    <m/>
    <n v="4372"/>
    <n v="4372"/>
    <m/>
    <m/>
  </r>
  <r>
    <s v="Algas pabalsts, _x000a_pabalsts par dzīvesbiedra un bērna uzturēšanos ārvalstīs, _x000a_piemaksa par apdraudējumu dienesta vietā (piemaksa par dienestu īpašos apstākļos)"/>
    <x v="5"/>
    <x v="4"/>
    <n v="40509"/>
    <n v="40509"/>
    <m/>
    <n v="40509"/>
    <n v="40509"/>
    <m/>
    <m/>
  </r>
  <r>
    <s v="Pabalsts dienesta vajadzībām izmantojamā transporta izdevumu segšanai"/>
    <x v="5"/>
    <x v="5"/>
    <n v="854"/>
    <n v="854"/>
    <m/>
    <n v="854"/>
    <n v="854"/>
    <s v="Transporta pabalsts dienesta vajadzībām 71.14*12 mēneši=853.68 euro."/>
    <m/>
  </r>
  <r>
    <s v="Darba devēja izdevumi veselības, dzīvības un nelaimes gadījumu apdrošināšanai"/>
    <x v="5"/>
    <x v="6"/>
    <n v="4800"/>
    <n v="4800"/>
    <m/>
    <n v="4800"/>
    <n v="4800"/>
    <m/>
    <m/>
  </r>
  <r>
    <s v="Preces un pakalpojumi"/>
    <x v="0"/>
    <x v="0"/>
    <n v="54879"/>
    <n v="44525"/>
    <n v="10354"/>
    <n v="44525"/>
    <n v="48670"/>
    <m/>
    <m/>
  </r>
  <r>
    <s v="Pārējie komandējumu un dienesta braucienu izdevumi"/>
    <x v="5"/>
    <x v="7"/>
    <n v="645"/>
    <m/>
    <n v="645"/>
    <m/>
    <n v="645"/>
    <n v="430"/>
    <m/>
  </r>
  <r>
    <s v="Ceļa izdevumi atvaļinājumā (uz un no atvaļinājuma)"/>
    <x v="5"/>
    <x v="8"/>
    <n v="1290"/>
    <n v="1290"/>
    <m/>
    <n v="1290"/>
    <n v="1290"/>
    <m/>
    <m/>
  </r>
  <r>
    <s v="Stacionāro telefonu - sakaru pakalpojumi"/>
    <x v="5"/>
    <x v="9"/>
    <n v="834"/>
    <n v="834"/>
    <m/>
    <n v="834"/>
    <n v="834"/>
    <m/>
    <n v="833.33333333333337"/>
  </r>
  <r>
    <s v="Mobilo telefonu - sakaru pakalpojumi"/>
    <x v="5"/>
    <x v="10"/>
    <n v="387"/>
    <n v="387"/>
    <m/>
    <n v="387"/>
    <n v="387"/>
    <m/>
    <n v="386.66666666666669"/>
  </r>
  <r>
    <s v="Pasta pakalpojumi"/>
    <x v="5"/>
    <x v="11"/>
    <n v="801"/>
    <n v="801"/>
    <m/>
    <n v="801"/>
    <n v="801"/>
    <m/>
    <n v="800.33333333333337"/>
  </r>
  <r>
    <s v="Izdevumi par transporta pakalpojumiem"/>
    <x v="5"/>
    <x v="12"/>
    <n v="3500"/>
    <m/>
    <n v="3500"/>
    <m/>
    <n v="3500"/>
    <s v="Konteiners vienai personai ar ģimeni 3 500 euro"/>
    <m/>
  </r>
  <r>
    <s v="Ārvalstīs strādājošo darbinieku bērna pirmsskolas un skolas izdevumu kompensācija"/>
    <x v="5"/>
    <x v="13"/>
    <n v="20770"/>
    <n v="20770"/>
    <m/>
    <n v="20770"/>
    <n v="20770"/>
    <m/>
    <m/>
  </r>
  <r>
    <s v="Ārvalstīs strādājošo darbinieku dzīvokļa īres un komunālo izdevumu kompensācija"/>
    <x v="5"/>
    <x v="14"/>
    <n v="19558"/>
    <n v="19558"/>
    <m/>
    <n v="19558"/>
    <n v="19558"/>
    <m/>
    <m/>
  </r>
  <r>
    <s v="Mākleru pakalpojumi"/>
    <x v="5"/>
    <x v="15"/>
    <n v="1630"/>
    <m/>
    <n v="1630"/>
    <m/>
    <m/>
    <m/>
    <m/>
  </r>
  <r>
    <s v="Citi ar dienesta dzīvokļa īri saistītie izdevumi"/>
    <x v="5"/>
    <x v="16"/>
    <n v="3260"/>
    <m/>
    <n v="3260"/>
    <m/>
    <m/>
    <s v="Depozīts 2 mēneša maksas apmērā"/>
    <m/>
  </r>
  <r>
    <s v="Informācijas sistēmas licenču nomas izdevumi"/>
    <x v="5"/>
    <x v="17"/>
    <n v="461"/>
    <n v="461"/>
    <m/>
    <n v="461"/>
    <n v="461"/>
    <s v="461 EUR/1 licence"/>
    <m/>
  </r>
  <r>
    <s v="Biroja preces"/>
    <x v="5"/>
    <x v="18"/>
    <n v="424"/>
    <n v="424"/>
    <m/>
    <n v="424"/>
    <n v="424"/>
    <m/>
    <n v="423.33333333333331"/>
  </r>
  <r>
    <s v="Inventārs "/>
    <x v="5"/>
    <x v="19"/>
    <n v="1319"/>
    <m/>
    <n v="1319"/>
    <m/>
    <m/>
    <s v="Informācijas tehnoloģiju dep. informācija:_x000a_Printeris (180), monitors (200)_x000a_Diplomātiskā nodrošinājuma dep. informācija: _x000a_Biroja galds (213), dokumentu plaukts (120), biroja krēsls (213), apmeklētāja krēsls (100), drēbju pakaramais statīvs (60), atvilkņu skapis (183), galda lampa (50)"/>
    <m/>
  </r>
  <r>
    <s v="Pamatkapitāla veidošana"/>
    <x v="0"/>
    <x v="0"/>
    <n v="1060"/>
    <n v="0"/>
    <n v="1060"/>
    <n v="0"/>
    <n v="0"/>
    <m/>
    <m/>
  </r>
  <r>
    <s v="Datortehnika, sakaru un cita biroja tehnika"/>
    <x v="5"/>
    <x v="20"/>
    <n v="1060"/>
    <m/>
    <n v="1060"/>
    <m/>
    <m/>
    <s v="Galda balss sarunu iekārta 260 euro, dators 800 euro."/>
    <m/>
  </r>
  <r>
    <s v="izdevumi kopā _x000a_2.sekretārs Grieķija (1 amatpersona) "/>
    <x v="0"/>
    <x v="0"/>
    <n v="96491"/>
    <n v="87523"/>
    <n v="8968"/>
    <n v="87523"/>
    <n v="91893"/>
    <m/>
    <m/>
  </r>
  <r>
    <s v="Atlīdzība"/>
    <x v="0"/>
    <x v="0"/>
    <n v="53117"/>
    <n v="53117"/>
    <n v="0"/>
    <n v="53117"/>
    <n v="53117"/>
    <m/>
    <m/>
  </r>
  <r>
    <s v="Mēnešalga 1 287 euro (10.mēnešalgu grupa)"/>
    <x v="6"/>
    <x v="1"/>
    <n v="15444"/>
    <n v="15444"/>
    <m/>
    <n v="15444"/>
    <n v="15444"/>
    <m/>
    <m/>
  </r>
  <r>
    <s v="Piemaksa par diplomātisko rangu"/>
    <x v="6"/>
    <x v="2"/>
    <n v="3089"/>
    <n v="3089"/>
    <m/>
    <n v="3089"/>
    <n v="3089"/>
    <m/>
    <m/>
  </r>
  <r>
    <s v="Darba devēja valsts sociālās apdrošināšanas obligātās iemaksas"/>
    <x v="6"/>
    <x v="3"/>
    <n v="4372"/>
    <n v="4372"/>
    <m/>
    <n v="4372"/>
    <n v="4372"/>
    <m/>
    <m/>
  </r>
  <r>
    <s v="Algas pabalsts, _x000a_pabalsts par dzīvesbiedra un bērna uzturēšanos ārvalstīs, _x000a_piemaksa par apdraudējumu dienesta vietā (piemaksa par dienestu īpašos apstākļos)"/>
    <x v="6"/>
    <x v="4"/>
    <n v="24558"/>
    <n v="24558"/>
    <m/>
    <n v="24558"/>
    <n v="24558"/>
    <m/>
    <m/>
  </r>
  <r>
    <s v="Pabalsts dienesta vajadzībām izmantojamā transporta izdevumu segšanai"/>
    <x v="6"/>
    <x v="5"/>
    <n v="854"/>
    <n v="854"/>
    <m/>
    <n v="854"/>
    <n v="854"/>
    <s v="Transporta pabalsts dienesta vajadzībām 71.14*12 mēneši=853.68 euro."/>
    <m/>
  </r>
  <r>
    <s v="Darba devēja izdevumi veselības, dzīvības un nelaimes gadījumu apdrošināšanai"/>
    <x v="6"/>
    <x v="6"/>
    <n v="4800"/>
    <n v="4800"/>
    <m/>
    <n v="4800"/>
    <n v="4800"/>
    <m/>
    <m/>
  </r>
  <r>
    <s v="Preces un pakalpojumi"/>
    <x v="0"/>
    <x v="0"/>
    <n v="42314"/>
    <n v="34406"/>
    <n v="7908"/>
    <n v="34406"/>
    <n v="38776"/>
    <m/>
    <m/>
  </r>
  <r>
    <s v="Pārējie komandējumu un dienesta braucienu izdevumi"/>
    <x v="6"/>
    <x v="7"/>
    <n v="870"/>
    <m/>
    <n v="870"/>
    <m/>
    <n v="870"/>
    <n v="580"/>
    <m/>
  </r>
  <r>
    <s v="Ceļa izdevumi atvaļinājumā (uz un no atvaļinājuma)"/>
    <x v="6"/>
    <x v="8"/>
    <n v="1740"/>
    <n v="1740"/>
    <m/>
    <n v="1740"/>
    <n v="1740"/>
    <m/>
    <m/>
  </r>
  <r>
    <s v="Stacionāro telefonu - sakaru pakalpojumi"/>
    <x v="6"/>
    <x v="9"/>
    <n v="400"/>
    <n v="400"/>
    <m/>
    <n v="400"/>
    <n v="400"/>
    <m/>
    <n v="400"/>
  </r>
  <r>
    <s v="Mobilo telefonu - sakaru pakalpojumi"/>
    <x v="6"/>
    <x v="10"/>
    <n v="760"/>
    <n v="760"/>
    <m/>
    <n v="760"/>
    <n v="760"/>
    <m/>
    <n v="760"/>
  </r>
  <r>
    <s v="Pasta pakalpojumi"/>
    <x v="6"/>
    <x v="11"/>
    <n v="660"/>
    <n v="660"/>
    <m/>
    <n v="660"/>
    <n v="660"/>
    <m/>
    <n v="660"/>
  </r>
  <r>
    <s v="Izdevumi par transporta pakalpojumiem"/>
    <x v="6"/>
    <x v="12"/>
    <n v="3500"/>
    <m/>
    <n v="3500"/>
    <m/>
    <n v="3500"/>
    <s v="Konteiners vienai personai ar ģimeni 3 500 euro"/>
    <m/>
  </r>
  <r>
    <s v="Ārvalstīs strādājošo darbinieku bērna pirmsskolas un skolas izdevumu kompensācija"/>
    <x v="6"/>
    <x v="13"/>
    <n v="12475"/>
    <n v="12475"/>
    <m/>
    <n v="12475"/>
    <n v="12475"/>
    <m/>
    <m/>
  </r>
  <r>
    <s v="Ārvalstīs strādājošo darbinieku dzīvokļa īres un komunālo izdevumu kompensācija"/>
    <x v="6"/>
    <x v="14"/>
    <n v="17750"/>
    <n v="17750"/>
    <m/>
    <n v="17750"/>
    <n v="17750"/>
    <m/>
    <m/>
  </r>
  <r>
    <s v="Mākleru pakalpojumi"/>
    <x v="6"/>
    <x v="15"/>
    <n v="0"/>
    <m/>
    <m/>
    <m/>
    <m/>
    <m/>
    <m/>
  </r>
  <r>
    <s v="Citi ar dienesta dzīvokļa īri saistītie izdevumi"/>
    <x v="6"/>
    <x v="16"/>
    <n v="2219"/>
    <m/>
    <n v="2219"/>
    <m/>
    <m/>
    <s v="Depozīts 1.5 mēneša maksas apmērā"/>
    <m/>
  </r>
  <r>
    <s v="Informācijas sistēmas licenču nomas izdevumi"/>
    <x v="6"/>
    <x v="17"/>
    <n v="461"/>
    <n v="461"/>
    <m/>
    <n v="461"/>
    <n v="461"/>
    <s v="461 EUR/1 licence"/>
    <m/>
  </r>
  <r>
    <s v="Biroja preces"/>
    <x v="6"/>
    <x v="18"/>
    <n v="160"/>
    <n v="160"/>
    <m/>
    <n v="160"/>
    <n v="160"/>
    <m/>
    <n v="160"/>
  </r>
  <r>
    <s v="Inventārs "/>
    <x v="6"/>
    <x v="19"/>
    <n v="1319"/>
    <m/>
    <n v="1319"/>
    <m/>
    <m/>
    <s v="Informācijas tehnoloģiju dep. informācija:_x000a_Printeris (180), monitors (200)_x000a_Diplomātiskā nodrošinājuma dep. informācija: _x000a_Biroja galds (213), dokumentu plaukts (120), biroja krēsls (213), apmeklētāja krēsls (100), drēbju pakaramais statīvs (60), atvilkņu skapis (183), galda lampa (50)"/>
    <m/>
  </r>
  <r>
    <s v="Pamatkapitāla veidošana"/>
    <x v="0"/>
    <x v="0"/>
    <n v="1060"/>
    <n v="0"/>
    <n v="1060"/>
    <n v="0"/>
    <n v="0"/>
    <m/>
    <m/>
  </r>
  <r>
    <s v="Datortehnika, sakaru un cita biroja tehnika"/>
    <x v="6"/>
    <x v="20"/>
    <n v="1060"/>
    <m/>
    <n v="1060"/>
    <m/>
    <m/>
    <s v="Galda balss sarunu iekārta 260 euro, dators 800 euro."/>
    <m/>
  </r>
  <r>
    <s v="izdevumi kopā _x000a_2.sekretārs Izraēla (1 amatpersona) "/>
    <x v="0"/>
    <x v="0"/>
    <n v="133529"/>
    <n v="123083"/>
    <n v="10446"/>
    <n v="123083"/>
    <n v="127588"/>
    <m/>
    <m/>
  </r>
  <r>
    <s v="Atlīdzība"/>
    <x v="0"/>
    <x v="0"/>
    <n v="76015"/>
    <n v="76015"/>
    <n v="0"/>
    <n v="76015"/>
    <n v="76015"/>
    <m/>
    <m/>
  </r>
  <r>
    <s v="Mēnešalga 1 287 euro (10.mēnešalgu grupa)"/>
    <x v="7"/>
    <x v="1"/>
    <n v="15444"/>
    <n v="15444"/>
    <m/>
    <n v="15444"/>
    <n v="15444"/>
    <m/>
    <m/>
  </r>
  <r>
    <s v="Piemaksa par diplomātisko rangu"/>
    <x v="7"/>
    <x v="2"/>
    <n v="3089"/>
    <n v="3089"/>
    <m/>
    <n v="3089"/>
    <n v="3089"/>
    <m/>
    <m/>
  </r>
  <r>
    <s v="Darba devēja valsts sociālās apdrošināšanas obligātās iemaksas"/>
    <x v="7"/>
    <x v="3"/>
    <n v="4372"/>
    <n v="4372"/>
    <m/>
    <n v="4372"/>
    <n v="4372"/>
    <m/>
    <m/>
  </r>
  <r>
    <s v="Algas pabalsts, _x000a_pabalsts par dzīvesbiedra un bērna uzturēšanos ārvalstīs, _x000a_piemaksa par apdraudējumu dienesta vietā (piemaksa par dienestu īpašos apstākļos)"/>
    <x v="7"/>
    <x v="4"/>
    <n v="43112"/>
    <n v="43112"/>
    <m/>
    <n v="43112"/>
    <n v="43112"/>
    <m/>
    <m/>
  </r>
  <r>
    <s v="Pabalsts dienesta vajadzībām izmantojamā transporta izdevumu segšanai"/>
    <x v="7"/>
    <x v="5"/>
    <n v="854"/>
    <n v="854"/>
    <m/>
    <n v="854"/>
    <n v="854"/>
    <s v="Transporta pabalsts dienesta vajadzībām 71.14*12 mēneši=853.68 euro."/>
    <m/>
  </r>
  <r>
    <s v="Darba devēja izdevumi veselības, dzīvības un nelaimes gadījumu apdrošināšanai"/>
    <x v="7"/>
    <x v="6"/>
    <n v="9144"/>
    <n v="9144"/>
    <m/>
    <n v="9144"/>
    <n v="9144"/>
    <m/>
    <m/>
  </r>
  <r>
    <s v="Preces un pakalpojumi"/>
    <x v="0"/>
    <x v="0"/>
    <n v="56454"/>
    <n v="47068"/>
    <n v="9386"/>
    <n v="47068"/>
    <n v="51573"/>
    <m/>
    <m/>
  </r>
  <r>
    <s v="Pārējie komandējumu un dienesta braucienu izdevumi"/>
    <x v="7"/>
    <x v="7"/>
    <n v="1005"/>
    <m/>
    <n v="1005"/>
    <m/>
    <n v="1005"/>
    <n v="670"/>
    <m/>
  </r>
  <r>
    <s v="Ceļa izdevumi atvaļinājumā (uz un no atvaļinājuma)"/>
    <x v="7"/>
    <x v="8"/>
    <n v="2010"/>
    <n v="2010"/>
    <m/>
    <n v="2010"/>
    <n v="2010"/>
    <m/>
    <m/>
  </r>
  <r>
    <s v="Stacionāro telefonu - sakaru pakalpojumi"/>
    <x v="7"/>
    <x v="9"/>
    <n v="1334"/>
    <n v="1334"/>
    <m/>
    <n v="1334"/>
    <n v="1334"/>
    <m/>
    <n v="1333.3333333333333"/>
  </r>
  <r>
    <s v="Mobilo telefonu - sakaru pakalpojumi"/>
    <x v="7"/>
    <x v="10"/>
    <n v="930"/>
    <n v="930"/>
    <m/>
    <n v="930"/>
    <n v="930"/>
    <m/>
    <n v="930"/>
  </r>
  <r>
    <s v="Pasta pakalpojumi"/>
    <x v="7"/>
    <x v="11"/>
    <n v="700"/>
    <n v="700"/>
    <m/>
    <n v="700"/>
    <n v="700"/>
    <m/>
    <n v="700"/>
  </r>
  <r>
    <s v="Izdevumi par transporta pakalpojumiem"/>
    <x v="7"/>
    <x v="12"/>
    <n v="3500"/>
    <m/>
    <n v="3500"/>
    <m/>
    <n v="3500"/>
    <s v="Konteiners vienai personai ar ģimeni 3 500 euro"/>
    <m/>
  </r>
  <r>
    <s v="Ārvalstīs strādājošo darbinieku bērna pirmsskolas un skolas izdevumu kompensācija"/>
    <x v="7"/>
    <x v="13"/>
    <n v="20000"/>
    <n v="20000"/>
    <m/>
    <n v="20000"/>
    <n v="20000"/>
    <s v="Nav informācijas, ielikta aplēse"/>
    <m/>
  </r>
  <r>
    <s v="Ārvalstīs strādājošo darbinieku dzīvokļa īres un komunālo izdevumu kompensācija"/>
    <x v="7"/>
    <x v="14"/>
    <n v="21366"/>
    <n v="21366"/>
    <m/>
    <n v="21366"/>
    <n v="21366"/>
    <m/>
    <m/>
  </r>
  <r>
    <s v="Mākleru pakalpojumi"/>
    <x v="7"/>
    <x v="15"/>
    <n v="1781"/>
    <m/>
    <n v="1781"/>
    <m/>
    <m/>
    <m/>
    <m/>
  </r>
  <r>
    <s v="Citi ar dienesta dzīvokļa īri saistītie izdevumi"/>
    <x v="7"/>
    <x v="16"/>
    <n v="1781"/>
    <m/>
    <n v="1781"/>
    <m/>
    <m/>
    <s v="Depozīts 1 mēneša maksas apmērā"/>
    <m/>
  </r>
  <r>
    <s v="Informācijas sistēmas licenču nomas izdevumi"/>
    <x v="7"/>
    <x v="17"/>
    <n v="461"/>
    <n v="461"/>
    <m/>
    <n v="461"/>
    <n v="461"/>
    <s v="461 EUR/1 licence"/>
    <m/>
  </r>
  <r>
    <s v="Biroja preces"/>
    <x v="7"/>
    <x v="18"/>
    <n v="267"/>
    <n v="267"/>
    <m/>
    <n v="267"/>
    <n v="267"/>
    <m/>
    <n v="266.66666666666669"/>
  </r>
  <r>
    <s v="Inventārs "/>
    <x v="7"/>
    <x v="19"/>
    <n v="1319"/>
    <m/>
    <n v="1319"/>
    <m/>
    <m/>
    <s v="Informācijas tehnoloģiju dep. informācija:_x000a_Printeris (180), monitors (200)_x000a_Diplomātiskā nodrošinājuma dep. informācija: _x000a_Biroja galds (213), dokumentu plaukts (120), biroja krēsls (213), apmeklētāja krēsls (100), drēbju pakaramais statīvs (60), atvilkņu skapis (183), galda lampa (50)"/>
    <m/>
  </r>
  <r>
    <s v="Pamatkapitāla veidošana"/>
    <x v="0"/>
    <x v="0"/>
    <n v="1060"/>
    <n v="0"/>
    <n v="1060"/>
    <n v="0"/>
    <n v="0"/>
    <m/>
    <m/>
  </r>
  <r>
    <s v="Datortehnika, sakaru un cita biroja tehnika"/>
    <x v="7"/>
    <x v="20"/>
    <n v="1060"/>
    <m/>
    <n v="1060"/>
    <m/>
    <m/>
    <s v="Galda balss sarunu iekārta 260 euro, dators 800 euro."/>
    <m/>
  </r>
  <r>
    <s v="izdevumi kopā _x000a_2.sekretārs Japāna (1 amatpersona) "/>
    <x v="0"/>
    <x v="0"/>
    <n v="125737"/>
    <n v="111024"/>
    <n v="14713"/>
    <n v="111024"/>
    <n v="116249"/>
    <m/>
    <m/>
  </r>
  <r>
    <s v="Atlīdzība"/>
    <x v="0"/>
    <x v="0"/>
    <n v="57666"/>
    <n v="57666"/>
    <n v="0"/>
    <n v="57666"/>
    <n v="57666"/>
    <m/>
    <m/>
  </r>
  <r>
    <s v="Mēnešalga 1 287 euro (10.mēnešalgu grupa)"/>
    <x v="8"/>
    <x v="1"/>
    <n v="15444"/>
    <n v="15444"/>
    <m/>
    <n v="15444"/>
    <n v="15444"/>
    <m/>
    <m/>
  </r>
  <r>
    <s v="Piemaksa par diplomātisko rangu"/>
    <x v="8"/>
    <x v="2"/>
    <n v="3089"/>
    <n v="3089"/>
    <m/>
    <n v="3089"/>
    <n v="3089"/>
    <m/>
    <m/>
  </r>
  <r>
    <s v="Darba devēja valsts sociālās apdrošināšanas obligātās iemaksas"/>
    <x v="8"/>
    <x v="3"/>
    <n v="4372"/>
    <n v="4372"/>
    <m/>
    <n v="4372"/>
    <n v="4372"/>
    <m/>
    <m/>
  </r>
  <r>
    <s v="Algas pabalsts, _x000a_pabalsts par dzīvesbiedra un bērna uzturēšanos ārvalstīs, _x000a_piemaksa par apdraudējumu dienesta vietā (piemaksa par dienestu īpašos apstākļos)"/>
    <x v="8"/>
    <x v="4"/>
    <n v="29107"/>
    <n v="29107"/>
    <m/>
    <n v="29107"/>
    <n v="29107"/>
    <m/>
    <m/>
  </r>
  <r>
    <s v="Pabalsts dienesta vajadzībām izmantojamā transporta izdevumu segšanai"/>
    <x v="8"/>
    <x v="5"/>
    <n v="854"/>
    <n v="854"/>
    <m/>
    <n v="854"/>
    <n v="854"/>
    <s v="Transporta pabalsts dienesta vajadzībām 71.14*12 mēneši=853.68 euro."/>
    <m/>
  </r>
  <r>
    <s v="Darba devēja izdevumi veselības, dzīvības un nelaimes gadījumu apdrošināšanai"/>
    <x v="8"/>
    <x v="6"/>
    <n v="4800"/>
    <n v="4800"/>
    <m/>
    <n v="4800"/>
    <n v="4800"/>
    <m/>
    <m/>
  </r>
  <r>
    <s v="Preces un pakalpojumi"/>
    <x v="0"/>
    <x v="0"/>
    <n v="67011"/>
    <n v="53358"/>
    <n v="13653"/>
    <n v="53358"/>
    <n v="58583"/>
    <m/>
    <m/>
  </r>
  <r>
    <s v="Pārējie komandējumu un dienesta braucienu izdevumi"/>
    <x v="8"/>
    <x v="7"/>
    <n v="1725"/>
    <m/>
    <n v="1725"/>
    <m/>
    <n v="1725"/>
    <n v="1150"/>
    <m/>
  </r>
  <r>
    <s v="Ceļa izdevumi atvaļinājumā (uz un no atvaļinājuma)"/>
    <x v="8"/>
    <x v="8"/>
    <n v="3450"/>
    <n v="3450"/>
    <m/>
    <n v="3450"/>
    <n v="3450"/>
    <m/>
    <m/>
  </r>
  <r>
    <s v="Stacionāro telefonu - sakaru pakalpojumi"/>
    <x v="8"/>
    <x v="9"/>
    <n v="280"/>
    <n v="280"/>
    <m/>
    <n v="280"/>
    <n v="280"/>
    <m/>
    <n v="280"/>
  </r>
  <r>
    <s v="Mobilo telefonu - sakaru pakalpojumi"/>
    <x v="8"/>
    <x v="10"/>
    <n v="2000"/>
    <n v="2000"/>
    <m/>
    <n v="2000"/>
    <n v="2000"/>
    <m/>
    <n v="2000"/>
  </r>
  <r>
    <s v="Pasta pakalpojumi"/>
    <x v="8"/>
    <x v="11"/>
    <n v="1700"/>
    <n v="1700"/>
    <m/>
    <n v="1700"/>
    <n v="1700"/>
    <m/>
    <n v="1700"/>
  </r>
  <r>
    <s v="Izdevumi par transporta pakalpojumiem"/>
    <x v="8"/>
    <x v="12"/>
    <n v="3500"/>
    <m/>
    <n v="3500"/>
    <m/>
    <n v="3500"/>
    <s v="Konteiners vienai personai ar ģimeni 3 500 euro"/>
    <m/>
  </r>
  <r>
    <s v="Ārvalstīs strādājošo darbinieku bērna pirmsskolas un skolas izdevumu kompensācija"/>
    <x v="8"/>
    <x v="13"/>
    <n v="16635"/>
    <n v="16635"/>
    <m/>
    <n v="16635"/>
    <n v="16635"/>
    <m/>
    <m/>
  </r>
  <r>
    <s v="Ārvalstīs strādājošo darbinieku dzīvokļa īres un komunālo izdevumu kompensācija"/>
    <x v="8"/>
    <x v="14"/>
    <n v="28432"/>
    <n v="28432"/>
    <m/>
    <n v="28432"/>
    <n v="28432"/>
    <m/>
    <m/>
  </r>
  <r>
    <s v="Mākleru pakalpojumi"/>
    <x v="8"/>
    <x v="15"/>
    <n v="2370"/>
    <m/>
    <n v="2370"/>
    <m/>
    <m/>
    <m/>
    <m/>
  </r>
  <r>
    <s v="Citi ar dienesta dzīvokļa īri saistītie izdevumi"/>
    <x v="8"/>
    <x v="16"/>
    <n v="4739"/>
    <m/>
    <n v="4739"/>
    <m/>
    <m/>
    <s v="Depozīts 2 mēnešu maksas apmērā"/>
    <m/>
  </r>
  <r>
    <s v="Informācijas sistēmas licenču nomas izdevumi"/>
    <x v="8"/>
    <x v="17"/>
    <n v="461"/>
    <n v="461"/>
    <m/>
    <n v="461"/>
    <n v="461"/>
    <s v="461 EUR/1 licence"/>
    <m/>
  </r>
  <r>
    <s v="Biroja preces"/>
    <x v="8"/>
    <x v="18"/>
    <n v="400"/>
    <n v="400"/>
    <m/>
    <n v="400"/>
    <n v="400"/>
    <m/>
    <n v="400"/>
  </r>
  <r>
    <s v="Inventārs "/>
    <x v="8"/>
    <x v="19"/>
    <n v="1319"/>
    <m/>
    <n v="1319"/>
    <m/>
    <m/>
    <s v="Informācijas tehnoloģiju dep. informācija:_x000a_Printeris (180), monitors (200)_x000a_Diplomātiskā nodrošinājuma dep. informācija: _x000a_Biroja galds (213), dokumentu plaukts (120), biroja krēsls (213), apmeklētāja krēsls (100), drēbju pakaramais statīvs (60), atvilkņu skapis (183), galda lampa (50)"/>
    <m/>
  </r>
  <r>
    <s v="Pamatkapitāla veidošana"/>
    <x v="0"/>
    <x v="0"/>
    <n v="1060"/>
    <n v="0"/>
    <n v="1060"/>
    <n v="0"/>
    <n v="0"/>
    <m/>
    <m/>
  </r>
  <r>
    <s v="Datortehnika, sakaru un cita biroja tehnika"/>
    <x v="8"/>
    <x v="20"/>
    <n v="1060"/>
    <m/>
    <n v="1060"/>
    <m/>
    <m/>
    <s v="Galda balss sarunu iekārta 260 euro, dators 800 euro."/>
    <m/>
  </r>
  <r>
    <s v="izdevumi kopā _x000a_2.sekretārs Kazahstānā (1 amatpersona) "/>
    <x v="0"/>
    <x v="0"/>
    <n v="134867"/>
    <n v="126999"/>
    <n v="7868"/>
    <n v="126999"/>
    <n v="132014"/>
    <m/>
    <m/>
  </r>
  <r>
    <s v="Atlīdzība"/>
    <x v="0"/>
    <x v="0"/>
    <n v="67956"/>
    <n v="67956"/>
    <n v="0"/>
    <n v="67956"/>
    <n v="67956"/>
    <m/>
    <m/>
  </r>
  <r>
    <s v="Mēnešalga 1 287 euro (10.mēnešalgu grupa)"/>
    <x v="9"/>
    <x v="1"/>
    <n v="15444"/>
    <n v="15444"/>
    <m/>
    <n v="15444"/>
    <n v="15444"/>
    <m/>
    <m/>
  </r>
  <r>
    <s v="Piemaksa par diplomātisko rangu"/>
    <x v="9"/>
    <x v="2"/>
    <n v="3089"/>
    <n v="3089"/>
    <m/>
    <n v="3089"/>
    <n v="3089"/>
    <m/>
    <m/>
  </r>
  <r>
    <s v="Darba devēja valsts sociālās apdrošināšanas obligātās iemaksas"/>
    <x v="9"/>
    <x v="3"/>
    <n v="4372"/>
    <n v="4372"/>
    <m/>
    <n v="4372"/>
    <n v="4372"/>
    <m/>
    <m/>
  </r>
  <r>
    <s v="Algas pabalsts, _x000a_pabalsts par dzīvesbiedra un bērna uzturēšanos ārvalstīs, _x000a_piemaksa par apdraudējumu dienesta vietā (piemaksa par dienestu īpašos apstākļos)"/>
    <x v="9"/>
    <x v="4"/>
    <n v="39397"/>
    <n v="39397"/>
    <m/>
    <n v="39397"/>
    <n v="39397"/>
    <m/>
    <m/>
  </r>
  <r>
    <s v="Pabalsts dienesta vajadzībām izmantojamā transporta izdevumu segšanai"/>
    <x v="9"/>
    <x v="5"/>
    <n v="854"/>
    <n v="854"/>
    <m/>
    <n v="854"/>
    <n v="854"/>
    <s v="Transporta pabalsts dienesta vajadzībām 71.14*12 mēneši=853.68 euro."/>
    <m/>
  </r>
  <r>
    <s v="Darba devēja izdevumi veselības, dzīvības un nelaimes gadījumu apdrošināšanai"/>
    <x v="9"/>
    <x v="6"/>
    <n v="4800"/>
    <n v="4800"/>
    <m/>
    <n v="4800"/>
    <n v="4800"/>
    <m/>
    <m/>
  </r>
  <r>
    <s v="Preces un pakalpojumi"/>
    <x v="0"/>
    <x v="0"/>
    <n v="65851"/>
    <n v="59043"/>
    <n v="6808"/>
    <n v="59043"/>
    <n v="64058"/>
    <m/>
    <m/>
  </r>
  <r>
    <s v="Pārējie komandējumu un dienesta braucienu izdevumi"/>
    <x v="9"/>
    <x v="7"/>
    <n v="1515"/>
    <m/>
    <n v="1515"/>
    <m/>
    <n v="1515"/>
    <n v="1010"/>
    <m/>
  </r>
  <r>
    <s v="Ceļa izdevumi atvaļinājumā (uz un no atvaļinājuma)"/>
    <x v="9"/>
    <x v="8"/>
    <n v="3030"/>
    <n v="3030"/>
    <m/>
    <n v="3030"/>
    <n v="3030"/>
    <m/>
    <m/>
  </r>
  <r>
    <s v="Stacionāro telefonu - sakaru pakalpojumi"/>
    <x v="9"/>
    <x v="9"/>
    <n v="125"/>
    <n v="125"/>
    <m/>
    <n v="125"/>
    <n v="125"/>
    <m/>
    <n v="125"/>
  </r>
  <r>
    <s v="Mobilo telefonu - sakaru pakalpojumi"/>
    <x v="9"/>
    <x v="10"/>
    <n v="200"/>
    <n v="200"/>
    <m/>
    <n v="200"/>
    <n v="200"/>
    <m/>
    <n v="200"/>
  </r>
  <r>
    <s v="Pasta pakalpojumi"/>
    <x v="9"/>
    <x v="11"/>
    <n v="275"/>
    <n v="275"/>
    <m/>
    <n v="275"/>
    <n v="275"/>
    <m/>
    <n v="275"/>
  </r>
  <r>
    <s v="Izdevumi par transporta pakalpojumiem"/>
    <x v="9"/>
    <x v="12"/>
    <n v="3500"/>
    <m/>
    <n v="3500"/>
    <m/>
    <n v="3500"/>
    <s v="Konteiners vienai personai ar ģimeni 3 500 euro"/>
    <m/>
  </r>
  <r>
    <s v="Ārvalstīs strādājošo darbinieku bērna pirmsskolas un skolas izdevumu kompensācija"/>
    <x v="9"/>
    <x v="13"/>
    <n v="26375"/>
    <n v="26375"/>
    <m/>
    <n v="26375"/>
    <n v="26375"/>
    <m/>
    <m/>
  </r>
  <r>
    <s v="Ārvalstīs strādājošo darbinieku dzīvokļa īres un komunālo izdevumu kompensācija"/>
    <x v="9"/>
    <x v="14"/>
    <n v="28432"/>
    <n v="28432"/>
    <m/>
    <n v="28432"/>
    <n v="28432"/>
    <m/>
    <m/>
  </r>
  <r>
    <s v="Mākleru pakalpojumi"/>
    <x v="9"/>
    <x v="15"/>
    <n v="474"/>
    <m/>
    <n v="474"/>
    <m/>
    <m/>
    <m/>
    <m/>
  </r>
  <r>
    <s v="Citi ar dienesta dzīvokļa īri saistītie izdevumi"/>
    <x v="9"/>
    <x v="16"/>
    <n v="0"/>
    <m/>
    <m/>
    <m/>
    <m/>
    <m/>
    <m/>
  </r>
  <r>
    <s v="Informācijas sistēmas licenču nomas izdevumi"/>
    <x v="9"/>
    <x v="17"/>
    <n v="461"/>
    <n v="461"/>
    <m/>
    <n v="461"/>
    <n v="461"/>
    <s v="461 EUR/1 licence"/>
    <m/>
  </r>
  <r>
    <s v="Biroja preces"/>
    <x v="9"/>
    <x v="18"/>
    <n v="145"/>
    <n v="145"/>
    <m/>
    <n v="145"/>
    <n v="145"/>
    <m/>
    <n v="145"/>
  </r>
  <r>
    <s v="Inventārs "/>
    <x v="9"/>
    <x v="19"/>
    <n v="1319"/>
    <m/>
    <n v="1319"/>
    <m/>
    <m/>
    <s v="Informācijas tehnoloģiju dep. informācija:_x000a_Printeris (180), monitors (200)_x000a_Diplomātiskā nodrošinājuma dep. informācija: _x000a_Biroja galds (213), dokumentu plaukts (120), biroja krēsls (213), apmeklētāja krēsls (100), drēbju pakaramais statīvs (60), atvilkņu skapis (183), galda lampa (50)"/>
    <m/>
  </r>
  <r>
    <s v="Pamatkapitāla veidošana"/>
    <x v="0"/>
    <x v="0"/>
    <n v="1060"/>
    <n v="0"/>
    <n v="1060"/>
    <n v="0"/>
    <n v="0"/>
    <m/>
    <m/>
  </r>
  <r>
    <s v="Datortehnika, sakaru un cita biroja tehnika"/>
    <x v="9"/>
    <x v="20"/>
    <n v="1060"/>
    <m/>
    <n v="1060"/>
    <m/>
    <m/>
    <s v="Galda balss sarunu iekārta 260 euro, dators 800 euro."/>
    <m/>
  </r>
  <r>
    <s v="izdevumi kopā _x000a_2.sekretārs Ķīnā (1 amatpersona) "/>
    <x v="0"/>
    <x v="0"/>
    <n v="122704"/>
    <n v="112730"/>
    <n v="9974"/>
    <n v="112730"/>
    <n v="117955"/>
    <m/>
    <m/>
  </r>
  <r>
    <s v="Atlīdzība"/>
    <x v="0"/>
    <x v="0"/>
    <n v="67055"/>
    <n v="67055"/>
    <n v="0"/>
    <n v="67055"/>
    <n v="67055"/>
    <m/>
    <m/>
  </r>
  <r>
    <s v="Mēnešalga 1 287 euro (10.mēnešalgu grupa)"/>
    <x v="10"/>
    <x v="1"/>
    <n v="15444"/>
    <n v="15444"/>
    <m/>
    <n v="15444"/>
    <n v="15444"/>
    <m/>
    <m/>
  </r>
  <r>
    <s v="Piemaksa par diplomātisko rangu"/>
    <x v="10"/>
    <x v="2"/>
    <n v="3089"/>
    <n v="3089"/>
    <m/>
    <n v="3089"/>
    <n v="3089"/>
    <m/>
    <m/>
  </r>
  <r>
    <s v="Darba devēja valsts sociālās apdrošināšanas obligātās iemaksas"/>
    <x v="10"/>
    <x v="3"/>
    <n v="4372"/>
    <n v="4372"/>
    <m/>
    <n v="4372"/>
    <n v="4372"/>
    <m/>
    <m/>
  </r>
  <r>
    <s v="Algas pabalsts, _x000a_pabalsts par dzīvesbiedra un bērna uzturēšanos ārvalstīs, _x000a_piemaksa par apdraudējumu dienesta vietā (piemaksa par dienestu īpašos apstākļos)"/>
    <x v="10"/>
    <x v="4"/>
    <n v="38496"/>
    <n v="38496"/>
    <m/>
    <n v="38496"/>
    <n v="38496"/>
    <m/>
    <m/>
  </r>
  <r>
    <s v="Pabalsts dienesta vajadzībām izmantojamā transporta izdevumu segšanai"/>
    <x v="10"/>
    <x v="5"/>
    <n v="854"/>
    <n v="854"/>
    <m/>
    <n v="854"/>
    <n v="854"/>
    <s v="Transporta pabalsts dienesta vajadzībām 71.14*12 mēneši=853.68 euro."/>
    <m/>
  </r>
  <r>
    <s v="Darba devēja izdevumi veselības, dzīvības un nelaimes gadījumu apdrošināšanai"/>
    <x v="10"/>
    <x v="6"/>
    <n v="4800"/>
    <n v="4800"/>
    <m/>
    <n v="4800"/>
    <n v="4800"/>
    <m/>
    <m/>
  </r>
  <r>
    <s v="Preces un pakalpojumi"/>
    <x v="0"/>
    <x v="0"/>
    <n v="54589"/>
    <n v="45675"/>
    <n v="8914"/>
    <n v="45675"/>
    <n v="50900"/>
    <m/>
    <m/>
  </r>
  <r>
    <s v="Pārējie komandējumu un dienesta braucienu izdevumi"/>
    <x v="10"/>
    <x v="7"/>
    <n v="1725"/>
    <m/>
    <n v="1725"/>
    <m/>
    <n v="1725"/>
    <n v="1150"/>
    <m/>
  </r>
  <r>
    <s v="Ceļa izdevumi atvaļinājumā (uz un no atvaļinājuma)"/>
    <x v="10"/>
    <x v="8"/>
    <n v="3450"/>
    <n v="3450"/>
    <m/>
    <n v="3450"/>
    <n v="3450"/>
    <m/>
    <m/>
  </r>
  <r>
    <s v="Stacionāro telefonu - sakaru pakalpojumi"/>
    <x v="10"/>
    <x v="9"/>
    <n v="143"/>
    <n v="143"/>
    <m/>
    <n v="143"/>
    <n v="143"/>
    <m/>
    <n v="142.85714285714286"/>
  </r>
  <r>
    <s v="Mobilo telefonu - sakaru pakalpojumi"/>
    <x v="10"/>
    <x v="10"/>
    <n v="1615"/>
    <n v="1615"/>
    <m/>
    <n v="1615"/>
    <n v="1615"/>
    <m/>
    <n v="1614.2857142857142"/>
  </r>
  <r>
    <s v="Pasta pakalpojumi"/>
    <x v="10"/>
    <x v="11"/>
    <n v="429"/>
    <n v="429"/>
    <m/>
    <n v="429"/>
    <n v="429"/>
    <m/>
    <n v="428.57142857142856"/>
  </r>
  <r>
    <s v="Izdevumi par transporta pakalpojumiem"/>
    <x v="10"/>
    <x v="12"/>
    <n v="3500"/>
    <m/>
    <n v="3500"/>
    <m/>
    <n v="3500"/>
    <s v="Konteiners vienai personai ar ģimeni 3 500 euro"/>
    <m/>
  </r>
  <r>
    <s v="Ārvalstīs strādājošo darbinieku bērna pirmsskolas un skolas izdevumu kompensācija"/>
    <x v="10"/>
    <x v="13"/>
    <n v="10930"/>
    <n v="10930"/>
    <m/>
    <n v="10930"/>
    <n v="10930"/>
    <m/>
    <m/>
  </r>
  <r>
    <s v="Ārvalstīs strādājošo darbinieku dzīvokļa īres un komunālo izdevumu kompensācija"/>
    <x v="10"/>
    <x v="14"/>
    <n v="28432"/>
    <n v="28432"/>
    <m/>
    <n v="28432"/>
    <n v="28432"/>
    <m/>
    <m/>
  </r>
  <r>
    <s v="Mākleru pakalpojumi"/>
    <x v="10"/>
    <x v="15"/>
    <n v="0"/>
    <m/>
    <m/>
    <m/>
    <m/>
    <m/>
    <m/>
  </r>
  <r>
    <s v="Citi ar dienesta dzīvokļa īri saistītie izdevumi"/>
    <x v="10"/>
    <x v="16"/>
    <n v="2370"/>
    <m/>
    <n v="2370"/>
    <m/>
    <m/>
    <s v="Depozīts 1 mēneša maksas apmērā"/>
    <m/>
  </r>
  <r>
    <s v="Informācijas sistēmas licenču nomas izdevumi"/>
    <x v="10"/>
    <x v="17"/>
    <n v="461"/>
    <n v="461"/>
    <m/>
    <n v="461"/>
    <n v="461"/>
    <s v="461 EUR/1 licence"/>
    <m/>
  </r>
  <r>
    <s v="Biroja preces"/>
    <x v="10"/>
    <x v="18"/>
    <n v="215"/>
    <n v="215"/>
    <m/>
    <n v="215"/>
    <n v="215"/>
    <m/>
    <n v="214.28571428571428"/>
  </r>
  <r>
    <s v="Inventārs "/>
    <x v="10"/>
    <x v="19"/>
    <n v="1319"/>
    <m/>
    <n v="1319"/>
    <m/>
    <m/>
    <s v="Informācijas tehnoloģiju dep. informācija:_x000a_Printeris (180), monitors (200)_x000a_Diplomātiskā nodrošinājuma dep. informācija: _x000a_Biroja galds (213), dokumentu plaukts (120), biroja krēsls (213), apmeklētāja krēsls (100), drēbju pakaramais statīvs (60), atvilkņu skapis (183), galda lampa (50)"/>
    <m/>
  </r>
  <r>
    <s v="Pamatkapitāla veidošana"/>
    <x v="0"/>
    <x v="0"/>
    <n v="1060"/>
    <n v="0"/>
    <n v="1060"/>
    <n v="0"/>
    <n v="0"/>
    <m/>
    <m/>
  </r>
  <r>
    <s v="Datortehnika, sakaru un cita biroja tehnika"/>
    <x v="10"/>
    <x v="20"/>
    <n v="1060"/>
    <m/>
    <n v="1060"/>
    <m/>
    <m/>
    <s v="Galda balss sarunu iekārta 260 euro, dators 800 euro."/>
    <m/>
  </r>
  <r>
    <s v="izdevumi kopā _x000a_2.sekretārs Moldovā (1 amatpersona) "/>
    <x v="0"/>
    <x v="0"/>
    <n v="92132"/>
    <n v="84567"/>
    <n v="7565"/>
    <n v="84567"/>
    <n v="88712"/>
    <m/>
    <m/>
  </r>
  <r>
    <s v="Atlīdzība"/>
    <x v="0"/>
    <x v="0"/>
    <n v="49545"/>
    <n v="49545"/>
    <n v="0"/>
    <n v="49545"/>
    <n v="49545"/>
    <m/>
    <m/>
  </r>
  <r>
    <s v="Mēnešalga 1 287 euro (10.mēnešalgu grupa)"/>
    <x v="11"/>
    <x v="1"/>
    <n v="15444"/>
    <n v="15444"/>
    <m/>
    <n v="15444"/>
    <n v="15444"/>
    <m/>
    <m/>
  </r>
  <r>
    <s v="Piemaksa par diplomātisko rangu"/>
    <x v="11"/>
    <x v="2"/>
    <n v="3089"/>
    <n v="3089"/>
    <m/>
    <n v="3089"/>
    <n v="3089"/>
    <m/>
    <m/>
  </r>
  <r>
    <s v="Darba devēja valsts sociālās apdrošināšanas obligātās iemaksas"/>
    <x v="11"/>
    <x v="3"/>
    <n v="4372"/>
    <n v="4372"/>
    <m/>
    <n v="4372"/>
    <n v="4372"/>
    <m/>
    <m/>
  </r>
  <r>
    <s v="Algas pabalsts, _x000a_pabalsts par dzīvesbiedra un bērna uzturēšanos ārvalstīs, _x000a_piemaksa par apdraudējumu dienesta vietā (piemaksa par dienestu īpašos apstākļos)"/>
    <x v="11"/>
    <x v="4"/>
    <n v="20986"/>
    <n v="20986"/>
    <m/>
    <n v="20986"/>
    <n v="20986"/>
    <m/>
    <m/>
  </r>
  <r>
    <s v="Pabalsts dienesta vajadzībām izmantojamā transporta izdevumu segšanai"/>
    <x v="11"/>
    <x v="5"/>
    <n v="854"/>
    <n v="854"/>
    <m/>
    <n v="854"/>
    <n v="854"/>
    <s v="Transporta pabalsts dienesta vajadzībām 71.14*12 mēneši=853.68 euro."/>
    <m/>
  </r>
  <r>
    <s v="Darba devēja izdevumi veselības, dzīvības un nelaimes gadījumu apdrošināšanai"/>
    <x v="11"/>
    <x v="6"/>
    <n v="4800"/>
    <n v="4800"/>
    <m/>
    <n v="4800"/>
    <n v="4800"/>
    <m/>
    <m/>
  </r>
  <r>
    <s v="Preces un pakalpojumi"/>
    <x v="0"/>
    <x v="0"/>
    <n v="41527"/>
    <n v="35022"/>
    <n v="6505"/>
    <n v="35022"/>
    <n v="39167"/>
    <m/>
    <m/>
  </r>
  <r>
    <s v="Pārējie komandējumu un dienesta braucienu izdevumi"/>
    <x v="11"/>
    <x v="7"/>
    <n v="645"/>
    <m/>
    <n v="645"/>
    <m/>
    <n v="645"/>
    <n v="430"/>
    <m/>
  </r>
  <r>
    <s v="Ceļa izdevumi atvaļinājumā (uz un no atvaļinājuma)"/>
    <x v="11"/>
    <x v="8"/>
    <n v="1290"/>
    <n v="1290"/>
    <m/>
    <n v="1290"/>
    <n v="1290"/>
    <m/>
    <m/>
  </r>
  <r>
    <s v="Stacionāro telefonu - sakaru pakalpojumi"/>
    <x v="11"/>
    <x v="9"/>
    <n v="400"/>
    <n v="400"/>
    <m/>
    <n v="400"/>
    <n v="400"/>
    <m/>
    <n v="400"/>
  </r>
  <r>
    <s v="Mobilo telefonu - sakaru pakalpojumi"/>
    <x v="11"/>
    <x v="10"/>
    <n v="267"/>
    <n v="267"/>
    <m/>
    <n v="267"/>
    <n v="267"/>
    <m/>
    <n v="266.66666666666669"/>
  </r>
  <r>
    <s v="Pasta pakalpojumi"/>
    <x v="11"/>
    <x v="11"/>
    <n v="46"/>
    <n v="46"/>
    <m/>
    <n v="46"/>
    <n v="46"/>
    <m/>
    <n v="45.666666666666664"/>
  </r>
  <r>
    <s v="Izdevumi par transporta pakalpojumiem"/>
    <x v="11"/>
    <x v="12"/>
    <n v="3500"/>
    <m/>
    <n v="3500"/>
    <m/>
    <n v="3500"/>
    <s v="Konteiners vienai personai ar ģimeni 3 500 euro"/>
    <m/>
  </r>
  <r>
    <s v="Ārvalstīs strādājošo darbinieku bērna pirmsskolas un skolas izdevumu kompensācija"/>
    <x v="11"/>
    <x v="13"/>
    <n v="20000"/>
    <n v="20000"/>
    <m/>
    <n v="20000"/>
    <n v="20000"/>
    <s v="Nav informācijas, ielikta aplēse"/>
    <m/>
  </r>
  <r>
    <s v="Ārvalstīs strādājošo darbinieku dzīvokļa īres un komunālo izdevumu kompensācija"/>
    <x v="11"/>
    <x v="14"/>
    <n v="12491"/>
    <n v="12491"/>
    <m/>
    <n v="12491"/>
    <n v="12491"/>
    <m/>
    <m/>
  </r>
  <r>
    <s v="Mākleru pakalpojumi"/>
    <x v="11"/>
    <x v="15"/>
    <n v="0"/>
    <m/>
    <m/>
    <m/>
    <m/>
    <m/>
    <m/>
  </r>
  <r>
    <s v="Citi ar dienesta dzīvokļa īri saistītie izdevumi"/>
    <x v="11"/>
    <x v="16"/>
    <n v="1041"/>
    <m/>
    <n v="1041"/>
    <m/>
    <m/>
    <s v="Depozīts 1 mēneša maksas apmērā"/>
    <m/>
  </r>
  <r>
    <s v="Informācijas sistēmas licenču nomas izdevumi"/>
    <x v="11"/>
    <x v="17"/>
    <n v="461"/>
    <n v="461"/>
    <m/>
    <n v="461"/>
    <n v="461"/>
    <s v="461 EUR/1 licence"/>
    <m/>
  </r>
  <r>
    <s v="Biroja preces"/>
    <x v="11"/>
    <x v="18"/>
    <n v="67"/>
    <n v="67"/>
    <m/>
    <n v="67"/>
    <n v="67"/>
    <m/>
    <n v="66.666666666666671"/>
  </r>
  <r>
    <s v="Inventārs "/>
    <x v="11"/>
    <x v="19"/>
    <n v="1319"/>
    <m/>
    <n v="1319"/>
    <m/>
    <m/>
    <s v="Informācijas tehnoloģiju dep. informācija:_x000a_Printeris (180), monitors (200)_x000a_Diplomātiskā nodrošinājuma dep. informācija: _x000a_Biroja galds (213), dokumentu plaukts (120), biroja krēsls (213), apmeklētāja krēsls (100), drēbju pakaramais statīvs (60), atvilkņu skapis (183), galda lampa (50)"/>
    <m/>
  </r>
  <r>
    <s v="Pamatkapitāla veidošana"/>
    <x v="0"/>
    <x v="0"/>
    <n v="1060"/>
    <n v="0"/>
    <n v="1060"/>
    <n v="0"/>
    <n v="0"/>
    <m/>
    <m/>
  </r>
  <r>
    <s v="Datortehnika, sakaru un cita biroja tehnika"/>
    <x v="11"/>
    <x v="20"/>
    <n v="1060"/>
    <m/>
    <n v="1060"/>
    <m/>
    <m/>
    <s v="Galda balss sarunu iekārta 260 euro, dators 800 euro."/>
    <m/>
  </r>
  <r>
    <s v="izdevumi kopā _x000a_2.sekretārs Uzbekistānā (1 amatpersona) "/>
    <x v="0"/>
    <x v="0"/>
    <n v="105326"/>
    <n v="97702"/>
    <n v="7624"/>
    <n v="97702"/>
    <n v="102207"/>
    <m/>
    <m/>
  </r>
  <r>
    <s v="Atlīdzība"/>
    <x v="0"/>
    <x v="0"/>
    <n v="66277"/>
    <n v="66277"/>
    <n v="0"/>
    <n v="66277"/>
    <n v="66277"/>
    <m/>
    <m/>
  </r>
  <r>
    <s v="Mēnešalga 1 287 euro (10.mēnešalgu grupa)"/>
    <x v="12"/>
    <x v="1"/>
    <n v="15444"/>
    <n v="15444"/>
    <m/>
    <n v="15444"/>
    <n v="15444"/>
    <m/>
    <m/>
  </r>
  <r>
    <s v="Piemaksa par diplomātisko rangu"/>
    <x v="12"/>
    <x v="2"/>
    <n v="3089"/>
    <n v="3089"/>
    <m/>
    <n v="3089"/>
    <n v="3089"/>
    <m/>
    <m/>
  </r>
  <r>
    <s v="Darba devēja valsts sociālās apdrošināšanas obligātās iemaksas"/>
    <x v="12"/>
    <x v="3"/>
    <n v="4372"/>
    <n v="4372"/>
    <m/>
    <n v="4372"/>
    <n v="4372"/>
    <m/>
    <m/>
  </r>
  <r>
    <s v="Algas pabalsts, _x000a_pabalsts par dzīvesbiedra un bērna uzturēšanos ārvalstīs, _x000a_piemaksa par apdraudējumu dienesta vietā (piemaksa par dienestu īpašos apstākļos)"/>
    <x v="12"/>
    <x v="4"/>
    <n v="37718"/>
    <n v="37718"/>
    <m/>
    <n v="37718"/>
    <n v="37718"/>
    <m/>
    <m/>
  </r>
  <r>
    <s v="Pabalsts dienesta vajadzībām izmantojamā transporta izdevumu segšanai"/>
    <x v="12"/>
    <x v="5"/>
    <n v="854"/>
    <n v="854"/>
    <m/>
    <n v="854"/>
    <n v="854"/>
    <s v="Transporta pabalsts dienesta vajadzībām 71.14*12 mēneši=853.68 euro."/>
    <m/>
  </r>
  <r>
    <s v="Darba devēja izdevumi veselības, dzīvības un nelaimes gadījumu apdrošināšanai"/>
    <x v="12"/>
    <x v="6"/>
    <n v="4800"/>
    <n v="4800"/>
    <m/>
    <n v="4800"/>
    <n v="4800"/>
    <m/>
    <m/>
  </r>
  <r>
    <s v="Preces un pakalpojumi"/>
    <x v="0"/>
    <x v="0"/>
    <n v="37989"/>
    <n v="31425"/>
    <n v="6564"/>
    <n v="31425"/>
    <n v="35930"/>
    <m/>
    <m/>
  </r>
  <r>
    <s v="Pārējie komandējumu un dienesta braucienu izdevumi"/>
    <x v="12"/>
    <x v="7"/>
    <n v="1005"/>
    <m/>
    <n v="1005"/>
    <m/>
    <n v="1005"/>
    <n v="670"/>
    <m/>
  </r>
  <r>
    <s v="Ceļa izdevumi atvaļinājumā (uz un no atvaļinājuma)"/>
    <x v="12"/>
    <x v="8"/>
    <n v="2010"/>
    <n v="2010"/>
    <m/>
    <n v="2010"/>
    <n v="2010"/>
    <m/>
    <m/>
  </r>
  <r>
    <s v="Stacionāro telefonu - sakaru pakalpojumi"/>
    <x v="12"/>
    <x v="9"/>
    <n v="500"/>
    <n v="500"/>
    <m/>
    <n v="500"/>
    <n v="500"/>
    <m/>
    <n v="500"/>
  </r>
  <r>
    <s v="Mobilo telefonu - sakaru pakalpojumi"/>
    <x v="12"/>
    <x v="10"/>
    <n v="392"/>
    <n v="392"/>
    <m/>
    <n v="392"/>
    <n v="392"/>
    <m/>
    <n v="392"/>
  </r>
  <r>
    <s v="Pasta pakalpojumi"/>
    <x v="12"/>
    <x v="11"/>
    <n v="208"/>
    <n v="208"/>
    <m/>
    <n v="208"/>
    <n v="208"/>
    <m/>
    <n v="208"/>
  </r>
  <r>
    <s v="Izdevumi par transporta pakalpojumiem"/>
    <x v="12"/>
    <x v="12"/>
    <n v="3500"/>
    <m/>
    <n v="3500"/>
    <m/>
    <n v="3500"/>
    <s v="Konteiners vienai personai ar ģimeni 3 500 euro"/>
    <m/>
  </r>
  <r>
    <s v="Ārvalstīs strādājošo darbinieku bērna pirmsskolas un skolas izdevumu kompensācija"/>
    <x v="12"/>
    <x v="13"/>
    <n v="18725"/>
    <n v="18725"/>
    <m/>
    <n v="18725"/>
    <n v="18725"/>
    <m/>
    <m/>
  </r>
  <r>
    <s v="Ārvalstīs strādājošo darbinieku dzīvokļa īres un komunālo izdevumu kompensācija"/>
    <x v="12"/>
    <x v="14"/>
    <n v="8875"/>
    <n v="8875"/>
    <m/>
    <n v="8875"/>
    <n v="8875"/>
    <m/>
    <m/>
  </r>
  <r>
    <s v="Mākleru pakalpojumi"/>
    <x v="12"/>
    <x v="15"/>
    <n v="740"/>
    <m/>
    <n v="740"/>
    <m/>
    <m/>
    <m/>
    <m/>
  </r>
  <r>
    <s v="Citi ar dienesta dzīvokļa īri saistītie izdevumi"/>
    <x v="12"/>
    <x v="16"/>
    <n v="0"/>
    <m/>
    <m/>
    <m/>
    <m/>
    <m/>
    <m/>
  </r>
  <r>
    <s v="Informācijas sistēmas licenču nomas izdevumi"/>
    <x v="12"/>
    <x v="17"/>
    <n v="461"/>
    <n v="461"/>
    <m/>
    <n v="461"/>
    <n v="461"/>
    <s v="461 EUR/1 licence"/>
    <m/>
  </r>
  <r>
    <s v="Biroja preces"/>
    <x v="12"/>
    <x v="18"/>
    <n v="254"/>
    <n v="254"/>
    <m/>
    <n v="254"/>
    <n v="254"/>
    <m/>
    <n v="254"/>
  </r>
  <r>
    <s v="Inventārs "/>
    <x v="12"/>
    <x v="19"/>
    <n v="1319"/>
    <m/>
    <n v="1319"/>
    <m/>
    <m/>
    <s v="Informācijas tehnoloģiju dep. informācija:_x000a_Printeris (180), monitors (200)_x000a_Diplomātiskā nodrošinājuma dep. informācija: _x000a_Biroja galds (213), dokumentu plaukts (120), biroja krēsls (213), apmeklētāja krēsls (100), drēbju pakaramais statīvs (60), atvilkņu skapis (183), galda lampa (50)"/>
    <m/>
  </r>
  <r>
    <s v="Pamatkapitāla veidošana"/>
    <x v="0"/>
    <x v="0"/>
    <n v="1060"/>
    <n v="0"/>
    <n v="1060"/>
    <n v="0"/>
    <n v="0"/>
    <m/>
    <m/>
  </r>
  <r>
    <s v="Datortehnika, sakaru un cita biroja tehnika"/>
    <x v="12"/>
    <x v="20"/>
    <n v="1060"/>
    <m/>
    <n v="1060"/>
    <m/>
    <m/>
    <s v="Galda balss sarunu iekārta 260 euro, dators 800 euro."/>
    <m/>
  </r>
  <r>
    <s v="izdevumi kopā _x000a_2.sekretārs ANO Ņujorkā (1 amatpersona) "/>
    <x v="0"/>
    <x v="0"/>
    <n v="168833"/>
    <n v="150471"/>
    <n v="18362"/>
    <n v="150471"/>
    <n v="155696"/>
    <m/>
    <m/>
  </r>
  <r>
    <s v="Atlīdzība"/>
    <x v="0"/>
    <x v="0"/>
    <n v="78630"/>
    <n v="78630"/>
    <n v="0"/>
    <n v="78630"/>
    <n v="78630"/>
    <m/>
    <m/>
  </r>
  <r>
    <s v="Mēnešalga 1 287 euro (10.mēnešalgu grupa)"/>
    <x v="13"/>
    <x v="1"/>
    <n v="15444"/>
    <n v="15444"/>
    <m/>
    <n v="15444"/>
    <n v="15444"/>
    <m/>
    <m/>
  </r>
  <r>
    <s v="Piemaksa par diplomātisko rangu"/>
    <x v="13"/>
    <x v="2"/>
    <n v="3089"/>
    <n v="3089"/>
    <m/>
    <n v="3089"/>
    <n v="3089"/>
    <m/>
    <m/>
  </r>
  <r>
    <s v="Darba devēja valsts sociālās apdrošināšanas obligātās iemaksas"/>
    <x v="13"/>
    <x v="3"/>
    <n v="4372"/>
    <n v="4372"/>
    <m/>
    <n v="4372"/>
    <n v="4372"/>
    <m/>
    <m/>
  </r>
  <r>
    <s v="Algas pabalsts, _x000a_pabalsts par dzīvesbiedra un bērna uzturēšanos ārvalstīs, _x000a_piemaksa par apdraudējumu dienesta vietā (piemaksa par dienestu īpašos apstākļos)"/>
    <x v="13"/>
    <x v="4"/>
    <n v="33471"/>
    <n v="33471"/>
    <m/>
    <n v="33471"/>
    <n v="33471"/>
    <m/>
    <m/>
  </r>
  <r>
    <s v="Pabalsts dienesta vajadzībām izmantojamā transporta izdevumu segšanai"/>
    <x v="13"/>
    <x v="5"/>
    <n v="854"/>
    <n v="854"/>
    <m/>
    <n v="854"/>
    <n v="854"/>
    <s v="Transporta pabalsts dienesta vajadzībām 71.14*12 mēneši=853.68 euro."/>
    <m/>
  </r>
  <r>
    <s v="Darba devēja izdevumi veselības, dzīvības un nelaimes gadījumu apdrošināšanai"/>
    <x v="13"/>
    <x v="6"/>
    <n v="21400"/>
    <n v="21400"/>
    <m/>
    <n v="21400"/>
    <n v="21400"/>
    <m/>
    <m/>
  </r>
  <r>
    <s v="Preces un pakalpojumi"/>
    <x v="0"/>
    <x v="0"/>
    <n v="89143"/>
    <n v="71841"/>
    <n v="17302"/>
    <n v="71841"/>
    <n v="77066"/>
    <m/>
    <m/>
  </r>
  <r>
    <s v="Pārējie komandējumu un dienesta braucienu izdevumi"/>
    <x v="13"/>
    <x v="7"/>
    <n v="1725"/>
    <m/>
    <n v="1725"/>
    <m/>
    <n v="1725"/>
    <n v="1150"/>
    <m/>
  </r>
  <r>
    <s v="Ceļa izdevumi atvaļinājumā (uz un no atvaļinājuma)"/>
    <x v="13"/>
    <x v="8"/>
    <n v="3450"/>
    <n v="3450"/>
    <m/>
    <n v="3450"/>
    <n v="3450"/>
    <m/>
    <m/>
  </r>
  <r>
    <s v="Stacionāro telefonu - sakaru pakalpojumi"/>
    <x v="13"/>
    <x v="9"/>
    <n v="625"/>
    <n v="625"/>
    <m/>
    <n v="625"/>
    <n v="625"/>
    <m/>
    <n v="625"/>
  </r>
  <r>
    <s v="Mobilo telefonu - sakaru pakalpojumi"/>
    <x v="13"/>
    <x v="10"/>
    <n v="950"/>
    <n v="950"/>
    <m/>
    <n v="950"/>
    <n v="950"/>
    <m/>
    <n v="950"/>
  </r>
  <r>
    <s v="Pasta pakalpojumi"/>
    <x v="13"/>
    <x v="11"/>
    <n v="88"/>
    <n v="88"/>
    <m/>
    <n v="88"/>
    <n v="88"/>
    <m/>
    <n v="87.5"/>
  </r>
  <r>
    <s v="Izdevumi par transporta pakalpojumiem"/>
    <x v="13"/>
    <x v="12"/>
    <n v="3500"/>
    <m/>
    <n v="3500"/>
    <m/>
    <n v="3500"/>
    <s v="Konteiners vienai personai ar ģimeni 3 500 euro"/>
    <m/>
  </r>
  <r>
    <s v="Ārvalstīs strādājošo darbinieku bērna pirmsskolas un skolas izdevumu kompensācija"/>
    <x v="13"/>
    <x v="13"/>
    <n v="33745"/>
    <n v="33745"/>
    <m/>
    <n v="33745"/>
    <n v="33745"/>
    <m/>
    <m/>
  </r>
  <r>
    <s v="Ārvalstīs strādājošo darbinieku dzīvokļa īres un komunālo izdevumu kompensācija"/>
    <x v="13"/>
    <x v="14"/>
    <n v="32272"/>
    <n v="32272"/>
    <m/>
    <n v="32272"/>
    <n v="32272"/>
    <m/>
    <m/>
  </r>
  <r>
    <s v="Mākleru pakalpojumi"/>
    <x v="13"/>
    <x v="15"/>
    <n v="5379"/>
    <m/>
    <n v="5379"/>
    <m/>
    <m/>
    <m/>
    <m/>
  </r>
  <r>
    <s v="Citi ar dienesta dzīvokļa īri saistītie izdevumi"/>
    <x v="13"/>
    <x v="16"/>
    <n v="5379"/>
    <m/>
    <n v="5379"/>
    <m/>
    <m/>
    <s v="Depozīts 2 mēnešu maksas apmērā"/>
    <m/>
  </r>
  <r>
    <s v="Informācijas sistēmas licenču nomas izdevumi"/>
    <x v="13"/>
    <x v="17"/>
    <n v="461"/>
    <n v="461"/>
    <m/>
    <n v="461"/>
    <n v="461"/>
    <s v="461 EUR/1 licence"/>
    <m/>
  </r>
  <r>
    <s v="Biroja preces"/>
    <x v="13"/>
    <x v="18"/>
    <n v="250"/>
    <n v="250"/>
    <m/>
    <n v="250"/>
    <n v="250"/>
    <m/>
    <n v="250"/>
  </r>
  <r>
    <s v="Inventārs "/>
    <x v="13"/>
    <x v="19"/>
    <n v="1319"/>
    <m/>
    <n v="1319"/>
    <m/>
    <m/>
    <s v="Informācijas tehnoloģiju dep. informācija:_x000a_Printeris (180), monitors (200)_x000a_Diplomātiskā nodrošinājuma dep. informācija: _x000a_Biroja galds (213), dokumentu plaukts (120), biroja krēsls (213), apmeklētāja krēsls (100), drēbju pakaramais statīvs (60), atvilkņu skapis (183), galda lampa (50)"/>
    <m/>
  </r>
  <r>
    <s v="Pamatkapitāla veidošana"/>
    <x v="0"/>
    <x v="0"/>
    <n v="1060"/>
    <n v="0"/>
    <n v="1060"/>
    <n v="0"/>
    <n v="0"/>
    <m/>
    <m/>
  </r>
  <r>
    <s v="Datortehnika, sakaru un cita biroja tehnika"/>
    <x v="13"/>
    <x v="20"/>
    <n v="1060"/>
    <m/>
    <n v="1060"/>
    <m/>
    <m/>
    <s v="Galda balss sarunu iekārta 260 euro, dators 800 euro."/>
    <m/>
  </r>
  <r>
    <s v="izdevumi kopā _x000a_1.sekretārs ANO Ņujorkā (1 amatpersona) "/>
    <x v="0"/>
    <x v="0"/>
    <n v="187679"/>
    <n v="165687"/>
    <n v="21992"/>
    <n v="165687"/>
    <n v="170912"/>
    <m/>
    <m/>
  </r>
  <r>
    <s v="Atlīdzība"/>
    <x v="0"/>
    <x v="0"/>
    <n v="82955"/>
    <n v="82955"/>
    <n v="0"/>
    <n v="82955"/>
    <n v="82955"/>
    <m/>
    <m/>
  </r>
  <r>
    <s v="Mēnešalga 1 382 euro (11.mēnešalgu grupa)"/>
    <x v="14"/>
    <x v="1"/>
    <n v="16584"/>
    <n v="16584"/>
    <m/>
    <n v="16584"/>
    <n v="16584"/>
    <m/>
    <m/>
  </r>
  <r>
    <s v="Piemaksa par diplomātisko rangu"/>
    <x v="14"/>
    <x v="2"/>
    <n v="3317"/>
    <n v="3317"/>
    <m/>
    <n v="3317"/>
    <n v="3317"/>
    <m/>
    <m/>
  </r>
  <r>
    <s v="Darba devēja valsts sociālās apdrošināšanas obligātās iemaksas"/>
    <x v="14"/>
    <x v="3"/>
    <n v="4695"/>
    <n v="4695"/>
    <m/>
    <n v="4695"/>
    <n v="4695"/>
    <m/>
    <m/>
  </r>
  <r>
    <s v="Algas pabalsts, _x000a_pabalsts par dzīvesbiedra un bērna uzturēšanos ārvalstīs, _x000a_piemaksa par apdraudējumu dienesta vietā (piemaksa par dienestu īpašos apstākļos)"/>
    <x v="14"/>
    <x v="4"/>
    <n v="36105"/>
    <n v="36105"/>
    <m/>
    <n v="36105"/>
    <n v="36105"/>
    <m/>
    <m/>
  </r>
  <r>
    <s v="Pabalsts dienesta vajadzībām izmantojamā transporta izdevumu segšanai"/>
    <x v="14"/>
    <x v="5"/>
    <n v="854"/>
    <n v="854"/>
    <m/>
    <n v="854"/>
    <n v="854"/>
    <s v="Transporta pabalsts dienesta vajadzībām 71.14*12 mēneši=853.68 euro."/>
    <m/>
  </r>
  <r>
    <s v="Darba devēja izdevumi veselības, dzīvības un nelaimes gadījumu apdrošināšanai"/>
    <x v="14"/>
    <x v="6"/>
    <n v="21400"/>
    <n v="21400"/>
    <m/>
    <n v="21400"/>
    <n v="21400"/>
    <m/>
    <m/>
  </r>
  <r>
    <s v="Preces un pakalpojumi"/>
    <x v="0"/>
    <x v="0"/>
    <n v="103664"/>
    <n v="82732"/>
    <n v="20932"/>
    <n v="82732"/>
    <n v="87957"/>
    <m/>
    <m/>
  </r>
  <r>
    <s v="Pārējie komandējumu un dienesta braucienu izdevumi"/>
    <x v="14"/>
    <x v="7"/>
    <n v="1725"/>
    <m/>
    <n v="1725"/>
    <m/>
    <n v="1725"/>
    <n v="1150"/>
    <m/>
  </r>
  <r>
    <s v="Ceļa izdevumi atvaļinājumā (uz un no atvaļinājuma)"/>
    <x v="14"/>
    <x v="8"/>
    <n v="3450"/>
    <n v="3450"/>
    <m/>
    <n v="3450"/>
    <n v="3450"/>
    <m/>
    <m/>
  </r>
  <r>
    <s v="Stacionāro telefonu - sakaru pakalpojumi"/>
    <x v="14"/>
    <x v="9"/>
    <n v="625"/>
    <n v="625"/>
    <m/>
    <n v="625"/>
    <n v="625"/>
    <m/>
    <n v="625"/>
  </r>
  <r>
    <s v="Mobilo telefonu - sakaru pakalpojumi"/>
    <x v="14"/>
    <x v="10"/>
    <n v="950"/>
    <n v="950"/>
    <m/>
    <n v="950"/>
    <n v="950"/>
    <m/>
    <n v="950"/>
  </r>
  <r>
    <s v="Pasta pakalpojumi"/>
    <x v="14"/>
    <x v="11"/>
    <n v="88"/>
    <n v="88"/>
    <m/>
    <n v="88"/>
    <n v="88"/>
    <m/>
    <n v="87.5"/>
  </r>
  <r>
    <s v="Izdevumi par transporta pakalpojumiem"/>
    <x v="14"/>
    <x v="12"/>
    <n v="3500"/>
    <m/>
    <n v="3500"/>
    <m/>
    <n v="3500"/>
    <s v="Konteiners vienai personai ar ģimeni 3 500 euro"/>
    <m/>
  </r>
  <r>
    <s v="Ārvalstīs strādājošo darbinieku bērna pirmsskolas un skolas izdevumu kompensācija"/>
    <x v="14"/>
    <x v="13"/>
    <n v="33745"/>
    <n v="33745"/>
    <m/>
    <n v="33745"/>
    <n v="33745"/>
    <m/>
    <m/>
  </r>
  <r>
    <s v="Ārvalstīs strādājošo darbinieku dzīvokļa īres un komunālo izdevumu kompensācija"/>
    <x v="14"/>
    <x v="14"/>
    <n v="43163"/>
    <n v="43163"/>
    <m/>
    <n v="43163"/>
    <n v="43163"/>
    <m/>
    <m/>
  </r>
  <r>
    <s v="Mākleru pakalpojumi"/>
    <x v="14"/>
    <x v="15"/>
    <n v="7194"/>
    <m/>
    <n v="7194"/>
    <m/>
    <m/>
    <m/>
    <m/>
  </r>
  <r>
    <s v="Citi ar dienesta dzīvokļa īri saistītie izdevumi"/>
    <x v="14"/>
    <x v="16"/>
    <n v="7194"/>
    <m/>
    <n v="7194"/>
    <m/>
    <m/>
    <s v="Depozīts 2 mēnešu maksas apmērā"/>
    <m/>
  </r>
  <r>
    <s v="Informācijas sistēmas licenču nomas izdevumi"/>
    <x v="14"/>
    <x v="17"/>
    <n v="461"/>
    <n v="461"/>
    <m/>
    <n v="461"/>
    <n v="461"/>
    <s v="461 EUR/1 licence"/>
    <m/>
  </r>
  <r>
    <s v="Biroja preces"/>
    <x v="14"/>
    <x v="18"/>
    <n v="250"/>
    <n v="250"/>
    <m/>
    <n v="250"/>
    <n v="250"/>
    <m/>
    <n v="250"/>
  </r>
  <r>
    <s v="Inventārs "/>
    <x v="14"/>
    <x v="19"/>
    <n v="1319"/>
    <m/>
    <n v="1319"/>
    <m/>
    <m/>
    <s v="Informācijas tehnoloģiju dep. informācija:_x000a_Printeris (180), monitors (200)_x000a_Diplomātiskā nodrošinājuma dep. informācija: _x000a_Biroja galds (213), dokumentu plaukts (120), biroja krēsls (213), apmeklētāja krēsls (100), drēbju pakaramais statīvs (60), atvilkņu skapis (183), galda lampa (50)"/>
    <m/>
  </r>
  <r>
    <s v="Pamatkapitāla veidošana"/>
    <x v="0"/>
    <x v="0"/>
    <n v="1060"/>
    <n v="0"/>
    <n v="1060"/>
    <n v="0"/>
    <n v="0"/>
    <m/>
    <m/>
  </r>
  <r>
    <s v="Datortehnika, sakaru un cita biroja tehnika"/>
    <x v="14"/>
    <x v="20"/>
    <n v="1060"/>
    <m/>
    <n v="1060"/>
    <m/>
    <m/>
    <s v="Galda balss sarunu iekārta 260 euro, dators 800 euro."/>
    <m/>
  </r>
  <r>
    <s v="izdevumi kopā _x000a_2.sekretārs EDSO Vīnē (1 amatpersona) "/>
    <x v="0"/>
    <x v="0"/>
    <n v="112895"/>
    <n v="98974"/>
    <n v="13921"/>
    <n v="98974"/>
    <n v="103119"/>
    <m/>
    <m/>
  </r>
  <r>
    <s v="Atlīdzība"/>
    <x v="0"/>
    <x v="0"/>
    <n v="61108"/>
    <n v="61108"/>
    <n v="0"/>
    <n v="61108"/>
    <n v="61108"/>
    <m/>
    <m/>
  </r>
  <r>
    <s v="Mēnešalga 1 287 euro (10.mēnešalgu grupa)"/>
    <x v="15"/>
    <x v="1"/>
    <n v="15444"/>
    <n v="15444"/>
    <m/>
    <n v="15444"/>
    <n v="15444"/>
    <m/>
    <m/>
  </r>
  <r>
    <s v="Piemaksa par diplomātisko rangu"/>
    <x v="15"/>
    <x v="2"/>
    <n v="3089"/>
    <n v="3089"/>
    <m/>
    <n v="3089"/>
    <n v="3089"/>
    <m/>
    <m/>
  </r>
  <r>
    <s v="Darba devēja valsts sociālās apdrošināšanas obligātās iemaksas"/>
    <x v="15"/>
    <x v="3"/>
    <n v="4372"/>
    <n v="4372"/>
    <m/>
    <n v="4372"/>
    <n v="4372"/>
    <m/>
    <m/>
  </r>
  <r>
    <s v="Algas pabalsts, _x000a_pabalsts par dzīvesbiedra un bērna uzturēšanos ārvalstīs, _x000a_piemaksa par apdraudējumu dienesta vietā (piemaksa par dienestu īpašos apstākļos)"/>
    <x v="15"/>
    <x v="4"/>
    <n v="32549"/>
    <n v="32549"/>
    <m/>
    <n v="32549"/>
    <n v="32549"/>
    <m/>
    <m/>
  </r>
  <r>
    <s v="Pabalsts dienesta vajadzībām izmantojamā transporta izdevumu segšanai"/>
    <x v="15"/>
    <x v="5"/>
    <n v="854"/>
    <n v="854"/>
    <m/>
    <n v="854"/>
    <n v="854"/>
    <s v="Transporta pabalsts dienesta vajadzībām 71.14*12 mēneši=853.68 euro."/>
    <m/>
  </r>
  <r>
    <s v="Darba devēja izdevumi veselības, dzīvības un nelaimes gadījumu apdrošināšanai"/>
    <x v="15"/>
    <x v="6"/>
    <n v="4800"/>
    <n v="4800"/>
    <m/>
    <n v="4800"/>
    <n v="4800"/>
    <m/>
    <m/>
  </r>
  <r>
    <s v="Preces un pakalpojumi"/>
    <x v="0"/>
    <x v="0"/>
    <n v="50727"/>
    <n v="37866"/>
    <n v="12861"/>
    <n v="37866"/>
    <n v="42011"/>
    <m/>
    <m/>
  </r>
  <r>
    <s v="Pārējie komandējumu un dienesta braucienu izdevumi"/>
    <x v="15"/>
    <x v="7"/>
    <n v="645"/>
    <m/>
    <n v="645"/>
    <m/>
    <n v="645"/>
    <n v="430"/>
    <m/>
  </r>
  <r>
    <s v="Ceļa izdevumi atvaļinājumā (uz un no atvaļinājuma)"/>
    <x v="15"/>
    <x v="8"/>
    <n v="1290"/>
    <n v="1290"/>
    <m/>
    <n v="1290"/>
    <n v="1290"/>
    <m/>
    <m/>
  </r>
  <r>
    <s v="Stacionāro telefonu - sakaru pakalpojumi"/>
    <x v="15"/>
    <x v="9"/>
    <n v="140"/>
    <n v="140"/>
    <m/>
    <n v="140"/>
    <n v="140"/>
    <m/>
    <n v="140"/>
  </r>
  <r>
    <s v="Mobilo telefonu - sakaru pakalpojumi"/>
    <x v="15"/>
    <x v="10"/>
    <n v="840"/>
    <n v="840"/>
    <m/>
    <n v="840"/>
    <n v="840"/>
    <m/>
    <n v="840"/>
  </r>
  <r>
    <s v="Pasta pakalpojumi"/>
    <x v="15"/>
    <x v="11"/>
    <n v="50"/>
    <n v="50"/>
    <m/>
    <n v="50"/>
    <n v="50"/>
    <m/>
    <n v="50"/>
  </r>
  <r>
    <s v="Izdevumi par transporta pakalpojumiem"/>
    <x v="15"/>
    <x v="12"/>
    <n v="3500"/>
    <m/>
    <n v="3500"/>
    <m/>
    <n v="3500"/>
    <s v="Konteiners vienai personai ar ģimeni 3 500 euro"/>
    <m/>
  </r>
  <r>
    <s v="Ārvalstīs strādājošo darbinieku bērna pirmsskolas un skolas izdevumu kompensācija"/>
    <x v="15"/>
    <x v="13"/>
    <n v="17135"/>
    <n v="17135"/>
    <m/>
    <n v="17135"/>
    <n v="17135"/>
    <m/>
    <m/>
  </r>
  <r>
    <s v="Ārvalstīs strādājošo darbinieku dzīvokļa īres un komunālo izdevumu kompensācija"/>
    <x v="15"/>
    <x v="14"/>
    <n v="17750"/>
    <n v="17750"/>
    <m/>
    <n v="17750"/>
    <n v="17750"/>
    <m/>
    <m/>
  </r>
  <r>
    <s v="Mākleru pakalpojumi"/>
    <x v="15"/>
    <x v="15"/>
    <n v="2959"/>
    <m/>
    <n v="2959"/>
    <m/>
    <m/>
    <m/>
    <m/>
  </r>
  <r>
    <s v="Citi ar dienesta dzīvokļa īri saistītie izdevumi"/>
    <x v="15"/>
    <x v="16"/>
    <n v="4438"/>
    <m/>
    <n v="4438"/>
    <m/>
    <m/>
    <s v="Depozīts 3 mēnešu maksas apmērā"/>
    <m/>
  </r>
  <r>
    <s v="Informācijas sistēmas licenču nomas izdevumi"/>
    <x v="15"/>
    <x v="17"/>
    <n v="461"/>
    <n v="461"/>
    <m/>
    <n v="461"/>
    <n v="461"/>
    <s v="461 EUR/1 licence"/>
    <m/>
  </r>
  <r>
    <s v="Biroja preces"/>
    <x v="15"/>
    <x v="18"/>
    <n v="200"/>
    <n v="200"/>
    <m/>
    <n v="200"/>
    <n v="200"/>
    <m/>
    <n v="200"/>
  </r>
  <r>
    <s v="Inventārs "/>
    <x v="15"/>
    <x v="19"/>
    <n v="1319"/>
    <m/>
    <n v="1319"/>
    <m/>
    <m/>
    <s v="Informācijas tehnoloģiju dep. informācija:_x000a_Printeris (180), monitors (200)_x000a_Diplomātiskā nodrošinājuma dep. informācija: _x000a_Biroja galds (213), dokumentu plaukts (120), biroja krēsls (213), apmeklētāja krēsls (100), drēbju pakaramais statīvs (60), atvilkņu skapis (183), galda lampa (50)"/>
    <m/>
  </r>
  <r>
    <s v="Pamatkapitāla veidošana"/>
    <x v="0"/>
    <x v="0"/>
    <n v="1060"/>
    <n v="0"/>
    <n v="1060"/>
    <n v="0"/>
    <n v="0"/>
    <m/>
    <m/>
  </r>
  <r>
    <s v="Datortehnika, sakaru un cita biroja tehnika"/>
    <x v="15"/>
    <x v="20"/>
    <n v="1060"/>
    <m/>
    <n v="1060"/>
    <m/>
    <m/>
    <s v="Galda balss sarunu iekārta 260 euro, dators 800 euro."/>
    <m/>
  </r>
  <r>
    <s v="izdevumi kopā _x000a_2.sekretārs ES Briselē (2 amatpersona) "/>
    <x v="0"/>
    <x v="0"/>
    <n v="184382"/>
    <n v="164517"/>
    <n v="19865"/>
    <n v="164517"/>
    <n v="170207"/>
    <m/>
    <m/>
  </r>
  <r>
    <s v="Atlīdzība"/>
    <x v="0"/>
    <x v="0"/>
    <n v="118588"/>
    <n v="118588"/>
    <n v="0"/>
    <n v="118588"/>
    <n v="118588"/>
    <m/>
    <m/>
  </r>
  <r>
    <s v="Mēnešalga 1 287 euro (10.mēnešalgu grupa)"/>
    <x v="16"/>
    <x v="1"/>
    <n v="30888"/>
    <n v="30888"/>
    <m/>
    <n v="30888"/>
    <n v="30888"/>
    <m/>
    <m/>
  </r>
  <r>
    <s v="Piemaksa par diplomātisko rangu"/>
    <x v="16"/>
    <x v="2"/>
    <n v="6178"/>
    <n v="6178"/>
    <m/>
    <n v="6178"/>
    <n v="6178"/>
    <m/>
    <m/>
  </r>
  <r>
    <s v="Darba devēja valsts sociālās apdrošināšanas obligātās iemaksas"/>
    <x v="16"/>
    <x v="3"/>
    <n v="8744"/>
    <n v="8744"/>
    <m/>
    <n v="8744"/>
    <n v="8744"/>
    <m/>
    <m/>
  </r>
  <r>
    <s v="Algas pabalsts, _x000a_pabalsts par dzīvesbiedra un bērna uzturēšanos ārvalstīs, _x000a_piemaksa par apdraudējumu dienesta vietā (piemaksa par dienestu īpašos apstākļos)"/>
    <x v="16"/>
    <x v="4"/>
    <n v="61470"/>
    <n v="61470"/>
    <m/>
    <n v="61470"/>
    <n v="61470"/>
    <m/>
    <m/>
  </r>
  <r>
    <s v="Pabalsts dienesta vajadzībām izmantojamā transporta izdevumu segšanai"/>
    <x v="16"/>
    <x v="5"/>
    <n v="1708"/>
    <n v="1708"/>
    <m/>
    <n v="1708"/>
    <n v="1708"/>
    <s v="Transporta pabalsts dienesta vajadzībām 71.14*12 mēneši=853.68 euro."/>
    <m/>
  </r>
  <r>
    <s v="Darba devēja izdevumi veselības, dzīvības un nelaimes gadījumu apdrošināšanai"/>
    <x v="16"/>
    <x v="6"/>
    <n v="9600"/>
    <n v="9600"/>
    <m/>
    <n v="9600"/>
    <n v="9600"/>
    <m/>
    <m/>
  </r>
  <r>
    <s v="Preces un pakalpojumi"/>
    <x v="0"/>
    <x v="0"/>
    <n v="63674"/>
    <n v="45929"/>
    <n v="17745"/>
    <n v="45929"/>
    <n v="51619"/>
    <m/>
    <m/>
  </r>
  <r>
    <s v="Pārējie komandējumu un dienesta braucienu izdevumi"/>
    <x v="16"/>
    <x v="7"/>
    <n v="2190"/>
    <m/>
    <n v="2190"/>
    <m/>
    <n v="2190"/>
    <n v="730"/>
    <m/>
  </r>
  <r>
    <s v="Ceļa izdevumi atvaļinājumā (uz un no atvaļinājuma)"/>
    <x v="16"/>
    <x v="8"/>
    <n v="4380"/>
    <n v="4380"/>
    <m/>
    <n v="4380"/>
    <n v="4380"/>
    <m/>
    <m/>
  </r>
  <r>
    <s v="Stacionāro telefonu - sakaru pakalpojumi"/>
    <x v="16"/>
    <x v="9"/>
    <n v="573"/>
    <n v="573"/>
    <m/>
    <n v="573"/>
    <n v="573"/>
    <m/>
    <n v="572.41379310344826"/>
  </r>
  <r>
    <s v="Mobilo telefonu - sakaru pakalpojumi"/>
    <x v="16"/>
    <x v="10"/>
    <n v="911"/>
    <n v="911"/>
    <m/>
    <n v="911"/>
    <n v="911"/>
    <m/>
    <n v="910.34482758620686"/>
  </r>
  <r>
    <s v="Pasta pakalpojumi"/>
    <x v="16"/>
    <x v="11"/>
    <n v="56"/>
    <n v="56"/>
    <m/>
    <n v="56"/>
    <n v="56"/>
    <m/>
    <n v="55.172413793103445"/>
  </r>
  <r>
    <s v="Izdevumi par transporta pakalpojumiem"/>
    <x v="16"/>
    <x v="12"/>
    <n v="7000"/>
    <m/>
    <n v="7000"/>
    <m/>
    <n v="3500"/>
    <s v="Konteiners vienai personai ar ģimeni 3 500 euro"/>
    <m/>
  </r>
  <r>
    <s v="Ārvalstīs strādājošo darbinieku bērna pirmsskolas un skolas izdevumu kompensācija"/>
    <x v="16"/>
    <x v="13"/>
    <n v="3000"/>
    <n v="3000"/>
    <m/>
    <n v="3000"/>
    <n v="3000"/>
    <m/>
    <m/>
  </r>
  <r>
    <s v="Ārvalstīs strādājošo darbinieku dzīvokļa īres un komunālo izdevumu kompensācija"/>
    <x v="16"/>
    <x v="14"/>
    <n v="35500"/>
    <n v="35500"/>
    <m/>
    <n v="35500"/>
    <n v="35500"/>
    <m/>
    <m/>
  </r>
  <r>
    <s v="Mākleru pakalpojumi"/>
    <x v="16"/>
    <x v="15"/>
    <n v="0"/>
    <m/>
    <m/>
    <m/>
    <m/>
    <m/>
    <m/>
  </r>
  <r>
    <s v="Citi ar dienesta dzīvokļa īri saistītie izdevumi"/>
    <x v="16"/>
    <x v="16"/>
    <n v="5917"/>
    <m/>
    <n v="5917"/>
    <m/>
    <m/>
    <s v="Depozīts 2 mēnešu maksas apmērā"/>
    <m/>
  </r>
  <r>
    <s v="Informācijas sistēmas licenču nomas izdevumi"/>
    <x v="16"/>
    <x v="17"/>
    <n v="922"/>
    <n v="922"/>
    <m/>
    <n v="922"/>
    <n v="922"/>
    <s v="461 EUR/1 licence"/>
    <m/>
  </r>
  <r>
    <s v="Biroja preces"/>
    <x v="16"/>
    <x v="18"/>
    <n v="587"/>
    <n v="587"/>
    <m/>
    <n v="587"/>
    <n v="587"/>
    <m/>
    <n v="586.20689655172418"/>
  </r>
  <r>
    <s v="Inventārs "/>
    <x v="16"/>
    <x v="19"/>
    <n v="2638"/>
    <m/>
    <n v="2638"/>
    <m/>
    <m/>
    <s v="Informācijas tehnoloģiju dep. informācija:_x000a_Printeris (180), monitors (200)_x000a_Diplomātiskā nodrošinājuma dep. informācija: _x000a_Biroja galds (213), dokumentu plaukts (120), biroja krēsls (213), apmeklētāja krēsls (100), drēbju pakaramais statīvs (60), atvilkņu skapis (183), galda lampa (50)"/>
    <m/>
  </r>
  <r>
    <s v="Pamatkapitāla veidošana"/>
    <x v="0"/>
    <x v="0"/>
    <n v="2120"/>
    <n v="0"/>
    <n v="2120"/>
    <n v="0"/>
    <n v="0"/>
    <m/>
    <m/>
  </r>
  <r>
    <s v="Datortehnika, sakaru un cita biroja tehnika"/>
    <x v="16"/>
    <x v="20"/>
    <n v="2120"/>
    <m/>
    <n v="2120"/>
    <m/>
    <m/>
    <s v="Galda balss sarunu iekārta 260 euro, dators 800 euro.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PivotTable3" cacheId="0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>
  <location ref="A4:F25" firstHeaderRow="0" firstDataRow="1" firstDataCol="1" rowPageCount="1" colPageCount="1"/>
  <pivotFields count="10">
    <pivotField multipleItemSelectionAllowed="1" showAll="0"/>
    <pivotField axis="axisPage" multipleItemSelectionAllowed="1" showAll="0">
      <items count="18">
        <item x="2"/>
        <item x="1"/>
        <item x="14"/>
        <item x="13"/>
        <item x="3"/>
        <item x="4"/>
        <item x="5"/>
        <item x="15"/>
        <item x="16"/>
        <item x="6"/>
        <item x="7"/>
        <item x="8"/>
        <item x="9"/>
        <item x="10"/>
        <item x="11"/>
        <item x="12"/>
        <item h="1" x="0"/>
        <item t="default"/>
      </items>
    </pivotField>
    <pivotField axis="axisRow" showAll="0">
      <items count="22">
        <item x="1"/>
        <item x="2"/>
        <item x="3"/>
        <item x="5"/>
        <item x="4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0"/>
        <item t="default"/>
      </items>
    </pivotField>
    <pivotField dataField="1" numFmtId="3" showAll="0"/>
    <pivotField dataField="1" showAll="0"/>
    <pivotField dataField="1" showAll="0"/>
    <pivotField dataField="1" showAll="0"/>
    <pivotField dataField="1" showAll="0"/>
    <pivotField showAll="0"/>
    <pivotField showAll="0"/>
  </pivotFields>
  <rowFields count="1">
    <field x="2"/>
  </rowFields>
  <rowItems count="2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pageFields count="1">
    <pageField fld="1" hier="-1"/>
  </pageFields>
  <dataFields count="5">
    <dataField name="Sum of 2017.gads" fld="3" baseField="0" baseItem="0" numFmtId="164"/>
    <dataField name="Sum of 2017.g. pastāvīgie" fld="4" baseField="2" baseItem="0"/>
    <dataField name="Sum of 2017.g. vienreizējie" fld="5" baseField="2" baseItem="0"/>
    <dataField name="Sum of 2018.gads" fld="6" baseField="2" baseItem="0"/>
    <dataField name="Sum of 2019.gads" fld="7" baseField="2" baseItem="0"/>
  </dataFields>
  <formats count="1">
    <format dxfId="15">
      <pivotArea outline="0" collapsedLevelsAreSubtotals="1" fieldPosition="0"/>
    </format>
  </formats>
  <pivotTableStyleInfo name="PivotStyleMedium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2" displayName="Table2" ref="A1:J385" totalsRowShown="0" headerRowDxfId="14" dataDxfId="12" headerRowBorderDxfId="13" tableBorderDxfId="11" totalsRowBorderDxfId="10">
  <autoFilter ref="A1:J385" xr:uid="{00000000-0009-0000-0100-000002000000}"/>
  <tableColumns count="10">
    <tableColumn id="1" xr3:uid="{00000000-0010-0000-0000-000001000000}" name="Finanšu rādītājs (euro)" dataDxfId="9"/>
    <tableColumn id="11" xr3:uid="{00000000-0010-0000-0000-00000B000000}" name="Izmaksu centrs" dataDxfId="8"/>
    <tableColumn id="10" xr3:uid="{00000000-0010-0000-0000-00000A000000}" name="EKK" dataDxfId="7"/>
    <tableColumn id="2" xr3:uid="{00000000-0010-0000-0000-000002000000}" name="2017.gads" dataDxfId="6">
      <calculatedColumnFormula>E2+F2</calculatedColumnFormula>
    </tableColumn>
    <tableColumn id="3" xr3:uid="{00000000-0010-0000-0000-000003000000}" name="2017.g. pastāvīgie" dataDxfId="5"/>
    <tableColumn id="4" xr3:uid="{00000000-0010-0000-0000-000004000000}" name="2017.g. vienreizējie" dataDxfId="4"/>
    <tableColumn id="6" xr3:uid="{00000000-0010-0000-0000-000006000000}" name="2018.gads" dataDxfId="3"/>
    <tableColumn id="7" xr3:uid="{00000000-0010-0000-0000-000007000000}" name="2019.gads" dataDxfId="2"/>
    <tableColumn id="8" xr3:uid="{00000000-0010-0000-0000-000008000000}" name="Piezīmes" dataDxfId="1"/>
    <tableColumn id="9" xr3:uid="{00000000-0010-0000-0000-000009000000}" name="Column2" dataDxfId="0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F25"/>
  <sheetViews>
    <sheetView workbookViewId="0">
      <selection activeCell="C14" sqref="C14"/>
    </sheetView>
  </sheetViews>
  <sheetFormatPr defaultRowHeight="15" x14ac:dyDescent="0.25"/>
  <cols>
    <col min="1" max="1" width="14.140625" customWidth="1"/>
    <col min="2" max="2" width="17.85546875" customWidth="1"/>
    <col min="3" max="3" width="23.42578125" customWidth="1"/>
    <col min="4" max="4" width="25.140625" customWidth="1"/>
    <col min="5" max="6" width="16.28515625" customWidth="1"/>
  </cols>
  <sheetData>
    <row r="2" spans="1:6" x14ac:dyDescent="0.25">
      <c r="A2" s="33" t="s">
        <v>82</v>
      </c>
      <c r="B2" t="s">
        <v>105</v>
      </c>
    </row>
    <row r="4" spans="1:6" x14ac:dyDescent="0.25">
      <c r="A4" s="33" t="s">
        <v>59</v>
      </c>
      <c r="B4" t="s">
        <v>99</v>
      </c>
      <c r="C4" t="s">
        <v>100</v>
      </c>
      <c r="D4" t="s">
        <v>101</v>
      </c>
      <c r="E4" t="s">
        <v>102</v>
      </c>
      <c r="F4" t="s">
        <v>103</v>
      </c>
    </row>
    <row r="5" spans="1:6" x14ac:dyDescent="0.25">
      <c r="A5" s="34" t="s">
        <v>62</v>
      </c>
      <c r="B5" s="45">
        <v>275412</v>
      </c>
      <c r="C5" s="45">
        <v>275412</v>
      </c>
      <c r="D5" s="45"/>
      <c r="E5" s="45">
        <v>275412</v>
      </c>
      <c r="F5" s="45">
        <v>275412</v>
      </c>
    </row>
    <row r="6" spans="1:6" x14ac:dyDescent="0.25">
      <c r="A6" s="34" t="s">
        <v>63</v>
      </c>
      <c r="B6" s="45">
        <v>55086</v>
      </c>
      <c r="C6" s="45">
        <v>55086</v>
      </c>
      <c r="D6" s="45"/>
      <c r="E6" s="45">
        <v>55086</v>
      </c>
      <c r="F6" s="45">
        <v>55086</v>
      </c>
    </row>
    <row r="7" spans="1:6" x14ac:dyDescent="0.25">
      <c r="A7" s="34" t="s">
        <v>64</v>
      </c>
      <c r="B7" s="45">
        <v>77966</v>
      </c>
      <c r="C7" s="45">
        <v>77966</v>
      </c>
      <c r="D7" s="45"/>
      <c r="E7" s="45">
        <v>77966</v>
      </c>
      <c r="F7" s="45">
        <v>77966</v>
      </c>
    </row>
    <row r="8" spans="1:6" x14ac:dyDescent="0.25">
      <c r="A8" s="34" t="s">
        <v>65</v>
      </c>
      <c r="B8" s="45">
        <v>14518</v>
      </c>
      <c r="C8" s="45">
        <v>14518</v>
      </c>
      <c r="D8" s="45"/>
      <c r="E8" s="45">
        <v>14518</v>
      </c>
      <c r="F8" s="45">
        <v>14518</v>
      </c>
    </row>
    <row r="9" spans="1:6" x14ac:dyDescent="0.25">
      <c r="A9" s="34" t="s">
        <v>67</v>
      </c>
      <c r="B9" s="45">
        <v>564109</v>
      </c>
      <c r="C9" s="45">
        <v>564109</v>
      </c>
      <c r="D9" s="45"/>
      <c r="E9" s="45">
        <v>564109</v>
      </c>
      <c r="F9" s="45">
        <v>564109</v>
      </c>
    </row>
    <row r="10" spans="1:6" x14ac:dyDescent="0.25">
      <c r="A10" s="34" t="s">
        <v>68</v>
      </c>
      <c r="B10" s="45">
        <v>119144</v>
      </c>
      <c r="C10" s="45">
        <v>119144</v>
      </c>
      <c r="D10" s="45"/>
      <c r="E10" s="45">
        <v>119144</v>
      </c>
      <c r="F10" s="45">
        <v>119144</v>
      </c>
    </row>
    <row r="11" spans="1:6" x14ac:dyDescent="0.25">
      <c r="A11" s="34" t="s">
        <v>69</v>
      </c>
      <c r="B11" s="45">
        <v>19620</v>
      </c>
      <c r="C11" s="45"/>
      <c r="D11" s="45">
        <v>19620</v>
      </c>
      <c r="E11" s="45"/>
      <c r="F11" s="45">
        <v>19620</v>
      </c>
    </row>
    <row r="12" spans="1:6" x14ac:dyDescent="0.25">
      <c r="A12" s="34" t="s">
        <v>70</v>
      </c>
      <c r="B12" s="45">
        <v>39240</v>
      </c>
      <c r="C12" s="45">
        <v>39240</v>
      </c>
      <c r="D12" s="45"/>
      <c r="E12" s="45">
        <v>39240</v>
      </c>
      <c r="F12" s="45">
        <v>39240</v>
      </c>
    </row>
    <row r="13" spans="1:6" x14ac:dyDescent="0.25">
      <c r="A13" s="34" t="s">
        <v>71</v>
      </c>
      <c r="B13" s="45">
        <v>9444</v>
      </c>
      <c r="C13" s="45">
        <v>9444</v>
      </c>
      <c r="D13" s="45"/>
      <c r="E13" s="45">
        <v>9444</v>
      </c>
      <c r="F13" s="45">
        <v>9444</v>
      </c>
    </row>
    <row r="14" spans="1:6" x14ac:dyDescent="0.25">
      <c r="A14" s="34" t="s">
        <v>72</v>
      </c>
      <c r="B14" s="45">
        <v>15759</v>
      </c>
      <c r="C14" s="45">
        <v>15759</v>
      </c>
      <c r="D14" s="45"/>
      <c r="E14" s="45">
        <v>15759</v>
      </c>
      <c r="F14" s="45">
        <v>15759</v>
      </c>
    </row>
    <row r="15" spans="1:6" x14ac:dyDescent="0.25">
      <c r="A15" s="34" t="s">
        <v>73</v>
      </c>
      <c r="B15" s="45">
        <v>6335</v>
      </c>
      <c r="C15" s="45">
        <v>6335</v>
      </c>
      <c r="D15" s="45"/>
      <c r="E15" s="45">
        <v>6335</v>
      </c>
      <c r="F15" s="45">
        <v>6335</v>
      </c>
    </row>
    <row r="16" spans="1:6" x14ac:dyDescent="0.25">
      <c r="A16" s="34" t="s">
        <v>74</v>
      </c>
      <c r="B16" s="45">
        <v>59500</v>
      </c>
      <c r="C16" s="45"/>
      <c r="D16" s="45">
        <v>59500</v>
      </c>
      <c r="E16" s="45"/>
      <c r="F16" s="45">
        <v>56000</v>
      </c>
    </row>
    <row r="17" spans="1:6" x14ac:dyDescent="0.25">
      <c r="A17" s="34" t="s">
        <v>75</v>
      </c>
      <c r="B17" s="45">
        <v>309810</v>
      </c>
      <c r="C17" s="45">
        <v>309810</v>
      </c>
      <c r="D17" s="45"/>
      <c r="E17" s="45">
        <v>309810</v>
      </c>
      <c r="F17" s="45">
        <v>309810</v>
      </c>
    </row>
    <row r="18" spans="1:6" x14ac:dyDescent="0.25">
      <c r="A18" s="34" t="s">
        <v>76</v>
      </c>
      <c r="B18" s="45">
        <v>393453</v>
      </c>
      <c r="C18" s="45">
        <v>393453</v>
      </c>
      <c r="D18" s="45"/>
      <c r="E18" s="45">
        <v>393453</v>
      </c>
      <c r="F18" s="45">
        <v>393453</v>
      </c>
    </row>
    <row r="19" spans="1:6" x14ac:dyDescent="0.25">
      <c r="A19" s="34" t="s">
        <v>77</v>
      </c>
      <c r="B19" s="45">
        <v>29923</v>
      </c>
      <c r="C19" s="45"/>
      <c r="D19" s="45">
        <v>29923</v>
      </c>
      <c r="E19" s="45"/>
      <c r="F19" s="45"/>
    </row>
    <row r="20" spans="1:6" x14ac:dyDescent="0.25">
      <c r="A20" s="34" t="s">
        <v>78</v>
      </c>
      <c r="B20" s="45">
        <v>39516</v>
      </c>
      <c r="C20" s="45"/>
      <c r="D20" s="45">
        <v>39516</v>
      </c>
      <c r="E20" s="45"/>
      <c r="F20" s="45"/>
    </row>
    <row r="21" spans="1:6" x14ac:dyDescent="0.25">
      <c r="A21" s="34" t="s">
        <v>104</v>
      </c>
      <c r="B21" s="45">
        <v>7837</v>
      </c>
      <c r="C21" s="45">
        <v>7837</v>
      </c>
      <c r="D21" s="45"/>
      <c r="E21" s="45">
        <v>7837</v>
      </c>
      <c r="F21" s="45">
        <v>7837</v>
      </c>
    </row>
    <row r="22" spans="1:6" x14ac:dyDescent="0.25">
      <c r="A22" s="34" t="s">
        <v>79</v>
      </c>
      <c r="B22" s="45">
        <v>4646</v>
      </c>
      <c r="C22" s="45">
        <v>4646</v>
      </c>
      <c r="D22" s="45"/>
      <c r="E22" s="45">
        <v>4646</v>
      </c>
      <c r="F22" s="45">
        <v>4646</v>
      </c>
    </row>
    <row r="23" spans="1:6" x14ac:dyDescent="0.25">
      <c r="A23" s="34" t="s">
        <v>80</v>
      </c>
      <c r="B23" s="45">
        <v>22423</v>
      </c>
      <c r="C23" s="45"/>
      <c r="D23" s="45">
        <v>22423</v>
      </c>
      <c r="E23" s="45"/>
      <c r="F23" s="45"/>
    </row>
    <row r="24" spans="1:6" x14ac:dyDescent="0.25">
      <c r="A24" s="34" t="s">
        <v>81</v>
      </c>
      <c r="B24" s="45">
        <v>18020</v>
      </c>
      <c r="C24" s="45"/>
      <c r="D24" s="45">
        <v>18020</v>
      </c>
      <c r="E24" s="45"/>
      <c r="F24" s="45"/>
    </row>
    <row r="25" spans="1:6" x14ac:dyDescent="0.25">
      <c r="A25" s="34" t="s">
        <v>58</v>
      </c>
      <c r="B25" s="45">
        <v>2081761</v>
      </c>
      <c r="C25" s="45">
        <v>1892759</v>
      </c>
      <c r="D25" s="45">
        <v>189002</v>
      </c>
      <c r="E25" s="45">
        <v>1892759</v>
      </c>
      <c r="F25" s="45">
        <v>1968379</v>
      </c>
    </row>
  </sheetData>
  <pageMargins left="0.7" right="0.7" top="0.75" bottom="0.75" header="0.3" footer="0.3"/>
  <pageSetup paperSize="9" scale="77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385"/>
  <sheetViews>
    <sheetView zoomScale="70" zoomScaleNormal="70" workbookViewId="0">
      <pane xSplit="1" ySplit="1" topLeftCell="B362" activePane="bottomRight" state="frozen"/>
      <selection pane="topRight" activeCell="B1" sqref="B1"/>
      <selection pane="bottomLeft" activeCell="A2" sqref="A2"/>
      <selection pane="bottomRight" activeCell="F376" sqref="F376"/>
    </sheetView>
  </sheetViews>
  <sheetFormatPr defaultRowHeight="15.75" x14ac:dyDescent="0.25"/>
  <cols>
    <col min="1" max="1" width="41.28515625" style="5" customWidth="1"/>
    <col min="2" max="2" width="41.28515625" style="5" hidden="1" customWidth="1"/>
    <col min="3" max="3" width="12.85546875" style="43" hidden="1" customWidth="1"/>
    <col min="4" max="4" width="11.140625" style="5" customWidth="1"/>
    <col min="5" max="5" width="17.140625" style="5" customWidth="1"/>
    <col min="6" max="6" width="18.5703125" style="5" customWidth="1"/>
    <col min="7" max="8" width="11.140625" style="5" customWidth="1"/>
    <col min="9" max="9" width="52.85546875" style="31" customWidth="1"/>
    <col min="10" max="10" width="9.140625" style="5" hidden="1" customWidth="1"/>
    <col min="11" max="16384" width="9.140625" style="5"/>
  </cols>
  <sheetData>
    <row r="1" spans="1:10" ht="41.25" customHeight="1" x14ac:dyDescent="0.25">
      <c r="A1" s="1" t="s">
        <v>61</v>
      </c>
      <c r="B1" s="1" t="s">
        <v>82</v>
      </c>
      <c r="C1" s="35" t="s">
        <v>60</v>
      </c>
      <c r="D1" s="1" t="s">
        <v>6</v>
      </c>
      <c r="E1" s="1" t="s">
        <v>12</v>
      </c>
      <c r="F1" s="1" t="s">
        <v>13</v>
      </c>
      <c r="G1" s="1" t="s">
        <v>7</v>
      </c>
      <c r="H1" s="2" t="s">
        <v>8</v>
      </c>
      <c r="I1" s="3" t="s">
        <v>30</v>
      </c>
      <c r="J1" s="4" t="s">
        <v>40</v>
      </c>
    </row>
    <row r="2" spans="1:10" ht="31.5" x14ac:dyDescent="0.25">
      <c r="A2" s="6" t="s">
        <v>41</v>
      </c>
      <c r="B2" s="6"/>
      <c r="C2" s="36"/>
      <c r="D2" s="7">
        <f>D3+D10+D24</f>
        <v>177747</v>
      </c>
      <c r="E2" s="7">
        <f t="shared" ref="E2:H2" si="0">E3+E10+E24</f>
        <v>166821</v>
      </c>
      <c r="F2" s="7">
        <f t="shared" si="0"/>
        <v>10926</v>
      </c>
      <c r="G2" s="7">
        <f t="shared" si="0"/>
        <v>166821</v>
      </c>
      <c r="H2" s="9">
        <f t="shared" si="0"/>
        <v>171821</v>
      </c>
      <c r="I2" s="10"/>
      <c r="J2" s="11"/>
    </row>
    <row r="3" spans="1:10" x14ac:dyDescent="0.25">
      <c r="A3" s="12" t="s">
        <v>0</v>
      </c>
      <c r="B3" s="12"/>
      <c r="C3" s="37"/>
      <c r="D3" s="8">
        <f>SUM(D4:D9)</f>
        <v>96045</v>
      </c>
      <c r="E3" s="8">
        <f>SUM(E4:E9)</f>
        <v>96045</v>
      </c>
      <c r="F3" s="8">
        <f>SUM(F4:F9)</f>
        <v>0</v>
      </c>
      <c r="G3" s="8">
        <f>SUM(G4:G9)</f>
        <v>96045</v>
      </c>
      <c r="H3" s="13">
        <f>SUM(H4:H9)</f>
        <v>96045</v>
      </c>
      <c r="I3" s="14"/>
      <c r="J3" s="15"/>
    </row>
    <row r="4" spans="1:10" ht="31.5" x14ac:dyDescent="0.25">
      <c r="A4" s="16" t="s">
        <v>9</v>
      </c>
      <c r="B4" s="16" t="s">
        <v>83</v>
      </c>
      <c r="C4" s="38" t="s">
        <v>62</v>
      </c>
      <c r="D4" s="17">
        <f>E4+F4</f>
        <v>27168</v>
      </c>
      <c r="E4" s="17">
        <f>2264*12</f>
        <v>27168</v>
      </c>
      <c r="F4" s="17"/>
      <c r="G4" s="17">
        <f>E4</f>
        <v>27168</v>
      </c>
      <c r="H4" s="18">
        <f>E4</f>
        <v>27168</v>
      </c>
      <c r="I4" s="14"/>
      <c r="J4" s="15"/>
    </row>
    <row r="5" spans="1:10" x14ac:dyDescent="0.25">
      <c r="A5" s="16" t="s">
        <v>1</v>
      </c>
      <c r="B5" s="16" t="s">
        <v>83</v>
      </c>
      <c r="C5" s="38" t="s">
        <v>63</v>
      </c>
      <c r="D5" s="17">
        <f t="shared" ref="D5:D9" si="1">E5+F5</f>
        <v>5434</v>
      </c>
      <c r="E5" s="17">
        <f>ROUND(E4*0.2,0)</f>
        <v>5434</v>
      </c>
      <c r="F5" s="17"/>
      <c r="G5" s="17">
        <f>ROUND(G4*0.2,0)</f>
        <v>5434</v>
      </c>
      <c r="H5" s="18">
        <f>ROUND(H4*0.2,0)</f>
        <v>5434</v>
      </c>
      <c r="I5" s="14"/>
      <c r="J5" s="15"/>
    </row>
    <row r="6" spans="1:10" ht="31.5" x14ac:dyDescent="0.25">
      <c r="A6" s="16" t="s">
        <v>2</v>
      </c>
      <c r="B6" s="16" t="s">
        <v>83</v>
      </c>
      <c r="C6" s="38" t="s">
        <v>64</v>
      </c>
      <c r="D6" s="17">
        <f t="shared" si="1"/>
        <v>7691</v>
      </c>
      <c r="E6" s="17">
        <f>ROUNDUP((E4+E5)*0.2359,0)</f>
        <v>7691</v>
      </c>
      <c r="F6" s="17"/>
      <c r="G6" s="17">
        <f>ROUNDUP((G4+G5)*0.2359,0)</f>
        <v>7691</v>
      </c>
      <c r="H6" s="18">
        <f>ROUNDUP((H4+H5)*0.2359,0)</f>
        <v>7691</v>
      </c>
      <c r="I6" s="14"/>
      <c r="J6" s="15"/>
    </row>
    <row r="7" spans="1:10" ht="78.75" x14ac:dyDescent="0.25">
      <c r="A7" s="44" t="s">
        <v>66</v>
      </c>
      <c r="B7" s="44" t="s">
        <v>83</v>
      </c>
      <c r="C7" s="38" t="s">
        <v>67</v>
      </c>
      <c r="D7" s="17">
        <f t="shared" si="1"/>
        <v>50098</v>
      </c>
      <c r="E7" s="17">
        <f>ROUNDUP(((30023+10530+4127)*0.975*1.15),0)</f>
        <v>50098</v>
      </c>
      <c r="F7" s="17"/>
      <c r="G7" s="17">
        <f>E7</f>
        <v>50098</v>
      </c>
      <c r="H7" s="18">
        <f>D7</f>
        <v>50098</v>
      </c>
      <c r="I7" s="14"/>
      <c r="J7" s="15"/>
    </row>
    <row r="8" spans="1:10" ht="31.5" x14ac:dyDescent="0.25">
      <c r="A8" s="16" t="s">
        <v>14</v>
      </c>
      <c r="B8" s="16" t="s">
        <v>83</v>
      </c>
      <c r="C8" s="38" t="s">
        <v>65</v>
      </c>
      <c r="D8" s="17">
        <f t="shared" si="1"/>
        <v>854</v>
      </c>
      <c r="E8" s="17">
        <f>ROUNDUP(71.14*12,0)</f>
        <v>854</v>
      </c>
      <c r="F8" s="17"/>
      <c r="G8" s="17">
        <f>E8</f>
        <v>854</v>
      </c>
      <c r="H8" s="18">
        <f>E8</f>
        <v>854</v>
      </c>
      <c r="I8" s="14" t="s">
        <v>56</v>
      </c>
      <c r="J8" s="15"/>
    </row>
    <row r="9" spans="1:10" ht="31.5" x14ac:dyDescent="0.25">
      <c r="A9" s="16" t="s">
        <v>3</v>
      </c>
      <c r="B9" s="16" t="s">
        <v>83</v>
      </c>
      <c r="C9" s="38" t="s">
        <v>68</v>
      </c>
      <c r="D9" s="17">
        <f t="shared" si="1"/>
        <v>4800</v>
      </c>
      <c r="E9" s="15">
        <f>1824*2+1152</f>
        <v>4800</v>
      </c>
      <c r="F9" s="15"/>
      <c r="G9" s="15">
        <f>E9</f>
        <v>4800</v>
      </c>
      <c r="H9" s="19">
        <f>E9</f>
        <v>4800</v>
      </c>
      <c r="I9" s="14"/>
      <c r="J9" s="15"/>
    </row>
    <row r="10" spans="1:10" x14ac:dyDescent="0.25">
      <c r="A10" s="12" t="s">
        <v>4</v>
      </c>
      <c r="B10" s="12"/>
      <c r="C10" s="37"/>
      <c r="D10" s="8">
        <f>SUM(D11:D23)</f>
        <v>80642</v>
      </c>
      <c r="E10" s="8">
        <f t="shared" ref="E10:H10" si="2">SUM(E11:E23)</f>
        <v>70776</v>
      </c>
      <c r="F10" s="8">
        <f t="shared" si="2"/>
        <v>9866</v>
      </c>
      <c r="G10" s="8">
        <f t="shared" si="2"/>
        <v>70776</v>
      </c>
      <c r="H10" s="13">
        <f t="shared" si="2"/>
        <v>75776</v>
      </c>
      <c r="I10" s="14"/>
      <c r="J10" s="15"/>
    </row>
    <row r="11" spans="1:10" ht="15.75" customHeight="1" x14ac:dyDescent="0.25">
      <c r="A11" s="20" t="s">
        <v>15</v>
      </c>
      <c r="B11" s="20" t="s">
        <v>83</v>
      </c>
      <c r="C11" s="39" t="s">
        <v>69</v>
      </c>
      <c r="D11" s="15">
        <f>E11+F11</f>
        <v>1500</v>
      </c>
      <c r="E11" s="15"/>
      <c r="F11" s="15">
        <f>ROUND(I11/2*3,0)</f>
        <v>1500</v>
      </c>
      <c r="G11" s="15"/>
      <c r="H11" s="19">
        <f t="shared" ref="H11" si="3">ROUND(1000/2*3,0)</f>
        <v>1500</v>
      </c>
      <c r="I11" s="21">
        <v>1000</v>
      </c>
      <c r="J11" s="15"/>
    </row>
    <row r="12" spans="1:10" ht="31.5" x14ac:dyDescent="0.25">
      <c r="A12" s="20" t="s">
        <v>16</v>
      </c>
      <c r="B12" s="20" t="s">
        <v>83</v>
      </c>
      <c r="C12" s="39" t="s">
        <v>70</v>
      </c>
      <c r="D12" s="15">
        <f t="shared" ref="D12:D23" si="4">E12+F12</f>
        <v>3000</v>
      </c>
      <c r="E12" s="15">
        <f>ROUND(I11*3,0)</f>
        <v>3000</v>
      </c>
      <c r="F12" s="15"/>
      <c r="G12" s="15">
        <f>ROUND(I11*3,0)</f>
        <v>3000</v>
      </c>
      <c r="H12" s="19">
        <f>ROUND(I11*3,0)</f>
        <v>3000</v>
      </c>
      <c r="I12" s="14"/>
      <c r="J12" s="15"/>
    </row>
    <row r="13" spans="1:10" x14ac:dyDescent="0.25">
      <c r="A13" s="20" t="s">
        <v>17</v>
      </c>
      <c r="B13" s="20" t="s">
        <v>83</v>
      </c>
      <c r="C13" s="39" t="s">
        <v>71</v>
      </c>
      <c r="D13" s="15">
        <f t="shared" si="4"/>
        <v>1500</v>
      </c>
      <c r="E13" s="15">
        <f>ROUNDUP(Table2[[#This Row],[Column2]],0)</f>
        <v>1500</v>
      </c>
      <c r="F13" s="15"/>
      <c r="G13" s="15">
        <f>Table2[[#This Row],[2017.g. pastāvīgie]]</f>
        <v>1500</v>
      </c>
      <c r="H13" s="19">
        <f>Table2[[#This Row],[2017.g. pastāvīgie]]</f>
        <v>1500</v>
      </c>
      <c r="I13" s="14"/>
      <c r="J13" s="15">
        <f>3000/2</f>
        <v>1500</v>
      </c>
    </row>
    <row r="14" spans="1:10" x14ac:dyDescent="0.25">
      <c r="A14" s="20" t="s">
        <v>18</v>
      </c>
      <c r="B14" s="20" t="s">
        <v>83</v>
      </c>
      <c r="C14" s="39" t="s">
        <v>72</v>
      </c>
      <c r="D14" s="15">
        <f t="shared" si="4"/>
        <v>2250</v>
      </c>
      <c r="E14" s="15">
        <f>ROUNDUP(Table2[[#This Row],[Column2]],0)</f>
        <v>2250</v>
      </c>
      <c r="F14" s="15"/>
      <c r="G14" s="15">
        <f>Table2[[#This Row],[2017.g. pastāvīgie]]</f>
        <v>2250</v>
      </c>
      <c r="H14" s="19">
        <f>Table2[[#This Row],[2017.g. pastāvīgie]]</f>
        <v>2250</v>
      </c>
      <c r="I14" s="14"/>
      <c r="J14" s="15">
        <f>4500/2</f>
        <v>2250</v>
      </c>
    </row>
    <row r="15" spans="1:10" x14ac:dyDescent="0.25">
      <c r="A15" s="20" t="s">
        <v>19</v>
      </c>
      <c r="B15" s="20" t="s">
        <v>83</v>
      </c>
      <c r="C15" s="39" t="s">
        <v>73</v>
      </c>
      <c r="D15" s="15">
        <f t="shared" si="4"/>
        <v>500</v>
      </c>
      <c r="E15" s="15">
        <f>ROUNDUP(Table2[[#This Row],[Column2]],0)</f>
        <v>500</v>
      </c>
      <c r="F15" s="15"/>
      <c r="G15" s="15">
        <f>Table2[[#This Row],[2017.g. pastāvīgie]]</f>
        <v>500</v>
      </c>
      <c r="H15" s="19">
        <f>Table2[[#This Row],[2017.g. pastāvīgie]]</f>
        <v>500</v>
      </c>
      <c r="I15" s="14"/>
      <c r="J15" s="15">
        <f>1000/2</f>
        <v>500</v>
      </c>
    </row>
    <row r="16" spans="1:10" x14ac:dyDescent="0.25">
      <c r="A16" s="20" t="s">
        <v>20</v>
      </c>
      <c r="B16" s="20" t="s">
        <v>83</v>
      </c>
      <c r="C16" s="39" t="s">
        <v>74</v>
      </c>
      <c r="D16" s="15">
        <f t="shared" si="4"/>
        <v>3500</v>
      </c>
      <c r="E16" s="15"/>
      <c r="F16" s="15">
        <v>3500</v>
      </c>
      <c r="G16" s="15"/>
      <c r="H16" s="19">
        <v>3500</v>
      </c>
      <c r="I16" s="14" t="s">
        <v>39</v>
      </c>
      <c r="J16" s="15"/>
    </row>
    <row r="17" spans="1:10" ht="27.75" customHeight="1" x14ac:dyDescent="0.25">
      <c r="A17" s="32" t="s">
        <v>5</v>
      </c>
      <c r="B17" s="32" t="s">
        <v>83</v>
      </c>
      <c r="C17" s="40" t="s">
        <v>75</v>
      </c>
      <c r="D17" s="15">
        <f t="shared" si="4"/>
        <v>20000</v>
      </c>
      <c r="E17" s="15">
        <v>20000</v>
      </c>
      <c r="F17" s="15"/>
      <c r="G17" s="15">
        <v>20000</v>
      </c>
      <c r="H17" s="19">
        <v>20000</v>
      </c>
      <c r="I17" s="14" t="s">
        <v>57</v>
      </c>
      <c r="J17" s="15"/>
    </row>
    <row r="18" spans="1:10" ht="31.5" x14ac:dyDescent="0.25">
      <c r="A18" s="22" t="s">
        <v>21</v>
      </c>
      <c r="B18" s="22" t="s">
        <v>83</v>
      </c>
      <c r="C18" s="41" t="s">
        <v>76</v>
      </c>
      <c r="D18" s="15">
        <f t="shared" si="4"/>
        <v>42565</v>
      </c>
      <c r="E18" s="15">
        <f>ROUNDUP(40538*1.05,0)</f>
        <v>42565</v>
      </c>
      <c r="F18" s="15"/>
      <c r="G18" s="15">
        <f t="shared" ref="G18:H18" si="5">ROUNDUP(40538*1.05,0)</f>
        <v>42565</v>
      </c>
      <c r="H18" s="19">
        <f t="shared" si="5"/>
        <v>42565</v>
      </c>
      <c r="I18" s="14"/>
      <c r="J18" s="15"/>
    </row>
    <row r="19" spans="1:10" ht="18" customHeight="1" x14ac:dyDescent="0.25">
      <c r="A19" s="22" t="s">
        <v>22</v>
      </c>
      <c r="B19" s="22" t="s">
        <v>83</v>
      </c>
      <c r="C19" s="41" t="s">
        <v>77</v>
      </c>
      <c r="D19" s="15">
        <f t="shared" si="4"/>
        <v>3547</v>
      </c>
      <c r="E19" s="15"/>
      <c r="F19" s="15">
        <v>3547</v>
      </c>
      <c r="G19" s="15"/>
      <c r="H19" s="19"/>
      <c r="I19" s="14"/>
      <c r="J19" s="15"/>
    </row>
    <row r="20" spans="1:10" ht="18" customHeight="1" x14ac:dyDescent="0.25">
      <c r="A20" s="22" t="s">
        <v>23</v>
      </c>
      <c r="B20" s="22" t="s">
        <v>83</v>
      </c>
      <c r="C20" s="41" t="s">
        <v>78</v>
      </c>
      <c r="D20" s="15">
        <f t="shared" si="4"/>
        <v>0</v>
      </c>
      <c r="E20" s="15"/>
      <c r="F20" s="15"/>
      <c r="G20" s="15"/>
      <c r="H20" s="19"/>
      <c r="I20" s="14"/>
      <c r="J20" s="15"/>
    </row>
    <row r="21" spans="1:10" ht="18" customHeight="1" x14ac:dyDescent="0.25">
      <c r="A21" s="22" t="s">
        <v>24</v>
      </c>
      <c r="B21" s="22" t="s">
        <v>83</v>
      </c>
      <c r="C21" s="41" t="s">
        <v>104</v>
      </c>
      <c r="D21" s="15">
        <f t="shared" si="4"/>
        <v>461</v>
      </c>
      <c r="E21" s="15">
        <v>461</v>
      </c>
      <c r="F21" s="15"/>
      <c r="G21" s="15">
        <f>E21</f>
        <v>461</v>
      </c>
      <c r="H21" s="19">
        <f>E21</f>
        <v>461</v>
      </c>
      <c r="I21" s="14" t="s">
        <v>31</v>
      </c>
      <c r="J21" s="15"/>
    </row>
    <row r="22" spans="1:10" ht="18" customHeight="1" x14ac:dyDescent="0.25">
      <c r="A22" s="22" t="s">
        <v>25</v>
      </c>
      <c r="B22" s="22" t="s">
        <v>83</v>
      </c>
      <c r="C22" s="41" t="s">
        <v>79</v>
      </c>
      <c r="D22" s="15">
        <f t="shared" si="4"/>
        <v>500</v>
      </c>
      <c r="E22" s="15">
        <f>ROUNDUP(Table2[[#This Row],[Column2]],0)</f>
        <v>500</v>
      </c>
      <c r="F22" s="15"/>
      <c r="G22" s="15">
        <f>Table2[[#This Row],[2017.g. pastāvīgie]]</f>
        <v>500</v>
      </c>
      <c r="H22" s="19">
        <f>Table2[[#This Row],[2017.g. pastāvīgie]]</f>
        <v>500</v>
      </c>
      <c r="I22" s="14"/>
      <c r="J22" s="15">
        <f>1000/2</f>
        <v>500</v>
      </c>
    </row>
    <row r="23" spans="1:10" ht="110.25" x14ac:dyDescent="0.25">
      <c r="A23" s="22" t="s">
        <v>26</v>
      </c>
      <c r="B23" s="22" t="s">
        <v>83</v>
      </c>
      <c r="C23" s="41" t="s">
        <v>80</v>
      </c>
      <c r="D23" s="15">
        <f t="shared" si="4"/>
        <v>1319</v>
      </c>
      <c r="E23" s="15"/>
      <c r="F23" s="15">
        <f>180+200+213+120+213+100+60+183+50</f>
        <v>1319</v>
      </c>
      <c r="G23" s="15"/>
      <c r="H23" s="19"/>
      <c r="I23" s="14" t="s">
        <v>55</v>
      </c>
      <c r="J23" s="15"/>
    </row>
    <row r="24" spans="1:10" s="26" customFormat="1" ht="18.75" customHeight="1" x14ac:dyDescent="0.25">
      <c r="A24" s="23" t="s">
        <v>27</v>
      </c>
      <c r="B24" s="23"/>
      <c r="C24" s="42"/>
      <c r="D24" s="24">
        <f>D25</f>
        <v>1060</v>
      </c>
      <c r="E24" s="24">
        <f>E25</f>
        <v>0</v>
      </c>
      <c r="F24" s="24">
        <f t="shared" ref="F24:H24" si="6">F25</f>
        <v>1060</v>
      </c>
      <c r="G24" s="24">
        <f t="shared" si="6"/>
        <v>0</v>
      </c>
      <c r="H24" s="25">
        <f t="shared" si="6"/>
        <v>0</v>
      </c>
      <c r="I24" s="25"/>
      <c r="J24" s="15"/>
    </row>
    <row r="25" spans="1:10" ht="18.75" customHeight="1" x14ac:dyDescent="0.25">
      <c r="A25" s="22" t="s">
        <v>28</v>
      </c>
      <c r="B25" s="22" t="s">
        <v>83</v>
      </c>
      <c r="C25" s="41" t="s">
        <v>81</v>
      </c>
      <c r="D25" s="15">
        <f>E25+F25</f>
        <v>1060</v>
      </c>
      <c r="E25" s="15"/>
      <c r="F25" s="15">
        <f>260+800</f>
        <v>1060</v>
      </c>
      <c r="G25" s="15"/>
      <c r="H25" s="19"/>
      <c r="I25" s="14" t="s">
        <v>29</v>
      </c>
      <c r="J25" s="15"/>
    </row>
    <row r="26" spans="1:10" ht="31.5" x14ac:dyDescent="0.25">
      <c r="A26" s="6" t="s">
        <v>33</v>
      </c>
      <c r="B26" s="6"/>
      <c r="C26" s="36"/>
      <c r="D26" s="7">
        <f>D27+D34+D48</f>
        <v>121758</v>
      </c>
      <c r="E26" s="7">
        <f>E27+E34+E48</f>
        <v>112598</v>
      </c>
      <c r="F26" s="7">
        <f t="shared" ref="F26" si="7">F27+F34+F48</f>
        <v>9160</v>
      </c>
      <c r="G26" s="7">
        <f t="shared" ref="G26" si="8">G27+G34+G48</f>
        <v>112598</v>
      </c>
      <c r="H26" s="9">
        <f t="shared" ref="H26" si="9">H27+H34+H48</f>
        <v>117598</v>
      </c>
      <c r="I26" s="10"/>
      <c r="J26" s="15"/>
    </row>
    <row r="27" spans="1:10" x14ac:dyDescent="0.25">
      <c r="A27" s="12" t="s">
        <v>0</v>
      </c>
      <c r="B27" s="12"/>
      <c r="C27" s="37"/>
      <c r="D27" s="8">
        <f>SUM(D28:D33)</f>
        <v>63021</v>
      </c>
      <c r="E27" s="8">
        <f>SUM(E28:E33)</f>
        <v>63021</v>
      </c>
      <c r="F27" s="8">
        <f>SUM(F28:F33)</f>
        <v>0</v>
      </c>
      <c r="G27" s="8">
        <f>SUM(G28:G33)</f>
        <v>63021</v>
      </c>
      <c r="H27" s="13">
        <f>SUM(H28:H33)</f>
        <v>63021</v>
      </c>
      <c r="I27" s="14"/>
      <c r="J27" s="15"/>
    </row>
    <row r="28" spans="1:10" x14ac:dyDescent="0.25">
      <c r="A28" s="16" t="s">
        <v>10</v>
      </c>
      <c r="B28" s="16" t="s">
        <v>84</v>
      </c>
      <c r="C28" s="38" t="s">
        <v>62</v>
      </c>
      <c r="D28" s="17">
        <f>E28+F28</f>
        <v>15444</v>
      </c>
      <c r="E28" s="17">
        <f t="shared" ref="E28" si="10">1287*12</f>
        <v>15444</v>
      </c>
      <c r="F28" s="17"/>
      <c r="G28" s="17">
        <f>E28</f>
        <v>15444</v>
      </c>
      <c r="H28" s="18">
        <f>E28</f>
        <v>15444</v>
      </c>
      <c r="I28" s="14"/>
      <c r="J28" s="15"/>
    </row>
    <row r="29" spans="1:10" x14ac:dyDescent="0.25">
      <c r="A29" s="16" t="s">
        <v>1</v>
      </c>
      <c r="B29" s="16" t="s">
        <v>84</v>
      </c>
      <c r="C29" s="38" t="s">
        <v>63</v>
      </c>
      <c r="D29" s="17">
        <f t="shared" ref="D29:D33" si="11">E29+F29</f>
        <v>3089</v>
      </c>
      <c r="E29" s="17">
        <f>ROUND(E28*0.2,0)</f>
        <v>3089</v>
      </c>
      <c r="F29" s="17"/>
      <c r="G29" s="17">
        <f>ROUND(G28*0.2,0)</f>
        <v>3089</v>
      </c>
      <c r="H29" s="18">
        <f>ROUND(H28*0.2,0)</f>
        <v>3089</v>
      </c>
      <c r="I29" s="14"/>
      <c r="J29" s="15"/>
    </row>
    <row r="30" spans="1:10" ht="31.5" x14ac:dyDescent="0.25">
      <c r="A30" s="16" t="s">
        <v>2</v>
      </c>
      <c r="B30" s="16" t="s">
        <v>84</v>
      </c>
      <c r="C30" s="38" t="s">
        <v>64</v>
      </c>
      <c r="D30" s="17">
        <f t="shared" si="11"/>
        <v>4372</v>
      </c>
      <c r="E30" s="17">
        <f>ROUNDUP((E28+E29)*0.2359,0)</f>
        <v>4372</v>
      </c>
      <c r="F30" s="17"/>
      <c r="G30" s="17">
        <f>ROUNDUP((G28+G29)*0.2359,0)</f>
        <v>4372</v>
      </c>
      <c r="H30" s="18">
        <f>ROUNDUP((H28+H29)*0.2359,0)</f>
        <v>4372</v>
      </c>
      <c r="I30" s="14"/>
      <c r="J30" s="15"/>
    </row>
    <row r="31" spans="1:10" ht="78.75" x14ac:dyDescent="0.25">
      <c r="A31" s="44" t="s">
        <v>66</v>
      </c>
      <c r="B31" s="44" t="s">
        <v>84</v>
      </c>
      <c r="C31" s="38" t="s">
        <v>67</v>
      </c>
      <c r="D31" s="17">
        <f t="shared" si="11"/>
        <v>34462</v>
      </c>
      <c r="E31" s="17">
        <f t="shared" ref="E31" si="12">ROUNDUP(((19778+6830+4127)*0.975*1.15),0)</f>
        <v>34462</v>
      </c>
      <c r="F31" s="17"/>
      <c r="G31" s="17">
        <f>E31</f>
        <v>34462</v>
      </c>
      <c r="H31" s="18">
        <f>D31</f>
        <v>34462</v>
      </c>
      <c r="I31" s="14"/>
      <c r="J31" s="15"/>
    </row>
    <row r="32" spans="1:10" ht="31.5" x14ac:dyDescent="0.25">
      <c r="A32" s="16" t="s">
        <v>14</v>
      </c>
      <c r="B32" s="16" t="s">
        <v>84</v>
      </c>
      <c r="C32" s="38" t="s">
        <v>65</v>
      </c>
      <c r="D32" s="17">
        <f t="shared" si="11"/>
        <v>854</v>
      </c>
      <c r="E32" s="17">
        <f>ROUNDUP(71.14*12,0)</f>
        <v>854</v>
      </c>
      <c r="F32" s="17"/>
      <c r="G32" s="17">
        <f>E32</f>
        <v>854</v>
      </c>
      <c r="H32" s="18">
        <f>E32</f>
        <v>854</v>
      </c>
      <c r="I32" s="14" t="s">
        <v>56</v>
      </c>
      <c r="J32" s="15"/>
    </row>
    <row r="33" spans="1:10" ht="31.5" x14ac:dyDescent="0.25">
      <c r="A33" s="16" t="s">
        <v>3</v>
      </c>
      <c r="B33" s="16" t="s">
        <v>84</v>
      </c>
      <c r="C33" s="38" t="s">
        <v>68</v>
      </c>
      <c r="D33" s="17">
        <f t="shared" si="11"/>
        <v>4800</v>
      </c>
      <c r="E33" s="15">
        <f>1824*2+1152</f>
        <v>4800</v>
      </c>
      <c r="F33" s="15"/>
      <c r="G33" s="15">
        <f>E33</f>
        <v>4800</v>
      </c>
      <c r="H33" s="19">
        <f>E33</f>
        <v>4800</v>
      </c>
      <c r="I33" s="14"/>
      <c r="J33" s="15"/>
    </row>
    <row r="34" spans="1:10" x14ac:dyDescent="0.25">
      <c r="A34" s="12" t="s">
        <v>4</v>
      </c>
      <c r="B34" s="12"/>
      <c r="C34" s="37"/>
      <c r="D34" s="8">
        <f>SUM(D35:D47)</f>
        <v>57677</v>
      </c>
      <c r="E34" s="8">
        <f t="shared" ref="E34" si="13">SUM(E35:E47)</f>
        <v>49577</v>
      </c>
      <c r="F34" s="8">
        <f t="shared" ref="F34" si="14">SUM(F35:F47)</f>
        <v>8100</v>
      </c>
      <c r="G34" s="8">
        <f t="shared" ref="G34" si="15">SUM(G35:G47)</f>
        <v>49577</v>
      </c>
      <c r="H34" s="13">
        <f t="shared" ref="H34" si="16">SUM(H35:H47)</f>
        <v>54577</v>
      </c>
      <c r="I34" s="14"/>
      <c r="J34" s="15"/>
    </row>
    <row r="35" spans="1:10" ht="15.75" customHeight="1" x14ac:dyDescent="0.25">
      <c r="A35" s="20" t="s">
        <v>15</v>
      </c>
      <c r="B35" s="20" t="s">
        <v>84</v>
      </c>
      <c r="C35" s="39" t="s">
        <v>69</v>
      </c>
      <c r="D35" s="15">
        <f>E35+F35</f>
        <v>1500</v>
      </c>
      <c r="E35" s="15"/>
      <c r="F35" s="15">
        <f>ROUND(I35/2*3,0)</f>
        <v>1500</v>
      </c>
      <c r="G35" s="15"/>
      <c r="H35" s="19">
        <f t="shared" ref="H35" si="17">ROUND(1000/2*3,0)</f>
        <v>1500</v>
      </c>
      <c r="I35" s="21">
        <v>1000</v>
      </c>
      <c r="J35" s="15"/>
    </row>
    <row r="36" spans="1:10" ht="31.5" x14ac:dyDescent="0.25">
      <c r="A36" s="20" t="s">
        <v>16</v>
      </c>
      <c r="B36" s="20" t="s">
        <v>84</v>
      </c>
      <c r="C36" s="39" t="s">
        <v>70</v>
      </c>
      <c r="D36" s="15">
        <f t="shared" ref="D36:D47" si="18">E36+F36</f>
        <v>3000</v>
      </c>
      <c r="E36" s="15">
        <f>ROUND(I35*3,0)</f>
        <v>3000</v>
      </c>
      <c r="F36" s="15"/>
      <c r="G36" s="15">
        <f>ROUND(I35*3,0)</f>
        <v>3000</v>
      </c>
      <c r="H36" s="19">
        <f>ROUND(I35*3,0)</f>
        <v>3000</v>
      </c>
      <c r="I36" s="14"/>
      <c r="J36" s="15"/>
    </row>
    <row r="37" spans="1:10" x14ac:dyDescent="0.25">
      <c r="A37" s="20" t="s">
        <v>17</v>
      </c>
      <c r="B37" s="20" t="s">
        <v>84</v>
      </c>
      <c r="C37" s="39" t="s">
        <v>71</v>
      </c>
      <c r="D37" s="15">
        <f t="shared" si="18"/>
        <v>1500</v>
      </c>
      <c r="E37" s="15">
        <f>ROUNDUP(Table2[[#This Row],[Column2]],0)</f>
        <v>1500</v>
      </c>
      <c r="F37" s="15"/>
      <c r="G37" s="15">
        <f>Table2[[#This Row],[2017.g. pastāvīgie]]</f>
        <v>1500</v>
      </c>
      <c r="H37" s="19">
        <f>Table2[[#This Row],[2017.g. pastāvīgie]]</f>
        <v>1500</v>
      </c>
      <c r="I37" s="14"/>
      <c r="J37" s="15">
        <f>3000/2</f>
        <v>1500</v>
      </c>
    </row>
    <row r="38" spans="1:10" x14ac:dyDescent="0.25">
      <c r="A38" s="20" t="s">
        <v>18</v>
      </c>
      <c r="B38" s="20" t="s">
        <v>84</v>
      </c>
      <c r="C38" s="39" t="s">
        <v>72</v>
      </c>
      <c r="D38" s="15">
        <f t="shared" si="18"/>
        <v>2250</v>
      </c>
      <c r="E38" s="15">
        <f>ROUNDUP(Table2[[#This Row],[Column2]],0)</f>
        <v>2250</v>
      </c>
      <c r="F38" s="15"/>
      <c r="G38" s="15">
        <f>Table2[[#This Row],[2017.g. pastāvīgie]]</f>
        <v>2250</v>
      </c>
      <c r="H38" s="19">
        <f>Table2[[#This Row],[2017.g. pastāvīgie]]</f>
        <v>2250</v>
      </c>
      <c r="I38" s="14"/>
      <c r="J38" s="15">
        <f>4500/2</f>
        <v>2250</v>
      </c>
    </row>
    <row r="39" spans="1:10" x14ac:dyDescent="0.25">
      <c r="A39" s="20" t="s">
        <v>19</v>
      </c>
      <c r="B39" s="20" t="s">
        <v>84</v>
      </c>
      <c r="C39" s="39" t="s">
        <v>73</v>
      </c>
      <c r="D39" s="15">
        <f t="shared" si="18"/>
        <v>500</v>
      </c>
      <c r="E39" s="15">
        <f>ROUNDUP(Table2[[#This Row],[Column2]],0)</f>
        <v>500</v>
      </c>
      <c r="F39" s="15"/>
      <c r="G39" s="15">
        <f>Table2[[#This Row],[2017.g. pastāvīgie]]</f>
        <v>500</v>
      </c>
      <c r="H39" s="19">
        <f>Table2[[#This Row],[2017.g. pastāvīgie]]</f>
        <v>500</v>
      </c>
      <c r="I39" s="14"/>
      <c r="J39" s="15">
        <f>1000/2</f>
        <v>500</v>
      </c>
    </row>
    <row r="40" spans="1:10" x14ac:dyDescent="0.25">
      <c r="A40" s="20" t="s">
        <v>20</v>
      </c>
      <c r="B40" s="20" t="s">
        <v>84</v>
      </c>
      <c r="C40" s="39" t="s">
        <v>74</v>
      </c>
      <c r="D40" s="15">
        <f t="shared" si="18"/>
        <v>3500</v>
      </c>
      <c r="E40" s="15"/>
      <c r="F40" s="15">
        <v>3500</v>
      </c>
      <c r="G40" s="15"/>
      <c r="H40" s="19">
        <v>3500</v>
      </c>
      <c r="I40" s="14" t="s">
        <v>39</v>
      </c>
      <c r="J40" s="15"/>
    </row>
    <row r="41" spans="1:10" ht="27.75" customHeight="1" x14ac:dyDescent="0.25">
      <c r="A41" s="32" t="s">
        <v>5</v>
      </c>
      <c r="B41" s="32" t="s">
        <v>84</v>
      </c>
      <c r="C41" s="40" t="s">
        <v>75</v>
      </c>
      <c r="D41" s="15">
        <f t="shared" si="18"/>
        <v>20000</v>
      </c>
      <c r="E41" s="15">
        <v>20000</v>
      </c>
      <c r="F41" s="15"/>
      <c r="G41" s="15">
        <v>20000</v>
      </c>
      <c r="H41" s="19">
        <v>20000</v>
      </c>
      <c r="I41" s="14" t="s">
        <v>57</v>
      </c>
      <c r="J41" s="15"/>
    </row>
    <row r="42" spans="1:10" ht="31.5" x14ac:dyDescent="0.25">
      <c r="A42" s="22" t="s">
        <v>21</v>
      </c>
      <c r="B42" s="22" t="s">
        <v>84</v>
      </c>
      <c r="C42" s="41" t="s">
        <v>76</v>
      </c>
      <c r="D42" s="15">
        <f t="shared" si="18"/>
        <v>21366</v>
      </c>
      <c r="E42" s="15">
        <f>ROUNDUP(20348*1.05,0)</f>
        <v>21366</v>
      </c>
      <c r="F42" s="15"/>
      <c r="G42" s="15">
        <f>E42</f>
        <v>21366</v>
      </c>
      <c r="H42" s="19">
        <f>E42</f>
        <v>21366</v>
      </c>
      <c r="I42" s="14"/>
      <c r="J42" s="15"/>
    </row>
    <row r="43" spans="1:10" ht="18" customHeight="1" x14ac:dyDescent="0.25">
      <c r="A43" s="22" t="s">
        <v>22</v>
      </c>
      <c r="B43" s="22" t="s">
        <v>84</v>
      </c>
      <c r="C43" s="41" t="s">
        <v>77</v>
      </c>
      <c r="D43" s="15">
        <f t="shared" si="18"/>
        <v>1781</v>
      </c>
      <c r="E43" s="15"/>
      <c r="F43" s="15">
        <v>1781</v>
      </c>
      <c r="G43" s="15"/>
      <c r="H43" s="19"/>
      <c r="I43" s="14"/>
      <c r="J43" s="15"/>
    </row>
    <row r="44" spans="1:10" ht="18" customHeight="1" x14ac:dyDescent="0.25">
      <c r="A44" s="22" t="s">
        <v>23</v>
      </c>
      <c r="B44" s="22" t="s">
        <v>84</v>
      </c>
      <c r="C44" s="41" t="s">
        <v>78</v>
      </c>
      <c r="D44" s="15">
        <f t="shared" si="18"/>
        <v>0</v>
      </c>
      <c r="E44" s="15"/>
      <c r="F44" s="15"/>
      <c r="G44" s="15"/>
      <c r="H44" s="19"/>
      <c r="I44" s="14"/>
      <c r="J44" s="15"/>
    </row>
    <row r="45" spans="1:10" ht="18" customHeight="1" x14ac:dyDescent="0.25">
      <c r="A45" s="22" t="s">
        <v>24</v>
      </c>
      <c r="B45" s="22" t="s">
        <v>84</v>
      </c>
      <c r="C45" s="41" t="s">
        <v>104</v>
      </c>
      <c r="D45" s="15">
        <f t="shared" si="18"/>
        <v>461</v>
      </c>
      <c r="E45" s="15">
        <v>461</v>
      </c>
      <c r="F45" s="15"/>
      <c r="G45" s="15">
        <f>E45</f>
        <v>461</v>
      </c>
      <c r="H45" s="19">
        <f>E45</f>
        <v>461</v>
      </c>
      <c r="I45" s="14" t="s">
        <v>31</v>
      </c>
      <c r="J45" s="15"/>
    </row>
    <row r="46" spans="1:10" ht="18" customHeight="1" x14ac:dyDescent="0.25">
      <c r="A46" s="22" t="s">
        <v>25</v>
      </c>
      <c r="B46" s="22" t="s">
        <v>84</v>
      </c>
      <c r="C46" s="41" t="s">
        <v>79</v>
      </c>
      <c r="D46" s="15">
        <f t="shared" si="18"/>
        <v>500</v>
      </c>
      <c r="E46" s="15">
        <f>ROUNDUP(Table2[[#This Row],[Column2]],0)</f>
        <v>500</v>
      </c>
      <c r="F46" s="15"/>
      <c r="G46" s="15">
        <f>Table2[[#This Row],[2017.g. pastāvīgie]]</f>
        <v>500</v>
      </c>
      <c r="H46" s="19">
        <f>Table2[[#This Row],[2017.g. pastāvīgie]]</f>
        <v>500</v>
      </c>
      <c r="I46" s="14"/>
      <c r="J46" s="15">
        <f>1000/2</f>
        <v>500</v>
      </c>
    </row>
    <row r="47" spans="1:10" ht="82.5" customHeight="1" x14ac:dyDescent="0.25">
      <c r="A47" s="22" t="s">
        <v>26</v>
      </c>
      <c r="B47" s="22" t="s">
        <v>84</v>
      </c>
      <c r="C47" s="41" t="s">
        <v>80</v>
      </c>
      <c r="D47" s="15">
        <f t="shared" si="18"/>
        <v>1319</v>
      </c>
      <c r="E47" s="15"/>
      <c r="F47" s="15">
        <f>180+200+213+120+213+100+60+183+50</f>
        <v>1319</v>
      </c>
      <c r="G47" s="15"/>
      <c r="H47" s="19"/>
      <c r="I47" s="14" t="s">
        <v>55</v>
      </c>
      <c r="J47" s="15"/>
    </row>
    <row r="48" spans="1:10" s="26" customFormat="1" ht="18.75" customHeight="1" x14ac:dyDescent="0.25">
      <c r="A48" s="23" t="s">
        <v>27</v>
      </c>
      <c r="B48" s="23"/>
      <c r="C48" s="42"/>
      <c r="D48" s="24">
        <f>D49</f>
        <v>1060</v>
      </c>
      <c r="E48" s="24">
        <f>E49</f>
        <v>0</v>
      </c>
      <c r="F48" s="24">
        <f t="shared" ref="F48" si="19">F49</f>
        <v>1060</v>
      </c>
      <c r="G48" s="24">
        <f t="shared" ref="G48" si="20">G49</f>
        <v>0</v>
      </c>
      <c r="H48" s="25">
        <f t="shared" ref="H48" si="21">H49</f>
        <v>0</v>
      </c>
      <c r="I48" s="25"/>
      <c r="J48" s="15"/>
    </row>
    <row r="49" spans="1:10" ht="18.75" customHeight="1" x14ac:dyDescent="0.25">
      <c r="A49" s="22" t="s">
        <v>28</v>
      </c>
      <c r="B49" s="22" t="s">
        <v>84</v>
      </c>
      <c r="C49" s="41" t="s">
        <v>81</v>
      </c>
      <c r="D49" s="15">
        <f>E49+F49</f>
        <v>1060</v>
      </c>
      <c r="E49" s="15"/>
      <c r="F49" s="15">
        <f>260+800</f>
        <v>1060</v>
      </c>
      <c r="G49" s="15"/>
      <c r="H49" s="19"/>
      <c r="I49" s="14" t="s">
        <v>29</v>
      </c>
      <c r="J49" s="15"/>
    </row>
    <row r="50" spans="1:10" ht="33" customHeight="1" x14ac:dyDescent="0.25">
      <c r="A50" s="6" t="s">
        <v>34</v>
      </c>
      <c r="B50" s="6"/>
      <c r="C50" s="36"/>
      <c r="D50" s="7">
        <f>D51+D58+D72</f>
        <v>98688</v>
      </c>
      <c r="E50" s="7">
        <f t="shared" ref="E50" si="22">E51+E58+E72</f>
        <v>91364</v>
      </c>
      <c r="F50" s="7">
        <f t="shared" ref="F50" si="23">F51+F58+F72</f>
        <v>7324</v>
      </c>
      <c r="G50" s="7">
        <f t="shared" ref="G50" si="24">G51+G58+G72</f>
        <v>91364</v>
      </c>
      <c r="H50" s="9">
        <f t="shared" ref="H50" si="25">H51+H58+H72</f>
        <v>95419</v>
      </c>
      <c r="I50" s="10"/>
      <c r="J50" s="15"/>
    </row>
    <row r="51" spans="1:10" x14ac:dyDescent="0.25">
      <c r="A51" s="12" t="s">
        <v>0</v>
      </c>
      <c r="B51" s="12"/>
      <c r="C51" s="37"/>
      <c r="D51" s="8">
        <f>SUM(D52:D57)</f>
        <v>48070</v>
      </c>
      <c r="E51" s="8">
        <f>SUM(E52:E57)</f>
        <v>48070</v>
      </c>
      <c r="F51" s="8">
        <f>SUM(F52:F57)</f>
        <v>0</v>
      </c>
      <c r="G51" s="8">
        <f>SUM(G52:G57)</f>
        <v>48070</v>
      </c>
      <c r="H51" s="13">
        <f>SUM(H52:H57)</f>
        <v>48070</v>
      </c>
      <c r="I51" s="14"/>
      <c r="J51" s="15"/>
    </row>
    <row r="52" spans="1:10" x14ac:dyDescent="0.25">
      <c r="A52" s="16" t="s">
        <v>10</v>
      </c>
      <c r="B52" s="16" t="s">
        <v>85</v>
      </c>
      <c r="C52" s="38" t="s">
        <v>62</v>
      </c>
      <c r="D52" s="17">
        <f>E52+F52</f>
        <v>15444</v>
      </c>
      <c r="E52" s="17">
        <f t="shared" ref="E52" si="26">1287*12</f>
        <v>15444</v>
      </c>
      <c r="F52" s="17"/>
      <c r="G52" s="17">
        <f>E52</f>
        <v>15444</v>
      </c>
      <c r="H52" s="18">
        <f>E52</f>
        <v>15444</v>
      </c>
      <c r="I52" s="14"/>
      <c r="J52" s="15"/>
    </row>
    <row r="53" spans="1:10" x14ac:dyDescent="0.25">
      <c r="A53" s="16" t="s">
        <v>1</v>
      </c>
      <c r="B53" s="16" t="s">
        <v>85</v>
      </c>
      <c r="C53" s="38" t="s">
        <v>63</v>
      </c>
      <c r="D53" s="17">
        <f t="shared" ref="D53:D57" si="27">E53+F53</f>
        <v>3089</v>
      </c>
      <c r="E53" s="17">
        <f>ROUND(E52*0.2,0)</f>
        <v>3089</v>
      </c>
      <c r="F53" s="17"/>
      <c r="G53" s="17">
        <f>ROUND(G52*0.2,0)</f>
        <v>3089</v>
      </c>
      <c r="H53" s="18">
        <f>ROUND(H52*0.2,0)</f>
        <v>3089</v>
      </c>
      <c r="I53" s="14"/>
      <c r="J53" s="15"/>
    </row>
    <row r="54" spans="1:10" ht="31.5" x14ac:dyDescent="0.25">
      <c r="A54" s="16" t="s">
        <v>2</v>
      </c>
      <c r="B54" s="16" t="s">
        <v>85</v>
      </c>
      <c r="C54" s="38" t="s">
        <v>64</v>
      </c>
      <c r="D54" s="17">
        <f t="shared" si="27"/>
        <v>4372</v>
      </c>
      <c r="E54" s="17">
        <f>ROUNDUP((E52+E53)*0.2359,0)</f>
        <v>4372</v>
      </c>
      <c r="F54" s="17"/>
      <c r="G54" s="17">
        <f>ROUNDUP((G52+G53)*0.2359,0)</f>
        <v>4372</v>
      </c>
      <c r="H54" s="18">
        <f>ROUNDUP((H52+H53)*0.2359,0)</f>
        <v>4372</v>
      </c>
      <c r="I54" s="14"/>
      <c r="J54" s="15"/>
    </row>
    <row r="55" spans="1:10" ht="78.75" x14ac:dyDescent="0.25">
      <c r="A55" s="44" t="s">
        <v>66</v>
      </c>
      <c r="B55" s="44" t="s">
        <v>85</v>
      </c>
      <c r="C55" s="38" t="s">
        <v>67</v>
      </c>
      <c r="D55" s="17">
        <f t="shared" si="27"/>
        <v>19511</v>
      </c>
      <c r="E55" s="17">
        <f>ROUNDUP(((19778+6830+4127)*0.529*1.2),0)</f>
        <v>19511</v>
      </c>
      <c r="F55" s="17"/>
      <c r="G55" s="17">
        <f>E55</f>
        <v>19511</v>
      </c>
      <c r="H55" s="18">
        <f>D55</f>
        <v>19511</v>
      </c>
      <c r="I55" s="14"/>
      <c r="J55" s="15"/>
    </row>
    <row r="56" spans="1:10" ht="31.5" x14ac:dyDescent="0.25">
      <c r="A56" s="16" t="s">
        <v>14</v>
      </c>
      <c r="B56" s="16" t="s">
        <v>85</v>
      </c>
      <c r="C56" s="38" t="s">
        <v>65</v>
      </c>
      <c r="D56" s="17">
        <f t="shared" si="27"/>
        <v>854</v>
      </c>
      <c r="E56" s="17">
        <f>ROUNDUP(71.14*12,0)</f>
        <v>854</v>
      </c>
      <c r="F56" s="17"/>
      <c r="G56" s="17">
        <f>E56</f>
        <v>854</v>
      </c>
      <c r="H56" s="18">
        <f>E56</f>
        <v>854</v>
      </c>
      <c r="I56" s="14" t="s">
        <v>56</v>
      </c>
      <c r="J56" s="15"/>
    </row>
    <row r="57" spans="1:10" ht="31.5" x14ac:dyDescent="0.25">
      <c r="A57" s="16" t="s">
        <v>3</v>
      </c>
      <c r="B57" s="16" t="s">
        <v>85</v>
      </c>
      <c r="C57" s="38" t="s">
        <v>68</v>
      </c>
      <c r="D57" s="17">
        <f t="shared" si="27"/>
        <v>4800</v>
      </c>
      <c r="E57" s="15">
        <f>1824*2+1152</f>
        <v>4800</v>
      </c>
      <c r="F57" s="15"/>
      <c r="G57" s="15">
        <f>E57</f>
        <v>4800</v>
      </c>
      <c r="H57" s="19">
        <f>E57</f>
        <v>4800</v>
      </c>
      <c r="I57" s="14"/>
      <c r="J57" s="15"/>
    </row>
    <row r="58" spans="1:10" x14ac:dyDescent="0.25">
      <c r="A58" s="12" t="s">
        <v>4</v>
      </c>
      <c r="B58" s="12"/>
      <c r="C58" s="37"/>
      <c r="D58" s="8">
        <f>SUM(D59:D71)</f>
        <v>49558</v>
      </c>
      <c r="E58" s="8">
        <f t="shared" ref="E58" si="28">SUM(E59:E71)</f>
        <v>43294</v>
      </c>
      <c r="F58" s="8">
        <f t="shared" ref="F58" si="29">SUM(F59:F71)</f>
        <v>6264</v>
      </c>
      <c r="G58" s="8">
        <f t="shared" ref="G58" si="30">SUM(G59:G71)</f>
        <v>43294</v>
      </c>
      <c r="H58" s="13">
        <f t="shared" ref="H58" si="31">SUM(H59:H71)</f>
        <v>47349</v>
      </c>
      <c r="I58" s="14"/>
      <c r="J58" s="15"/>
    </row>
    <row r="59" spans="1:10" ht="15.75" customHeight="1" x14ac:dyDescent="0.25">
      <c r="A59" s="20" t="s">
        <v>15</v>
      </c>
      <c r="B59" s="20" t="s">
        <v>85</v>
      </c>
      <c r="C59" s="39" t="s">
        <v>69</v>
      </c>
      <c r="D59" s="15">
        <f>E59+F59</f>
        <v>555</v>
      </c>
      <c r="E59" s="15"/>
      <c r="F59" s="15">
        <f>ROUNDUP(I59/2*3,0)</f>
        <v>555</v>
      </c>
      <c r="G59" s="15"/>
      <c r="H59" s="19">
        <f>ROUND(I59/2*3,0)</f>
        <v>555</v>
      </c>
      <c r="I59" s="21">
        <v>370</v>
      </c>
      <c r="J59" s="15"/>
    </row>
    <row r="60" spans="1:10" ht="31.5" x14ac:dyDescent="0.25">
      <c r="A60" s="20" t="s">
        <v>16</v>
      </c>
      <c r="B60" s="20" t="s">
        <v>85</v>
      </c>
      <c r="C60" s="39" t="s">
        <v>70</v>
      </c>
      <c r="D60" s="15">
        <f t="shared" ref="D60:D71" si="32">E60+F60</f>
        <v>1110</v>
      </c>
      <c r="E60" s="15">
        <f>ROUND(I59*3,0)</f>
        <v>1110</v>
      </c>
      <c r="F60" s="15"/>
      <c r="G60" s="15">
        <f>ROUND(I59*3,0)</f>
        <v>1110</v>
      </c>
      <c r="H60" s="19">
        <f>ROUND(I59*3,0)</f>
        <v>1110</v>
      </c>
      <c r="I60" s="14"/>
      <c r="J60" s="15"/>
    </row>
    <row r="61" spans="1:10" x14ac:dyDescent="0.25">
      <c r="A61" s="20" t="s">
        <v>17</v>
      </c>
      <c r="B61" s="20" t="s">
        <v>85</v>
      </c>
      <c r="C61" s="39" t="s">
        <v>71</v>
      </c>
      <c r="D61" s="15">
        <f t="shared" si="32"/>
        <v>231</v>
      </c>
      <c r="E61" s="15">
        <f>ROUNDUP(Table2[[#This Row],[Column2]],0)</f>
        <v>231</v>
      </c>
      <c r="F61" s="15"/>
      <c r="G61" s="15">
        <f>Table2[[#This Row],[2017.g. pastāvīgie]]</f>
        <v>231</v>
      </c>
      <c r="H61" s="19">
        <f>Table2[[#This Row],[2017.g. pastāvīgie]]</f>
        <v>231</v>
      </c>
      <c r="I61" s="14"/>
      <c r="J61" s="15">
        <f>3000/13</f>
        <v>230.76923076923077</v>
      </c>
    </row>
    <row r="62" spans="1:10" x14ac:dyDescent="0.25">
      <c r="A62" s="20" t="s">
        <v>18</v>
      </c>
      <c r="B62" s="20" t="s">
        <v>85</v>
      </c>
      <c r="C62" s="39" t="s">
        <v>72</v>
      </c>
      <c r="D62" s="15">
        <f t="shared" si="32"/>
        <v>347</v>
      </c>
      <c r="E62" s="15">
        <f>ROUNDUP(Table2[[#This Row],[Column2]],0)</f>
        <v>347</v>
      </c>
      <c r="F62" s="15"/>
      <c r="G62" s="15">
        <f>Table2[[#This Row],[2017.g. pastāvīgie]]</f>
        <v>347</v>
      </c>
      <c r="H62" s="19">
        <f>Table2[[#This Row],[2017.g. pastāvīgie]]</f>
        <v>347</v>
      </c>
      <c r="I62" s="14"/>
      <c r="J62" s="15">
        <f>4500/13</f>
        <v>346.15384615384613</v>
      </c>
    </row>
    <row r="63" spans="1:10" x14ac:dyDescent="0.25">
      <c r="A63" s="20" t="s">
        <v>19</v>
      </c>
      <c r="B63" s="20" t="s">
        <v>85</v>
      </c>
      <c r="C63" s="39" t="s">
        <v>73</v>
      </c>
      <c r="D63" s="15">
        <f t="shared" si="32"/>
        <v>77</v>
      </c>
      <c r="E63" s="15">
        <f>ROUNDUP(Table2[[#This Row],[Column2]],0)</f>
        <v>77</v>
      </c>
      <c r="F63" s="15"/>
      <c r="G63" s="15">
        <f>Table2[[#This Row],[2017.g. pastāvīgie]]</f>
        <v>77</v>
      </c>
      <c r="H63" s="19">
        <f>Table2[[#This Row],[2017.g. pastāvīgie]]</f>
        <v>77</v>
      </c>
      <c r="I63" s="14"/>
      <c r="J63" s="15">
        <f>1000/13</f>
        <v>76.92307692307692</v>
      </c>
    </row>
    <row r="64" spans="1:10" x14ac:dyDescent="0.25">
      <c r="A64" s="20" t="s">
        <v>20</v>
      </c>
      <c r="B64" s="20" t="s">
        <v>85</v>
      </c>
      <c r="C64" s="39" t="s">
        <v>74</v>
      </c>
      <c r="D64" s="15">
        <f t="shared" si="32"/>
        <v>3500</v>
      </c>
      <c r="E64" s="15"/>
      <c r="F64" s="15">
        <v>3500</v>
      </c>
      <c r="G64" s="15"/>
      <c r="H64" s="19">
        <v>3500</v>
      </c>
      <c r="I64" s="14" t="s">
        <v>39</v>
      </c>
      <c r="J64" s="15"/>
    </row>
    <row r="65" spans="1:10" ht="27.75" customHeight="1" x14ac:dyDescent="0.25">
      <c r="A65" s="32" t="s">
        <v>5</v>
      </c>
      <c r="B65" s="32" t="s">
        <v>85</v>
      </c>
      <c r="C65" s="40" t="s">
        <v>75</v>
      </c>
      <c r="D65" s="15">
        <f t="shared" si="32"/>
        <v>19625</v>
      </c>
      <c r="E65" s="15">
        <v>19625</v>
      </c>
      <c r="F65" s="15"/>
      <c r="G65" s="15">
        <f>E65</f>
        <v>19625</v>
      </c>
      <c r="H65" s="19">
        <f>E65</f>
        <v>19625</v>
      </c>
      <c r="I65" s="14"/>
      <c r="J65" s="15"/>
    </row>
    <row r="66" spans="1:10" ht="31.5" x14ac:dyDescent="0.25">
      <c r="A66" s="22" t="s">
        <v>21</v>
      </c>
      <c r="B66" s="22" t="s">
        <v>85</v>
      </c>
      <c r="C66" s="41" t="s">
        <v>76</v>
      </c>
      <c r="D66" s="15">
        <f t="shared" si="32"/>
        <v>21366</v>
      </c>
      <c r="E66" s="15">
        <f>ROUNDUP(20348*1.05,0)</f>
        <v>21366</v>
      </c>
      <c r="F66" s="15"/>
      <c r="G66" s="15">
        <f>E66</f>
        <v>21366</v>
      </c>
      <c r="H66" s="19">
        <f>E66</f>
        <v>21366</v>
      </c>
      <c r="I66" s="14"/>
      <c r="J66" s="15"/>
    </row>
    <row r="67" spans="1:10" ht="18" customHeight="1" x14ac:dyDescent="0.25">
      <c r="A67" s="22" t="s">
        <v>22</v>
      </c>
      <c r="B67" s="22" t="s">
        <v>85</v>
      </c>
      <c r="C67" s="41" t="s">
        <v>77</v>
      </c>
      <c r="D67" s="15">
        <f t="shared" si="32"/>
        <v>890</v>
      </c>
      <c r="E67" s="15"/>
      <c r="F67" s="15">
        <v>890</v>
      </c>
      <c r="G67" s="15"/>
      <c r="H67" s="19"/>
      <c r="I67" s="14"/>
      <c r="J67" s="15"/>
    </row>
    <row r="68" spans="1:10" ht="18" customHeight="1" x14ac:dyDescent="0.25">
      <c r="A68" s="22" t="s">
        <v>23</v>
      </c>
      <c r="B68" s="22" t="s">
        <v>85</v>
      </c>
      <c r="C68" s="41" t="s">
        <v>78</v>
      </c>
      <c r="D68" s="15">
        <f t="shared" si="32"/>
        <v>0</v>
      </c>
      <c r="E68" s="15"/>
      <c r="F68" s="15"/>
      <c r="G68" s="15"/>
      <c r="H68" s="19"/>
      <c r="I68" s="14"/>
      <c r="J68" s="15"/>
    </row>
    <row r="69" spans="1:10" ht="18" customHeight="1" x14ac:dyDescent="0.25">
      <c r="A69" s="22" t="s">
        <v>24</v>
      </c>
      <c r="B69" s="22" t="s">
        <v>85</v>
      </c>
      <c r="C69" s="41" t="s">
        <v>104</v>
      </c>
      <c r="D69" s="15">
        <f t="shared" si="32"/>
        <v>461</v>
      </c>
      <c r="E69" s="15">
        <v>461</v>
      </c>
      <c r="F69" s="15"/>
      <c r="G69" s="15">
        <f>E69</f>
        <v>461</v>
      </c>
      <c r="H69" s="19">
        <f>E69</f>
        <v>461</v>
      </c>
      <c r="I69" s="14" t="s">
        <v>31</v>
      </c>
      <c r="J69" s="15"/>
    </row>
    <row r="70" spans="1:10" ht="18" customHeight="1" x14ac:dyDescent="0.25">
      <c r="A70" s="22" t="s">
        <v>25</v>
      </c>
      <c r="B70" s="22" t="s">
        <v>85</v>
      </c>
      <c r="C70" s="41" t="s">
        <v>79</v>
      </c>
      <c r="D70" s="15">
        <f t="shared" si="32"/>
        <v>77</v>
      </c>
      <c r="E70" s="15">
        <f>ROUNDUP(Table2[[#This Row],[Column2]],0)</f>
        <v>77</v>
      </c>
      <c r="F70" s="15"/>
      <c r="G70" s="15">
        <f>Table2[[#This Row],[2017.g. pastāvīgie]]</f>
        <v>77</v>
      </c>
      <c r="H70" s="19">
        <f>Table2[[#This Row],[2017.g. pastāvīgie]]</f>
        <v>77</v>
      </c>
      <c r="I70" s="14"/>
      <c r="J70" s="15">
        <f>1000/13</f>
        <v>76.92307692307692</v>
      </c>
    </row>
    <row r="71" spans="1:10" ht="81" customHeight="1" x14ac:dyDescent="0.25">
      <c r="A71" s="22" t="s">
        <v>26</v>
      </c>
      <c r="B71" s="22" t="s">
        <v>85</v>
      </c>
      <c r="C71" s="41" t="s">
        <v>80</v>
      </c>
      <c r="D71" s="15">
        <f t="shared" si="32"/>
        <v>1319</v>
      </c>
      <c r="E71" s="15"/>
      <c r="F71" s="15">
        <f>180+200+213+120+213+100+60+183+50</f>
        <v>1319</v>
      </c>
      <c r="G71" s="15"/>
      <c r="H71" s="19"/>
      <c r="I71" s="14" t="s">
        <v>55</v>
      </c>
      <c r="J71" s="15"/>
    </row>
    <row r="72" spans="1:10" s="26" customFormat="1" ht="18.75" customHeight="1" x14ac:dyDescent="0.25">
      <c r="A72" s="23" t="s">
        <v>27</v>
      </c>
      <c r="B72" s="23"/>
      <c r="C72" s="42"/>
      <c r="D72" s="24">
        <f>D73</f>
        <v>1060</v>
      </c>
      <c r="E72" s="24">
        <f>E73</f>
        <v>0</v>
      </c>
      <c r="F72" s="24">
        <f t="shared" ref="F72" si="33">F73</f>
        <v>1060</v>
      </c>
      <c r="G72" s="24">
        <f t="shared" ref="G72" si="34">G73</f>
        <v>0</v>
      </c>
      <c r="H72" s="25">
        <f t="shared" ref="H72" si="35">H73</f>
        <v>0</v>
      </c>
      <c r="I72" s="25"/>
      <c r="J72" s="15"/>
    </row>
    <row r="73" spans="1:10" ht="18.75" customHeight="1" x14ac:dyDescent="0.25">
      <c r="A73" s="22" t="s">
        <v>28</v>
      </c>
      <c r="B73" s="22" t="s">
        <v>85</v>
      </c>
      <c r="C73" s="41" t="s">
        <v>81</v>
      </c>
      <c r="D73" s="15">
        <f>E73+F73</f>
        <v>1060</v>
      </c>
      <c r="E73" s="15"/>
      <c r="F73" s="15">
        <f>260+800</f>
        <v>1060</v>
      </c>
      <c r="G73" s="15"/>
      <c r="H73" s="19"/>
      <c r="I73" s="14" t="s">
        <v>29</v>
      </c>
      <c r="J73" s="15"/>
    </row>
    <row r="74" spans="1:10" ht="33" customHeight="1" x14ac:dyDescent="0.25">
      <c r="A74" s="6" t="s">
        <v>42</v>
      </c>
      <c r="B74" s="6"/>
      <c r="C74" s="36"/>
      <c r="D74" s="7">
        <f>D75+D82+D96</f>
        <v>93986</v>
      </c>
      <c r="E74" s="7">
        <f t="shared" ref="E74" si="36">E75+E82+E96</f>
        <v>85106</v>
      </c>
      <c r="F74" s="7">
        <f t="shared" ref="F74" si="37">F75+F82+F96</f>
        <v>8880</v>
      </c>
      <c r="G74" s="7">
        <f t="shared" ref="G74" si="38">G75+G82+G96</f>
        <v>85106</v>
      </c>
      <c r="H74" s="9">
        <f t="shared" ref="H74" si="39">H75+H82+H96</f>
        <v>89251</v>
      </c>
      <c r="I74" s="10"/>
      <c r="J74" s="15"/>
    </row>
    <row r="75" spans="1:10" x14ac:dyDescent="0.25">
      <c r="A75" s="12" t="s">
        <v>0</v>
      </c>
      <c r="B75" s="12"/>
      <c r="C75" s="37"/>
      <c r="D75" s="8">
        <f>SUM(D76:D81)</f>
        <v>51119</v>
      </c>
      <c r="E75" s="8">
        <f>SUM(E76:E81)</f>
        <v>51119</v>
      </c>
      <c r="F75" s="8">
        <f>SUM(F76:F81)</f>
        <v>0</v>
      </c>
      <c r="G75" s="8">
        <f>SUM(G76:G81)</f>
        <v>51119</v>
      </c>
      <c r="H75" s="13">
        <f>SUM(H76:H81)</f>
        <v>51119</v>
      </c>
      <c r="I75" s="14"/>
      <c r="J75" s="15"/>
    </row>
    <row r="76" spans="1:10" x14ac:dyDescent="0.25">
      <c r="A76" s="16" t="s">
        <v>10</v>
      </c>
      <c r="B76" s="16" t="s">
        <v>86</v>
      </c>
      <c r="C76" s="38" t="s">
        <v>62</v>
      </c>
      <c r="D76" s="17">
        <f>E76+F76</f>
        <v>15444</v>
      </c>
      <c r="E76" s="17">
        <f t="shared" ref="E76" si="40">1287*12</f>
        <v>15444</v>
      </c>
      <c r="F76" s="17"/>
      <c r="G76" s="17">
        <f>E76</f>
        <v>15444</v>
      </c>
      <c r="H76" s="18">
        <f>E76</f>
        <v>15444</v>
      </c>
      <c r="I76" s="14"/>
      <c r="J76" s="15"/>
    </row>
    <row r="77" spans="1:10" x14ac:dyDescent="0.25">
      <c r="A77" s="16" t="s">
        <v>1</v>
      </c>
      <c r="B77" s="16" t="s">
        <v>86</v>
      </c>
      <c r="C77" s="38" t="s">
        <v>63</v>
      </c>
      <c r="D77" s="17">
        <f t="shared" ref="D77:D81" si="41">E77+F77</f>
        <v>3089</v>
      </c>
      <c r="E77" s="17">
        <f>ROUND(E76*0.2,0)</f>
        <v>3089</v>
      </c>
      <c r="F77" s="17"/>
      <c r="G77" s="17">
        <f>ROUND(G76*0.2,0)</f>
        <v>3089</v>
      </c>
      <c r="H77" s="18">
        <f>ROUND(H76*0.2,0)</f>
        <v>3089</v>
      </c>
      <c r="I77" s="14"/>
      <c r="J77" s="15"/>
    </row>
    <row r="78" spans="1:10" ht="31.5" x14ac:dyDescent="0.25">
      <c r="A78" s="16" t="s">
        <v>2</v>
      </c>
      <c r="B78" s="16" t="s">
        <v>86</v>
      </c>
      <c r="C78" s="38" t="s">
        <v>64</v>
      </c>
      <c r="D78" s="17">
        <f t="shared" si="41"/>
        <v>4372</v>
      </c>
      <c r="E78" s="17">
        <f>ROUNDUP((E76+E77)*0.2359,0)</f>
        <v>4372</v>
      </c>
      <c r="F78" s="17"/>
      <c r="G78" s="17">
        <f>ROUNDUP((G76+G77)*0.2359,0)</f>
        <v>4372</v>
      </c>
      <c r="H78" s="18">
        <f>ROUNDUP((H76+H77)*0.2359,0)</f>
        <v>4372</v>
      </c>
      <c r="I78" s="14"/>
      <c r="J78" s="15"/>
    </row>
    <row r="79" spans="1:10" ht="78.75" x14ac:dyDescent="0.25">
      <c r="A79" s="44" t="s">
        <v>66</v>
      </c>
      <c r="B79" s="44" t="s">
        <v>86</v>
      </c>
      <c r="C79" s="38" t="s">
        <v>67</v>
      </c>
      <c r="D79" s="17">
        <f t="shared" si="41"/>
        <v>22560</v>
      </c>
      <c r="E79" s="17">
        <f>ROUNDUP(((19778+6830+4127)*0.734),0)</f>
        <v>22560</v>
      </c>
      <c r="F79" s="17"/>
      <c r="G79" s="17">
        <f>E79</f>
        <v>22560</v>
      </c>
      <c r="H79" s="18">
        <f>D79</f>
        <v>22560</v>
      </c>
      <c r="I79" s="14"/>
      <c r="J79" s="15"/>
    </row>
    <row r="80" spans="1:10" ht="31.5" x14ac:dyDescent="0.25">
      <c r="A80" s="16" t="s">
        <v>14</v>
      </c>
      <c r="B80" s="16" t="s">
        <v>86</v>
      </c>
      <c r="C80" s="38" t="s">
        <v>65</v>
      </c>
      <c r="D80" s="17">
        <f t="shared" si="41"/>
        <v>854</v>
      </c>
      <c r="E80" s="17">
        <f>ROUNDUP(71.14*12,0)</f>
        <v>854</v>
      </c>
      <c r="F80" s="17"/>
      <c r="G80" s="17">
        <f>E80</f>
        <v>854</v>
      </c>
      <c r="H80" s="18">
        <f>E80</f>
        <v>854</v>
      </c>
      <c r="I80" s="14" t="s">
        <v>56</v>
      </c>
      <c r="J80" s="15"/>
    </row>
    <row r="81" spans="1:10" ht="31.5" x14ac:dyDescent="0.25">
      <c r="A81" s="16" t="s">
        <v>3</v>
      </c>
      <c r="B81" s="16" t="s">
        <v>86</v>
      </c>
      <c r="C81" s="38" t="s">
        <v>68</v>
      </c>
      <c r="D81" s="17">
        <f t="shared" si="41"/>
        <v>4800</v>
      </c>
      <c r="E81" s="15">
        <f>1824*2+1152</f>
        <v>4800</v>
      </c>
      <c r="F81" s="15"/>
      <c r="G81" s="15">
        <f>E81</f>
        <v>4800</v>
      </c>
      <c r="H81" s="19">
        <f>E81</f>
        <v>4800</v>
      </c>
      <c r="I81" s="14"/>
      <c r="J81" s="15"/>
    </row>
    <row r="82" spans="1:10" x14ac:dyDescent="0.25">
      <c r="A82" s="12" t="s">
        <v>4</v>
      </c>
      <c r="B82" s="12"/>
      <c r="C82" s="37"/>
      <c r="D82" s="8">
        <f>SUM(D83:D95)</f>
        <v>41807</v>
      </c>
      <c r="E82" s="8">
        <f t="shared" ref="E82" si="42">SUM(E83:E95)</f>
        <v>33987</v>
      </c>
      <c r="F82" s="8">
        <f t="shared" ref="F82" si="43">SUM(F83:F95)</f>
        <v>7820</v>
      </c>
      <c r="G82" s="8">
        <f t="shared" ref="G82" si="44">SUM(G83:G95)</f>
        <v>33987</v>
      </c>
      <c r="H82" s="13">
        <f t="shared" ref="H82" si="45">SUM(H83:H95)</f>
        <v>38132</v>
      </c>
      <c r="I82" s="14"/>
      <c r="J82" s="15"/>
    </row>
    <row r="83" spans="1:10" ht="15.75" customHeight="1" x14ac:dyDescent="0.25">
      <c r="A83" s="20" t="s">
        <v>15</v>
      </c>
      <c r="B83" s="20" t="s">
        <v>86</v>
      </c>
      <c r="C83" s="39" t="s">
        <v>69</v>
      </c>
      <c r="D83" s="15">
        <f>E83+F83</f>
        <v>645</v>
      </c>
      <c r="E83" s="15"/>
      <c r="F83" s="15">
        <f>ROUNDUP(I83/2*3,0)</f>
        <v>645</v>
      </c>
      <c r="G83" s="15"/>
      <c r="H83" s="19">
        <f>ROUND(I83/2*3,0)</f>
        <v>645</v>
      </c>
      <c r="I83" s="21">
        <v>430</v>
      </c>
      <c r="J83" s="15"/>
    </row>
    <row r="84" spans="1:10" ht="31.5" x14ac:dyDescent="0.25">
      <c r="A84" s="20" t="s">
        <v>16</v>
      </c>
      <c r="B84" s="20" t="s">
        <v>86</v>
      </c>
      <c r="C84" s="39" t="s">
        <v>70</v>
      </c>
      <c r="D84" s="15">
        <f t="shared" ref="D84:D95" si="46">E84+F84</f>
        <v>1290</v>
      </c>
      <c r="E84" s="15">
        <f>ROUND(I83*3,0)</f>
        <v>1290</v>
      </c>
      <c r="F84" s="15"/>
      <c r="G84" s="15">
        <f>ROUND(I83*3,0)</f>
        <v>1290</v>
      </c>
      <c r="H84" s="19">
        <f>ROUND(I83*3,0)</f>
        <v>1290</v>
      </c>
      <c r="I84" s="14"/>
      <c r="J84" s="15"/>
    </row>
    <row r="85" spans="1:10" x14ac:dyDescent="0.25">
      <c r="A85" s="20" t="s">
        <v>17</v>
      </c>
      <c r="B85" s="20" t="s">
        <v>86</v>
      </c>
      <c r="C85" s="39" t="s">
        <v>71</v>
      </c>
      <c r="D85" s="15">
        <f t="shared" si="46"/>
        <v>234</v>
      </c>
      <c r="E85" s="15">
        <f>ROUNDUP(Table2[[#This Row],[Column2]],0)</f>
        <v>234</v>
      </c>
      <c r="F85" s="15"/>
      <c r="G85" s="15">
        <f>Table2[[#This Row],[2017.g. pastāvīgie]]</f>
        <v>234</v>
      </c>
      <c r="H85" s="19">
        <f>Table2[[#This Row],[2017.g. pastāvīgie]]</f>
        <v>234</v>
      </c>
      <c r="I85" s="14"/>
      <c r="J85" s="15">
        <f>700/3</f>
        <v>233.33333333333334</v>
      </c>
    </row>
    <row r="86" spans="1:10" x14ac:dyDescent="0.25">
      <c r="A86" s="20" t="s">
        <v>18</v>
      </c>
      <c r="B86" s="20" t="s">
        <v>86</v>
      </c>
      <c r="C86" s="39" t="s">
        <v>72</v>
      </c>
      <c r="D86" s="15">
        <f t="shared" si="46"/>
        <v>710</v>
      </c>
      <c r="E86" s="15">
        <f>ROUNDUP(Table2[[#This Row],[Column2]],0)</f>
        <v>710</v>
      </c>
      <c r="F86" s="15"/>
      <c r="G86" s="15">
        <f>Table2[[#This Row],[2017.g. pastāvīgie]]</f>
        <v>710</v>
      </c>
      <c r="H86" s="19">
        <f>Table2[[#This Row],[2017.g. pastāvīgie]]</f>
        <v>710</v>
      </c>
      <c r="I86" s="14"/>
      <c r="J86" s="15">
        <f>2130/3</f>
        <v>710</v>
      </c>
    </row>
    <row r="87" spans="1:10" x14ac:dyDescent="0.25">
      <c r="A87" s="20" t="s">
        <v>19</v>
      </c>
      <c r="B87" s="20" t="s">
        <v>86</v>
      </c>
      <c r="C87" s="39" t="s">
        <v>73</v>
      </c>
      <c r="D87" s="15">
        <f t="shared" si="46"/>
        <v>157</v>
      </c>
      <c r="E87" s="15">
        <f>ROUNDUP(Table2[[#This Row],[Column2]],0)</f>
        <v>157</v>
      </c>
      <c r="F87" s="15"/>
      <c r="G87" s="15">
        <f>Table2[[#This Row],[2017.g. pastāvīgie]]</f>
        <v>157</v>
      </c>
      <c r="H87" s="19">
        <f>Table2[[#This Row],[2017.g. pastāvīgie]]</f>
        <v>157</v>
      </c>
      <c r="I87" s="14"/>
      <c r="J87" s="15">
        <f>470/3</f>
        <v>156.66666666666666</v>
      </c>
    </row>
    <row r="88" spans="1:10" x14ac:dyDescent="0.25">
      <c r="A88" s="20" t="s">
        <v>20</v>
      </c>
      <c r="B88" s="20" t="s">
        <v>86</v>
      </c>
      <c r="C88" s="39" t="s">
        <v>74</v>
      </c>
      <c r="D88" s="15">
        <f t="shared" si="46"/>
        <v>3500</v>
      </c>
      <c r="E88" s="15"/>
      <c r="F88" s="15">
        <v>3500</v>
      </c>
      <c r="G88" s="15"/>
      <c r="H88" s="19">
        <v>3500</v>
      </c>
      <c r="I88" s="14" t="s">
        <v>39</v>
      </c>
      <c r="J88" s="15"/>
    </row>
    <row r="89" spans="1:10" ht="27.75" customHeight="1" x14ac:dyDescent="0.25">
      <c r="A89" s="32" t="s">
        <v>5</v>
      </c>
      <c r="B89" s="32" t="s">
        <v>86</v>
      </c>
      <c r="C89" s="40" t="s">
        <v>75</v>
      </c>
      <c r="D89" s="15">
        <f t="shared" si="46"/>
        <v>16650</v>
      </c>
      <c r="E89" s="17">
        <v>16650</v>
      </c>
      <c r="F89" s="15"/>
      <c r="G89" s="15">
        <f>E89</f>
        <v>16650</v>
      </c>
      <c r="H89" s="19">
        <f>E89</f>
        <v>16650</v>
      </c>
      <c r="I89" s="14"/>
      <c r="J89" s="15"/>
    </row>
    <row r="90" spans="1:10" ht="31.5" x14ac:dyDescent="0.25">
      <c r="A90" s="22" t="s">
        <v>21</v>
      </c>
      <c r="B90" s="22" t="s">
        <v>86</v>
      </c>
      <c r="C90" s="41" t="s">
        <v>76</v>
      </c>
      <c r="D90" s="15">
        <f t="shared" si="46"/>
        <v>14135</v>
      </c>
      <c r="E90" s="17">
        <f>ROUNDUP(13461*1.05,0)</f>
        <v>14135</v>
      </c>
      <c r="F90" s="15"/>
      <c r="G90" s="15">
        <f>E90</f>
        <v>14135</v>
      </c>
      <c r="H90" s="19">
        <f>E90</f>
        <v>14135</v>
      </c>
      <c r="I90" s="14"/>
      <c r="J90" s="15"/>
    </row>
    <row r="91" spans="1:10" ht="18" customHeight="1" x14ac:dyDescent="0.25">
      <c r="A91" s="22" t="s">
        <v>22</v>
      </c>
      <c r="B91" s="22" t="s">
        <v>86</v>
      </c>
      <c r="C91" s="41" t="s">
        <v>77</v>
      </c>
      <c r="D91" s="15">
        <f t="shared" si="46"/>
        <v>1178</v>
      </c>
      <c r="E91" s="15"/>
      <c r="F91" s="15">
        <v>1178</v>
      </c>
      <c r="G91" s="15"/>
      <c r="H91" s="19"/>
      <c r="I91" s="14"/>
      <c r="J91" s="15"/>
    </row>
    <row r="92" spans="1:10" ht="18" customHeight="1" x14ac:dyDescent="0.25">
      <c r="A92" s="22" t="s">
        <v>23</v>
      </c>
      <c r="B92" s="22" t="s">
        <v>86</v>
      </c>
      <c r="C92" s="41" t="s">
        <v>78</v>
      </c>
      <c r="D92" s="15">
        <f t="shared" si="46"/>
        <v>1178</v>
      </c>
      <c r="E92" s="15"/>
      <c r="F92" s="15">
        <f>ROUNDUP(E90/12,0)</f>
        <v>1178</v>
      </c>
      <c r="G92" s="15"/>
      <c r="H92" s="19"/>
      <c r="I92" s="14" t="s">
        <v>32</v>
      </c>
      <c r="J92" s="15"/>
    </row>
    <row r="93" spans="1:10" ht="18" customHeight="1" x14ac:dyDescent="0.25">
      <c r="A93" s="22" t="s">
        <v>24</v>
      </c>
      <c r="B93" s="22" t="s">
        <v>86</v>
      </c>
      <c r="C93" s="41" t="s">
        <v>104</v>
      </c>
      <c r="D93" s="15">
        <f t="shared" si="46"/>
        <v>461</v>
      </c>
      <c r="E93" s="15">
        <v>461</v>
      </c>
      <c r="F93" s="15"/>
      <c r="G93" s="15">
        <f>E93</f>
        <v>461</v>
      </c>
      <c r="H93" s="19">
        <f>E93</f>
        <v>461</v>
      </c>
      <c r="I93" s="14" t="s">
        <v>31</v>
      </c>
      <c r="J93" s="15"/>
    </row>
    <row r="94" spans="1:10" ht="18" customHeight="1" x14ac:dyDescent="0.25">
      <c r="A94" s="22" t="s">
        <v>25</v>
      </c>
      <c r="B94" s="22" t="s">
        <v>86</v>
      </c>
      <c r="C94" s="41" t="s">
        <v>79</v>
      </c>
      <c r="D94" s="15">
        <f t="shared" si="46"/>
        <v>350</v>
      </c>
      <c r="E94" s="15">
        <f>ROUNDUP(Table2[[#This Row],[Column2]],0)</f>
        <v>350</v>
      </c>
      <c r="F94" s="15"/>
      <c r="G94" s="15">
        <f>Table2[[#This Row],[2017.g. pastāvīgie]]</f>
        <v>350</v>
      </c>
      <c r="H94" s="19">
        <f>Table2[[#This Row],[2017.g. pastāvīgie]]</f>
        <v>350</v>
      </c>
      <c r="I94" s="14"/>
      <c r="J94" s="15">
        <f>1050/3</f>
        <v>350</v>
      </c>
    </row>
    <row r="95" spans="1:10" ht="81" customHeight="1" x14ac:dyDescent="0.25">
      <c r="A95" s="22" t="s">
        <v>26</v>
      </c>
      <c r="B95" s="22" t="s">
        <v>86</v>
      </c>
      <c r="C95" s="41" t="s">
        <v>80</v>
      </c>
      <c r="D95" s="15">
        <f t="shared" si="46"/>
        <v>1319</v>
      </c>
      <c r="E95" s="15"/>
      <c r="F95" s="15">
        <f>180+200+213+120+213+100+60+183+50</f>
        <v>1319</v>
      </c>
      <c r="G95" s="15"/>
      <c r="H95" s="19"/>
      <c r="I95" s="14" t="s">
        <v>55</v>
      </c>
      <c r="J95" s="15"/>
    </row>
    <row r="96" spans="1:10" s="26" customFormat="1" ht="18.75" customHeight="1" x14ac:dyDescent="0.25">
      <c r="A96" s="23" t="s">
        <v>27</v>
      </c>
      <c r="B96" s="23"/>
      <c r="C96" s="42"/>
      <c r="D96" s="24">
        <f>D97</f>
        <v>1060</v>
      </c>
      <c r="E96" s="24">
        <f>E97</f>
        <v>0</v>
      </c>
      <c r="F96" s="24">
        <f t="shared" ref="F96" si="47">F97</f>
        <v>1060</v>
      </c>
      <c r="G96" s="24">
        <f t="shared" ref="G96" si="48">G97</f>
        <v>0</v>
      </c>
      <c r="H96" s="25">
        <f t="shared" ref="H96" si="49">H97</f>
        <v>0</v>
      </c>
      <c r="I96" s="25"/>
      <c r="J96" s="15"/>
    </row>
    <row r="97" spans="1:10" ht="18.75" customHeight="1" x14ac:dyDescent="0.25">
      <c r="A97" s="22" t="s">
        <v>28</v>
      </c>
      <c r="B97" s="22" t="s">
        <v>86</v>
      </c>
      <c r="C97" s="41" t="s">
        <v>81</v>
      </c>
      <c r="D97" s="15">
        <f>E97+F97</f>
        <v>1060</v>
      </c>
      <c r="E97" s="15"/>
      <c r="F97" s="15">
        <f>260+800</f>
        <v>1060</v>
      </c>
      <c r="G97" s="15"/>
      <c r="H97" s="19"/>
      <c r="I97" s="14" t="s">
        <v>29</v>
      </c>
      <c r="J97" s="15"/>
    </row>
    <row r="98" spans="1:10" ht="33" customHeight="1" x14ac:dyDescent="0.25">
      <c r="A98" s="6" t="s">
        <v>43</v>
      </c>
      <c r="B98" s="6"/>
      <c r="C98" s="36"/>
      <c r="D98" s="7">
        <f>D99+D106+D120</f>
        <v>125007</v>
      </c>
      <c r="E98" s="7">
        <f t="shared" ref="E98" si="50">E99+E106+E120</f>
        <v>113593</v>
      </c>
      <c r="F98" s="7">
        <f t="shared" ref="F98" si="51">F99+F106+F120</f>
        <v>11414</v>
      </c>
      <c r="G98" s="7">
        <f t="shared" ref="G98" si="52">G99+G106+G120</f>
        <v>113593</v>
      </c>
      <c r="H98" s="9">
        <f t="shared" ref="H98" si="53">H99+H106+H120</f>
        <v>117738</v>
      </c>
      <c r="I98" s="10"/>
      <c r="J98" s="15"/>
    </row>
    <row r="99" spans="1:10" x14ac:dyDescent="0.25">
      <c r="A99" s="12" t="s">
        <v>0</v>
      </c>
      <c r="B99" s="12"/>
      <c r="C99" s="37"/>
      <c r="D99" s="8">
        <f>SUM(D100:D105)</f>
        <v>69068</v>
      </c>
      <c r="E99" s="8">
        <f>SUM(E100:E105)</f>
        <v>69068</v>
      </c>
      <c r="F99" s="8">
        <f>SUM(F100:F105)</f>
        <v>0</v>
      </c>
      <c r="G99" s="8">
        <f>SUM(G100:G105)</f>
        <v>69068</v>
      </c>
      <c r="H99" s="13">
        <f>SUM(H100:H105)</f>
        <v>69068</v>
      </c>
      <c r="I99" s="14"/>
      <c r="J99" s="15"/>
    </row>
    <row r="100" spans="1:10" x14ac:dyDescent="0.25">
      <c r="A100" s="16" t="s">
        <v>10</v>
      </c>
      <c r="B100" s="16" t="s">
        <v>87</v>
      </c>
      <c r="C100" s="38" t="s">
        <v>62</v>
      </c>
      <c r="D100" s="17">
        <f>E100+F100</f>
        <v>15444</v>
      </c>
      <c r="E100" s="17">
        <f t="shared" ref="E100" si="54">1287*12</f>
        <v>15444</v>
      </c>
      <c r="F100" s="17"/>
      <c r="G100" s="17">
        <f>E100</f>
        <v>15444</v>
      </c>
      <c r="H100" s="18">
        <f>E100</f>
        <v>15444</v>
      </c>
      <c r="I100" s="14"/>
      <c r="J100" s="15"/>
    </row>
    <row r="101" spans="1:10" x14ac:dyDescent="0.25">
      <c r="A101" s="16" t="s">
        <v>1</v>
      </c>
      <c r="B101" s="16" t="s">
        <v>87</v>
      </c>
      <c r="C101" s="38" t="s">
        <v>63</v>
      </c>
      <c r="D101" s="17">
        <f t="shared" ref="D101:D105" si="55">E101+F101</f>
        <v>3089</v>
      </c>
      <c r="E101" s="17">
        <f>ROUND(E100*0.2,0)</f>
        <v>3089</v>
      </c>
      <c r="F101" s="17"/>
      <c r="G101" s="17">
        <f>ROUND(G100*0.2,0)</f>
        <v>3089</v>
      </c>
      <c r="H101" s="18">
        <f>ROUND(H100*0.2,0)</f>
        <v>3089</v>
      </c>
      <c r="I101" s="14"/>
      <c r="J101" s="15"/>
    </row>
    <row r="102" spans="1:10" ht="31.5" x14ac:dyDescent="0.25">
      <c r="A102" s="16" t="s">
        <v>2</v>
      </c>
      <c r="B102" s="16" t="s">
        <v>87</v>
      </c>
      <c r="C102" s="38" t="s">
        <v>64</v>
      </c>
      <c r="D102" s="17">
        <f t="shared" si="55"/>
        <v>4372</v>
      </c>
      <c r="E102" s="17">
        <f>ROUNDUP((E100+E101)*0.2359,0)</f>
        <v>4372</v>
      </c>
      <c r="F102" s="17"/>
      <c r="G102" s="17">
        <f>ROUNDUP((G100+G101)*0.2359,0)</f>
        <v>4372</v>
      </c>
      <c r="H102" s="18">
        <f>ROUNDUP((H100+H101)*0.2359,0)</f>
        <v>4372</v>
      </c>
      <c r="I102" s="14"/>
      <c r="J102" s="15"/>
    </row>
    <row r="103" spans="1:10" ht="78.75" x14ac:dyDescent="0.25">
      <c r="A103" s="44" t="s">
        <v>66</v>
      </c>
      <c r="B103" s="44" t="s">
        <v>87</v>
      </c>
      <c r="C103" s="38" t="s">
        <v>67</v>
      </c>
      <c r="D103" s="17">
        <f t="shared" si="55"/>
        <v>40509</v>
      </c>
      <c r="E103" s="17">
        <f t="shared" ref="E103" si="56">ROUNDUP(((19778+6830+4127)*1.318),0)</f>
        <v>40509</v>
      </c>
      <c r="F103" s="17"/>
      <c r="G103" s="17">
        <f>E103</f>
        <v>40509</v>
      </c>
      <c r="H103" s="18">
        <f>D103</f>
        <v>40509</v>
      </c>
      <c r="I103" s="14"/>
      <c r="J103" s="15"/>
    </row>
    <row r="104" spans="1:10" ht="31.5" x14ac:dyDescent="0.25">
      <c r="A104" s="16" t="s">
        <v>14</v>
      </c>
      <c r="B104" s="16" t="s">
        <v>87</v>
      </c>
      <c r="C104" s="38" t="s">
        <v>65</v>
      </c>
      <c r="D104" s="17">
        <f t="shared" si="55"/>
        <v>854</v>
      </c>
      <c r="E104" s="17">
        <f>ROUNDUP(71.14*12,0)</f>
        <v>854</v>
      </c>
      <c r="F104" s="17"/>
      <c r="G104" s="17">
        <f>E104</f>
        <v>854</v>
      </c>
      <c r="H104" s="18">
        <f>E104</f>
        <v>854</v>
      </c>
      <c r="I104" s="14" t="s">
        <v>56</v>
      </c>
      <c r="J104" s="15"/>
    </row>
    <row r="105" spans="1:10" ht="31.5" x14ac:dyDescent="0.25">
      <c r="A105" s="16" t="s">
        <v>3</v>
      </c>
      <c r="B105" s="16" t="s">
        <v>87</v>
      </c>
      <c r="C105" s="38" t="s">
        <v>68</v>
      </c>
      <c r="D105" s="17">
        <f t="shared" si="55"/>
        <v>4800</v>
      </c>
      <c r="E105" s="15">
        <f>1824*2+1152</f>
        <v>4800</v>
      </c>
      <c r="F105" s="15"/>
      <c r="G105" s="15">
        <f>E105</f>
        <v>4800</v>
      </c>
      <c r="H105" s="19">
        <f>E105</f>
        <v>4800</v>
      </c>
      <c r="I105" s="14"/>
      <c r="J105" s="15"/>
    </row>
    <row r="106" spans="1:10" x14ac:dyDescent="0.25">
      <c r="A106" s="12" t="s">
        <v>4</v>
      </c>
      <c r="B106" s="12"/>
      <c r="C106" s="37"/>
      <c r="D106" s="8">
        <f>SUM(D107:D119)</f>
        <v>54879</v>
      </c>
      <c r="E106" s="8">
        <f t="shared" ref="E106" si="57">SUM(E107:E119)</f>
        <v>44525</v>
      </c>
      <c r="F106" s="8">
        <f t="shared" ref="F106" si="58">SUM(F107:F119)</f>
        <v>10354</v>
      </c>
      <c r="G106" s="8">
        <f t="shared" ref="G106" si="59">SUM(G107:G119)</f>
        <v>44525</v>
      </c>
      <c r="H106" s="13">
        <f t="shared" ref="H106" si="60">SUM(H107:H119)</f>
        <v>48670</v>
      </c>
      <c r="I106" s="14"/>
      <c r="J106" s="15"/>
    </row>
    <row r="107" spans="1:10" ht="15.75" customHeight="1" x14ac:dyDescent="0.25">
      <c r="A107" s="20" t="s">
        <v>15</v>
      </c>
      <c r="B107" s="20" t="s">
        <v>87</v>
      </c>
      <c r="C107" s="39" t="s">
        <v>69</v>
      </c>
      <c r="D107" s="15">
        <f>E107+F107</f>
        <v>645</v>
      </c>
      <c r="E107" s="15"/>
      <c r="F107" s="15">
        <f>ROUNDUP(I107/2*3,0)</f>
        <v>645</v>
      </c>
      <c r="G107" s="15"/>
      <c r="H107" s="19">
        <f>ROUND(I107/2*3,0)</f>
        <v>645</v>
      </c>
      <c r="I107" s="21">
        <v>430</v>
      </c>
      <c r="J107" s="15"/>
    </row>
    <row r="108" spans="1:10" ht="31.5" x14ac:dyDescent="0.25">
      <c r="A108" s="20" t="s">
        <v>16</v>
      </c>
      <c r="B108" s="20" t="s">
        <v>87</v>
      </c>
      <c r="C108" s="39" t="s">
        <v>70</v>
      </c>
      <c r="D108" s="15">
        <f t="shared" ref="D108:D119" si="61">E108+F108</f>
        <v>1290</v>
      </c>
      <c r="E108" s="15">
        <f>ROUND(I107*3,0)</f>
        <v>1290</v>
      </c>
      <c r="F108" s="15"/>
      <c r="G108" s="15">
        <f>ROUND(I107*3,0)</f>
        <v>1290</v>
      </c>
      <c r="H108" s="19">
        <f>ROUND(I107*3,0)</f>
        <v>1290</v>
      </c>
      <c r="I108" s="14"/>
      <c r="J108" s="15"/>
    </row>
    <row r="109" spans="1:10" x14ac:dyDescent="0.25">
      <c r="A109" s="20" t="s">
        <v>17</v>
      </c>
      <c r="B109" s="20" t="s">
        <v>87</v>
      </c>
      <c r="C109" s="39" t="s">
        <v>71</v>
      </c>
      <c r="D109" s="15">
        <f t="shared" si="61"/>
        <v>834</v>
      </c>
      <c r="E109" s="15">
        <f>ROUNDUP(Table2[[#This Row],[Column2]],0)</f>
        <v>834</v>
      </c>
      <c r="F109" s="15"/>
      <c r="G109" s="15">
        <f>Table2[[#This Row],[2017.g. pastāvīgie]]</f>
        <v>834</v>
      </c>
      <c r="H109" s="19">
        <f>Table2[[#This Row],[2017.g. pastāvīgie]]</f>
        <v>834</v>
      </c>
      <c r="I109" s="14"/>
      <c r="J109" s="15">
        <f>2500/3</f>
        <v>833.33333333333337</v>
      </c>
    </row>
    <row r="110" spans="1:10" x14ac:dyDescent="0.25">
      <c r="A110" s="20" t="s">
        <v>18</v>
      </c>
      <c r="B110" s="20" t="s">
        <v>87</v>
      </c>
      <c r="C110" s="39" t="s">
        <v>72</v>
      </c>
      <c r="D110" s="15">
        <f t="shared" si="61"/>
        <v>387</v>
      </c>
      <c r="E110" s="15">
        <f>ROUNDUP(Table2[[#This Row],[Column2]],0)</f>
        <v>387</v>
      </c>
      <c r="F110" s="15"/>
      <c r="G110" s="15">
        <f>Table2[[#This Row],[2017.g. pastāvīgie]]</f>
        <v>387</v>
      </c>
      <c r="H110" s="19">
        <f>Table2[[#This Row],[2017.g. pastāvīgie]]</f>
        <v>387</v>
      </c>
      <c r="I110" s="14"/>
      <c r="J110" s="15">
        <f>1160/3</f>
        <v>386.66666666666669</v>
      </c>
    </row>
    <row r="111" spans="1:10" x14ac:dyDescent="0.25">
      <c r="A111" s="20" t="s">
        <v>19</v>
      </c>
      <c r="B111" s="20" t="s">
        <v>87</v>
      </c>
      <c r="C111" s="39" t="s">
        <v>73</v>
      </c>
      <c r="D111" s="15">
        <f t="shared" si="61"/>
        <v>801</v>
      </c>
      <c r="E111" s="15">
        <f>ROUNDUP(Table2[[#This Row],[Column2]],0)</f>
        <v>801</v>
      </c>
      <c r="F111" s="15"/>
      <c r="G111" s="15">
        <f>Table2[[#This Row],[2017.g. pastāvīgie]]</f>
        <v>801</v>
      </c>
      <c r="H111" s="19">
        <f>Table2[[#This Row],[2017.g. pastāvīgie]]</f>
        <v>801</v>
      </c>
      <c r="I111" s="14"/>
      <c r="J111" s="15">
        <f>2401/3</f>
        <v>800.33333333333337</v>
      </c>
    </row>
    <row r="112" spans="1:10" x14ac:dyDescent="0.25">
      <c r="A112" s="20" t="s">
        <v>20</v>
      </c>
      <c r="B112" s="20" t="s">
        <v>87</v>
      </c>
      <c r="C112" s="39" t="s">
        <v>74</v>
      </c>
      <c r="D112" s="15">
        <f t="shared" si="61"/>
        <v>3500</v>
      </c>
      <c r="E112" s="15"/>
      <c r="F112" s="15">
        <v>3500</v>
      </c>
      <c r="G112" s="15"/>
      <c r="H112" s="19">
        <v>3500</v>
      </c>
      <c r="I112" s="14" t="s">
        <v>39</v>
      </c>
      <c r="J112" s="15"/>
    </row>
    <row r="113" spans="1:10" ht="27.75" customHeight="1" x14ac:dyDescent="0.25">
      <c r="A113" s="32" t="s">
        <v>5</v>
      </c>
      <c r="B113" s="32" t="s">
        <v>87</v>
      </c>
      <c r="C113" s="40" t="s">
        <v>75</v>
      </c>
      <c r="D113" s="15">
        <f t="shared" si="61"/>
        <v>20770</v>
      </c>
      <c r="E113" s="17">
        <v>20770</v>
      </c>
      <c r="F113" s="15"/>
      <c r="G113" s="15">
        <f>E113</f>
        <v>20770</v>
      </c>
      <c r="H113" s="19">
        <f>E113</f>
        <v>20770</v>
      </c>
      <c r="I113" s="14"/>
      <c r="J113" s="15"/>
    </row>
    <row r="114" spans="1:10" ht="31.5" x14ac:dyDescent="0.25">
      <c r="A114" s="22" t="s">
        <v>21</v>
      </c>
      <c r="B114" s="22" t="s">
        <v>87</v>
      </c>
      <c r="C114" s="41" t="s">
        <v>76</v>
      </c>
      <c r="D114" s="15">
        <f t="shared" si="61"/>
        <v>19558</v>
      </c>
      <c r="E114" s="15">
        <f>ROUNDUP(18626*1.05,0)</f>
        <v>19558</v>
      </c>
      <c r="F114" s="15"/>
      <c r="G114" s="15">
        <f>E114</f>
        <v>19558</v>
      </c>
      <c r="H114" s="19">
        <f>E114</f>
        <v>19558</v>
      </c>
      <c r="I114" s="14"/>
      <c r="J114" s="15"/>
    </row>
    <row r="115" spans="1:10" ht="18" customHeight="1" x14ac:dyDescent="0.25">
      <c r="A115" s="22" t="s">
        <v>22</v>
      </c>
      <c r="B115" s="22" t="s">
        <v>87</v>
      </c>
      <c r="C115" s="41" t="s">
        <v>77</v>
      </c>
      <c r="D115" s="15">
        <f t="shared" si="61"/>
        <v>1630</v>
      </c>
      <c r="E115" s="15"/>
      <c r="F115" s="15">
        <v>1630</v>
      </c>
      <c r="G115" s="15"/>
      <c r="H115" s="19"/>
      <c r="I115" s="14"/>
      <c r="J115" s="15"/>
    </row>
    <row r="116" spans="1:10" ht="18" customHeight="1" x14ac:dyDescent="0.25">
      <c r="A116" s="22" t="s">
        <v>23</v>
      </c>
      <c r="B116" s="22" t="s">
        <v>87</v>
      </c>
      <c r="C116" s="41" t="s">
        <v>78</v>
      </c>
      <c r="D116" s="15">
        <f t="shared" si="61"/>
        <v>3260</v>
      </c>
      <c r="E116" s="15"/>
      <c r="F116" s="15">
        <f>ROUNDUP(E114/12*2,0)</f>
        <v>3260</v>
      </c>
      <c r="G116" s="15"/>
      <c r="H116" s="19"/>
      <c r="I116" s="14" t="s">
        <v>35</v>
      </c>
      <c r="J116" s="15"/>
    </row>
    <row r="117" spans="1:10" ht="18" customHeight="1" x14ac:dyDescent="0.25">
      <c r="A117" s="22" t="s">
        <v>24</v>
      </c>
      <c r="B117" s="22" t="s">
        <v>87</v>
      </c>
      <c r="C117" s="41" t="s">
        <v>104</v>
      </c>
      <c r="D117" s="15">
        <f t="shared" si="61"/>
        <v>461</v>
      </c>
      <c r="E117" s="15">
        <v>461</v>
      </c>
      <c r="F117" s="15"/>
      <c r="G117" s="15">
        <f>E117</f>
        <v>461</v>
      </c>
      <c r="H117" s="19">
        <f>E117</f>
        <v>461</v>
      </c>
      <c r="I117" s="14" t="s">
        <v>31</v>
      </c>
      <c r="J117" s="15"/>
    </row>
    <row r="118" spans="1:10" ht="18" customHeight="1" x14ac:dyDescent="0.25">
      <c r="A118" s="22" t="s">
        <v>25</v>
      </c>
      <c r="B118" s="22" t="s">
        <v>87</v>
      </c>
      <c r="C118" s="41" t="s">
        <v>79</v>
      </c>
      <c r="D118" s="15">
        <f t="shared" si="61"/>
        <v>424</v>
      </c>
      <c r="E118" s="15">
        <f>ROUNDUP(Table2[[#This Row],[Column2]],0)</f>
        <v>424</v>
      </c>
      <c r="F118" s="15"/>
      <c r="G118" s="15">
        <f>Table2[[#This Row],[2017.g. pastāvīgie]]</f>
        <v>424</v>
      </c>
      <c r="H118" s="19">
        <f>Table2[[#This Row],[2017.g. pastāvīgie]]</f>
        <v>424</v>
      </c>
      <c r="I118" s="14"/>
      <c r="J118" s="15">
        <f>1270/3</f>
        <v>423.33333333333331</v>
      </c>
    </row>
    <row r="119" spans="1:10" ht="81" customHeight="1" x14ac:dyDescent="0.25">
      <c r="A119" s="22" t="s">
        <v>26</v>
      </c>
      <c r="B119" s="22" t="s">
        <v>87</v>
      </c>
      <c r="C119" s="41" t="s">
        <v>80</v>
      </c>
      <c r="D119" s="15">
        <f t="shared" si="61"/>
        <v>1319</v>
      </c>
      <c r="E119" s="15"/>
      <c r="F119" s="15">
        <f>180+200+213+120+213+100+60+183+50</f>
        <v>1319</v>
      </c>
      <c r="G119" s="15"/>
      <c r="H119" s="19"/>
      <c r="I119" s="14" t="s">
        <v>55</v>
      </c>
      <c r="J119" s="15"/>
    </row>
    <row r="120" spans="1:10" s="26" customFormat="1" ht="18.75" customHeight="1" x14ac:dyDescent="0.25">
      <c r="A120" s="23" t="s">
        <v>27</v>
      </c>
      <c r="B120" s="23"/>
      <c r="C120" s="42"/>
      <c r="D120" s="24">
        <f>D121</f>
        <v>1060</v>
      </c>
      <c r="E120" s="24">
        <f>E121</f>
        <v>0</v>
      </c>
      <c r="F120" s="24">
        <f t="shared" ref="F120" si="62">F121</f>
        <v>1060</v>
      </c>
      <c r="G120" s="24">
        <f t="shared" ref="G120" si="63">G121</f>
        <v>0</v>
      </c>
      <c r="H120" s="25">
        <f t="shared" ref="H120" si="64">H121</f>
        <v>0</v>
      </c>
      <c r="I120" s="25"/>
      <c r="J120" s="15"/>
    </row>
    <row r="121" spans="1:10" ht="18.75" customHeight="1" x14ac:dyDescent="0.25">
      <c r="A121" s="22" t="s">
        <v>28</v>
      </c>
      <c r="B121" s="22" t="s">
        <v>87</v>
      </c>
      <c r="C121" s="41" t="s">
        <v>81</v>
      </c>
      <c r="D121" s="15">
        <f>E121+F121</f>
        <v>1060</v>
      </c>
      <c r="E121" s="15"/>
      <c r="F121" s="15">
        <f>260+800</f>
        <v>1060</v>
      </c>
      <c r="G121" s="15"/>
      <c r="H121" s="19"/>
      <c r="I121" s="14" t="s">
        <v>29</v>
      </c>
      <c r="J121" s="15"/>
    </row>
    <row r="122" spans="1:10" ht="33" customHeight="1" x14ac:dyDescent="0.25">
      <c r="A122" s="6" t="s">
        <v>44</v>
      </c>
      <c r="B122" s="6"/>
      <c r="C122" s="36"/>
      <c r="D122" s="7">
        <f>D123+D130+D144</f>
        <v>96491</v>
      </c>
      <c r="E122" s="7">
        <f t="shared" ref="E122" si="65">E123+E130+E144</f>
        <v>87523</v>
      </c>
      <c r="F122" s="7">
        <f t="shared" ref="F122" si="66">F123+F130+F144</f>
        <v>8968</v>
      </c>
      <c r="G122" s="7">
        <f t="shared" ref="G122" si="67">G123+G130+G144</f>
        <v>87523</v>
      </c>
      <c r="H122" s="9">
        <f t="shared" ref="H122" si="68">H123+H130+H144</f>
        <v>91893</v>
      </c>
      <c r="I122" s="10"/>
      <c r="J122" s="15"/>
    </row>
    <row r="123" spans="1:10" x14ac:dyDescent="0.25">
      <c r="A123" s="12" t="s">
        <v>0</v>
      </c>
      <c r="B123" s="12"/>
      <c r="C123" s="37"/>
      <c r="D123" s="8">
        <f>SUM(D124:D129)</f>
        <v>53117</v>
      </c>
      <c r="E123" s="8">
        <f>SUM(E124:E129)</f>
        <v>53117</v>
      </c>
      <c r="F123" s="8">
        <f>SUM(F124:F129)</f>
        <v>0</v>
      </c>
      <c r="G123" s="8">
        <f>SUM(G124:G129)</f>
        <v>53117</v>
      </c>
      <c r="H123" s="13">
        <f>SUM(H124:H129)</f>
        <v>53117</v>
      </c>
      <c r="I123" s="14"/>
      <c r="J123" s="15"/>
    </row>
    <row r="124" spans="1:10" x14ac:dyDescent="0.25">
      <c r="A124" s="16" t="s">
        <v>10</v>
      </c>
      <c r="B124" s="16" t="s">
        <v>88</v>
      </c>
      <c r="C124" s="38" t="s">
        <v>62</v>
      </c>
      <c r="D124" s="17">
        <f>E124+F124</f>
        <v>15444</v>
      </c>
      <c r="E124" s="17">
        <f t="shared" ref="E124" si="69">1287*12</f>
        <v>15444</v>
      </c>
      <c r="F124" s="17"/>
      <c r="G124" s="17">
        <f>E124</f>
        <v>15444</v>
      </c>
      <c r="H124" s="18">
        <f>E124</f>
        <v>15444</v>
      </c>
      <c r="I124" s="14"/>
      <c r="J124" s="15"/>
    </row>
    <row r="125" spans="1:10" x14ac:dyDescent="0.25">
      <c r="A125" s="16" t="s">
        <v>1</v>
      </c>
      <c r="B125" s="16" t="s">
        <v>88</v>
      </c>
      <c r="C125" s="38" t="s">
        <v>63</v>
      </c>
      <c r="D125" s="17">
        <f t="shared" ref="D125:D129" si="70">E125+F125</f>
        <v>3089</v>
      </c>
      <c r="E125" s="17">
        <f>ROUND(E124*0.2,0)</f>
        <v>3089</v>
      </c>
      <c r="F125" s="17"/>
      <c r="G125" s="17">
        <f>ROUND(G124*0.2,0)</f>
        <v>3089</v>
      </c>
      <c r="H125" s="18">
        <f>ROUND(H124*0.2,0)</f>
        <v>3089</v>
      </c>
      <c r="I125" s="14"/>
      <c r="J125" s="15"/>
    </row>
    <row r="126" spans="1:10" ht="31.5" x14ac:dyDescent="0.25">
      <c r="A126" s="16" t="s">
        <v>2</v>
      </c>
      <c r="B126" s="16" t="s">
        <v>88</v>
      </c>
      <c r="C126" s="38" t="s">
        <v>64</v>
      </c>
      <c r="D126" s="17">
        <f t="shared" si="70"/>
        <v>4372</v>
      </c>
      <c r="E126" s="17">
        <f>ROUNDUP((E124+E125)*0.2359,0)</f>
        <v>4372</v>
      </c>
      <c r="F126" s="17"/>
      <c r="G126" s="17">
        <f>ROUNDUP((G124+G125)*0.2359,0)</f>
        <v>4372</v>
      </c>
      <c r="H126" s="18">
        <f>ROUNDUP((H124+H125)*0.2359,0)</f>
        <v>4372</v>
      </c>
      <c r="I126" s="14"/>
      <c r="J126" s="15"/>
    </row>
    <row r="127" spans="1:10" ht="78.75" x14ac:dyDescent="0.25">
      <c r="A127" s="44" t="s">
        <v>66</v>
      </c>
      <c r="B127" s="44" t="s">
        <v>88</v>
      </c>
      <c r="C127" s="38" t="s">
        <v>67</v>
      </c>
      <c r="D127" s="17">
        <f t="shared" si="70"/>
        <v>24558</v>
      </c>
      <c r="E127" s="17">
        <f>ROUNDUP(((19778+6830+4127)*0.799),0)</f>
        <v>24558</v>
      </c>
      <c r="F127" s="17"/>
      <c r="G127" s="17">
        <f>E127</f>
        <v>24558</v>
      </c>
      <c r="H127" s="18">
        <f>D127</f>
        <v>24558</v>
      </c>
      <c r="I127" s="14"/>
      <c r="J127" s="15"/>
    </row>
    <row r="128" spans="1:10" ht="31.5" x14ac:dyDescent="0.25">
      <c r="A128" s="16" t="s">
        <v>14</v>
      </c>
      <c r="B128" s="16" t="s">
        <v>88</v>
      </c>
      <c r="C128" s="38" t="s">
        <v>65</v>
      </c>
      <c r="D128" s="17">
        <f t="shared" si="70"/>
        <v>854</v>
      </c>
      <c r="E128" s="17">
        <f>ROUNDUP(71.14*12,0)</f>
        <v>854</v>
      </c>
      <c r="F128" s="17"/>
      <c r="G128" s="17">
        <f>E128</f>
        <v>854</v>
      </c>
      <c r="H128" s="18">
        <f>E128</f>
        <v>854</v>
      </c>
      <c r="I128" s="14" t="s">
        <v>56</v>
      </c>
      <c r="J128" s="15"/>
    </row>
    <row r="129" spans="1:10" ht="31.5" x14ac:dyDescent="0.25">
      <c r="A129" s="16" t="s">
        <v>3</v>
      </c>
      <c r="B129" s="16" t="s">
        <v>88</v>
      </c>
      <c r="C129" s="38" t="s">
        <v>68</v>
      </c>
      <c r="D129" s="17">
        <f t="shared" si="70"/>
        <v>4800</v>
      </c>
      <c r="E129" s="15">
        <f>1824*2+1152</f>
        <v>4800</v>
      </c>
      <c r="F129" s="15"/>
      <c r="G129" s="15">
        <f>E129</f>
        <v>4800</v>
      </c>
      <c r="H129" s="19">
        <f>E129</f>
        <v>4800</v>
      </c>
      <c r="I129" s="14"/>
      <c r="J129" s="15"/>
    </row>
    <row r="130" spans="1:10" x14ac:dyDescent="0.25">
      <c r="A130" s="12" t="s">
        <v>4</v>
      </c>
      <c r="B130" s="12"/>
      <c r="C130" s="37"/>
      <c r="D130" s="8">
        <f>SUM(D131:D143)</f>
        <v>42314</v>
      </c>
      <c r="E130" s="8">
        <f t="shared" ref="E130" si="71">SUM(E131:E143)</f>
        <v>34406</v>
      </c>
      <c r="F130" s="8">
        <f t="shared" ref="F130" si="72">SUM(F131:F143)</f>
        <v>7908</v>
      </c>
      <c r="G130" s="8">
        <f t="shared" ref="G130" si="73">SUM(G131:G143)</f>
        <v>34406</v>
      </c>
      <c r="H130" s="13">
        <f t="shared" ref="H130" si="74">SUM(H131:H143)</f>
        <v>38776</v>
      </c>
      <c r="I130" s="14"/>
      <c r="J130" s="15"/>
    </row>
    <row r="131" spans="1:10" ht="15.75" customHeight="1" x14ac:dyDescent="0.25">
      <c r="A131" s="20" t="s">
        <v>15</v>
      </c>
      <c r="B131" s="20" t="s">
        <v>88</v>
      </c>
      <c r="C131" s="39" t="s">
        <v>69</v>
      </c>
      <c r="D131" s="15">
        <f>E131+F131</f>
        <v>870</v>
      </c>
      <c r="E131" s="15"/>
      <c r="F131" s="15">
        <f>ROUNDUP(I131/2*3,0)</f>
        <v>870</v>
      </c>
      <c r="G131" s="15"/>
      <c r="H131" s="19">
        <f>ROUND(I131/2*3,0)</f>
        <v>870</v>
      </c>
      <c r="I131" s="21">
        <v>580</v>
      </c>
      <c r="J131" s="15"/>
    </row>
    <row r="132" spans="1:10" ht="31.5" x14ac:dyDescent="0.25">
      <c r="A132" s="20" t="s">
        <v>16</v>
      </c>
      <c r="B132" s="20" t="s">
        <v>88</v>
      </c>
      <c r="C132" s="39" t="s">
        <v>70</v>
      </c>
      <c r="D132" s="15">
        <f t="shared" ref="D132:D143" si="75">E132+F132</f>
        <v>1740</v>
      </c>
      <c r="E132" s="15">
        <f>ROUND(I131*3,0)</f>
        <v>1740</v>
      </c>
      <c r="F132" s="15"/>
      <c r="G132" s="15">
        <f>ROUND(I131*3,0)</f>
        <v>1740</v>
      </c>
      <c r="H132" s="19">
        <f>ROUND(I131*3,0)</f>
        <v>1740</v>
      </c>
      <c r="I132" s="14"/>
      <c r="J132" s="15"/>
    </row>
    <row r="133" spans="1:10" x14ac:dyDescent="0.25">
      <c r="A133" s="20" t="s">
        <v>17</v>
      </c>
      <c r="B133" s="20" t="s">
        <v>88</v>
      </c>
      <c r="C133" s="39" t="s">
        <v>71</v>
      </c>
      <c r="D133" s="15">
        <f t="shared" si="75"/>
        <v>400</v>
      </c>
      <c r="E133" s="15">
        <f>ROUNDUP(Table2[[#This Row],[Column2]],0)</f>
        <v>400</v>
      </c>
      <c r="F133" s="15"/>
      <c r="G133" s="15">
        <f>Table2[[#This Row],[2017.g. pastāvīgie]]</f>
        <v>400</v>
      </c>
      <c r="H133" s="19">
        <f>Table2[[#This Row],[2017.g. pastāvīgie]]</f>
        <v>400</v>
      </c>
      <c r="I133" s="14"/>
      <c r="J133" s="15">
        <f>2000/5</f>
        <v>400</v>
      </c>
    </row>
    <row r="134" spans="1:10" x14ac:dyDescent="0.25">
      <c r="A134" s="20" t="s">
        <v>18</v>
      </c>
      <c r="B134" s="20" t="s">
        <v>88</v>
      </c>
      <c r="C134" s="39" t="s">
        <v>72</v>
      </c>
      <c r="D134" s="15">
        <f t="shared" si="75"/>
        <v>760</v>
      </c>
      <c r="E134" s="15">
        <f>ROUNDUP(Table2[[#This Row],[Column2]],0)</f>
        <v>760</v>
      </c>
      <c r="F134" s="15"/>
      <c r="G134" s="15">
        <f>Table2[[#This Row],[2017.g. pastāvīgie]]</f>
        <v>760</v>
      </c>
      <c r="H134" s="19">
        <f>Table2[[#This Row],[2017.g. pastāvīgie]]</f>
        <v>760</v>
      </c>
      <c r="I134" s="14"/>
      <c r="J134" s="15">
        <f>3800/5</f>
        <v>760</v>
      </c>
    </row>
    <row r="135" spans="1:10" x14ac:dyDescent="0.25">
      <c r="A135" s="20" t="s">
        <v>19</v>
      </c>
      <c r="B135" s="20" t="s">
        <v>88</v>
      </c>
      <c r="C135" s="39" t="s">
        <v>73</v>
      </c>
      <c r="D135" s="15">
        <f t="shared" si="75"/>
        <v>660</v>
      </c>
      <c r="E135" s="15">
        <f>ROUNDUP(Table2[[#This Row],[Column2]],0)</f>
        <v>660</v>
      </c>
      <c r="F135" s="15"/>
      <c r="G135" s="15">
        <f>Table2[[#This Row],[2017.g. pastāvīgie]]</f>
        <v>660</v>
      </c>
      <c r="H135" s="19">
        <f>Table2[[#This Row],[2017.g. pastāvīgie]]</f>
        <v>660</v>
      </c>
      <c r="I135" s="14"/>
      <c r="J135" s="15">
        <f>3300/5</f>
        <v>660</v>
      </c>
    </row>
    <row r="136" spans="1:10" x14ac:dyDescent="0.25">
      <c r="A136" s="20" t="s">
        <v>20</v>
      </c>
      <c r="B136" s="20" t="s">
        <v>88</v>
      </c>
      <c r="C136" s="39" t="s">
        <v>74</v>
      </c>
      <c r="D136" s="15">
        <f t="shared" si="75"/>
        <v>3500</v>
      </c>
      <c r="E136" s="15"/>
      <c r="F136" s="15">
        <v>3500</v>
      </c>
      <c r="G136" s="15"/>
      <c r="H136" s="19">
        <v>3500</v>
      </c>
      <c r="I136" s="14" t="s">
        <v>39</v>
      </c>
      <c r="J136" s="15"/>
    </row>
    <row r="137" spans="1:10" ht="27.75" customHeight="1" x14ac:dyDescent="0.25">
      <c r="A137" s="32" t="s">
        <v>5</v>
      </c>
      <c r="B137" s="32" t="s">
        <v>88</v>
      </c>
      <c r="C137" s="40" t="s">
        <v>75</v>
      </c>
      <c r="D137" s="15">
        <f t="shared" si="75"/>
        <v>12475</v>
      </c>
      <c r="E137" s="17">
        <v>12475</v>
      </c>
      <c r="F137" s="15"/>
      <c r="G137" s="15">
        <f>E137</f>
        <v>12475</v>
      </c>
      <c r="H137" s="19">
        <f>E137</f>
        <v>12475</v>
      </c>
      <c r="I137" s="14"/>
      <c r="J137" s="15"/>
    </row>
    <row r="138" spans="1:10" ht="31.5" x14ac:dyDescent="0.25">
      <c r="A138" s="22" t="s">
        <v>21</v>
      </c>
      <c r="B138" s="22" t="s">
        <v>88</v>
      </c>
      <c r="C138" s="41" t="s">
        <v>76</v>
      </c>
      <c r="D138" s="15">
        <f t="shared" si="75"/>
        <v>17750</v>
      </c>
      <c r="E138" s="15">
        <f t="shared" ref="E138" si="76">ROUNDUP(16904*1.05,0)</f>
        <v>17750</v>
      </c>
      <c r="F138" s="15"/>
      <c r="G138" s="15">
        <f>E138</f>
        <v>17750</v>
      </c>
      <c r="H138" s="19">
        <f>E138</f>
        <v>17750</v>
      </c>
      <c r="I138" s="14"/>
      <c r="J138" s="15"/>
    </row>
    <row r="139" spans="1:10" ht="18" customHeight="1" x14ac:dyDescent="0.25">
      <c r="A139" s="22" t="s">
        <v>22</v>
      </c>
      <c r="B139" s="22" t="s">
        <v>88</v>
      </c>
      <c r="C139" s="41" t="s">
        <v>77</v>
      </c>
      <c r="D139" s="15">
        <f t="shared" si="75"/>
        <v>0</v>
      </c>
      <c r="E139" s="15"/>
      <c r="F139" s="15"/>
      <c r="G139" s="15"/>
      <c r="H139" s="19"/>
      <c r="I139" s="14"/>
      <c r="J139" s="15"/>
    </row>
    <row r="140" spans="1:10" ht="18" customHeight="1" x14ac:dyDescent="0.25">
      <c r="A140" s="22" t="s">
        <v>23</v>
      </c>
      <c r="B140" s="22" t="s">
        <v>88</v>
      </c>
      <c r="C140" s="41" t="s">
        <v>78</v>
      </c>
      <c r="D140" s="15">
        <f t="shared" si="75"/>
        <v>2219</v>
      </c>
      <c r="E140" s="15"/>
      <c r="F140" s="15">
        <f>ROUNDUP(E138/12*1.5,0)</f>
        <v>2219</v>
      </c>
      <c r="G140" s="15"/>
      <c r="H140" s="19"/>
      <c r="I140" s="14" t="s">
        <v>36</v>
      </c>
      <c r="J140" s="15"/>
    </row>
    <row r="141" spans="1:10" ht="18" customHeight="1" x14ac:dyDescent="0.25">
      <c r="A141" s="22" t="s">
        <v>24</v>
      </c>
      <c r="B141" s="22" t="s">
        <v>88</v>
      </c>
      <c r="C141" s="41" t="s">
        <v>104</v>
      </c>
      <c r="D141" s="15">
        <f t="shared" si="75"/>
        <v>461</v>
      </c>
      <c r="E141" s="15">
        <v>461</v>
      </c>
      <c r="F141" s="15"/>
      <c r="G141" s="15">
        <f>E141</f>
        <v>461</v>
      </c>
      <c r="H141" s="19">
        <f>E141</f>
        <v>461</v>
      </c>
      <c r="I141" s="14" t="s">
        <v>31</v>
      </c>
      <c r="J141" s="15"/>
    </row>
    <row r="142" spans="1:10" ht="18" customHeight="1" x14ac:dyDescent="0.25">
      <c r="A142" s="22" t="s">
        <v>25</v>
      </c>
      <c r="B142" s="22" t="s">
        <v>88</v>
      </c>
      <c r="C142" s="41" t="s">
        <v>79</v>
      </c>
      <c r="D142" s="15">
        <f t="shared" si="75"/>
        <v>160</v>
      </c>
      <c r="E142" s="15">
        <f>ROUNDUP(Table2[[#This Row],[Column2]],0)</f>
        <v>160</v>
      </c>
      <c r="F142" s="15"/>
      <c r="G142" s="15">
        <f>Table2[[#This Row],[2017.g. pastāvīgie]]</f>
        <v>160</v>
      </c>
      <c r="H142" s="19">
        <f>Table2[[#This Row],[2017.g. pastāvīgie]]</f>
        <v>160</v>
      </c>
      <c r="I142" s="14"/>
      <c r="J142" s="15">
        <f>800/5</f>
        <v>160</v>
      </c>
    </row>
    <row r="143" spans="1:10" ht="81" customHeight="1" x14ac:dyDescent="0.25">
      <c r="A143" s="22" t="s">
        <v>26</v>
      </c>
      <c r="B143" s="22" t="s">
        <v>88</v>
      </c>
      <c r="C143" s="41" t="s">
        <v>80</v>
      </c>
      <c r="D143" s="15">
        <f t="shared" si="75"/>
        <v>1319</v>
      </c>
      <c r="E143" s="15"/>
      <c r="F143" s="15">
        <f>180+200+213+120+213+100+60+183+50</f>
        <v>1319</v>
      </c>
      <c r="G143" s="15"/>
      <c r="H143" s="19"/>
      <c r="I143" s="14" t="s">
        <v>55</v>
      </c>
      <c r="J143" s="15"/>
    </row>
    <row r="144" spans="1:10" s="26" customFormat="1" ht="18.75" customHeight="1" x14ac:dyDescent="0.25">
      <c r="A144" s="23" t="s">
        <v>27</v>
      </c>
      <c r="B144" s="23"/>
      <c r="C144" s="42"/>
      <c r="D144" s="24">
        <f>D145</f>
        <v>1060</v>
      </c>
      <c r="E144" s="24">
        <f>E145</f>
        <v>0</v>
      </c>
      <c r="F144" s="24">
        <f t="shared" ref="F144" si="77">F145</f>
        <v>1060</v>
      </c>
      <c r="G144" s="24">
        <f t="shared" ref="G144" si="78">G145</f>
        <v>0</v>
      </c>
      <c r="H144" s="25">
        <f t="shared" ref="H144" si="79">H145</f>
        <v>0</v>
      </c>
      <c r="I144" s="25"/>
      <c r="J144" s="15"/>
    </row>
    <row r="145" spans="1:10" ht="18.75" customHeight="1" x14ac:dyDescent="0.25">
      <c r="A145" s="22" t="s">
        <v>28</v>
      </c>
      <c r="B145" s="22" t="s">
        <v>88</v>
      </c>
      <c r="C145" s="41" t="s">
        <v>81</v>
      </c>
      <c r="D145" s="15">
        <f>E145+F145</f>
        <v>1060</v>
      </c>
      <c r="E145" s="15"/>
      <c r="F145" s="15">
        <f>260+800</f>
        <v>1060</v>
      </c>
      <c r="G145" s="15"/>
      <c r="H145" s="19"/>
      <c r="I145" s="14" t="s">
        <v>29</v>
      </c>
      <c r="J145" s="15"/>
    </row>
    <row r="146" spans="1:10" ht="33" customHeight="1" x14ac:dyDescent="0.25">
      <c r="A146" s="6" t="s">
        <v>45</v>
      </c>
      <c r="B146" s="6"/>
      <c r="C146" s="36"/>
      <c r="D146" s="7">
        <f>D147+D154+D168</f>
        <v>133529</v>
      </c>
      <c r="E146" s="7">
        <f t="shared" ref="E146" si="80">E147+E154+E168</f>
        <v>123083</v>
      </c>
      <c r="F146" s="7">
        <f t="shared" ref="F146" si="81">F147+F154+F168</f>
        <v>10446</v>
      </c>
      <c r="G146" s="7">
        <f t="shared" ref="G146" si="82">G147+G154+G168</f>
        <v>123083</v>
      </c>
      <c r="H146" s="9">
        <f t="shared" ref="H146" si="83">H147+H154+H168</f>
        <v>127588</v>
      </c>
      <c r="I146" s="10"/>
      <c r="J146" s="15"/>
    </row>
    <row r="147" spans="1:10" x14ac:dyDescent="0.25">
      <c r="A147" s="12" t="s">
        <v>0</v>
      </c>
      <c r="B147" s="12"/>
      <c r="C147" s="37"/>
      <c r="D147" s="8">
        <f>SUM(D148:D153)</f>
        <v>76015</v>
      </c>
      <c r="E147" s="8">
        <f>SUM(E148:E153)</f>
        <v>76015</v>
      </c>
      <c r="F147" s="8">
        <f>SUM(F148:F153)</f>
        <v>0</v>
      </c>
      <c r="G147" s="8">
        <f>SUM(G148:G153)</f>
        <v>76015</v>
      </c>
      <c r="H147" s="13">
        <f>SUM(H148:H153)</f>
        <v>76015</v>
      </c>
      <c r="I147" s="14"/>
      <c r="J147" s="15"/>
    </row>
    <row r="148" spans="1:10" x14ac:dyDescent="0.25">
      <c r="A148" s="16" t="s">
        <v>10</v>
      </c>
      <c r="B148" s="16" t="s">
        <v>89</v>
      </c>
      <c r="C148" s="38" t="s">
        <v>62</v>
      </c>
      <c r="D148" s="17">
        <f>E148+F148</f>
        <v>15444</v>
      </c>
      <c r="E148" s="17">
        <f t="shared" ref="E148" si="84">1287*12</f>
        <v>15444</v>
      </c>
      <c r="F148" s="17"/>
      <c r="G148" s="17">
        <f>E148</f>
        <v>15444</v>
      </c>
      <c r="H148" s="18">
        <f>E148</f>
        <v>15444</v>
      </c>
      <c r="I148" s="14"/>
      <c r="J148" s="15"/>
    </row>
    <row r="149" spans="1:10" x14ac:dyDescent="0.25">
      <c r="A149" s="16" t="s">
        <v>1</v>
      </c>
      <c r="B149" s="16" t="s">
        <v>89</v>
      </c>
      <c r="C149" s="38" t="s">
        <v>63</v>
      </c>
      <c r="D149" s="17">
        <f t="shared" ref="D149:D153" si="85">E149+F149</f>
        <v>3089</v>
      </c>
      <c r="E149" s="17">
        <f>ROUND(E148*0.2,0)</f>
        <v>3089</v>
      </c>
      <c r="F149" s="17"/>
      <c r="G149" s="17">
        <f>ROUND(G148*0.2,0)</f>
        <v>3089</v>
      </c>
      <c r="H149" s="18">
        <f>ROUND(H148*0.2,0)</f>
        <v>3089</v>
      </c>
      <c r="I149" s="14"/>
      <c r="J149" s="15"/>
    </row>
    <row r="150" spans="1:10" ht="31.5" x14ac:dyDescent="0.25">
      <c r="A150" s="16" t="s">
        <v>2</v>
      </c>
      <c r="B150" s="16" t="s">
        <v>89</v>
      </c>
      <c r="C150" s="38" t="s">
        <v>64</v>
      </c>
      <c r="D150" s="17">
        <f t="shared" si="85"/>
        <v>4372</v>
      </c>
      <c r="E150" s="17">
        <f>ROUNDUP((E148+E149)*0.2359,0)</f>
        <v>4372</v>
      </c>
      <c r="F150" s="17"/>
      <c r="G150" s="17">
        <f>ROUNDUP((G148+G149)*0.2359,0)</f>
        <v>4372</v>
      </c>
      <c r="H150" s="18">
        <f>ROUNDUP((H148+H149)*0.2359,0)</f>
        <v>4372</v>
      </c>
      <c r="I150" s="14"/>
      <c r="J150" s="15"/>
    </row>
    <row r="151" spans="1:10" ht="78.75" x14ac:dyDescent="0.25">
      <c r="A151" s="44" t="s">
        <v>66</v>
      </c>
      <c r="B151" s="44" t="s">
        <v>89</v>
      </c>
      <c r="C151" s="38" t="s">
        <v>67</v>
      </c>
      <c r="D151" s="17">
        <f t="shared" si="85"/>
        <v>43112</v>
      </c>
      <c r="E151" s="17">
        <f>ROUNDUP(((19778+6830+4127)*1.079*1.3),0)</f>
        <v>43112</v>
      </c>
      <c r="F151" s="17"/>
      <c r="G151" s="17">
        <f>E151</f>
        <v>43112</v>
      </c>
      <c r="H151" s="18">
        <f>D151</f>
        <v>43112</v>
      </c>
      <c r="I151" s="14"/>
      <c r="J151" s="15"/>
    </row>
    <row r="152" spans="1:10" ht="31.5" x14ac:dyDescent="0.25">
      <c r="A152" s="16" t="s">
        <v>14</v>
      </c>
      <c r="B152" s="16" t="s">
        <v>89</v>
      </c>
      <c r="C152" s="38" t="s">
        <v>65</v>
      </c>
      <c r="D152" s="17">
        <f t="shared" si="85"/>
        <v>854</v>
      </c>
      <c r="E152" s="17">
        <f>ROUNDUP(71.14*12,0)</f>
        <v>854</v>
      </c>
      <c r="F152" s="17"/>
      <c r="G152" s="17">
        <f>E152</f>
        <v>854</v>
      </c>
      <c r="H152" s="18">
        <f>E152</f>
        <v>854</v>
      </c>
      <c r="I152" s="14" t="s">
        <v>56</v>
      </c>
      <c r="J152" s="15"/>
    </row>
    <row r="153" spans="1:10" ht="31.5" x14ac:dyDescent="0.25">
      <c r="A153" s="16" t="s">
        <v>3</v>
      </c>
      <c r="B153" s="16" t="s">
        <v>89</v>
      </c>
      <c r="C153" s="38" t="s">
        <v>68</v>
      </c>
      <c r="D153" s="17">
        <f t="shared" si="85"/>
        <v>9144</v>
      </c>
      <c r="E153" s="15">
        <f>3672*2+1800</f>
        <v>9144</v>
      </c>
      <c r="F153" s="15"/>
      <c r="G153" s="15">
        <f>E153</f>
        <v>9144</v>
      </c>
      <c r="H153" s="19">
        <f>E153</f>
        <v>9144</v>
      </c>
      <c r="I153" s="14"/>
      <c r="J153" s="15"/>
    </row>
    <row r="154" spans="1:10" x14ac:dyDescent="0.25">
      <c r="A154" s="12" t="s">
        <v>4</v>
      </c>
      <c r="B154" s="12"/>
      <c r="C154" s="37"/>
      <c r="D154" s="8">
        <f>SUM(D155:D167)</f>
        <v>56454</v>
      </c>
      <c r="E154" s="8">
        <f t="shared" ref="E154" si="86">SUM(E155:E167)</f>
        <v>47068</v>
      </c>
      <c r="F154" s="8">
        <f t="shared" ref="F154" si="87">SUM(F155:F167)</f>
        <v>9386</v>
      </c>
      <c r="G154" s="8">
        <f t="shared" ref="G154" si="88">SUM(G155:G167)</f>
        <v>47068</v>
      </c>
      <c r="H154" s="13">
        <f t="shared" ref="H154" si="89">SUM(H155:H167)</f>
        <v>51573</v>
      </c>
      <c r="I154" s="14"/>
      <c r="J154" s="15"/>
    </row>
    <row r="155" spans="1:10" ht="15.75" customHeight="1" x14ac:dyDescent="0.25">
      <c r="A155" s="20" t="s">
        <v>15</v>
      </c>
      <c r="B155" s="20" t="s">
        <v>89</v>
      </c>
      <c r="C155" s="39" t="s">
        <v>69</v>
      </c>
      <c r="D155" s="15">
        <f>E155+F155</f>
        <v>1005</v>
      </c>
      <c r="E155" s="15"/>
      <c r="F155" s="15">
        <f>ROUNDUP(I155/2*3,0)</f>
        <v>1005</v>
      </c>
      <c r="G155" s="15"/>
      <c r="H155" s="19">
        <f>ROUND(I155/2*3,0)</f>
        <v>1005</v>
      </c>
      <c r="I155" s="21">
        <v>670</v>
      </c>
      <c r="J155" s="15"/>
    </row>
    <row r="156" spans="1:10" ht="31.5" x14ac:dyDescent="0.25">
      <c r="A156" s="20" t="s">
        <v>16</v>
      </c>
      <c r="B156" s="20" t="s">
        <v>89</v>
      </c>
      <c r="C156" s="39" t="s">
        <v>70</v>
      </c>
      <c r="D156" s="15">
        <f t="shared" ref="D156:D167" si="90">E156+F156</f>
        <v>2010</v>
      </c>
      <c r="E156" s="15">
        <f>ROUND(I155*3,0)</f>
        <v>2010</v>
      </c>
      <c r="F156" s="15"/>
      <c r="G156" s="15">
        <f>ROUND(I155*3,0)</f>
        <v>2010</v>
      </c>
      <c r="H156" s="19">
        <f>ROUND(I155*3,0)</f>
        <v>2010</v>
      </c>
      <c r="I156" s="14"/>
      <c r="J156" s="15"/>
    </row>
    <row r="157" spans="1:10" x14ac:dyDescent="0.25">
      <c r="A157" s="20" t="s">
        <v>17</v>
      </c>
      <c r="B157" s="20" t="s">
        <v>89</v>
      </c>
      <c r="C157" s="39" t="s">
        <v>71</v>
      </c>
      <c r="D157" s="15">
        <f t="shared" si="90"/>
        <v>1334</v>
      </c>
      <c r="E157" s="15">
        <f>ROUNDUP(Table2[[#This Row],[Column2]],0)</f>
        <v>1334</v>
      </c>
      <c r="F157" s="15"/>
      <c r="G157" s="15">
        <f>Table2[[#This Row],[2017.g. pastāvīgie]]</f>
        <v>1334</v>
      </c>
      <c r="H157" s="19">
        <f>Table2[[#This Row],[2017.g. pastāvīgie]]</f>
        <v>1334</v>
      </c>
      <c r="I157" s="14"/>
      <c r="J157" s="15">
        <f>4000/3</f>
        <v>1333.3333333333333</v>
      </c>
    </row>
    <row r="158" spans="1:10" x14ac:dyDescent="0.25">
      <c r="A158" s="20" t="s">
        <v>18</v>
      </c>
      <c r="B158" s="20" t="s">
        <v>89</v>
      </c>
      <c r="C158" s="39" t="s">
        <v>72</v>
      </c>
      <c r="D158" s="15">
        <f t="shared" si="90"/>
        <v>930</v>
      </c>
      <c r="E158" s="15">
        <f>ROUNDUP(Table2[[#This Row],[Column2]],0)</f>
        <v>930</v>
      </c>
      <c r="F158" s="15"/>
      <c r="G158" s="15">
        <f>Table2[[#This Row],[2017.g. pastāvīgie]]</f>
        <v>930</v>
      </c>
      <c r="H158" s="19">
        <f>Table2[[#This Row],[2017.g. pastāvīgie]]</f>
        <v>930</v>
      </c>
      <c r="I158" s="14"/>
      <c r="J158" s="15">
        <f>2790/3</f>
        <v>930</v>
      </c>
    </row>
    <row r="159" spans="1:10" x14ac:dyDescent="0.25">
      <c r="A159" s="20" t="s">
        <v>19</v>
      </c>
      <c r="B159" s="20" t="s">
        <v>89</v>
      </c>
      <c r="C159" s="39" t="s">
        <v>73</v>
      </c>
      <c r="D159" s="15">
        <f t="shared" si="90"/>
        <v>700</v>
      </c>
      <c r="E159" s="15">
        <f>ROUNDUP(Table2[[#This Row],[Column2]],0)</f>
        <v>700</v>
      </c>
      <c r="F159" s="15"/>
      <c r="G159" s="15">
        <f>Table2[[#This Row],[2017.g. pastāvīgie]]</f>
        <v>700</v>
      </c>
      <c r="H159" s="19">
        <f>Table2[[#This Row],[2017.g. pastāvīgie]]</f>
        <v>700</v>
      </c>
      <c r="I159" s="14"/>
      <c r="J159" s="15">
        <f>2100/3</f>
        <v>700</v>
      </c>
    </row>
    <row r="160" spans="1:10" x14ac:dyDescent="0.25">
      <c r="A160" s="20" t="s">
        <v>20</v>
      </c>
      <c r="B160" s="20" t="s">
        <v>89</v>
      </c>
      <c r="C160" s="39" t="s">
        <v>74</v>
      </c>
      <c r="D160" s="15">
        <f t="shared" si="90"/>
        <v>3500</v>
      </c>
      <c r="E160" s="15"/>
      <c r="F160" s="15">
        <v>3500</v>
      </c>
      <c r="G160" s="15"/>
      <c r="H160" s="19">
        <v>3500</v>
      </c>
      <c r="I160" s="14" t="s">
        <v>39</v>
      </c>
      <c r="J160" s="15"/>
    </row>
    <row r="161" spans="1:10" ht="27.75" customHeight="1" x14ac:dyDescent="0.25">
      <c r="A161" s="32" t="s">
        <v>5</v>
      </c>
      <c r="B161" s="32" t="s">
        <v>89</v>
      </c>
      <c r="C161" s="40" t="s">
        <v>75</v>
      </c>
      <c r="D161" s="15">
        <f t="shared" si="90"/>
        <v>20000</v>
      </c>
      <c r="E161" s="17">
        <v>20000</v>
      </c>
      <c r="F161" s="15"/>
      <c r="G161" s="15">
        <f>E161</f>
        <v>20000</v>
      </c>
      <c r="H161" s="19">
        <f>E161</f>
        <v>20000</v>
      </c>
      <c r="I161" s="14" t="s">
        <v>57</v>
      </c>
      <c r="J161" s="15"/>
    </row>
    <row r="162" spans="1:10" ht="31.5" x14ac:dyDescent="0.25">
      <c r="A162" s="22" t="s">
        <v>21</v>
      </c>
      <c r="B162" s="22" t="s">
        <v>89</v>
      </c>
      <c r="C162" s="41" t="s">
        <v>76</v>
      </c>
      <c r="D162" s="15">
        <f t="shared" si="90"/>
        <v>21366</v>
      </c>
      <c r="E162" s="15">
        <f>ROUNDUP(20348*1.05,0)</f>
        <v>21366</v>
      </c>
      <c r="F162" s="15"/>
      <c r="G162" s="15">
        <f>E162</f>
        <v>21366</v>
      </c>
      <c r="H162" s="19">
        <f>E162</f>
        <v>21366</v>
      </c>
      <c r="I162" s="14"/>
      <c r="J162" s="15"/>
    </row>
    <row r="163" spans="1:10" ht="18" customHeight="1" x14ac:dyDescent="0.25">
      <c r="A163" s="22" t="s">
        <v>22</v>
      </c>
      <c r="B163" s="22" t="s">
        <v>89</v>
      </c>
      <c r="C163" s="41" t="s">
        <v>77</v>
      </c>
      <c r="D163" s="15">
        <f t="shared" si="90"/>
        <v>1781</v>
      </c>
      <c r="E163" s="15"/>
      <c r="F163" s="15">
        <v>1781</v>
      </c>
      <c r="G163" s="15"/>
      <c r="H163" s="19"/>
      <c r="I163" s="14"/>
      <c r="J163" s="15"/>
    </row>
    <row r="164" spans="1:10" ht="18" customHeight="1" x14ac:dyDescent="0.25">
      <c r="A164" s="22" t="s">
        <v>23</v>
      </c>
      <c r="B164" s="22" t="s">
        <v>89</v>
      </c>
      <c r="C164" s="41" t="s">
        <v>78</v>
      </c>
      <c r="D164" s="15">
        <f t="shared" si="90"/>
        <v>1781</v>
      </c>
      <c r="E164" s="15"/>
      <c r="F164" s="15">
        <f>ROUNDUP(E162/12,0)</f>
        <v>1781</v>
      </c>
      <c r="G164" s="15"/>
      <c r="H164" s="19"/>
      <c r="I164" s="14" t="s">
        <v>32</v>
      </c>
      <c r="J164" s="15"/>
    </row>
    <row r="165" spans="1:10" ht="18" customHeight="1" x14ac:dyDescent="0.25">
      <c r="A165" s="22" t="s">
        <v>24</v>
      </c>
      <c r="B165" s="22" t="s">
        <v>89</v>
      </c>
      <c r="C165" s="41" t="s">
        <v>104</v>
      </c>
      <c r="D165" s="15">
        <f t="shared" si="90"/>
        <v>461</v>
      </c>
      <c r="E165" s="15">
        <v>461</v>
      </c>
      <c r="F165" s="15"/>
      <c r="G165" s="15">
        <f>E165</f>
        <v>461</v>
      </c>
      <c r="H165" s="19">
        <f>E165</f>
        <v>461</v>
      </c>
      <c r="I165" s="14" t="s">
        <v>31</v>
      </c>
      <c r="J165" s="15"/>
    </row>
    <row r="166" spans="1:10" ht="18" customHeight="1" x14ac:dyDescent="0.25">
      <c r="A166" s="22" t="s">
        <v>25</v>
      </c>
      <c r="B166" s="22" t="s">
        <v>89</v>
      </c>
      <c r="C166" s="41" t="s">
        <v>79</v>
      </c>
      <c r="D166" s="15">
        <f t="shared" si="90"/>
        <v>267</v>
      </c>
      <c r="E166" s="15">
        <f>ROUNDUP(Table2[[#This Row],[Column2]],0)</f>
        <v>267</v>
      </c>
      <c r="F166" s="15"/>
      <c r="G166" s="15">
        <f>Table2[[#This Row],[2017.g. pastāvīgie]]</f>
        <v>267</v>
      </c>
      <c r="H166" s="19">
        <f>Table2[[#This Row],[2017.g. pastāvīgie]]</f>
        <v>267</v>
      </c>
      <c r="I166" s="14"/>
      <c r="J166" s="15">
        <f>800/3</f>
        <v>266.66666666666669</v>
      </c>
    </row>
    <row r="167" spans="1:10" ht="81" customHeight="1" x14ac:dyDescent="0.25">
      <c r="A167" s="22" t="s">
        <v>26</v>
      </c>
      <c r="B167" s="22" t="s">
        <v>89</v>
      </c>
      <c r="C167" s="41" t="s">
        <v>80</v>
      </c>
      <c r="D167" s="15">
        <f t="shared" si="90"/>
        <v>1319</v>
      </c>
      <c r="E167" s="15"/>
      <c r="F167" s="15">
        <f>180+200+213+120+213+100+60+183+50</f>
        <v>1319</v>
      </c>
      <c r="G167" s="15"/>
      <c r="H167" s="19"/>
      <c r="I167" s="14" t="s">
        <v>55</v>
      </c>
      <c r="J167" s="15"/>
    </row>
    <row r="168" spans="1:10" s="26" customFormat="1" ht="18.75" customHeight="1" x14ac:dyDescent="0.25">
      <c r="A168" s="23" t="s">
        <v>27</v>
      </c>
      <c r="B168" s="23"/>
      <c r="C168" s="42"/>
      <c r="D168" s="24">
        <f>D169</f>
        <v>1060</v>
      </c>
      <c r="E168" s="24">
        <f>E169</f>
        <v>0</v>
      </c>
      <c r="F168" s="24">
        <f t="shared" ref="F168" si="91">F169</f>
        <v>1060</v>
      </c>
      <c r="G168" s="24">
        <f t="shared" ref="G168" si="92">G169</f>
        <v>0</v>
      </c>
      <c r="H168" s="25">
        <f t="shared" ref="H168" si="93">H169</f>
        <v>0</v>
      </c>
      <c r="I168" s="25"/>
      <c r="J168" s="15"/>
    </row>
    <row r="169" spans="1:10" ht="18.75" customHeight="1" x14ac:dyDescent="0.25">
      <c r="A169" s="22" t="s">
        <v>28</v>
      </c>
      <c r="B169" s="22" t="s">
        <v>89</v>
      </c>
      <c r="C169" s="41" t="s">
        <v>81</v>
      </c>
      <c r="D169" s="15">
        <f>E169+F169</f>
        <v>1060</v>
      </c>
      <c r="E169" s="15"/>
      <c r="F169" s="15">
        <f>260+800</f>
        <v>1060</v>
      </c>
      <c r="G169" s="15"/>
      <c r="H169" s="19"/>
      <c r="I169" s="14" t="s">
        <v>29</v>
      </c>
      <c r="J169" s="15"/>
    </row>
    <row r="170" spans="1:10" ht="33" customHeight="1" x14ac:dyDescent="0.25">
      <c r="A170" s="6" t="s">
        <v>46</v>
      </c>
      <c r="B170" s="6"/>
      <c r="C170" s="36"/>
      <c r="D170" s="7">
        <f>D171+D178+D192</f>
        <v>125737</v>
      </c>
      <c r="E170" s="7">
        <f t="shared" ref="E170" si="94">E171+E178+E192</f>
        <v>111024</v>
      </c>
      <c r="F170" s="7">
        <f t="shared" ref="F170" si="95">F171+F178+F192</f>
        <v>14713</v>
      </c>
      <c r="G170" s="7">
        <f t="shared" ref="G170" si="96">G171+G178+G192</f>
        <v>111024</v>
      </c>
      <c r="H170" s="9">
        <f t="shared" ref="H170" si="97">H171+H178+H192</f>
        <v>116249</v>
      </c>
      <c r="I170" s="10"/>
      <c r="J170" s="15"/>
    </row>
    <row r="171" spans="1:10" x14ac:dyDescent="0.25">
      <c r="A171" s="12" t="s">
        <v>0</v>
      </c>
      <c r="B171" s="12"/>
      <c r="C171" s="37"/>
      <c r="D171" s="8">
        <f>SUM(D172:D177)</f>
        <v>57666</v>
      </c>
      <c r="E171" s="8">
        <f>SUM(E172:E177)</f>
        <v>57666</v>
      </c>
      <c r="F171" s="8">
        <f>SUM(F172:F177)</f>
        <v>0</v>
      </c>
      <c r="G171" s="8">
        <f>SUM(G172:G177)</f>
        <v>57666</v>
      </c>
      <c r="H171" s="13">
        <f>SUM(H172:H177)</f>
        <v>57666</v>
      </c>
      <c r="I171" s="14"/>
      <c r="J171" s="15"/>
    </row>
    <row r="172" spans="1:10" x14ac:dyDescent="0.25">
      <c r="A172" s="16" t="s">
        <v>10</v>
      </c>
      <c r="B172" s="16" t="s">
        <v>90</v>
      </c>
      <c r="C172" s="38" t="s">
        <v>62</v>
      </c>
      <c r="D172" s="17">
        <f>E172+F172</f>
        <v>15444</v>
      </c>
      <c r="E172" s="17">
        <f t="shared" ref="E172" si="98">1287*12</f>
        <v>15444</v>
      </c>
      <c r="F172" s="17"/>
      <c r="G172" s="17">
        <f>E172</f>
        <v>15444</v>
      </c>
      <c r="H172" s="18">
        <f>E172</f>
        <v>15444</v>
      </c>
      <c r="I172" s="14"/>
      <c r="J172" s="15"/>
    </row>
    <row r="173" spans="1:10" x14ac:dyDescent="0.25">
      <c r="A173" s="16" t="s">
        <v>1</v>
      </c>
      <c r="B173" s="16" t="s">
        <v>90</v>
      </c>
      <c r="C173" s="38" t="s">
        <v>63</v>
      </c>
      <c r="D173" s="17">
        <f t="shared" ref="D173:D177" si="99">E173+F173</f>
        <v>3089</v>
      </c>
      <c r="E173" s="17">
        <f>ROUND(E172*0.2,0)</f>
        <v>3089</v>
      </c>
      <c r="F173" s="17"/>
      <c r="G173" s="17">
        <f>ROUND(G172*0.2,0)</f>
        <v>3089</v>
      </c>
      <c r="H173" s="18">
        <f>ROUND(H172*0.2,0)</f>
        <v>3089</v>
      </c>
      <c r="I173" s="14"/>
      <c r="J173" s="15"/>
    </row>
    <row r="174" spans="1:10" ht="31.5" x14ac:dyDescent="0.25">
      <c r="A174" s="16" t="s">
        <v>2</v>
      </c>
      <c r="B174" s="16" t="s">
        <v>90</v>
      </c>
      <c r="C174" s="38" t="s">
        <v>64</v>
      </c>
      <c r="D174" s="17">
        <f t="shared" si="99"/>
        <v>4372</v>
      </c>
      <c r="E174" s="17">
        <f>ROUNDUP((E172+E173)*0.2359,0)</f>
        <v>4372</v>
      </c>
      <c r="F174" s="17"/>
      <c r="G174" s="17">
        <f>ROUNDUP((G172+G173)*0.2359,0)</f>
        <v>4372</v>
      </c>
      <c r="H174" s="18">
        <f>ROUNDUP((H172+H173)*0.2359,0)</f>
        <v>4372</v>
      </c>
      <c r="I174" s="14"/>
      <c r="J174" s="15"/>
    </row>
    <row r="175" spans="1:10" ht="78.75" x14ac:dyDescent="0.25">
      <c r="A175" s="44" t="s">
        <v>66</v>
      </c>
      <c r="B175" s="44" t="s">
        <v>90</v>
      </c>
      <c r="C175" s="38" t="s">
        <v>67</v>
      </c>
      <c r="D175" s="17">
        <f t="shared" si="99"/>
        <v>29107</v>
      </c>
      <c r="E175" s="17">
        <f>ROUNDUP(((19778+6830+4127)*0.947),0)</f>
        <v>29107</v>
      </c>
      <c r="F175" s="17"/>
      <c r="G175" s="17">
        <f>E175</f>
        <v>29107</v>
      </c>
      <c r="H175" s="18">
        <f>D175</f>
        <v>29107</v>
      </c>
      <c r="I175" s="14"/>
      <c r="J175" s="15"/>
    </row>
    <row r="176" spans="1:10" ht="31.5" x14ac:dyDescent="0.25">
      <c r="A176" s="16" t="s">
        <v>14</v>
      </c>
      <c r="B176" s="16" t="s">
        <v>90</v>
      </c>
      <c r="C176" s="38" t="s">
        <v>65</v>
      </c>
      <c r="D176" s="17">
        <f t="shared" si="99"/>
        <v>854</v>
      </c>
      <c r="E176" s="17">
        <f>ROUNDUP(71.14*12,0)</f>
        <v>854</v>
      </c>
      <c r="F176" s="17"/>
      <c r="G176" s="17">
        <f>E176</f>
        <v>854</v>
      </c>
      <c r="H176" s="18">
        <f>E176</f>
        <v>854</v>
      </c>
      <c r="I176" s="14" t="s">
        <v>56</v>
      </c>
      <c r="J176" s="15"/>
    </row>
    <row r="177" spans="1:10" ht="31.5" x14ac:dyDescent="0.25">
      <c r="A177" s="16" t="s">
        <v>3</v>
      </c>
      <c r="B177" s="16" t="s">
        <v>90</v>
      </c>
      <c r="C177" s="38" t="s">
        <v>68</v>
      </c>
      <c r="D177" s="17">
        <f t="shared" si="99"/>
        <v>4800</v>
      </c>
      <c r="E177" s="15">
        <f>1824*2+1152</f>
        <v>4800</v>
      </c>
      <c r="F177" s="15"/>
      <c r="G177" s="15">
        <f>E177</f>
        <v>4800</v>
      </c>
      <c r="H177" s="19">
        <f>E177</f>
        <v>4800</v>
      </c>
      <c r="I177" s="14"/>
      <c r="J177" s="15"/>
    </row>
    <row r="178" spans="1:10" x14ac:dyDescent="0.25">
      <c r="A178" s="12" t="s">
        <v>4</v>
      </c>
      <c r="B178" s="12"/>
      <c r="C178" s="37"/>
      <c r="D178" s="8">
        <f>SUM(D179:D191)</f>
        <v>67011</v>
      </c>
      <c r="E178" s="8">
        <f t="shared" ref="E178" si="100">SUM(E179:E191)</f>
        <v>53358</v>
      </c>
      <c r="F178" s="8">
        <f t="shared" ref="F178" si="101">SUM(F179:F191)</f>
        <v>13653</v>
      </c>
      <c r="G178" s="8">
        <f t="shared" ref="G178" si="102">SUM(G179:G191)</f>
        <v>53358</v>
      </c>
      <c r="H178" s="13">
        <f t="shared" ref="H178" si="103">SUM(H179:H191)</f>
        <v>58583</v>
      </c>
      <c r="I178" s="14"/>
      <c r="J178" s="15"/>
    </row>
    <row r="179" spans="1:10" ht="15.75" customHeight="1" x14ac:dyDescent="0.25">
      <c r="A179" s="20" t="s">
        <v>15</v>
      </c>
      <c r="B179" s="20" t="s">
        <v>90</v>
      </c>
      <c r="C179" s="39" t="s">
        <v>69</v>
      </c>
      <c r="D179" s="15">
        <f>E179+F179</f>
        <v>1725</v>
      </c>
      <c r="E179" s="15"/>
      <c r="F179" s="15">
        <f>ROUNDUP(I179/2*3,0)</f>
        <v>1725</v>
      </c>
      <c r="G179" s="15"/>
      <c r="H179" s="19">
        <f>ROUND(I179/2*3,0)</f>
        <v>1725</v>
      </c>
      <c r="I179" s="21">
        <v>1150</v>
      </c>
      <c r="J179" s="15"/>
    </row>
    <row r="180" spans="1:10" ht="31.5" x14ac:dyDescent="0.25">
      <c r="A180" s="20" t="s">
        <v>16</v>
      </c>
      <c r="B180" s="20" t="s">
        <v>90</v>
      </c>
      <c r="C180" s="39" t="s">
        <v>70</v>
      </c>
      <c r="D180" s="15">
        <f t="shared" ref="D180:D191" si="104">E180+F180</f>
        <v>3450</v>
      </c>
      <c r="E180" s="15">
        <f>ROUND(I179*3,0)</f>
        <v>3450</v>
      </c>
      <c r="F180" s="15"/>
      <c r="G180" s="15">
        <f>ROUND(I179*3,0)</f>
        <v>3450</v>
      </c>
      <c r="H180" s="19">
        <f>ROUND(I179*3,0)</f>
        <v>3450</v>
      </c>
      <c r="I180" s="14"/>
      <c r="J180" s="15"/>
    </row>
    <row r="181" spans="1:10" x14ac:dyDescent="0.25">
      <c r="A181" s="20" t="s">
        <v>17</v>
      </c>
      <c r="B181" s="20" t="s">
        <v>90</v>
      </c>
      <c r="C181" s="39" t="s">
        <v>71</v>
      </c>
      <c r="D181" s="15">
        <f t="shared" si="104"/>
        <v>280</v>
      </c>
      <c r="E181" s="15">
        <f>ROUNDUP(Table2[[#This Row],[Column2]],0)</f>
        <v>280</v>
      </c>
      <c r="F181" s="15"/>
      <c r="G181" s="15">
        <f>Table2[[#This Row],[2017.g. pastāvīgie]]</f>
        <v>280</v>
      </c>
      <c r="H181" s="19">
        <f>Table2[[#This Row],[2017.g. pastāvīgie]]</f>
        <v>280</v>
      </c>
      <c r="I181" s="14"/>
      <c r="J181" s="15">
        <f>1400/5</f>
        <v>280</v>
      </c>
    </row>
    <row r="182" spans="1:10" x14ac:dyDescent="0.25">
      <c r="A182" s="20" t="s">
        <v>18</v>
      </c>
      <c r="B182" s="20" t="s">
        <v>90</v>
      </c>
      <c r="C182" s="39" t="s">
        <v>72</v>
      </c>
      <c r="D182" s="15">
        <f t="shared" si="104"/>
        <v>2000</v>
      </c>
      <c r="E182" s="15">
        <f>ROUNDUP(Table2[[#This Row],[Column2]],0)</f>
        <v>2000</v>
      </c>
      <c r="F182" s="15"/>
      <c r="G182" s="15">
        <f>Table2[[#This Row],[2017.g. pastāvīgie]]</f>
        <v>2000</v>
      </c>
      <c r="H182" s="19">
        <f>Table2[[#This Row],[2017.g. pastāvīgie]]</f>
        <v>2000</v>
      </c>
      <c r="I182" s="14"/>
      <c r="J182" s="15">
        <f>10000/5</f>
        <v>2000</v>
      </c>
    </row>
    <row r="183" spans="1:10" x14ac:dyDescent="0.25">
      <c r="A183" s="20" t="s">
        <v>19</v>
      </c>
      <c r="B183" s="20" t="s">
        <v>90</v>
      </c>
      <c r="C183" s="39" t="s">
        <v>73</v>
      </c>
      <c r="D183" s="15">
        <f t="shared" si="104"/>
        <v>1700</v>
      </c>
      <c r="E183" s="15">
        <f>ROUNDUP(Table2[[#This Row],[Column2]],0)</f>
        <v>1700</v>
      </c>
      <c r="F183" s="15"/>
      <c r="G183" s="15">
        <f>Table2[[#This Row],[2017.g. pastāvīgie]]</f>
        <v>1700</v>
      </c>
      <c r="H183" s="19">
        <f>Table2[[#This Row],[2017.g. pastāvīgie]]</f>
        <v>1700</v>
      </c>
      <c r="I183" s="14"/>
      <c r="J183" s="15">
        <f>8500/5</f>
        <v>1700</v>
      </c>
    </row>
    <row r="184" spans="1:10" x14ac:dyDescent="0.25">
      <c r="A184" s="20" t="s">
        <v>20</v>
      </c>
      <c r="B184" s="20" t="s">
        <v>90</v>
      </c>
      <c r="C184" s="39" t="s">
        <v>74</v>
      </c>
      <c r="D184" s="15">
        <f t="shared" si="104"/>
        <v>3500</v>
      </c>
      <c r="E184" s="15"/>
      <c r="F184" s="15">
        <v>3500</v>
      </c>
      <c r="G184" s="15"/>
      <c r="H184" s="19">
        <v>3500</v>
      </c>
      <c r="I184" s="14" t="s">
        <v>39</v>
      </c>
      <c r="J184" s="15"/>
    </row>
    <row r="185" spans="1:10" ht="27.75" customHeight="1" x14ac:dyDescent="0.25">
      <c r="A185" s="32" t="s">
        <v>5</v>
      </c>
      <c r="B185" s="32" t="s">
        <v>90</v>
      </c>
      <c r="C185" s="40" t="s">
        <v>75</v>
      </c>
      <c r="D185" s="15">
        <f t="shared" si="104"/>
        <v>16635</v>
      </c>
      <c r="E185" s="17">
        <v>16635</v>
      </c>
      <c r="F185" s="15"/>
      <c r="G185" s="15">
        <f>E185</f>
        <v>16635</v>
      </c>
      <c r="H185" s="19">
        <f>E185</f>
        <v>16635</v>
      </c>
      <c r="I185" s="14"/>
      <c r="J185" s="15"/>
    </row>
    <row r="186" spans="1:10" ht="31.5" x14ac:dyDescent="0.25">
      <c r="A186" s="22" t="s">
        <v>21</v>
      </c>
      <c r="B186" s="22" t="s">
        <v>90</v>
      </c>
      <c r="C186" s="41" t="s">
        <v>76</v>
      </c>
      <c r="D186" s="15">
        <f t="shared" si="104"/>
        <v>28432</v>
      </c>
      <c r="E186" s="15">
        <f>ROUNDUP(27078*1.05,0)</f>
        <v>28432</v>
      </c>
      <c r="F186" s="15"/>
      <c r="G186" s="15">
        <f>E186</f>
        <v>28432</v>
      </c>
      <c r="H186" s="19">
        <f>E186</f>
        <v>28432</v>
      </c>
      <c r="I186" s="14"/>
      <c r="J186" s="15"/>
    </row>
    <row r="187" spans="1:10" ht="18" customHeight="1" x14ac:dyDescent="0.25">
      <c r="A187" s="22" t="s">
        <v>22</v>
      </c>
      <c r="B187" s="22" t="s">
        <v>90</v>
      </c>
      <c r="C187" s="41" t="s">
        <v>77</v>
      </c>
      <c r="D187" s="15">
        <f t="shared" si="104"/>
        <v>2370</v>
      </c>
      <c r="E187" s="15"/>
      <c r="F187" s="15">
        <v>2370</v>
      </c>
      <c r="G187" s="15"/>
      <c r="H187" s="19"/>
      <c r="I187" s="14"/>
      <c r="J187" s="15"/>
    </row>
    <row r="188" spans="1:10" ht="18" customHeight="1" x14ac:dyDescent="0.25">
      <c r="A188" s="22" t="s">
        <v>23</v>
      </c>
      <c r="B188" s="22" t="s">
        <v>90</v>
      </c>
      <c r="C188" s="41" t="s">
        <v>78</v>
      </c>
      <c r="D188" s="15">
        <f t="shared" si="104"/>
        <v>4739</v>
      </c>
      <c r="E188" s="15"/>
      <c r="F188" s="15">
        <f>ROUNDUP(E186/12*2,0)</f>
        <v>4739</v>
      </c>
      <c r="G188" s="15"/>
      <c r="H188" s="19"/>
      <c r="I188" s="14" t="s">
        <v>37</v>
      </c>
      <c r="J188" s="15"/>
    </row>
    <row r="189" spans="1:10" ht="18" customHeight="1" x14ac:dyDescent="0.25">
      <c r="A189" s="22" t="s">
        <v>24</v>
      </c>
      <c r="B189" s="22" t="s">
        <v>90</v>
      </c>
      <c r="C189" s="41" t="s">
        <v>104</v>
      </c>
      <c r="D189" s="15">
        <f t="shared" si="104"/>
        <v>461</v>
      </c>
      <c r="E189" s="15">
        <v>461</v>
      </c>
      <c r="F189" s="15"/>
      <c r="G189" s="15">
        <f>E189</f>
        <v>461</v>
      </c>
      <c r="H189" s="19">
        <f>E189</f>
        <v>461</v>
      </c>
      <c r="I189" s="14" t="s">
        <v>31</v>
      </c>
      <c r="J189" s="15"/>
    </row>
    <row r="190" spans="1:10" ht="18" customHeight="1" x14ac:dyDescent="0.25">
      <c r="A190" s="22" t="s">
        <v>25</v>
      </c>
      <c r="B190" s="22" t="s">
        <v>90</v>
      </c>
      <c r="C190" s="41" t="s">
        <v>79</v>
      </c>
      <c r="D190" s="15">
        <f t="shared" si="104"/>
        <v>400</v>
      </c>
      <c r="E190" s="15">
        <f>ROUNDUP(Table2[[#This Row],[Column2]],0)</f>
        <v>400</v>
      </c>
      <c r="F190" s="15"/>
      <c r="G190" s="15">
        <f>Table2[[#This Row],[2017.g. pastāvīgie]]</f>
        <v>400</v>
      </c>
      <c r="H190" s="19">
        <f>Table2[[#This Row],[2017.g. pastāvīgie]]</f>
        <v>400</v>
      </c>
      <c r="I190" s="14"/>
      <c r="J190" s="15">
        <f>2000/5</f>
        <v>400</v>
      </c>
    </row>
    <row r="191" spans="1:10" ht="81" customHeight="1" x14ac:dyDescent="0.25">
      <c r="A191" s="22" t="s">
        <v>26</v>
      </c>
      <c r="B191" s="22" t="s">
        <v>90</v>
      </c>
      <c r="C191" s="41" t="s">
        <v>80</v>
      </c>
      <c r="D191" s="15">
        <f t="shared" si="104"/>
        <v>1319</v>
      </c>
      <c r="E191" s="15"/>
      <c r="F191" s="15">
        <f>180+200+213+120+213+100+60+183+50</f>
        <v>1319</v>
      </c>
      <c r="G191" s="15"/>
      <c r="H191" s="19"/>
      <c r="I191" s="14" t="s">
        <v>55</v>
      </c>
      <c r="J191" s="15"/>
    </row>
    <row r="192" spans="1:10" s="26" customFormat="1" ht="18.75" customHeight="1" x14ac:dyDescent="0.25">
      <c r="A192" s="23" t="s">
        <v>27</v>
      </c>
      <c r="B192" s="23"/>
      <c r="C192" s="42"/>
      <c r="D192" s="24">
        <f>D193</f>
        <v>1060</v>
      </c>
      <c r="E192" s="24">
        <f>E193</f>
        <v>0</v>
      </c>
      <c r="F192" s="24">
        <f t="shared" ref="F192" si="105">F193</f>
        <v>1060</v>
      </c>
      <c r="G192" s="24">
        <f t="shared" ref="G192" si="106">G193</f>
        <v>0</v>
      </c>
      <c r="H192" s="25">
        <f t="shared" ref="H192" si="107">H193</f>
        <v>0</v>
      </c>
      <c r="I192" s="25"/>
      <c r="J192" s="15"/>
    </row>
    <row r="193" spans="1:10" ht="18.75" customHeight="1" x14ac:dyDescent="0.25">
      <c r="A193" s="22" t="s">
        <v>28</v>
      </c>
      <c r="B193" s="22" t="s">
        <v>90</v>
      </c>
      <c r="C193" s="41" t="s">
        <v>81</v>
      </c>
      <c r="D193" s="15">
        <f>E193+F193</f>
        <v>1060</v>
      </c>
      <c r="E193" s="15"/>
      <c r="F193" s="15">
        <f>260+800</f>
        <v>1060</v>
      </c>
      <c r="G193" s="15"/>
      <c r="H193" s="19"/>
      <c r="I193" s="14" t="s">
        <v>29</v>
      </c>
      <c r="J193" s="15"/>
    </row>
    <row r="194" spans="1:10" ht="33" customHeight="1" x14ac:dyDescent="0.25">
      <c r="A194" s="6" t="s">
        <v>47</v>
      </c>
      <c r="B194" s="6"/>
      <c r="C194" s="36"/>
      <c r="D194" s="7">
        <f>D195+D202+D216</f>
        <v>134867</v>
      </c>
      <c r="E194" s="7">
        <f t="shared" ref="E194" si="108">E195+E202+E216</f>
        <v>126999</v>
      </c>
      <c r="F194" s="7">
        <f t="shared" ref="F194" si="109">F195+F202+F216</f>
        <v>7868</v>
      </c>
      <c r="G194" s="7">
        <f t="shared" ref="G194" si="110">G195+G202+G216</f>
        <v>126999</v>
      </c>
      <c r="H194" s="9">
        <f t="shared" ref="H194" si="111">H195+H202+H216</f>
        <v>132014</v>
      </c>
      <c r="I194" s="10"/>
      <c r="J194" s="15"/>
    </row>
    <row r="195" spans="1:10" x14ac:dyDescent="0.25">
      <c r="A195" s="12" t="s">
        <v>0</v>
      </c>
      <c r="B195" s="12"/>
      <c r="C195" s="37"/>
      <c r="D195" s="8">
        <f>SUM(D196:D201)</f>
        <v>67956</v>
      </c>
      <c r="E195" s="8">
        <f>SUM(E196:E201)</f>
        <v>67956</v>
      </c>
      <c r="F195" s="8">
        <f>SUM(F196:F201)</f>
        <v>0</v>
      </c>
      <c r="G195" s="8">
        <f>SUM(G196:G201)</f>
        <v>67956</v>
      </c>
      <c r="H195" s="13">
        <f>SUM(H196:H201)</f>
        <v>67956</v>
      </c>
      <c r="I195" s="14"/>
      <c r="J195" s="15"/>
    </row>
    <row r="196" spans="1:10" x14ac:dyDescent="0.25">
      <c r="A196" s="16" t="s">
        <v>10</v>
      </c>
      <c r="B196" s="16" t="s">
        <v>91</v>
      </c>
      <c r="C196" s="38" t="s">
        <v>62</v>
      </c>
      <c r="D196" s="17">
        <f>E196+F196</f>
        <v>15444</v>
      </c>
      <c r="E196" s="17">
        <f t="shared" ref="E196" si="112">1287*12</f>
        <v>15444</v>
      </c>
      <c r="F196" s="17"/>
      <c r="G196" s="17">
        <f>E196</f>
        <v>15444</v>
      </c>
      <c r="H196" s="18">
        <f>E196</f>
        <v>15444</v>
      </c>
      <c r="I196" s="14"/>
      <c r="J196" s="15"/>
    </row>
    <row r="197" spans="1:10" x14ac:dyDescent="0.25">
      <c r="A197" s="16" t="s">
        <v>1</v>
      </c>
      <c r="B197" s="16" t="s">
        <v>91</v>
      </c>
      <c r="C197" s="38" t="s">
        <v>63</v>
      </c>
      <c r="D197" s="17">
        <f t="shared" ref="D197:D201" si="113">E197+F197</f>
        <v>3089</v>
      </c>
      <c r="E197" s="17">
        <f>ROUND(E196*0.2,0)</f>
        <v>3089</v>
      </c>
      <c r="F197" s="17"/>
      <c r="G197" s="17">
        <f>ROUND(G196*0.2,0)</f>
        <v>3089</v>
      </c>
      <c r="H197" s="18">
        <f>ROUND(H196*0.2,0)</f>
        <v>3089</v>
      </c>
      <c r="I197" s="14"/>
      <c r="J197" s="15"/>
    </row>
    <row r="198" spans="1:10" ht="31.5" x14ac:dyDescent="0.25">
      <c r="A198" s="16" t="s">
        <v>2</v>
      </c>
      <c r="B198" s="16" t="s">
        <v>91</v>
      </c>
      <c r="C198" s="38" t="s">
        <v>64</v>
      </c>
      <c r="D198" s="17">
        <f t="shared" si="113"/>
        <v>4372</v>
      </c>
      <c r="E198" s="17">
        <f>ROUNDUP((E196+E197)*0.2359,0)</f>
        <v>4372</v>
      </c>
      <c r="F198" s="17"/>
      <c r="G198" s="17">
        <f>ROUNDUP((G196+G197)*0.2359,0)</f>
        <v>4372</v>
      </c>
      <c r="H198" s="18">
        <f>ROUNDUP((H196+H197)*0.2359,0)</f>
        <v>4372</v>
      </c>
      <c r="I198" s="14"/>
      <c r="J198" s="15"/>
    </row>
    <row r="199" spans="1:10" ht="78.75" x14ac:dyDescent="0.25">
      <c r="A199" s="44" t="s">
        <v>66</v>
      </c>
      <c r="B199" s="44" t="s">
        <v>91</v>
      </c>
      <c r="C199" s="38" t="s">
        <v>67</v>
      </c>
      <c r="D199" s="17">
        <f t="shared" si="113"/>
        <v>39397</v>
      </c>
      <c r="E199" s="17">
        <f>ROUNDUP(((19778+6830+4127)*0.986*1.3),0)</f>
        <v>39397</v>
      </c>
      <c r="F199" s="17"/>
      <c r="G199" s="17">
        <f>E199</f>
        <v>39397</v>
      </c>
      <c r="H199" s="18">
        <f>D199</f>
        <v>39397</v>
      </c>
      <c r="I199" s="14"/>
      <c r="J199" s="15"/>
    </row>
    <row r="200" spans="1:10" ht="31.5" x14ac:dyDescent="0.25">
      <c r="A200" s="16" t="s">
        <v>14</v>
      </c>
      <c r="B200" s="16" t="s">
        <v>91</v>
      </c>
      <c r="C200" s="38" t="s">
        <v>65</v>
      </c>
      <c r="D200" s="17">
        <f t="shared" si="113"/>
        <v>854</v>
      </c>
      <c r="E200" s="17">
        <f>ROUNDUP(71.14*12,0)</f>
        <v>854</v>
      </c>
      <c r="F200" s="17"/>
      <c r="G200" s="17">
        <f>E200</f>
        <v>854</v>
      </c>
      <c r="H200" s="18">
        <f>E200</f>
        <v>854</v>
      </c>
      <c r="I200" s="14" t="s">
        <v>56</v>
      </c>
      <c r="J200" s="15"/>
    </row>
    <row r="201" spans="1:10" ht="31.5" x14ac:dyDescent="0.25">
      <c r="A201" s="16" t="s">
        <v>3</v>
      </c>
      <c r="B201" s="16" t="s">
        <v>91</v>
      </c>
      <c r="C201" s="38" t="s">
        <v>68</v>
      </c>
      <c r="D201" s="17">
        <f t="shared" si="113"/>
        <v>4800</v>
      </c>
      <c r="E201" s="15">
        <f>1824*2+1152</f>
        <v>4800</v>
      </c>
      <c r="F201" s="15"/>
      <c r="G201" s="15">
        <f>E201</f>
        <v>4800</v>
      </c>
      <c r="H201" s="19">
        <f>E201</f>
        <v>4800</v>
      </c>
      <c r="I201" s="14"/>
      <c r="J201" s="15"/>
    </row>
    <row r="202" spans="1:10" x14ac:dyDescent="0.25">
      <c r="A202" s="12" t="s">
        <v>4</v>
      </c>
      <c r="B202" s="12"/>
      <c r="C202" s="37"/>
      <c r="D202" s="8">
        <f>SUM(D203:D215)</f>
        <v>65851</v>
      </c>
      <c r="E202" s="8">
        <f t="shared" ref="E202" si="114">SUM(E203:E215)</f>
        <v>59043</v>
      </c>
      <c r="F202" s="8">
        <f t="shared" ref="F202" si="115">SUM(F203:F215)</f>
        <v>6808</v>
      </c>
      <c r="G202" s="8">
        <f t="shared" ref="G202" si="116">SUM(G203:G215)</f>
        <v>59043</v>
      </c>
      <c r="H202" s="13">
        <f t="shared" ref="H202" si="117">SUM(H203:H215)</f>
        <v>64058</v>
      </c>
      <c r="I202" s="14"/>
      <c r="J202" s="15"/>
    </row>
    <row r="203" spans="1:10" ht="15.75" customHeight="1" x14ac:dyDescent="0.25">
      <c r="A203" s="20" t="s">
        <v>15</v>
      </c>
      <c r="B203" s="20" t="s">
        <v>91</v>
      </c>
      <c r="C203" s="39" t="s">
        <v>69</v>
      </c>
      <c r="D203" s="15">
        <f>E203+F203</f>
        <v>1515</v>
      </c>
      <c r="E203" s="15"/>
      <c r="F203" s="15">
        <f>ROUNDUP(I203/2*3,0)</f>
        <v>1515</v>
      </c>
      <c r="G203" s="15"/>
      <c r="H203" s="19">
        <f>ROUND(I203/2*3,0)</f>
        <v>1515</v>
      </c>
      <c r="I203" s="21">
        <v>1010</v>
      </c>
      <c r="J203" s="15"/>
    </row>
    <row r="204" spans="1:10" ht="31.5" x14ac:dyDescent="0.25">
      <c r="A204" s="20" t="s">
        <v>16</v>
      </c>
      <c r="B204" s="20" t="s">
        <v>91</v>
      </c>
      <c r="C204" s="39" t="s">
        <v>70</v>
      </c>
      <c r="D204" s="15">
        <f t="shared" ref="D204:D215" si="118">E204+F204</f>
        <v>3030</v>
      </c>
      <c r="E204" s="15">
        <f>ROUND(I203*3,0)</f>
        <v>3030</v>
      </c>
      <c r="F204" s="15"/>
      <c r="G204" s="15">
        <f>ROUND(I203*3,0)</f>
        <v>3030</v>
      </c>
      <c r="H204" s="19">
        <f>ROUND(I203*3,0)</f>
        <v>3030</v>
      </c>
      <c r="I204" s="14"/>
      <c r="J204" s="15"/>
    </row>
    <row r="205" spans="1:10" x14ac:dyDescent="0.25">
      <c r="A205" s="20" t="s">
        <v>17</v>
      </c>
      <c r="B205" s="20" t="s">
        <v>91</v>
      </c>
      <c r="C205" s="39" t="s">
        <v>71</v>
      </c>
      <c r="D205" s="15">
        <f t="shared" si="118"/>
        <v>125</v>
      </c>
      <c r="E205" s="15">
        <f>ROUNDUP(Table2[[#This Row],[Column2]],0)</f>
        <v>125</v>
      </c>
      <c r="F205" s="15"/>
      <c r="G205" s="15">
        <f>Table2[[#This Row],[2017.g. pastāvīgie]]</f>
        <v>125</v>
      </c>
      <c r="H205" s="19">
        <f>Table2[[#This Row],[2017.g. pastāvīgie]]</f>
        <v>125</v>
      </c>
      <c r="I205" s="14"/>
      <c r="J205" s="15">
        <f>500/4</f>
        <v>125</v>
      </c>
    </row>
    <row r="206" spans="1:10" x14ac:dyDescent="0.25">
      <c r="A206" s="20" t="s">
        <v>18</v>
      </c>
      <c r="B206" s="20" t="s">
        <v>91</v>
      </c>
      <c r="C206" s="39" t="s">
        <v>72</v>
      </c>
      <c r="D206" s="15">
        <f t="shared" si="118"/>
        <v>200</v>
      </c>
      <c r="E206" s="15">
        <f>ROUNDUP(Table2[[#This Row],[Column2]],0)</f>
        <v>200</v>
      </c>
      <c r="F206" s="15"/>
      <c r="G206" s="15">
        <f>Table2[[#This Row],[2017.g. pastāvīgie]]</f>
        <v>200</v>
      </c>
      <c r="H206" s="19">
        <f>Table2[[#This Row],[2017.g. pastāvīgie]]</f>
        <v>200</v>
      </c>
      <c r="I206" s="14"/>
      <c r="J206" s="15">
        <f>800/4</f>
        <v>200</v>
      </c>
    </row>
    <row r="207" spans="1:10" x14ac:dyDescent="0.25">
      <c r="A207" s="20" t="s">
        <v>19</v>
      </c>
      <c r="B207" s="20" t="s">
        <v>91</v>
      </c>
      <c r="C207" s="39" t="s">
        <v>73</v>
      </c>
      <c r="D207" s="15">
        <f t="shared" si="118"/>
        <v>275</v>
      </c>
      <c r="E207" s="15">
        <f>ROUNDUP(Table2[[#This Row],[Column2]],0)</f>
        <v>275</v>
      </c>
      <c r="F207" s="15"/>
      <c r="G207" s="15">
        <f>Table2[[#This Row],[2017.g. pastāvīgie]]</f>
        <v>275</v>
      </c>
      <c r="H207" s="19">
        <f>Table2[[#This Row],[2017.g. pastāvīgie]]</f>
        <v>275</v>
      </c>
      <c r="I207" s="14"/>
      <c r="J207" s="15">
        <f>1100/4</f>
        <v>275</v>
      </c>
    </row>
    <row r="208" spans="1:10" x14ac:dyDescent="0.25">
      <c r="A208" s="20" t="s">
        <v>20</v>
      </c>
      <c r="B208" s="20" t="s">
        <v>91</v>
      </c>
      <c r="C208" s="39" t="s">
        <v>74</v>
      </c>
      <c r="D208" s="15">
        <f t="shared" si="118"/>
        <v>3500</v>
      </c>
      <c r="E208" s="15"/>
      <c r="F208" s="15">
        <v>3500</v>
      </c>
      <c r="G208" s="15"/>
      <c r="H208" s="19">
        <v>3500</v>
      </c>
      <c r="I208" s="14" t="s">
        <v>39</v>
      </c>
      <c r="J208" s="15"/>
    </row>
    <row r="209" spans="1:10" ht="27.75" customHeight="1" x14ac:dyDescent="0.25">
      <c r="A209" s="32" t="s">
        <v>5</v>
      </c>
      <c r="B209" s="32" t="s">
        <v>91</v>
      </c>
      <c r="C209" s="40" t="s">
        <v>75</v>
      </c>
      <c r="D209" s="15">
        <f t="shared" si="118"/>
        <v>26375</v>
      </c>
      <c r="E209" s="15">
        <v>26375</v>
      </c>
      <c r="F209" s="15"/>
      <c r="G209" s="15">
        <f>E209</f>
        <v>26375</v>
      </c>
      <c r="H209" s="19">
        <f>E209</f>
        <v>26375</v>
      </c>
      <c r="I209" s="14"/>
      <c r="J209" s="15"/>
    </row>
    <row r="210" spans="1:10" ht="31.5" x14ac:dyDescent="0.25">
      <c r="A210" s="22" t="s">
        <v>21</v>
      </c>
      <c r="B210" s="22" t="s">
        <v>91</v>
      </c>
      <c r="C210" s="41" t="s">
        <v>76</v>
      </c>
      <c r="D210" s="15">
        <f t="shared" si="118"/>
        <v>28432</v>
      </c>
      <c r="E210" s="17">
        <f>ROUNDUP(27078*1.05,0)</f>
        <v>28432</v>
      </c>
      <c r="F210" s="15"/>
      <c r="G210" s="15">
        <f>E210</f>
        <v>28432</v>
      </c>
      <c r="H210" s="19">
        <f>E210</f>
        <v>28432</v>
      </c>
      <c r="I210" s="14"/>
      <c r="J210" s="15"/>
    </row>
    <row r="211" spans="1:10" ht="18" customHeight="1" x14ac:dyDescent="0.25">
      <c r="A211" s="22" t="s">
        <v>22</v>
      </c>
      <c r="B211" s="22" t="s">
        <v>91</v>
      </c>
      <c r="C211" s="41" t="s">
        <v>77</v>
      </c>
      <c r="D211" s="15">
        <f t="shared" si="118"/>
        <v>474</v>
      </c>
      <c r="E211" s="15"/>
      <c r="F211" s="15">
        <v>474</v>
      </c>
      <c r="G211" s="15"/>
      <c r="H211" s="19"/>
      <c r="I211" s="14"/>
      <c r="J211" s="15"/>
    </row>
    <row r="212" spans="1:10" ht="18" customHeight="1" x14ac:dyDescent="0.25">
      <c r="A212" s="22" t="s">
        <v>23</v>
      </c>
      <c r="B212" s="22" t="s">
        <v>91</v>
      </c>
      <c r="C212" s="41" t="s">
        <v>78</v>
      </c>
      <c r="D212" s="15">
        <f t="shared" si="118"/>
        <v>0</v>
      </c>
      <c r="E212" s="15"/>
      <c r="F212" s="15"/>
      <c r="G212" s="15"/>
      <c r="H212" s="19"/>
      <c r="I212" s="14"/>
      <c r="J212" s="15"/>
    </row>
    <row r="213" spans="1:10" ht="18" customHeight="1" x14ac:dyDescent="0.25">
      <c r="A213" s="22" t="s">
        <v>24</v>
      </c>
      <c r="B213" s="22" t="s">
        <v>91</v>
      </c>
      <c r="C213" s="41" t="s">
        <v>104</v>
      </c>
      <c r="D213" s="15">
        <f t="shared" si="118"/>
        <v>461</v>
      </c>
      <c r="E213" s="15">
        <v>461</v>
      </c>
      <c r="F213" s="15"/>
      <c r="G213" s="15">
        <f>E213</f>
        <v>461</v>
      </c>
      <c r="H213" s="19">
        <f>E213</f>
        <v>461</v>
      </c>
      <c r="I213" s="14" t="s">
        <v>31</v>
      </c>
      <c r="J213" s="15"/>
    </row>
    <row r="214" spans="1:10" ht="18" customHeight="1" x14ac:dyDescent="0.25">
      <c r="A214" s="22" t="s">
        <v>25</v>
      </c>
      <c r="B214" s="22" t="s">
        <v>91</v>
      </c>
      <c r="C214" s="41" t="s">
        <v>79</v>
      </c>
      <c r="D214" s="15">
        <f t="shared" si="118"/>
        <v>145</v>
      </c>
      <c r="E214" s="15">
        <f>ROUNDUP(Table2[[#This Row],[Column2]],0)</f>
        <v>145</v>
      </c>
      <c r="F214" s="15"/>
      <c r="G214" s="15">
        <f>Table2[[#This Row],[2017.g. pastāvīgie]]</f>
        <v>145</v>
      </c>
      <c r="H214" s="19">
        <f>Table2[[#This Row],[2017.g. pastāvīgie]]</f>
        <v>145</v>
      </c>
      <c r="I214" s="14"/>
      <c r="J214" s="15">
        <f>580/4</f>
        <v>145</v>
      </c>
    </row>
    <row r="215" spans="1:10" ht="81" customHeight="1" x14ac:dyDescent="0.25">
      <c r="A215" s="22" t="s">
        <v>26</v>
      </c>
      <c r="B215" s="22" t="s">
        <v>91</v>
      </c>
      <c r="C215" s="41" t="s">
        <v>80</v>
      </c>
      <c r="D215" s="15">
        <f t="shared" si="118"/>
        <v>1319</v>
      </c>
      <c r="E215" s="15"/>
      <c r="F215" s="15">
        <f>180+200+213+120+213+100+60+183+50</f>
        <v>1319</v>
      </c>
      <c r="G215" s="15"/>
      <c r="H215" s="19"/>
      <c r="I215" s="14" t="s">
        <v>55</v>
      </c>
      <c r="J215" s="15"/>
    </row>
    <row r="216" spans="1:10" s="26" customFormat="1" ht="18.75" customHeight="1" x14ac:dyDescent="0.25">
      <c r="A216" s="23" t="s">
        <v>27</v>
      </c>
      <c r="B216" s="23"/>
      <c r="C216" s="42"/>
      <c r="D216" s="24">
        <f>D217</f>
        <v>1060</v>
      </c>
      <c r="E216" s="24">
        <f>E217</f>
        <v>0</v>
      </c>
      <c r="F216" s="24">
        <f t="shared" ref="F216" si="119">F217</f>
        <v>1060</v>
      </c>
      <c r="G216" s="24">
        <f t="shared" ref="G216" si="120">G217</f>
        <v>0</v>
      </c>
      <c r="H216" s="25">
        <f t="shared" ref="H216" si="121">H217</f>
        <v>0</v>
      </c>
      <c r="I216" s="25"/>
      <c r="J216" s="15"/>
    </row>
    <row r="217" spans="1:10" ht="18.75" customHeight="1" x14ac:dyDescent="0.25">
      <c r="A217" s="22" t="s">
        <v>28</v>
      </c>
      <c r="B217" s="22" t="s">
        <v>91</v>
      </c>
      <c r="C217" s="41" t="s">
        <v>81</v>
      </c>
      <c r="D217" s="15">
        <f>E217+F217</f>
        <v>1060</v>
      </c>
      <c r="E217" s="15"/>
      <c r="F217" s="15">
        <f>260+800</f>
        <v>1060</v>
      </c>
      <c r="G217" s="15"/>
      <c r="H217" s="19"/>
      <c r="I217" s="14" t="s">
        <v>29</v>
      </c>
      <c r="J217" s="15"/>
    </row>
    <row r="218" spans="1:10" ht="33" customHeight="1" x14ac:dyDescent="0.25">
      <c r="A218" s="6" t="s">
        <v>48</v>
      </c>
      <c r="B218" s="6"/>
      <c r="C218" s="36"/>
      <c r="D218" s="7">
        <f>D219+D226+D240</f>
        <v>122704</v>
      </c>
      <c r="E218" s="7">
        <f t="shared" ref="E218" si="122">E219+E226+E240</f>
        <v>112730</v>
      </c>
      <c r="F218" s="7">
        <f t="shared" ref="F218" si="123">F219+F226+F240</f>
        <v>9974</v>
      </c>
      <c r="G218" s="7">
        <f t="shared" ref="G218" si="124">G219+G226+G240</f>
        <v>112730</v>
      </c>
      <c r="H218" s="9">
        <f t="shared" ref="H218" si="125">H219+H226+H240</f>
        <v>117955</v>
      </c>
      <c r="I218" s="10"/>
      <c r="J218" s="15"/>
    </row>
    <row r="219" spans="1:10" x14ac:dyDescent="0.25">
      <c r="A219" s="12" t="s">
        <v>0</v>
      </c>
      <c r="B219" s="12"/>
      <c r="C219" s="37"/>
      <c r="D219" s="8">
        <f>SUM(D220:D225)</f>
        <v>67055</v>
      </c>
      <c r="E219" s="8">
        <f>SUM(E220:E225)</f>
        <v>67055</v>
      </c>
      <c r="F219" s="8">
        <f>SUM(F220:F225)</f>
        <v>0</v>
      </c>
      <c r="G219" s="8">
        <f>SUM(G220:G225)</f>
        <v>67055</v>
      </c>
      <c r="H219" s="13">
        <f>SUM(H220:H225)</f>
        <v>67055</v>
      </c>
      <c r="I219" s="14"/>
      <c r="J219" s="15"/>
    </row>
    <row r="220" spans="1:10" x14ac:dyDescent="0.25">
      <c r="A220" s="16" t="s">
        <v>10</v>
      </c>
      <c r="B220" s="16" t="s">
        <v>92</v>
      </c>
      <c r="C220" s="38" t="s">
        <v>62</v>
      </c>
      <c r="D220" s="17">
        <f>E220+F220</f>
        <v>15444</v>
      </c>
      <c r="E220" s="17">
        <f t="shared" ref="E220" si="126">1287*12</f>
        <v>15444</v>
      </c>
      <c r="F220" s="17"/>
      <c r="G220" s="17">
        <f>E220</f>
        <v>15444</v>
      </c>
      <c r="H220" s="18">
        <f>E220</f>
        <v>15444</v>
      </c>
      <c r="I220" s="14"/>
      <c r="J220" s="15"/>
    </row>
    <row r="221" spans="1:10" x14ac:dyDescent="0.25">
      <c r="A221" s="16" t="s">
        <v>1</v>
      </c>
      <c r="B221" s="16" t="s">
        <v>92</v>
      </c>
      <c r="C221" s="38" t="s">
        <v>63</v>
      </c>
      <c r="D221" s="17">
        <f t="shared" ref="D221:D225" si="127">E221+F221</f>
        <v>3089</v>
      </c>
      <c r="E221" s="17">
        <f>ROUND(E220*0.2,0)</f>
        <v>3089</v>
      </c>
      <c r="F221" s="17"/>
      <c r="G221" s="17">
        <f>ROUND(G220*0.2,0)</f>
        <v>3089</v>
      </c>
      <c r="H221" s="18">
        <f>ROUND(H220*0.2,0)</f>
        <v>3089</v>
      </c>
      <c r="I221" s="14"/>
      <c r="J221" s="15"/>
    </row>
    <row r="222" spans="1:10" ht="31.5" x14ac:dyDescent="0.25">
      <c r="A222" s="16" t="s">
        <v>2</v>
      </c>
      <c r="B222" s="16" t="s">
        <v>92</v>
      </c>
      <c r="C222" s="38" t="s">
        <v>64</v>
      </c>
      <c r="D222" s="17">
        <f t="shared" si="127"/>
        <v>4372</v>
      </c>
      <c r="E222" s="17">
        <f>ROUNDUP((E220+E221)*0.2359,0)</f>
        <v>4372</v>
      </c>
      <c r="F222" s="17"/>
      <c r="G222" s="17">
        <f>ROUNDUP((G220+G221)*0.2359,0)</f>
        <v>4372</v>
      </c>
      <c r="H222" s="18">
        <f>ROUNDUP((H220+H221)*0.2359,0)</f>
        <v>4372</v>
      </c>
      <c r="I222" s="14"/>
      <c r="J222" s="15"/>
    </row>
    <row r="223" spans="1:10" ht="78.75" x14ac:dyDescent="0.25">
      <c r="A223" s="44" t="s">
        <v>66</v>
      </c>
      <c r="B223" s="44" t="s">
        <v>92</v>
      </c>
      <c r="C223" s="38" t="s">
        <v>67</v>
      </c>
      <c r="D223" s="17">
        <f t="shared" si="127"/>
        <v>38496</v>
      </c>
      <c r="E223" s="17">
        <f>ROUNDUP(((19778+6830+4127)*1.002*1.25),0)</f>
        <v>38496</v>
      </c>
      <c r="F223" s="17"/>
      <c r="G223" s="17">
        <f>E223</f>
        <v>38496</v>
      </c>
      <c r="H223" s="18">
        <f>D223</f>
        <v>38496</v>
      </c>
      <c r="I223" s="14"/>
      <c r="J223" s="15"/>
    </row>
    <row r="224" spans="1:10" ht="31.5" x14ac:dyDescent="0.25">
      <c r="A224" s="16" t="s">
        <v>14</v>
      </c>
      <c r="B224" s="16" t="s">
        <v>92</v>
      </c>
      <c r="C224" s="38" t="s">
        <v>65</v>
      </c>
      <c r="D224" s="17">
        <f t="shared" si="127"/>
        <v>854</v>
      </c>
      <c r="E224" s="17">
        <f>ROUNDUP(71.14*12,0)</f>
        <v>854</v>
      </c>
      <c r="F224" s="17"/>
      <c r="G224" s="17">
        <f>E224</f>
        <v>854</v>
      </c>
      <c r="H224" s="18">
        <f>E224</f>
        <v>854</v>
      </c>
      <c r="I224" s="14" t="s">
        <v>56</v>
      </c>
      <c r="J224" s="15"/>
    </row>
    <row r="225" spans="1:10" ht="31.5" x14ac:dyDescent="0.25">
      <c r="A225" s="16" t="s">
        <v>3</v>
      </c>
      <c r="B225" s="16" t="s">
        <v>92</v>
      </c>
      <c r="C225" s="38" t="s">
        <v>68</v>
      </c>
      <c r="D225" s="17">
        <f t="shared" si="127"/>
        <v>4800</v>
      </c>
      <c r="E225" s="15">
        <f>1824*2+1152</f>
        <v>4800</v>
      </c>
      <c r="F225" s="15"/>
      <c r="G225" s="15">
        <f>E225</f>
        <v>4800</v>
      </c>
      <c r="H225" s="19">
        <f>E225</f>
        <v>4800</v>
      </c>
      <c r="I225" s="14"/>
      <c r="J225" s="15"/>
    </row>
    <row r="226" spans="1:10" x14ac:dyDescent="0.25">
      <c r="A226" s="12" t="s">
        <v>4</v>
      </c>
      <c r="B226" s="12"/>
      <c r="C226" s="37"/>
      <c r="D226" s="8">
        <f>SUM(D227:D239)</f>
        <v>54589</v>
      </c>
      <c r="E226" s="8">
        <f t="shared" ref="E226" si="128">SUM(E227:E239)</f>
        <v>45675</v>
      </c>
      <c r="F226" s="8">
        <f t="shared" ref="F226" si="129">SUM(F227:F239)</f>
        <v>8914</v>
      </c>
      <c r="G226" s="8">
        <f t="shared" ref="G226" si="130">SUM(G227:G239)</f>
        <v>45675</v>
      </c>
      <c r="H226" s="13">
        <f t="shared" ref="H226" si="131">SUM(H227:H239)</f>
        <v>50900</v>
      </c>
      <c r="I226" s="14"/>
      <c r="J226" s="15"/>
    </row>
    <row r="227" spans="1:10" ht="15.75" customHeight="1" x14ac:dyDescent="0.25">
      <c r="A227" s="20" t="s">
        <v>15</v>
      </c>
      <c r="B227" s="20" t="s">
        <v>92</v>
      </c>
      <c r="C227" s="39" t="s">
        <v>69</v>
      </c>
      <c r="D227" s="15">
        <f>E227+F227</f>
        <v>1725</v>
      </c>
      <c r="E227" s="15"/>
      <c r="F227" s="15">
        <f>ROUNDUP(I227/2*3,0)</f>
        <v>1725</v>
      </c>
      <c r="G227" s="15"/>
      <c r="H227" s="19">
        <f>ROUND(I227/2*3,0)</f>
        <v>1725</v>
      </c>
      <c r="I227" s="21">
        <v>1150</v>
      </c>
      <c r="J227" s="15"/>
    </row>
    <row r="228" spans="1:10" ht="31.5" x14ac:dyDescent="0.25">
      <c r="A228" s="20" t="s">
        <v>16</v>
      </c>
      <c r="B228" s="20" t="s">
        <v>92</v>
      </c>
      <c r="C228" s="39" t="s">
        <v>70</v>
      </c>
      <c r="D228" s="15">
        <f t="shared" ref="D228:D239" si="132">E228+F228</f>
        <v>3450</v>
      </c>
      <c r="E228" s="15">
        <f>ROUND(I227*3,0)</f>
        <v>3450</v>
      </c>
      <c r="F228" s="15"/>
      <c r="G228" s="15">
        <f>ROUND(I227*3,0)</f>
        <v>3450</v>
      </c>
      <c r="H228" s="19">
        <f>ROUND(I227*3,0)</f>
        <v>3450</v>
      </c>
      <c r="I228" s="14"/>
      <c r="J228" s="15"/>
    </row>
    <row r="229" spans="1:10" x14ac:dyDescent="0.25">
      <c r="A229" s="20" t="s">
        <v>17</v>
      </c>
      <c r="B229" s="20" t="s">
        <v>92</v>
      </c>
      <c r="C229" s="39" t="s">
        <v>71</v>
      </c>
      <c r="D229" s="15">
        <f t="shared" si="132"/>
        <v>143</v>
      </c>
      <c r="E229" s="15">
        <f>ROUNDUP(Table2[[#This Row],[Column2]],0)</f>
        <v>143</v>
      </c>
      <c r="F229" s="15"/>
      <c r="G229" s="15">
        <f>Table2[[#This Row],[2017.g. pastāvīgie]]</f>
        <v>143</v>
      </c>
      <c r="H229" s="19">
        <f>Table2[[#This Row],[2017.g. pastāvīgie]]</f>
        <v>143</v>
      </c>
      <c r="I229" s="14"/>
      <c r="J229" s="15">
        <f>1000/7</f>
        <v>142.85714285714286</v>
      </c>
    </row>
    <row r="230" spans="1:10" x14ac:dyDescent="0.25">
      <c r="A230" s="20" t="s">
        <v>18</v>
      </c>
      <c r="B230" s="20" t="s">
        <v>92</v>
      </c>
      <c r="C230" s="39" t="s">
        <v>72</v>
      </c>
      <c r="D230" s="15">
        <f t="shared" si="132"/>
        <v>1615</v>
      </c>
      <c r="E230" s="15">
        <f>ROUNDUP(Table2[[#This Row],[Column2]],0)</f>
        <v>1615</v>
      </c>
      <c r="F230" s="15"/>
      <c r="G230" s="15">
        <f>Table2[[#This Row],[2017.g. pastāvīgie]]</f>
        <v>1615</v>
      </c>
      <c r="H230" s="19">
        <f>Table2[[#This Row],[2017.g. pastāvīgie]]</f>
        <v>1615</v>
      </c>
      <c r="I230" s="14"/>
      <c r="J230" s="15">
        <f>11300/7</f>
        <v>1614.2857142857142</v>
      </c>
    </row>
    <row r="231" spans="1:10" x14ac:dyDescent="0.25">
      <c r="A231" s="20" t="s">
        <v>19</v>
      </c>
      <c r="B231" s="20" t="s">
        <v>92</v>
      </c>
      <c r="C231" s="39" t="s">
        <v>73</v>
      </c>
      <c r="D231" s="15">
        <f t="shared" si="132"/>
        <v>429</v>
      </c>
      <c r="E231" s="15">
        <f>ROUNDUP(Table2[[#This Row],[Column2]],0)</f>
        <v>429</v>
      </c>
      <c r="F231" s="15"/>
      <c r="G231" s="15">
        <f>Table2[[#This Row],[2017.g. pastāvīgie]]</f>
        <v>429</v>
      </c>
      <c r="H231" s="19">
        <f>Table2[[#This Row],[2017.g. pastāvīgie]]</f>
        <v>429</v>
      </c>
      <c r="I231" s="14"/>
      <c r="J231" s="15">
        <f>3000/7</f>
        <v>428.57142857142856</v>
      </c>
    </row>
    <row r="232" spans="1:10" x14ac:dyDescent="0.25">
      <c r="A232" s="20" t="s">
        <v>20</v>
      </c>
      <c r="B232" s="20" t="s">
        <v>92</v>
      </c>
      <c r="C232" s="39" t="s">
        <v>74</v>
      </c>
      <c r="D232" s="15">
        <f t="shared" si="132"/>
        <v>3500</v>
      </c>
      <c r="E232" s="15"/>
      <c r="F232" s="15">
        <v>3500</v>
      </c>
      <c r="G232" s="15"/>
      <c r="H232" s="19">
        <v>3500</v>
      </c>
      <c r="I232" s="14" t="s">
        <v>39</v>
      </c>
      <c r="J232" s="15"/>
    </row>
    <row r="233" spans="1:10" ht="27.75" customHeight="1" x14ac:dyDescent="0.25">
      <c r="A233" s="32" t="s">
        <v>5</v>
      </c>
      <c r="B233" s="32" t="s">
        <v>92</v>
      </c>
      <c r="C233" s="40" t="s">
        <v>75</v>
      </c>
      <c r="D233" s="15">
        <f t="shared" si="132"/>
        <v>10930</v>
      </c>
      <c r="E233" s="15">
        <v>10930</v>
      </c>
      <c r="F233" s="15"/>
      <c r="G233" s="15">
        <f>E233</f>
        <v>10930</v>
      </c>
      <c r="H233" s="19">
        <f>E233</f>
        <v>10930</v>
      </c>
      <c r="I233" s="14"/>
      <c r="J233" s="15"/>
    </row>
    <row r="234" spans="1:10" ht="31.5" x14ac:dyDescent="0.25">
      <c r="A234" s="22" t="s">
        <v>21</v>
      </c>
      <c r="B234" s="22" t="s">
        <v>92</v>
      </c>
      <c r="C234" s="41" t="s">
        <v>76</v>
      </c>
      <c r="D234" s="15">
        <f t="shared" si="132"/>
        <v>28432</v>
      </c>
      <c r="E234" s="15">
        <f>ROUNDUP(27078*1.05,0)</f>
        <v>28432</v>
      </c>
      <c r="F234" s="15"/>
      <c r="G234" s="15">
        <f>E234</f>
        <v>28432</v>
      </c>
      <c r="H234" s="19">
        <f>E234</f>
        <v>28432</v>
      </c>
      <c r="I234" s="14"/>
      <c r="J234" s="15"/>
    </row>
    <row r="235" spans="1:10" ht="18" customHeight="1" x14ac:dyDescent="0.25">
      <c r="A235" s="22" t="s">
        <v>22</v>
      </c>
      <c r="B235" s="22" t="s">
        <v>92</v>
      </c>
      <c r="C235" s="41" t="s">
        <v>77</v>
      </c>
      <c r="D235" s="15">
        <f t="shared" si="132"/>
        <v>0</v>
      </c>
      <c r="E235" s="15"/>
      <c r="F235" s="15"/>
      <c r="G235" s="15"/>
      <c r="H235" s="19"/>
      <c r="I235" s="14"/>
      <c r="J235" s="15"/>
    </row>
    <row r="236" spans="1:10" ht="18" customHeight="1" x14ac:dyDescent="0.25">
      <c r="A236" s="22" t="s">
        <v>23</v>
      </c>
      <c r="B236" s="22" t="s">
        <v>92</v>
      </c>
      <c r="C236" s="41" t="s">
        <v>78</v>
      </c>
      <c r="D236" s="15">
        <f t="shared" si="132"/>
        <v>2370</v>
      </c>
      <c r="E236" s="15"/>
      <c r="F236" s="15">
        <f>ROUNDUP(E234/12,0)</f>
        <v>2370</v>
      </c>
      <c r="G236" s="15"/>
      <c r="H236" s="19"/>
      <c r="I236" s="14" t="s">
        <v>32</v>
      </c>
      <c r="J236" s="15"/>
    </row>
    <row r="237" spans="1:10" ht="18" customHeight="1" x14ac:dyDescent="0.25">
      <c r="A237" s="22" t="s">
        <v>24</v>
      </c>
      <c r="B237" s="22" t="s">
        <v>92</v>
      </c>
      <c r="C237" s="41" t="s">
        <v>104</v>
      </c>
      <c r="D237" s="15">
        <f t="shared" si="132"/>
        <v>461</v>
      </c>
      <c r="E237" s="15">
        <v>461</v>
      </c>
      <c r="F237" s="15"/>
      <c r="G237" s="15">
        <f>E237</f>
        <v>461</v>
      </c>
      <c r="H237" s="19">
        <f>E237</f>
        <v>461</v>
      </c>
      <c r="I237" s="14" t="s">
        <v>31</v>
      </c>
      <c r="J237" s="15"/>
    </row>
    <row r="238" spans="1:10" ht="18" customHeight="1" x14ac:dyDescent="0.25">
      <c r="A238" s="22" t="s">
        <v>25</v>
      </c>
      <c r="B238" s="22" t="s">
        <v>92</v>
      </c>
      <c r="C238" s="41" t="s">
        <v>79</v>
      </c>
      <c r="D238" s="15">
        <f t="shared" si="132"/>
        <v>215</v>
      </c>
      <c r="E238" s="15">
        <f>ROUNDUP(Table2[[#This Row],[Column2]],0)</f>
        <v>215</v>
      </c>
      <c r="F238" s="15"/>
      <c r="G238" s="15">
        <f>Table2[[#This Row],[2017.g. pastāvīgie]]</f>
        <v>215</v>
      </c>
      <c r="H238" s="19">
        <f>Table2[[#This Row],[2017.g. pastāvīgie]]</f>
        <v>215</v>
      </c>
      <c r="I238" s="14"/>
      <c r="J238" s="15">
        <f>1500/7</f>
        <v>214.28571428571428</v>
      </c>
    </row>
    <row r="239" spans="1:10" ht="81" customHeight="1" x14ac:dyDescent="0.25">
      <c r="A239" s="22" t="s">
        <v>26</v>
      </c>
      <c r="B239" s="22" t="s">
        <v>92</v>
      </c>
      <c r="C239" s="41" t="s">
        <v>80</v>
      </c>
      <c r="D239" s="15">
        <f t="shared" si="132"/>
        <v>1319</v>
      </c>
      <c r="E239" s="15"/>
      <c r="F239" s="15">
        <f>180+200+213+120+213+100+60+183+50</f>
        <v>1319</v>
      </c>
      <c r="G239" s="15"/>
      <c r="H239" s="19"/>
      <c r="I239" s="14" t="s">
        <v>55</v>
      </c>
      <c r="J239" s="15"/>
    </row>
    <row r="240" spans="1:10" s="26" customFormat="1" ht="18.75" customHeight="1" x14ac:dyDescent="0.25">
      <c r="A240" s="23" t="s">
        <v>27</v>
      </c>
      <c r="B240" s="23"/>
      <c r="C240" s="42"/>
      <c r="D240" s="24">
        <f>D241</f>
        <v>1060</v>
      </c>
      <c r="E240" s="24">
        <f>E241</f>
        <v>0</v>
      </c>
      <c r="F240" s="24">
        <f t="shared" ref="F240" si="133">F241</f>
        <v>1060</v>
      </c>
      <c r="G240" s="24">
        <f t="shared" ref="G240" si="134">G241</f>
        <v>0</v>
      </c>
      <c r="H240" s="25">
        <f t="shared" ref="H240" si="135">H241</f>
        <v>0</v>
      </c>
      <c r="I240" s="25"/>
      <c r="J240" s="15"/>
    </row>
    <row r="241" spans="1:10" ht="18.75" customHeight="1" x14ac:dyDescent="0.25">
      <c r="A241" s="22" t="s">
        <v>28</v>
      </c>
      <c r="B241" s="22" t="s">
        <v>92</v>
      </c>
      <c r="C241" s="41" t="s">
        <v>81</v>
      </c>
      <c r="D241" s="15">
        <f>E241+F241</f>
        <v>1060</v>
      </c>
      <c r="E241" s="15"/>
      <c r="F241" s="15">
        <f>260+800</f>
        <v>1060</v>
      </c>
      <c r="G241" s="15"/>
      <c r="H241" s="19"/>
      <c r="I241" s="14" t="s">
        <v>29</v>
      </c>
      <c r="J241" s="15"/>
    </row>
    <row r="242" spans="1:10" ht="33" customHeight="1" x14ac:dyDescent="0.25">
      <c r="A242" s="6" t="s">
        <v>49</v>
      </c>
      <c r="B242" s="6"/>
      <c r="C242" s="36"/>
      <c r="D242" s="7">
        <f>D243+D250+D264</f>
        <v>92132</v>
      </c>
      <c r="E242" s="7">
        <f t="shared" ref="E242" si="136">E243+E250+E264</f>
        <v>84567</v>
      </c>
      <c r="F242" s="7">
        <f t="shared" ref="F242" si="137">F243+F250+F264</f>
        <v>7565</v>
      </c>
      <c r="G242" s="7">
        <f t="shared" ref="G242" si="138">G243+G250+G264</f>
        <v>84567</v>
      </c>
      <c r="H242" s="9">
        <f t="shared" ref="H242" si="139">H243+H250+H264</f>
        <v>88712</v>
      </c>
      <c r="I242" s="10"/>
      <c r="J242" s="15"/>
    </row>
    <row r="243" spans="1:10" x14ac:dyDescent="0.25">
      <c r="A243" s="12" t="s">
        <v>0</v>
      </c>
      <c r="B243" s="12"/>
      <c r="C243" s="37"/>
      <c r="D243" s="8">
        <f>SUM(D244:D249)</f>
        <v>49545</v>
      </c>
      <c r="E243" s="8">
        <f>SUM(E244:E249)</f>
        <v>49545</v>
      </c>
      <c r="F243" s="8">
        <f>SUM(F244:F249)</f>
        <v>0</v>
      </c>
      <c r="G243" s="8">
        <f>SUM(G244:G249)</f>
        <v>49545</v>
      </c>
      <c r="H243" s="13">
        <f>SUM(H244:H249)</f>
        <v>49545</v>
      </c>
      <c r="I243" s="14"/>
      <c r="J243" s="15"/>
    </row>
    <row r="244" spans="1:10" x14ac:dyDescent="0.25">
      <c r="A244" s="16" t="s">
        <v>10</v>
      </c>
      <c r="B244" s="16" t="s">
        <v>93</v>
      </c>
      <c r="C244" s="38" t="s">
        <v>62</v>
      </c>
      <c r="D244" s="17">
        <f>E244+F244</f>
        <v>15444</v>
      </c>
      <c r="E244" s="17">
        <f t="shared" ref="E244" si="140">1287*12</f>
        <v>15444</v>
      </c>
      <c r="F244" s="17"/>
      <c r="G244" s="17">
        <f>E244</f>
        <v>15444</v>
      </c>
      <c r="H244" s="18">
        <f>E244</f>
        <v>15444</v>
      </c>
      <c r="I244" s="14"/>
      <c r="J244" s="15"/>
    </row>
    <row r="245" spans="1:10" x14ac:dyDescent="0.25">
      <c r="A245" s="16" t="s">
        <v>1</v>
      </c>
      <c r="B245" s="16" t="s">
        <v>93</v>
      </c>
      <c r="C245" s="38" t="s">
        <v>63</v>
      </c>
      <c r="D245" s="17">
        <f t="shared" ref="D245:D249" si="141">E245+F245</f>
        <v>3089</v>
      </c>
      <c r="E245" s="17">
        <f>ROUND(E244*0.2,0)</f>
        <v>3089</v>
      </c>
      <c r="F245" s="17"/>
      <c r="G245" s="17">
        <f>ROUND(G244*0.2,0)</f>
        <v>3089</v>
      </c>
      <c r="H245" s="18">
        <f>ROUND(H244*0.2,0)</f>
        <v>3089</v>
      </c>
      <c r="I245" s="14"/>
      <c r="J245" s="15"/>
    </row>
    <row r="246" spans="1:10" ht="31.5" x14ac:dyDescent="0.25">
      <c r="A246" s="16" t="s">
        <v>2</v>
      </c>
      <c r="B246" s="16" t="s">
        <v>93</v>
      </c>
      <c r="C246" s="38" t="s">
        <v>64</v>
      </c>
      <c r="D246" s="17">
        <f t="shared" si="141"/>
        <v>4372</v>
      </c>
      <c r="E246" s="17">
        <f>ROUNDUP((E244+E245)*0.2359,0)</f>
        <v>4372</v>
      </c>
      <c r="F246" s="17"/>
      <c r="G246" s="17">
        <f>ROUNDUP((G244+G245)*0.2359,0)</f>
        <v>4372</v>
      </c>
      <c r="H246" s="18">
        <f>ROUNDUP((H244+H245)*0.2359,0)</f>
        <v>4372</v>
      </c>
      <c r="I246" s="14"/>
      <c r="J246" s="15"/>
    </row>
    <row r="247" spans="1:10" ht="78.75" x14ac:dyDescent="0.25">
      <c r="A247" s="44" t="s">
        <v>66</v>
      </c>
      <c r="B247" s="44" t="s">
        <v>93</v>
      </c>
      <c r="C247" s="38" t="s">
        <v>67</v>
      </c>
      <c r="D247" s="17">
        <f t="shared" si="141"/>
        <v>20986</v>
      </c>
      <c r="E247" s="17">
        <f>ROUNDUP(((19778+6830+4127)*0.569*1.2),0)</f>
        <v>20986</v>
      </c>
      <c r="F247" s="17"/>
      <c r="G247" s="17">
        <f>E247</f>
        <v>20986</v>
      </c>
      <c r="H247" s="18">
        <f>D247</f>
        <v>20986</v>
      </c>
      <c r="I247" s="14"/>
      <c r="J247" s="15"/>
    </row>
    <row r="248" spans="1:10" ht="31.5" x14ac:dyDescent="0.25">
      <c r="A248" s="16" t="s">
        <v>14</v>
      </c>
      <c r="B248" s="16" t="s">
        <v>93</v>
      </c>
      <c r="C248" s="38" t="s">
        <v>65</v>
      </c>
      <c r="D248" s="17">
        <f t="shared" si="141"/>
        <v>854</v>
      </c>
      <c r="E248" s="17">
        <f>ROUNDUP(71.14*12,0)</f>
        <v>854</v>
      </c>
      <c r="F248" s="17"/>
      <c r="G248" s="17">
        <f>E248</f>
        <v>854</v>
      </c>
      <c r="H248" s="18">
        <f>E248</f>
        <v>854</v>
      </c>
      <c r="I248" s="14" t="s">
        <v>56</v>
      </c>
      <c r="J248" s="15"/>
    </row>
    <row r="249" spans="1:10" ht="31.5" x14ac:dyDescent="0.25">
      <c r="A249" s="16" t="s">
        <v>3</v>
      </c>
      <c r="B249" s="16" t="s">
        <v>93</v>
      </c>
      <c r="C249" s="38" t="s">
        <v>68</v>
      </c>
      <c r="D249" s="17">
        <f t="shared" si="141"/>
        <v>4800</v>
      </c>
      <c r="E249" s="15">
        <f>1824*2+1152</f>
        <v>4800</v>
      </c>
      <c r="F249" s="15"/>
      <c r="G249" s="15">
        <f>E249</f>
        <v>4800</v>
      </c>
      <c r="H249" s="19">
        <f>E249</f>
        <v>4800</v>
      </c>
      <c r="I249" s="14"/>
      <c r="J249" s="15"/>
    </row>
    <row r="250" spans="1:10" x14ac:dyDescent="0.25">
      <c r="A250" s="12" t="s">
        <v>4</v>
      </c>
      <c r="B250" s="12"/>
      <c r="C250" s="37"/>
      <c r="D250" s="8">
        <f>SUM(D251:D263)</f>
        <v>41527</v>
      </c>
      <c r="E250" s="8">
        <f t="shared" ref="E250" si="142">SUM(E251:E263)</f>
        <v>35022</v>
      </c>
      <c r="F250" s="8">
        <f t="shared" ref="F250" si="143">SUM(F251:F263)</f>
        <v>6505</v>
      </c>
      <c r="G250" s="8">
        <f t="shared" ref="G250" si="144">SUM(G251:G263)</f>
        <v>35022</v>
      </c>
      <c r="H250" s="13">
        <f t="shared" ref="H250" si="145">SUM(H251:H263)</f>
        <v>39167</v>
      </c>
      <c r="I250" s="14"/>
      <c r="J250" s="15"/>
    </row>
    <row r="251" spans="1:10" ht="15.75" customHeight="1" x14ac:dyDescent="0.25">
      <c r="A251" s="20" t="s">
        <v>15</v>
      </c>
      <c r="B251" s="20" t="s">
        <v>93</v>
      </c>
      <c r="C251" s="39" t="s">
        <v>69</v>
      </c>
      <c r="D251" s="15">
        <f>E251+F251</f>
        <v>645</v>
      </c>
      <c r="E251" s="15"/>
      <c r="F251" s="15">
        <f>ROUNDUP(I251/2*3,0)</f>
        <v>645</v>
      </c>
      <c r="G251" s="15"/>
      <c r="H251" s="19">
        <f>ROUND(I251/2*3,0)</f>
        <v>645</v>
      </c>
      <c r="I251" s="21">
        <v>430</v>
      </c>
      <c r="J251" s="15"/>
    </row>
    <row r="252" spans="1:10" ht="31.5" x14ac:dyDescent="0.25">
      <c r="A252" s="20" t="s">
        <v>16</v>
      </c>
      <c r="B252" s="20" t="s">
        <v>93</v>
      </c>
      <c r="C252" s="39" t="s">
        <v>70</v>
      </c>
      <c r="D252" s="15">
        <f t="shared" ref="D252:D263" si="146">E252+F252</f>
        <v>1290</v>
      </c>
      <c r="E252" s="15">
        <f>ROUND(I251*3,0)</f>
        <v>1290</v>
      </c>
      <c r="F252" s="15"/>
      <c r="G252" s="15">
        <f>ROUND(I251*3,0)</f>
        <v>1290</v>
      </c>
      <c r="H252" s="19">
        <f>ROUND(I251*3,0)</f>
        <v>1290</v>
      </c>
      <c r="I252" s="14"/>
      <c r="J252" s="15"/>
    </row>
    <row r="253" spans="1:10" x14ac:dyDescent="0.25">
      <c r="A253" s="20" t="s">
        <v>17</v>
      </c>
      <c r="B253" s="20" t="s">
        <v>93</v>
      </c>
      <c r="C253" s="39" t="s">
        <v>71</v>
      </c>
      <c r="D253" s="15">
        <f t="shared" si="146"/>
        <v>400</v>
      </c>
      <c r="E253" s="15">
        <f>ROUNDUP(Table2[[#This Row],[Column2]],0)</f>
        <v>400</v>
      </c>
      <c r="F253" s="15"/>
      <c r="G253" s="15">
        <f>Table2[[#This Row],[2017.g. pastāvīgie]]</f>
        <v>400</v>
      </c>
      <c r="H253" s="19">
        <f>Table2[[#This Row],[2017.g. pastāvīgie]]</f>
        <v>400</v>
      </c>
      <c r="I253" s="14"/>
      <c r="J253" s="15">
        <f>1200/3</f>
        <v>400</v>
      </c>
    </row>
    <row r="254" spans="1:10" x14ac:dyDescent="0.25">
      <c r="A254" s="20" t="s">
        <v>18</v>
      </c>
      <c r="B254" s="20" t="s">
        <v>93</v>
      </c>
      <c r="C254" s="39" t="s">
        <v>72</v>
      </c>
      <c r="D254" s="15">
        <f t="shared" si="146"/>
        <v>267</v>
      </c>
      <c r="E254" s="15">
        <f>ROUNDUP(Table2[[#This Row],[Column2]],0)</f>
        <v>267</v>
      </c>
      <c r="F254" s="15"/>
      <c r="G254" s="15">
        <f>Table2[[#This Row],[2017.g. pastāvīgie]]</f>
        <v>267</v>
      </c>
      <c r="H254" s="19">
        <f>Table2[[#This Row],[2017.g. pastāvīgie]]</f>
        <v>267</v>
      </c>
      <c r="I254" s="14"/>
      <c r="J254" s="15">
        <f>800/3</f>
        <v>266.66666666666669</v>
      </c>
    </row>
    <row r="255" spans="1:10" x14ac:dyDescent="0.25">
      <c r="A255" s="20" t="s">
        <v>19</v>
      </c>
      <c r="B255" s="20" t="s">
        <v>93</v>
      </c>
      <c r="C255" s="39" t="s">
        <v>73</v>
      </c>
      <c r="D255" s="15">
        <f t="shared" si="146"/>
        <v>46</v>
      </c>
      <c r="E255" s="15">
        <f>ROUNDUP(Table2[[#This Row],[Column2]],0)</f>
        <v>46</v>
      </c>
      <c r="F255" s="15"/>
      <c r="G255" s="15">
        <f>Table2[[#This Row],[2017.g. pastāvīgie]]</f>
        <v>46</v>
      </c>
      <c r="H255" s="19">
        <f>Table2[[#This Row],[2017.g. pastāvīgie]]</f>
        <v>46</v>
      </c>
      <c r="I255" s="14"/>
      <c r="J255" s="15">
        <f>137/3</f>
        <v>45.666666666666664</v>
      </c>
    </row>
    <row r="256" spans="1:10" x14ac:dyDescent="0.25">
      <c r="A256" s="20" t="s">
        <v>20</v>
      </c>
      <c r="B256" s="20" t="s">
        <v>93</v>
      </c>
      <c r="C256" s="39" t="s">
        <v>74</v>
      </c>
      <c r="D256" s="15">
        <f t="shared" si="146"/>
        <v>3500</v>
      </c>
      <c r="E256" s="15"/>
      <c r="F256" s="15">
        <v>3500</v>
      </c>
      <c r="G256" s="15"/>
      <c r="H256" s="19">
        <v>3500</v>
      </c>
      <c r="I256" s="14" t="s">
        <v>39</v>
      </c>
      <c r="J256" s="15"/>
    </row>
    <row r="257" spans="1:10" ht="27.75" customHeight="1" x14ac:dyDescent="0.25">
      <c r="A257" s="32" t="s">
        <v>5</v>
      </c>
      <c r="B257" s="32" t="s">
        <v>93</v>
      </c>
      <c r="C257" s="40" t="s">
        <v>75</v>
      </c>
      <c r="D257" s="15">
        <f t="shared" si="146"/>
        <v>20000</v>
      </c>
      <c r="E257" s="15">
        <v>20000</v>
      </c>
      <c r="F257" s="15"/>
      <c r="G257" s="15">
        <f>E257</f>
        <v>20000</v>
      </c>
      <c r="H257" s="19">
        <f>E257</f>
        <v>20000</v>
      </c>
      <c r="I257" s="14" t="s">
        <v>57</v>
      </c>
      <c r="J257" s="15"/>
    </row>
    <row r="258" spans="1:10" ht="31.5" x14ac:dyDescent="0.25">
      <c r="A258" s="22" t="s">
        <v>21</v>
      </c>
      <c r="B258" s="22" t="s">
        <v>93</v>
      </c>
      <c r="C258" s="41" t="s">
        <v>76</v>
      </c>
      <c r="D258" s="15">
        <f t="shared" si="146"/>
        <v>12491</v>
      </c>
      <c r="E258" s="15">
        <f>ROUNDUP(11896*1.05,0)</f>
        <v>12491</v>
      </c>
      <c r="F258" s="15"/>
      <c r="G258" s="15">
        <f>E258</f>
        <v>12491</v>
      </c>
      <c r="H258" s="19">
        <f>E258</f>
        <v>12491</v>
      </c>
      <c r="I258" s="14"/>
      <c r="J258" s="15"/>
    </row>
    <row r="259" spans="1:10" ht="18" customHeight="1" x14ac:dyDescent="0.25">
      <c r="A259" s="22" t="s">
        <v>22</v>
      </c>
      <c r="B259" s="22" t="s">
        <v>93</v>
      </c>
      <c r="C259" s="41" t="s">
        <v>77</v>
      </c>
      <c r="D259" s="15">
        <f t="shared" si="146"/>
        <v>0</v>
      </c>
      <c r="E259" s="15"/>
      <c r="F259" s="15"/>
      <c r="G259" s="15"/>
      <c r="H259" s="19"/>
      <c r="I259" s="14"/>
      <c r="J259" s="15"/>
    </row>
    <row r="260" spans="1:10" ht="18" customHeight="1" x14ac:dyDescent="0.25">
      <c r="A260" s="22" t="s">
        <v>23</v>
      </c>
      <c r="B260" s="22" t="s">
        <v>93</v>
      </c>
      <c r="C260" s="41" t="s">
        <v>78</v>
      </c>
      <c r="D260" s="15">
        <f t="shared" si="146"/>
        <v>1041</v>
      </c>
      <c r="E260" s="15"/>
      <c r="F260" s="15">
        <f>ROUNDUP(E258/12,0)</f>
        <v>1041</v>
      </c>
      <c r="G260" s="15"/>
      <c r="H260" s="19"/>
      <c r="I260" s="14" t="s">
        <v>32</v>
      </c>
      <c r="J260" s="15"/>
    </row>
    <row r="261" spans="1:10" ht="18" customHeight="1" x14ac:dyDescent="0.25">
      <c r="A261" s="22" t="s">
        <v>24</v>
      </c>
      <c r="B261" s="22" t="s">
        <v>93</v>
      </c>
      <c r="C261" s="41" t="s">
        <v>104</v>
      </c>
      <c r="D261" s="15">
        <f t="shared" si="146"/>
        <v>461</v>
      </c>
      <c r="E261" s="15">
        <v>461</v>
      </c>
      <c r="F261" s="15"/>
      <c r="G261" s="15">
        <f>E261</f>
        <v>461</v>
      </c>
      <c r="H261" s="19">
        <f>E261</f>
        <v>461</v>
      </c>
      <c r="I261" s="14" t="s">
        <v>31</v>
      </c>
      <c r="J261" s="15"/>
    </row>
    <row r="262" spans="1:10" ht="18" customHeight="1" x14ac:dyDescent="0.25">
      <c r="A262" s="22" t="s">
        <v>25</v>
      </c>
      <c r="B262" s="22" t="s">
        <v>93</v>
      </c>
      <c r="C262" s="41" t="s">
        <v>79</v>
      </c>
      <c r="D262" s="15">
        <f t="shared" si="146"/>
        <v>67</v>
      </c>
      <c r="E262" s="15">
        <f>ROUNDUP(Table2[[#This Row],[Column2]],0)</f>
        <v>67</v>
      </c>
      <c r="F262" s="15"/>
      <c r="G262" s="15">
        <f>Table2[[#This Row],[2017.g. pastāvīgie]]</f>
        <v>67</v>
      </c>
      <c r="H262" s="19">
        <f>Table2[[#This Row],[2017.g. pastāvīgie]]</f>
        <v>67</v>
      </c>
      <c r="I262" s="14"/>
      <c r="J262" s="15">
        <f>200/3</f>
        <v>66.666666666666671</v>
      </c>
    </row>
    <row r="263" spans="1:10" ht="81" customHeight="1" x14ac:dyDescent="0.25">
      <c r="A263" s="22" t="s">
        <v>26</v>
      </c>
      <c r="B263" s="22" t="s">
        <v>93</v>
      </c>
      <c r="C263" s="41" t="s">
        <v>80</v>
      </c>
      <c r="D263" s="15">
        <f t="shared" si="146"/>
        <v>1319</v>
      </c>
      <c r="E263" s="15"/>
      <c r="F263" s="15">
        <f>180+200+213+120+213+100+60+183+50</f>
        <v>1319</v>
      </c>
      <c r="G263" s="15"/>
      <c r="H263" s="19"/>
      <c r="I263" s="14" t="s">
        <v>55</v>
      </c>
      <c r="J263" s="15"/>
    </row>
    <row r="264" spans="1:10" s="26" customFormat="1" ht="18.75" customHeight="1" x14ac:dyDescent="0.25">
      <c r="A264" s="23" t="s">
        <v>27</v>
      </c>
      <c r="B264" s="23"/>
      <c r="C264" s="42"/>
      <c r="D264" s="24">
        <f>D265</f>
        <v>1060</v>
      </c>
      <c r="E264" s="24">
        <f>E265</f>
        <v>0</v>
      </c>
      <c r="F264" s="24">
        <f t="shared" ref="F264" si="147">F265</f>
        <v>1060</v>
      </c>
      <c r="G264" s="24">
        <f t="shared" ref="G264" si="148">G265</f>
        <v>0</v>
      </c>
      <c r="H264" s="25">
        <f t="shared" ref="H264" si="149">H265</f>
        <v>0</v>
      </c>
      <c r="I264" s="25"/>
      <c r="J264" s="15"/>
    </row>
    <row r="265" spans="1:10" ht="18.75" customHeight="1" x14ac:dyDescent="0.25">
      <c r="A265" s="22" t="s">
        <v>28</v>
      </c>
      <c r="B265" s="22" t="s">
        <v>93</v>
      </c>
      <c r="C265" s="41" t="s">
        <v>81</v>
      </c>
      <c r="D265" s="15">
        <f>E265+F265</f>
        <v>1060</v>
      </c>
      <c r="E265" s="15"/>
      <c r="F265" s="15">
        <f>260+800</f>
        <v>1060</v>
      </c>
      <c r="G265" s="15"/>
      <c r="H265" s="19"/>
      <c r="I265" s="14" t="s">
        <v>29</v>
      </c>
      <c r="J265" s="15"/>
    </row>
    <row r="266" spans="1:10" ht="33" customHeight="1" x14ac:dyDescent="0.25">
      <c r="A266" s="6" t="s">
        <v>50</v>
      </c>
      <c r="B266" s="6"/>
      <c r="C266" s="36"/>
      <c r="D266" s="7">
        <f>D267+D274+D288</f>
        <v>105326</v>
      </c>
      <c r="E266" s="7">
        <f t="shared" ref="E266" si="150">E267+E274+E288</f>
        <v>97702</v>
      </c>
      <c r="F266" s="7">
        <f t="shared" ref="F266" si="151">F267+F274+F288</f>
        <v>7624</v>
      </c>
      <c r="G266" s="7">
        <f t="shared" ref="G266" si="152">G267+G274+G288</f>
        <v>97702</v>
      </c>
      <c r="H266" s="9">
        <f t="shared" ref="H266" si="153">H267+H274+H288</f>
        <v>102207</v>
      </c>
      <c r="I266" s="10"/>
      <c r="J266" s="15"/>
    </row>
    <row r="267" spans="1:10" x14ac:dyDescent="0.25">
      <c r="A267" s="12" t="s">
        <v>0</v>
      </c>
      <c r="B267" s="12"/>
      <c r="C267" s="37"/>
      <c r="D267" s="8">
        <f>SUM(D268:D273)</f>
        <v>66277</v>
      </c>
      <c r="E267" s="8">
        <f>SUM(E268:E273)</f>
        <v>66277</v>
      </c>
      <c r="F267" s="8">
        <f>SUM(F268:F273)</f>
        <v>0</v>
      </c>
      <c r="G267" s="8">
        <f>SUM(G268:G273)</f>
        <v>66277</v>
      </c>
      <c r="H267" s="13">
        <f>SUM(H268:H273)</f>
        <v>66277</v>
      </c>
      <c r="I267" s="14"/>
      <c r="J267" s="15"/>
    </row>
    <row r="268" spans="1:10" x14ac:dyDescent="0.25">
      <c r="A268" s="16" t="s">
        <v>10</v>
      </c>
      <c r="B268" s="16" t="s">
        <v>94</v>
      </c>
      <c r="C268" s="38" t="s">
        <v>62</v>
      </c>
      <c r="D268" s="17">
        <f>E268+F268</f>
        <v>15444</v>
      </c>
      <c r="E268" s="17">
        <f t="shared" ref="E268" si="154">1287*12</f>
        <v>15444</v>
      </c>
      <c r="F268" s="17"/>
      <c r="G268" s="17">
        <f>E268</f>
        <v>15444</v>
      </c>
      <c r="H268" s="18">
        <f>E268</f>
        <v>15444</v>
      </c>
      <c r="I268" s="14"/>
      <c r="J268" s="15"/>
    </row>
    <row r="269" spans="1:10" x14ac:dyDescent="0.25">
      <c r="A269" s="16" t="s">
        <v>1</v>
      </c>
      <c r="B269" s="16" t="s">
        <v>94</v>
      </c>
      <c r="C269" s="38" t="s">
        <v>63</v>
      </c>
      <c r="D269" s="17">
        <f t="shared" ref="D269:D273" si="155">E269+F269</f>
        <v>3089</v>
      </c>
      <c r="E269" s="17">
        <f>ROUND(E268*0.2,0)</f>
        <v>3089</v>
      </c>
      <c r="F269" s="17"/>
      <c r="G269" s="17">
        <f>ROUND(G268*0.2,0)</f>
        <v>3089</v>
      </c>
      <c r="H269" s="18">
        <f>ROUND(H268*0.2,0)</f>
        <v>3089</v>
      </c>
      <c r="I269" s="14"/>
      <c r="J269" s="15"/>
    </row>
    <row r="270" spans="1:10" ht="31.5" x14ac:dyDescent="0.25">
      <c r="A270" s="16" t="s">
        <v>2</v>
      </c>
      <c r="B270" s="16" t="s">
        <v>94</v>
      </c>
      <c r="C270" s="38" t="s">
        <v>64</v>
      </c>
      <c r="D270" s="17">
        <f t="shared" si="155"/>
        <v>4372</v>
      </c>
      <c r="E270" s="17">
        <f>ROUNDUP((E268+E269)*0.2359,0)</f>
        <v>4372</v>
      </c>
      <c r="F270" s="17"/>
      <c r="G270" s="17">
        <f>ROUNDUP((G268+G269)*0.2359,0)</f>
        <v>4372</v>
      </c>
      <c r="H270" s="18">
        <f>ROUNDUP((H268+H269)*0.2359,0)</f>
        <v>4372</v>
      </c>
      <c r="I270" s="14"/>
      <c r="J270" s="15"/>
    </row>
    <row r="271" spans="1:10" ht="78.75" x14ac:dyDescent="0.25">
      <c r="A271" s="44" t="s">
        <v>66</v>
      </c>
      <c r="B271" s="44" t="s">
        <v>94</v>
      </c>
      <c r="C271" s="38" t="s">
        <v>67</v>
      </c>
      <c r="D271" s="17">
        <f t="shared" si="155"/>
        <v>37718</v>
      </c>
      <c r="E271" s="17">
        <f>ROUNDUP(((19778+6830+4127)*0.944*1.3),0)</f>
        <v>37718</v>
      </c>
      <c r="F271" s="17"/>
      <c r="G271" s="17">
        <f>E271</f>
        <v>37718</v>
      </c>
      <c r="H271" s="18">
        <f>D271</f>
        <v>37718</v>
      </c>
      <c r="I271" s="14"/>
      <c r="J271" s="15"/>
    </row>
    <row r="272" spans="1:10" ht="31.5" x14ac:dyDescent="0.25">
      <c r="A272" s="16" t="s">
        <v>14</v>
      </c>
      <c r="B272" s="16" t="s">
        <v>94</v>
      </c>
      <c r="C272" s="38" t="s">
        <v>65</v>
      </c>
      <c r="D272" s="17">
        <f t="shared" si="155"/>
        <v>854</v>
      </c>
      <c r="E272" s="17">
        <f>ROUNDUP(71.14*12,0)</f>
        <v>854</v>
      </c>
      <c r="F272" s="17"/>
      <c r="G272" s="17">
        <f>E272</f>
        <v>854</v>
      </c>
      <c r="H272" s="18">
        <f>E272</f>
        <v>854</v>
      </c>
      <c r="I272" s="14" t="s">
        <v>56</v>
      </c>
      <c r="J272" s="15"/>
    </row>
    <row r="273" spans="1:10" ht="31.5" x14ac:dyDescent="0.25">
      <c r="A273" s="16" t="s">
        <v>3</v>
      </c>
      <c r="B273" s="16" t="s">
        <v>94</v>
      </c>
      <c r="C273" s="38" t="s">
        <v>68</v>
      </c>
      <c r="D273" s="17">
        <f t="shared" si="155"/>
        <v>4800</v>
      </c>
      <c r="E273" s="15">
        <f>1824*2+1152</f>
        <v>4800</v>
      </c>
      <c r="F273" s="15"/>
      <c r="G273" s="15">
        <f>E273</f>
        <v>4800</v>
      </c>
      <c r="H273" s="19">
        <f>E273</f>
        <v>4800</v>
      </c>
      <c r="I273" s="14"/>
      <c r="J273" s="15"/>
    </row>
    <row r="274" spans="1:10" x14ac:dyDescent="0.25">
      <c r="A274" s="12" t="s">
        <v>4</v>
      </c>
      <c r="B274" s="12"/>
      <c r="C274" s="37"/>
      <c r="D274" s="8">
        <f>SUM(D275:D287)</f>
        <v>37989</v>
      </c>
      <c r="E274" s="8">
        <f t="shared" ref="E274" si="156">SUM(E275:E287)</f>
        <v>31425</v>
      </c>
      <c r="F274" s="8">
        <f t="shared" ref="F274" si="157">SUM(F275:F287)</f>
        <v>6564</v>
      </c>
      <c r="G274" s="8">
        <f t="shared" ref="G274" si="158">SUM(G275:G287)</f>
        <v>31425</v>
      </c>
      <c r="H274" s="13">
        <f t="shared" ref="H274" si="159">SUM(H275:H287)</f>
        <v>35930</v>
      </c>
      <c r="I274" s="14"/>
      <c r="J274" s="15"/>
    </row>
    <row r="275" spans="1:10" ht="15.75" customHeight="1" x14ac:dyDescent="0.25">
      <c r="A275" s="20" t="s">
        <v>15</v>
      </c>
      <c r="B275" s="20" t="s">
        <v>94</v>
      </c>
      <c r="C275" s="39" t="s">
        <v>69</v>
      </c>
      <c r="D275" s="15">
        <f>E275+F275</f>
        <v>1005</v>
      </c>
      <c r="E275" s="15"/>
      <c r="F275" s="15">
        <f>ROUNDUP(I275/2*3,0)</f>
        <v>1005</v>
      </c>
      <c r="G275" s="15"/>
      <c r="H275" s="19">
        <f>ROUND(I275/2*3,0)</f>
        <v>1005</v>
      </c>
      <c r="I275" s="21">
        <v>670</v>
      </c>
      <c r="J275" s="15"/>
    </row>
    <row r="276" spans="1:10" ht="31.5" x14ac:dyDescent="0.25">
      <c r="A276" s="20" t="s">
        <v>16</v>
      </c>
      <c r="B276" s="20" t="s">
        <v>94</v>
      </c>
      <c r="C276" s="39" t="s">
        <v>70</v>
      </c>
      <c r="D276" s="15">
        <f t="shared" ref="D276:D287" si="160">E276+F276</f>
        <v>2010</v>
      </c>
      <c r="E276" s="15">
        <f>ROUND(I275*3,0)</f>
        <v>2010</v>
      </c>
      <c r="F276" s="15"/>
      <c r="G276" s="15">
        <f>ROUND(I275*3,0)</f>
        <v>2010</v>
      </c>
      <c r="H276" s="19">
        <f>ROUND(I275*3,0)</f>
        <v>2010</v>
      </c>
      <c r="I276" s="14"/>
      <c r="J276" s="15"/>
    </row>
    <row r="277" spans="1:10" x14ac:dyDescent="0.25">
      <c r="A277" s="20" t="s">
        <v>17</v>
      </c>
      <c r="B277" s="20" t="s">
        <v>94</v>
      </c>
      <c r="C277" s="39" t="s">
        <v>71</v>
      </c>
      <c r="D277" s="15">
        <f t="shared" si="160"/>
        <v>500</v>
      </c>
      <c r="E277" s="15">
        <f>ROUNDUP(Table2[[#This Row],[Column2]],0)</f>
        <v>500</v>
      </c>
      <c r="F277" s="15"/>
      <c r="G277" s="15">
        <f>Table2[[#This Row],[2017.g. pastāvīgie]]</f>
        <v>500</v>
      </c>
      <c r="H277" s="19">
        <f>Table2[[#This Row],[2017.g. pastāvīgie]]</f>
        <v>500</v>
      </c>
      <c r="I277" s="14"/>
      <c r="J277" s="15">
        <f>2500/5</f>
        <v>500</v>
      </c>
    </row>
    <row r="278" spans="1:10" x14ac:dyDescent="0.25">
      <c r="A278" s="20" t="s">
        <v>18</v>
      </c>
      <c r="B278" s="20" t="s">
        <v>94</v>
      </c>
      <c r="C278" s="39" t="s">
        <v>72</v>
      </c>
      <c r="D278" s="15">
        <f t="shared" si="160"/>
        <v>392</v>
      </c>
      <c r="E278" s="15">
        <f>ROUNDUP(Table2[[#This Row],[Column2]],0)</f>
        <v>392</v>
      </c>
      <c r="F278" s="15"/>
      <c r="G278" s="15">
        <f>Table2[[#This Row],[2017.g. pastāvīgie]]</f>
        <v>392</v>
      </c>
      <c r="H278" s="19">
        <f>Table2[[#This Row],[2017.g. pastāvīgie]]</f>
        <v>392</v>
      </c>
      <c r="I278" s="14"/>
      <c r="J278" s="15">
        <f>1960/5</f>
        <v>392</v>
      </c>
    </row>
    <row r="279" spans="1:10" x14ac:dyDescent="0.25">
      <c r="A279" s="20" t="s">
        <v>19</v>
      </c>
      <c r="B279" s="20" t="s">
        <v>94</v>
      </c>
      <c r="C279" s="39" t="s">
        <v>73</v>
      </c>
      <c r="D279" s="15">
        <f t="shared" si="160"/>
        <v>208</v>
      </c>
      <c r="E279" s="15">
        <f>ROUNDUP(Table2[[#This Row],[Column2]],0)</f>
        <v>208</v>
      </c>
      <c r="F279" s="15"/>
      <c r="G279" s="15">
        <f>Table2[[#This Row],[2017.g. pastāvīgie]]</f>
        <v>208</v>
      </c>
      <c r="H279" s="19">
        <f>Table2[[#This Row],[2017.g. pastāvīgie]]</f>
        <v>208</v>
      </c>
      <c r="I279" s="14"/>
      <c r="J279" s="15">
        <f>1040/5</f>
        <v>208</v>
      </c>
    </row>
    <row r="280" spans="1:10" x14ac:dyDescent="0.25">
      <c r="A280" s="20" t="s">
        <v>20</v>
      </c>
      <c r="B280" s="20" t="s">
        <v>94</v>
      </c>
      <c r="C280" s="39" t="s">
        <v>74</v>
      </c>
      <c r="D280" s="15">
        <f t="shared" si="160"/>
        <v>3500</v>
      </c>
      <c r="E280" s="15"/>
      <c r="F280" s="15">
        <v>3500</v>
      </c>
      <c r="G280" s="15"/>
      <c r="H280" s="19">
        <v>3500</v>
      </c>
      <c r="I280" s="14" t="s">
        <v>39</v>
      </c>
      <c r="J280" s="15"/>
    </row>
    <row r="281" spans="1:10" ht="27.75" customHeight="1" x14ac:dyDescent="0.25">
      <c r="A281" s="32" t="s">
        <v>5</v>
      </c>
      <c r="B281" s="32" t="s">
        <v>94</v>
      </c>
      <c r="C281" s="40" t="s">
        <v>75</v>
      </c>
      <c r="D281" s="15">
        <f t="shared" si="160"/>
        <v>18725</v>
      </c>
      <c r="E281" s="15">
        <v>18725</v>
      </c>
      <c r="F281" s="15"/>
      <c r="G281" s="15">
        <f>E281</f>
        <v>18725</v>
      </c>
      <c r="H281" s="19">
        <f>E281</f>
        <v>18725</v>
      </c>
      <c r="I281" s="14"/>
      <c r="J281" s="15"/>
    </row>
    <row r="282" spans="1:10" ht="31.5" x14ac:dyDescent="0.25">
      <c r="A282" s="22" t="s">
        <v>21</v>
      </c>
      <c r="B282" s="22" t="s">
        <v>94</v>
      </c>
      <c r="C282" s="41" t="s">
        <v>76</v>
      </c>
      <c r="D282" s="15">
        <f t="shared" si="160"/>
        <v>8875</v>
      </c>
      <c r="E282" s="15">
        <f>ROUNDUP(8452*1.05,0)</f>
        <v>8875</v>
      </c>
      <c r="F282" s="15"/>
      <c r="G282" s="15">
        <f>E282</f>
        <v>8875</v>
      </c>
      <c r="H282" s="19">
        <f>E282</f>
        <v>8875</v>
      </c>
      <c r="I282" s="14"/>
      <c r="J282" s="15"/>
    </row>
    <row r="283" spans="1:10" ht="18" customHeight="1" x14ac:dyDescent="0.25">
      <c r="A283" s="22" t="s">
        <v>22</v>
      </c>
      <c r="B283" s="22" t="s">
        <v>94</v>
      </c>
      <c r="C283" s="41" t="s">
        <v>77</v>
      </c>
      <c r="D283" s="15">
        <f t="shared" si="160"/>
        <v>740</v>
      </c>
      <c r="E283" s="15"/>
      <c r="F283" s="15">
        <v>740</v>
      </c>
      <c r="G283" s="15"/>
      <c r="H283" s="19"/>
      <c r="I283" s="14"/>
      <c r="J283" s="15"/>
    </row>
    <row r="284" spans="1:10" ht="18" customHeight="1" x14ac:dyDescent="0.25">
      <c r="A284" s="22" t="s">
        <v>23</v>
      </c>
      <c r="B284" s="22" t="s">
        <v>94</v>
      </c>
      <c r="C284" s="41" t="s">
        <v>78</v>
      </c>
      <c r="D284" s="15">
        <f t="shared" si="160"/>
        <v>0</v>
      </c>
      <c r="E284" s="15"/>
      <c r="F284" s="15"/>
      <c r="G284" s="15"/>
      <c r="H284" s="19"/>
      <c r="I284" s="14"/>
      <c r="J284" s="15"/>
    </row>
    <row r="285" spans="1:10" ht="18" customHeight="1" x14ac:dyDescent="0.25">
      <c r="A285" s="22" t="s">
        <v>24</v>
      </c>
      <c r="B285" s="22" t="s">
        <v>94</v>
      </c>
      <c r="C285" s="41" t="s">
        <v>104</v>
      </c>
      <c r="D285" s="15">
        <f t="shared" si="160"/>
        <v>461</v>
      </c>
      <c r="E285" s="15">
        <v>461</v>
      </c>
      <c r="F285" s="15"/>
      <c r="G285" s="15">
        <f>E285</f>
        <v>461</v>
      </c>
      <c r="H285" s="19">
        <f>E285</f>
        <v>461</v>
      </c>
      <c r="I285" s="14" t="s">
        <v>31</v>
      </c>
      <c r="J285" s="15"/>
    </row>
    <row r="286" spans="1:10" ht="18" customHeight="1" x14ac:dyDescent="0.25">
      <c r="A286" s="22" t="s">
        <v>25</v>
      </c>
      <c r="B286" s="22" t="s">
        <v>94</v>
      </c>
      <c r="C286" s="41" t="s">
        <v>79</v>
      </c>
      <c r="D286" s="15">
        <f t="shared" si="160"/>
        <v>254</v>
      </c>
      <c r="E286" s="15">
        <f>ROUNDUP(Table2[[#This Row],[Column2]],0)</f>
        <v>254</v>
      </c>
      <c r="F286" s="15"/>
      <c r="G286" s="15">
        <f>Table2[[#This Row],[2017.g. pastāvīgie]]</f>
        <v>254</v>
      </c>
      <c r="H286" s="19">
        <f>Table2[[#This Row],[2017.g. pastāvīgie]]</f>
        <v>254</v>
      </c>
      <c r="I286" s="14"/>
      <c r="J286" s="15">
        <f>1270/5</f>
        <v>254</v>
      </c>
    </row>
    <row r="287" spans="1:10" ht="81" customHeight="1" x14ac:dyDescent="0.25">
      <c r="A287" s="22" t="s">
        <v>26</v>
      </c>
      <c r="B287" s="22" t="s">
        <v>94</v>
      </c>
      <c r="C287" s="41" t="s">
        <v>80</v>
      </c>
      <c r="D287" s="15">
        <f t="shared" si="160"/>
        <v>1319</v>
      </c>
      <c r="E287" s="15"/>
      <c r="F287" s="15">
        <f>180+200+213+120+213+100+60+183+50</f>
        <v>1319</v>
      </c>
      <c r="G287" s="15"/>
      <c r="H287" s="19"/>
      <c r="I287" s="14" t="s">
        <v>55</v>
      </c>
      <c r="J287" s="15"/>
    </row>
    <row r="288" spans="1:10" s="26" customFormat="1" ht="18.75" customHeight="1" x14ac:dyDescent="0.25">
      <c r="A288" s="23" t="s">
        <v>27</v>
      </c>
      <c r="B288" s="23"/>
      <c r="C288" s="42"/>
      <c r="D288" s="24">
        <f>D289</f>
        <v>1060</v>
      </c>
      <c r="E288" s="24">
        <f>E289</f>
        <v>0</v>
      </c>
      <c r="F288" s="24">
        <f t="shared" ref="F288" si="161">F289</f>
        <v>1060</v>
      </c>
      <c r="G288" s="24">
        <f t="shared" ref="G288" si="162">G289</f>
        <v>0</v>
      </c>
      <c r="H288" s="25">
        <f t="shared" ref="H288" si="163">H289</f>
        <v>0</v>
      </c>
      <c r="I288" s="25"/>
      <c r="J288" s="15"/>
    </row>
    <row r="289" spans="1:10" ht="18.75" customHeight="1" x14ac:dyDescent="0.25">
      <c r="A289" s="22" t="s">
        <v>28</v>
      </c>
      <c r="B289" s="22" t="s">
        <v>94</v>
      </c>
      <c r="C289" s="41" t="s">
        <v>81</v>
      </c>
      <c r="D289" s="15">
        <f>E289+F289</f>
        <v>1060</v>
      </c>
      <c r="E289" s="15"/>
      <c r="F289" s="15">
        <f>260+800</f>
        <v>1060</v>
      </c>
      <c r="G289" s="15"/>
      <c r="H289" s="19"/>
      <c r="I289" s="14" t="s">
        <v>29</v>
      </c>
      <c r="J289" s="15"/>
    </row>
    <row r="290" spans="1:10" ht="33" customHeight="1" x14ac:dyDescent="0.25">
      <c r="A290" s="6" t="s">
        <v>51</v>
      </c>
      <c r="B290" s="6"/>
      <c r="C290" s="36"/>
      <c r="D290" s="7">
        <f>D291+D298+D312</f>
        <v>168833</v>
      </c>
      <c r="E290" s="7">
        <f t="shared" ref="E290" si="164">E291+E298+E312</f>
        <v>150471</v>
      </c>
      <c r="F290" s="7">
        <f t="shared" ref="F290" si="165">F291+F298+F312</f>
        <v>18362</v>
      </c>
      <c r="G290" s="7">
        <f t="shared" ref="G290" si="166">G291+G298+G312</f>
        <v>150471</v>
      </c>
      <c r="H290" s="9">
        <f t="shared" ref="H290" si="167">H291+H298+H312</f>
        <v>155696</v>
      </c>
      <c r="I290" s="10"/>
      <c r="J290" s="15"/>
    </row>
    <row r="291" spans="1:10" x14ac:dyDescent="0.25">
      <c r="A291" s="12" t="s">
        <v>0</v>
      </c>
      <c r="B291" s="12"/>
      <c r="C291" s="37"/>
      <c r="D291" s="8">
        <f>SUM(D292:D297)</f>
        <v>78630</v>
      </c>
      <c r="E291" s="8">
        <f>SUM(E292:E297)</f>
        <v>78630</v>
      </c>
      <c r="F291" s="8">
        <f>SUM(F292:F297)</f>
        <v>0</v>
      </c>
      <c r="G291" s="8">
        <f>SUM(G292:G297)</f>
        <v>78630</v>
      </c>
      <c r="H291" s="13">
        <f>SUM(H292:H297)</f>
        <v>78630</v>
      </c>
      <c r="I291" s="14"/>
      <c r="J291" s="15"/>
    </row>
    <row r="292" spans="1:10" x14ac:dyDescent="0.25">
      <c r="A292" s="16" t="s">
        <v>10</v>
      </c>
      <c r="B292" s="16" t="s">
        <v>95</v>
      </c>
      <c r="C292" s="38" t="s">
        <v>62</v>
      </c>
      <c r="D292" s="17">
        <f>E292+F292</f>
        <v>15444</v>
      </c>
      <c r="E292" s="17">
        <f t="shared" ref="E292" si="168">1287*12</f>
        <v>15444</v>
      </c>
      <c r="F292" s="17"/>
      <c r="G292" s="17">
        <f>E292</f>
        <v>15444</v>
      </c>
      <c r="H292" s="18">
        <f>E292</f>
        <v>15444</v>
      </c>
      <c r="I292" s="14"/>
      <c r="J292" s="15"/>
    </row>
    <row r="293" spans="1:10" x14ac:dyDescent="0.25">
      <c r="A293" s="16" t="s">
        <v>1</v>
      </c>
      <c r="B293" s="16" t="s">
        <v>95</v>
      </c>
      <c r="C293" s="38" t="s">
        <v>63</v>
      </c>
      <c r="D293" s="17">
        <f t="shared" ref="D293:D297" si="169">E293+F293</f>
        <v>3089</v>
      </c>
      <c r="E293" s="17">
        <f>ROUND(E292*0.2,0)</f>
        <v>3089</v>
      </c>
      <c r="F293" s="17"/>
      <c r="G293" s="17">
        <f>ROUND(G292*0.2,0)</f>
        <v>3089</v>
      </c>
      <c r="H293" s="18">
        <f>ROUND(H292*0.2,0)</f>
        <v>3089</v>
      </c>
      <c r="I293" s="14"/>
      <c r="J293" s="15"/>
    </row>
    <row r="294" spans="1:10" ht="31.5" x14ac:dyDescent="0.25">
      <c r="A294" s="16" t="s">
        <v>2</v>
      </c>
      <c r="B294" s="16" t="s">
        <v>95</v>
      </c>
      <c r="C294" s="38" t="s">
        <v>64</v>
      </c>
      <c r="D294" s="17">
        <f t="shared" si="169"/>
        <v>4372</v>
      </c>
      <c r="E294" s="17">
        <f>ROUNDUP((E292+E293)*0.2359,0)</f>
        <v>4372</v>
      </c>
      <c r="F294" s="17"/>
      <c r="G294" s="17">
        <f>ROUNDUP((G292+G293)*0.2359,0)</f>
        <v>4372</v>
      </c>
      <c r="H294" s="18">
        <f>ROUNDUP((H292+H293)*0.2359,0)</f>
        <v>4372</v>
      </c>
      <c r="I294" s="14"/>
      <c r="J294" s="15"/>
    </row>
    <row r="295" spans="1:10" ht="78.75" x14ac:dyDescent="0.25">
      <c r="A295" s="44" t="s">
        <v>66</v>
      </c>
      <c r="B295" s="44" t="s">
        <v>95</v>
      </c>
      <c r="C295" s="38" t="s">
        <v>67</v>
      </c>
      <c r="D295" s="17">
        <f t="shared" si="169"/>
        <v>33471</v>
      </c>
      <c r="E295" s="17">
        <f>ROUNDUP(((19778+6830+4127)*1.089),0)</f>
        <v>33471</v>
      </c>
      <c r="F295" s="17"/>
      <c r="G295" s="17">
        <f>E295</f>
        <v>33471</v>
      </c>
      <c r="H295" s="18">
        <f>D295</f>
        <v>33471</v>
      </c>
      <c r="I295" s="14"/>
      <c r="J295" s="15"/>
    </row>
    <row r="296" spans="1:10" ht="31.5" x14ac:dyDescent="0.25">
      <c r="A296" s="16" t="s">
        <v>14</v>
      </c>
      <c r="B296" s="16" t="s">
        <v>95</v>
      </c>
      <c r="C296" s="38" t="s">
        <v>65</v>
      </c>
      <c r="D296" s="17">
        <f t="shared" si="169"/>
        <v>854</v>
      </c>
      <c r="E296" s="17">
        <f>ROUNDUP(71.14*12,0)</f>
        <v>854</v>
      </c>
      <c r="F296" s="17"/>
      <c r="G296" s="17">
        <f>E296</f>
        <v>854</v>
      </c>
      <c r="H296" s="18">
        <f>E296</f>
        <v>854</v>
      </c>
      <c r="I296" s="14" t="s">
        <v>56</v>
      </c>
      <c r="J296" s="15"/>
    </row>
    <row r="297" spans="1:10" ht="31.5" x14ac:dyDescent="0.25">
      <c r="A297" s="16" t="s">
        <v>3</v>
      </c>
      <c r="B297" s="16" t="s">
        <v>95</v>
      </c>
      <c r="C297" s="38" t="s">
        <v>68</v>
      </c>
      <c r="D297" s="17">
        <f t="shared" si="169"/>
        <v>21400</v>
      </c>
      <c r="E297" s="15">
        <v>21400</v>
      </c>
      <c r="F297" s="15"/>
      <c r="G297" s="15">
        <f>E297</f>
        <v>21400</v>
      </c>
      <c r="H297" s="19">
        <f>E297</f>
        <v>21400</v>
      </c>
      <c r="I297" s="14"/>
      <c r="J297" s="15"/>
    </row>
    <row r="298" spans="1:10" x14ac:dyDescent="0.25">
      <c r="A298" s="12" t="s">
        <v>4</v>
      </c>
      <c r="B298" s="12"/>
      <c r="C298" s="37"/>
      <c r="D298" s="8">
        <f>SUM(D299:D311)</f>
        <v>89143</v>
      </c>
      <c r="E298" s="8">
        <f t="shared" ref="E298" si="170">SUM(E299:E311)</f>
        <v>71841</v>
      </c>
      <c r="F298" s="8">
        <f t="shared" ref="F298" si="171">SUM(F299:F311)</f>
        <v>17302</v>
      </c>
      <c r="G298" s="8">
        <f t="shared" ref="G298" si="172">SUM(G299:G311)</f>
        <v>71841</v>
      </c>
      <c r="H298" s="13">
        <f t="shared" ref="H298" si="173">SUM(H299:H311)</f>
        <v>77066</v>
      </c>
      <c r="I298" s="14"/>
      <c r="J298" s="15"/>
    </row>
    <row r="299" spans="1:10" ht="15.75" customHeight="1" x14ac:dyDescent="0.25">
      <c r="A299" s="20" t="s">
        <v>15</v>
      </c>
      <c r="B299" s="20" t="s">
        <v>95</v>
      </c>
      <c r="C299" s="39" t="s">
        <v>69</v>
      </c>
      <c r="D299" s="15">
        <f>E299+F299</f>
        <v>1725</v>
      </c>
      <c r="E299" s="15"/>
      <c r="F299" s="15">
        <f>ROUNDUP(I299/2*3,0)</f>
        <v>1725</v>
      </c>
      <c r="G299" s="15"/>
      <c r="H299" s="19">
        <f>ROUND(I299/2*3,0)</f>
        <v>1725</v>
      </c>
      <c r="I299" s="21">
        <v>1150</v>
      </c>
      <c r="J299" s="15"/>
    </row>
    <row r="300" spans="1:10" ht="31.5" x14ac:dyDescent="0.25">
      <c r="A300" s="20" t="s">
        <v>16</v>
      </c>
      <c r="B300" s="20" t="s">
        <v>95</v>
      </c>
      <c r="C300" s="39" t="s">
        <v>70</v>
      </c>
      <c r="D300" s="15">
        <f t="shared" ref="D300:D311" si="174">E300+F300</f>
        <v>3450</v>
      </c>
      <c r="E300" s="15">
        <f>ROUND(I299*3,0)</f>
        <v>3450</v>
      </c>
      <c r="F300" s="15"/>
      <c r="G300" s="15">
        <f>ROUND(I299*3,0)</f>
        <v>3450</v>
      </c>
      <c r="H300" s="19">
        <f>ROUND(I299*3,0)</f>
        <v>3450</v>
      </c>
      <c r="I300" s="14"/>
      <c r="J300" s="15"/>
    </row>
    <row r="301" spans="1:10" x14ac:dyDescent="0.25">
      <c r="A301" s="20" t="s">
        <v>17</v>
      </c>
      <c r="B301" s="20" t="s">
        <v>95</v>
      </c>
      <c r="C301" s="39" t="s">
        <v>71</v>
      </c>
      <c r="D301" s="15">
        <f t="shared" si="174"/>
        <v>625</v>
      </c>
      <c r="E301" s="15">
        <f>ROUNDUP(Table2[[#This Row],[Column2]],0)</f>
        <v>625</v>
      </c>
      <c r="F301" s="15"/>
      <c r="G301" s="15">
        <f>Table2[[#This Row],[2017.g. pastāvīgie]]</f>
        <v>625</v>
      </c>
      <c r="H301" s="19">
        <f>Table2[[#This Row],[2017.g. pastāvīgie]]</f>
        <v>625</v>
      </c>
      <c r="I301" s="14"/>
      <c r="J301" s="15">
        <f>2500/4</f>
        <v>625</v>
      </c>
    </row>
    <row r="302" spans="1:10" x14ac:dyDescent="0.25">
      <c r="A302" s="20" t="s">
        <v>18</v>
      </c>
      <c r="B302" s="20" t="s">
        <v>95</v>
      </c>
      <c r="C302" s="39" t="s">
        <v>72</v>
      </c>
      <c r="D302" s="15">
        <f t="shared" si="174"/>
        <v>950</v>
      </c>
      <c r="E302" s="15">
        <f>ROUNDUP(Table2[[#This Row],[Column2]],0)</f>
        <v>950</v>
      </c>
      <c r="F302" s="15"/>
      <c r="G302" s="15">
        <f>Table2[[#This Row],[2017.g. pastāvīgie]]</f>
        <v>950</v>
      </c>
      <c r="H302" s="19">
        <f>Table2[[#This Row],[2017.g. pastāvīgie]]</f>
        <v>950</v>
      </c>
      <c r="I302" s="14"/>
      <c r="J302" s="15">
        <f>3800/4</f>
        <v>950</v>
      </c>
    </row>
    <row r="303" spans="1:10" x14ac:dyDescent="0.25">
      <c r="A303" s="20" t="s">
        <v>19</v>
      </c>
      <c r="B303" s="20" t="s">
        <v>95</v>
      </c>
      <c r="C303" s="39" t="s">
        <v>73</v>
      </c>
      <c r="D303" s="15">
        <f t="shared" si="174"/>
        <v>88</v>
      </c>
      <c r="E303" s="15">
        <f>ROUNDUP(Table2[[#This Row],[Column2]],0)</f>
        <v>88</v>
      </c>
      <c r="F303" s="15"/>
      <c r="G303" s="15">
        <f>Table2[[#This Row],[2017.g. pastāvīgie]]</f>
        <v>88</v>
      </c>
      <c r="H303" s="19">
        <f>Table2[[#This Row],[2017.g. pastāvīgie]]</f>
        <v>88</v>
      </c>
      <c r="I303" s="14"/>
      <c r="J303" s="15">
        <f>350/4</f>
        <v>87.5</v>
      </c>
    </row>
    <row r="304" spans="1:10" x14ac:dyDescent="0.25">
      <c r="A304" s="20" t="s">
        <v>20</v>
      </c>
      <c r="B304" s="20" t="s">
        <v>95</v>
      </c>
      <c r="C304" s="39" t="s">
        <v>74</v>
      </c>
      <c r="D304" s="15">
        <f t="shared" si="174"/>
        <v>3500</v>
      </c>
      <c r="E304" s="15"/>
      <c r="F304" s="15">
        <v>3500</v>
      </c>
      <c r="G304" s="15"/>
      <c r="H304" s="19">
        <v>3500</v>
      </c>
      <c r="I304" s="14" t="s">
        <v>39</v>
      </c>
      <c r="J304" s="15"/>
    </row>
    <row r="305" spans="1:10" ht="27.75" customHeight="1" x14ac:dyDescent="0.25">
      <c r="A305" s="32" t="s">
        <v>5</v>
      </c>
      <c r="B305" s="32" t="s">
        <v>95</v>
      </c>
      <c r="C305" s="40" t="s">
        <v>75</v>
      </c>
      <c r="D305" s="15">
        <f t="shared" si="174"/>
        <v>33745</v>
      </c>
      <c r="E305" s="15">
        <v>33745</v>
      </c>
      <c r="F305" s="15"/>
      <c r="G305" s="15">
        <f>E305</f>
        <v>33745</v>
      </c>
      <c r="H305" s="19">
        <f>E305</f>
        <v>33745</v>
      </c>
      <c r="I305" s="14"/>
      <c r="J305" s="15"/>
    </row>
    <row r="306" spans="1:10" ht="31.5" x14ac:dyDescent="0.25">
      <c r="A306" s="22" t="s">
        <v>21</v>
      </c>
      <c r="B306" s="22" t="s">
        <v>95</v>
      </c>
      <c r="C306" s="41" t="s">
        <v>76</v>
      </c>
      <c r="D306" s="15">
        <f t="shared" si="174"/>
        <v>32272</v>
      </c>
      <c r="E306" s="15">
        <f>ROUNDUP(30735*1.05,0)</f>
        <v>32272</v>
      </c>
      <c r="F306" s="15"/>
      <c r="G306" s="15">
        <f>E306</f>
        <v>32272</v>
      </c>
      <c r="H306" s="19">
        <f>E306</f>
        <v>32272</v>
      </c>
      <c r="I306" s="14"/>
      <c r="J306" s="15"/>
    </row>
    <row r="307" spans="1:10" ht="18" customHeight="1" x14ac:dyDescent="0.25">
      <c r="A307" s="22" t="s">
        <v>22</v>
      </c>
      <c r="B307" s="22" t="s">
        <v>95</v>
      </c>
      <c r="C307" s="41" t="s">
        <v>77</v>
      </c>
      <c r="D307" s="15">
        <f t="shared" si="174"/>
        <v>5379</v>
      </c>
      <c r="E307" s="15"/>
      <c r="F307" s="15">
        <v>5379</v>
      </c>
      <c r="G307" s="15"/>
      <c r="H307" s="19"/>
      <c r="I307" s="14"/>
      <c r="J307" s="15"/>
    </row>
    <row r="308" spans="1:10" ht="18" customHeight="1" x14ac:dyDescent="0.25">
      <c r="A308" s="22" t="s">
        <v>23</v>
      </c>
      <c r="B308" s="22" t="s">
        <v>95</v>
      </c>
      <c r="C308" s="41" t="s">
        <v>78</v>
      </c>
      <c r="D308" s="15">
        <f t="shared" si="174"/>
        <v>5379</v>
      </c>
      <c r="E308" s="15"/>
      <c r="F308" s="15">
        <f>ROUNDUP(E306/12*2,0)</f>
        <v>5379</v>
      </c>
      <c r="G308" s="15"/>
      <c r="H308" s="19"/>
      <c r="I308" s="14" t="s">
        <v>37</v>
      </c>
      <c r="J308" s="15"/>
    </row>
    <row r="309" spans="1:10" ht="18" customHeight="1" x14ac:dyDescent="0.25">
      <c r="A309" s="22" t="s">
        <v>24</v>
      </c>
      <c r="B309" s="22" t="s">
        <v>95</v>
      </c>
      <c r="C309" s="41" t="s">
        <v>104</v>
      </c>
      <c r="D309" s="15">
        <f t="shared" si="174"/>
        <v>461</v>
      </c>
      <c r="E309" s="15">
        <v>461</v>
      </c>
      <c r="F309" s="15"/>
      <c r="G309" s="15">
        <f>E309</f>
        <v>461</v>
      </c>
      <c r="H309" s="19">
        <f>E309</f>
        <v>461</v>
      </c>
      <c r="I309" s="14" t="s">
        <v>31</v>
      </c>
      <c r="J309" s="15"/>
    </row>
    <row r="310" spans="1:10" ht="18" customHeight="1" x14ac:dyDescent="0.25">
      <c r="A310" s="22" t="s">
        <v>25</v>
      </c>
      <c r="B310" s="22" t="s">
        <v>95</v>
      </c>
      <c r="C310" s="41" t="s">
        <v>79</v>
      </c>
      <c r="D310" s="15">
        <f t="shared" si="174"/>
        <v>250</v>
      </c>
      <c r="E310" s="15">
        <f>ROUNDUP(Table2[[#This Row],[Column2]],0)</f>
        <v>250</v>
      </c>
      <c r="F310" s="15"/>
      <c r="G310" s="15">
        <f>Table2[[#This Row],[2017.g. pastāvīgie]]</f>
        <v>250</v>
      </c>
      <c r="H310" s="19">
        <f>Table2[[#This Row],[2017.g. pastāvīgie]]</f>
        <v>250</v>
      </c>
      <c r="I310" s="14"/>
      <c r="J310" s="15">
        <f>1000/4</f>
        <v>250</v>
      </c>
    </row>
    <row r="311" spans="1:10" ht="81" customHeight="1" x14ac:dyDescent="0.25">
      <c r="A311" s="22" t="s">
        <v>26</v>
      </c>
      <c r="B311" s="22" t="s">
        <v>95</v>
      </c>
      <c r="C311" s="41" t="s">
        <v>80</v>
      </c>
      <c r="D311" s="15">
        <f t="shared" si="174"/>
        <v>1319</v>
      </c>
      <c r="E311" s="15"/>
      <c r="F311" s="15">
        <f>180+200+213+120+213+100+60+183+50</f>
        <v>1319</v>
      </c>
      <c r="G311" s="15"/>
      <c r="H311" s="19"/>
      <c r="I311" s="14" t="s">
        <v>55</v>
      </c>
      <c r="J311" s="15"/>
    </row>
    <row r="312" spans="1:10" s="26" customFormat="1" ht="18.75" customHeight="1" x14ac:dyDescent="0.25">
      <c r="A312" s="23" t="s">
        <v>27</v>
      </c>
      <c r="B312" s="23"/>
      <c r="C312" s="42"/>
      <c r="D312" s="24">
        <f>D313</f>
        <v>1060</v>
      </c>
      <c r="E312" s="24">
        <f>E313</f>
        <v>0</v>
      </c>
      <c r="F312" s="24">
        <f t="shared" ref="F312" si="175">F313</f>
        <v>1060</v>
      </c>
      <c r="G312" s="24">
        <f t="shared" ref="G312" si="176">G313</f>
        <v>0</v>
      </c>
      <c r="H312" s="25">
        <f t="shared" ref="H312" si="177">H313</f>
        <v>0</v>
      </c>
      <c r="I312" s="25"/>
      <c r="J312" s="15"/>
    </row>
    <row r="313" spans="1:10" ht="18.75" customHeight="1" x14ac:dyDescent="0.25">
      <c r="A313" s="22" t="s">
        <v>28</v>
      </c>
      <c r="B313" s="22" t="s">
        <v>95</v>
      </c>
      <c r="C313" s="41" t="s">
        <v>81</v>
      </c>
      <c r="D313" s="15">
        <f>E313+F313</f>
        <v>1060</v>
      </c>
      <c r="E313" s="15"/>
      <c r="F313" s="15">
        <f>260+800</f>
        <v>1060</v>
      </c>
      <c r="G313" s="15"/>
      <c r="H313" s="19"/>
      <c r="I313" s="14" t="s">
        <v>29</v>
      </c>
      <c r="J313" s="15"/>
    </row>
    <row r="314" spans="1:10" ht="33" customHeight="1" x14ac:dyDescent="0.25">
      <c r="A314" s="6" t="s">
        <v>52</v>
      </c>
      <c r="B314" s="6"/>
      <c r="C314" s="36"/>
      <c r="D314" s="7">
        <f>D315+D322+D336</f>
        <v>187679</v>
      </c>
      <c r="E314" s="7">
        <f t="shared" ref="E314" si="178">E315+E322+E336</f>
        <v>165687</v>
      </c>
      <c r="F314" s="7">
        <f t="shared" ref="F314" si="179">F315+F322+F336</f>
        <v>21992</v>
      </c>
      <c r="G314" s="7">
        <f t="shared" ref="G314" si="180">G315+G322+G336</f>
        <v>165687</v>
      </c>
      <c r="H314" s="9">
        <f t="shared" ref="H314" si="181">H315+H322+H336</f>
        <v>170912</v>
      </c>
      <c r="I314" s="10"/>
      <c r="J314" s="15"/>
    </row>
    <row r="315" spans="1:10" x14ac:dyDescent="0.25">
      <c r="A315" s="12" t="s">
        <v>0</v>
      </c>
      <c r="B315" s="12"/>
      <c r="C315" s="37"/>
      <c r="D315" s="8">
        <f>SUM(D316:D321)</f>
        <v>82955</v>
      </c>
      <c r="E315" s="8">
        <f>SUM(E316:E321)</f>
        <v>82955</v>
      </c>
      <c r="F315" s="8">
        <f>SUM(F316:F321)</f>
        <v>0</v>
      </c>
      <c r="G315" s="8">
        <f>SUM(G316:G321)</f>
        <v>82955</v>
      </c>
      <c r="H315" s="13">
        <f>SUM(H316:H321)</f>
        <v>82955</v>
      </c>
      <c r="I315" s="14"/>
      <c r="J315" s="15"/>
    </row>
    <row r="316" spans="1:10" x14ac:dyDescent="0.25">
      <c r="A316" s="16" t="s">
        <v>11</v>
      </c>
      <c r="B316" s="16" t="s">
        <v>96</v>
      </c>
      <c r="C316" s="38" t="s">
        <v>62</v>
      </c>
      <c r="D316" s="17">
        <f>E316+F316</f>
        <v>16584</v>
      </c>
      <c r="E316" s="17">
        <f>1382*12</f>
        <v>16584</v>
      </c>
      <c r="F316" s="17"/>
      <c r="G316" s="17">
        <f>E316</f>
        <v>16584</v>
      </c>
      <c r="H316" s="18">
        <f>E316</f>
        <v>16584</v>
      </c>
      <c r="I316" s="14"/>
      <c r="J316" s="15"/>
    </row>
    <row r="317" spans="1:10" x14ac:dyDescent="0.25">
      <c r="A317" s="16" t="s">
        <v>1</v>
      </c>
      <c r="B317" s="16" t="s">
        <v>96</v>
      </c>
      <c r="C317" s="38" t="s">
        <v>63</v>
      </c>
      <c r="D317" s="17">
        <f t="shared" ref="D317:D321" si="182">E317+F317</f>
        <v>3317</v>
      </c>
      <c r="E317" s="17">
        <f>ROUND(E316*0.2,0)</f>
        <v>3317</v>
      </c>
      <c r="F317" s="17"/>
      <c r="G317" s="17">
        <f>ROUND(G316*0.2,0)</f>
        <v>3317</v>
      </c>
      <c r="H317" s="18">
        <f>ROUND(H316*0.2,0)</f>
        <v>3317</v>
      </c>
      <c r="I317" s="14"/>
      <c r="J317" s="15"/>
    </row>
    <row r="318" spans="1:10" ht="31.5" x14ac:dyDescent="0.25">
      <c r="A318" s="16" t="s">
        <v>2</v>
      </c>
      <c r="B318" s="16" t="s">
        <v>96</v>
      </c>
      <c r="C318" s="38" t="s">
        <v>64</v>
      </c>
      <c r="D318" s="17">
        <f t="shared" si="182"/>
        <v>4695</v>
      </c>
      <c r="E318" s="17">
        <f>ROUNDUP((E316+E317)*0.2359,0)</f>
        <v>4695</v>
      </c>
      <c r="F318" s="17"/>
      <c r="G318" s="17">
        <f>ROUNDUP((G316+G317)*0.2359,0)</f>
        <v>4695</v>
      </c>
      <c r="H318" s="18">
        <f>ROUNDUP((H316+H317)*0.2359,0)</f>
        <v>4695</v>
      </c>
      <c r="I318" s="14"/>
      <c r="J318" s="15"/>
    </row>
    <row r="319" spans="1:10" ht="78.75" x14ac:dyDescent="0.25">
      <c r="A319" s="44" t="s">
        <v>66</v>
      </c>
      <c r="B319" s="44" t="s">
        <v>96</v>
      </c>
      <c r="C319" s="38" t="s">
        <v>67</v>
      </c>
      <c r="D319" s="17">
        <f t="shared" si="182"/>
        <v>36105</v>
      </c>
      <c r="E319" s="17">
        <f>ROUNDUP(((21628+7399+4127)*1.089),0)</f>
        <v>36105</v>
      </c>
      <c r="F319" s="17"/>
      <c r="G319" s="17">
        <f>E319</f>
        <v>36105</v>
      </c>
      <c r="H319" s="18">
        <f>D319</f>
        <v>36105</v>
      </c>
      <c r="I319" s="14"/>
      <c r="J319" s="15"/>
    </row>
    <row r="320" spans="1:10" ht="31.5" x14ac:dyDescent="0.25">
      <c r="A320" s="16" t="s">
        <v>14</v>
      </c>
      <c r="B320" s="16" t="s">
        <v>96</v>
      </c>
      <c r="C320" s="38" t="s">
        <v>65</v>
      </c>
      <c r="D320" s="17">
        <f t="shared" si="182"/>
        <v>854</v>
      </c>
      <c r="E320" s="17">
        <f>ROUNDUP(71.14*12,0)</f>
        <v>854</v>
      </c>
      <c r="F320" s="17"/>
      <c r="G320" s="17">
        <f>E320</f>
        <v>854</v>
      </c>
      <c r="H320" s="18">
        <f>E320</f>
        <v>854</v>
      </c>
      <c r="I320" s="14" t="s">
        <v>56</v>
      </c>
      <c r="J320" s="15"/>
    </row>
    <row r="321" spans="1:10" ht="31.5" x14ac:dyDescent="0.25">
      <c r="A321" s="16" t="s">
        <v>3</v>
      </c>
      <c r="B321" s="16" t="s">
        <v>96</v>
      </c>
      <c r="C321" s="38" t="s">
        <v>68</v>
      </c>
      <c r="D321" s="17">
        <f t="shared" si="182"/>
        <v>21400</v>
      </c>
      <c r="E321" s="15">
        <v>21400</v>
      </c>
      <c r="F321" s="15"/>
      <c r="G321" s="15">
        <f>E321</f>
        <v>21400</v>
      </c>
      <c r="H321" s="19">
        <f>E321</f>
        <v>21400</v>
      </c>
      <c r="I321" s="14"/>
      <c r="J321" s="15"/>
    </row>
    <row r="322" spans="1:10" x14ac:dyDescent="0.25">
      <c r="A322" s="12" t="s">
        <v>4</v>
      </c>
      <c r="B322" s="12"/>
      <c r="C322" s="37"/>
      <c r="D322" s="8">
        <f>SUM(D323:D335)</f>
        <v>103664</v>
      </c>
      <c r="E322" s="8">
        <f t="shared" ref="E322" si="183">SUM(E323:E335)</f>
        <v>82732</v>
      </c>
      <c r="F322" s="8">
        <f t="shared" ref="F322" si="184">SUM(F323:F335)</f>
        <v>20932</v>
      </c>
      <c r="G322" s="8">
        <f t="shared" ref="G322" si="185">SUM(G323:G335)</f>
        <v>82732</v>
      </c>
      <c r="H322" s="13">
        <f t="shared" ref="H322" si="186">SUM(H323:H335)</f>
        <v>87957</v>
      </c>
      <c r="I322" s="14"/>
      <c r="J322" s="15"/>
    </row>
    <row r="323" spans="1:10" ht="15.75" customHeight="1" x14ac:dyDescent="0.25">
      <c r="A323" s="20" t="s">
        <v>15</v>
      </c>
      <c r="B323" s="20" t="s">
        <v>96</v>
      </c>
      <c r="C323" s="39" t="s">
        <v>69</v>
      </c>
      <c r="D323" s="15">
        <f>E323+F323</f>
        <v>1725</v>
      </c>
      <c r="E323" s="15"/>
      <c r="F323" s="15">
        <f>ROUNDUP(I323/2*3,0)</f>
        <v>1725</v>
      </c>
      <c r="G323" s="15"/>
      <c r="H323" s="19">
        <f>ROUND(I323/2*3,0)</f>
        <v>1725</v>
      </c>
      <c r="I323" s="21">
        <v>1150</v>
      </c>
      <c r="J323" s="15"/>
    </row>
    <row r="324" spans="1:10" ht="31.5" x14ac:dyDescent="0.25">
      <c r="A324" s="20" t="s">
        <v>16</v>
      </c>
      <c r="B324" s="20" t="s">
        <v>96</v>
      </c>
      <c r="C324" s="39" t="s">
        <v>70</v>
      </c>
      <c r="D324" s="15">
        <f t="shared" ref="D324:D335" si="187">E324+F324</f>
        <v>3450</v>
      </c>
      <c r="E324" s="15">
        <f>ROUND(I323*3,0)</f>
        <v>3450</v>
      </c>
      <c r="F324" s="15"/>
      <c r="G324" s="15">
        <f>ROUND(I323*3,0)</f>
        <v>3450</v>
      </c>
      <c r="H324" s="19">
        <f>ROUND(I323*3,0)</f>
        <v>3450</v>
      </c>
      <c r="I324" s="14"/>
      <c r="J324" s="15"/>
    </row>
    <row r="325" spans="1:10" x14ac:dyDescent="0.25">
      <c r="A325" s="20" t="s">
        <v>17</v>
      </c>
      <c r="B325" s="20" t="s">
        <v>96</v>
      </c>
      <c r="C325" s="39" t="s">
        <v>71</v>
      </c>
      <c r="D325" s="15">
        <f t="shared" si="187"/>
        <v>625</v>
      </c>
      <c r="E325" s="15">
        <f>ROUNDUP(Table2[[#This Row],[Column2]],0)</f>
        <v>625</v>
      </c>
      <c r="F325" s="15"/>
      <c r="G325" s="15">
        <f>Table2[[#This Row],[2017.g. pastāvīgie]]</f>
        <v>625</v>
      </c>
      <c r="H325" s="19">
        <f>Table2[[#This Row],[2017.g. pastāvīgie]]</f>
        <v>625</v>
      </c>
      <c r="I325" s="14"/>
      <c r="J325" s="15">
        <f>2500/4</f>
        <v>625</v>
      </c>
    </row>
    <row r="326" spans="1:10" x14ac:dyDescent="0.25">
      <c r="A326" s="20" t="s">
        <v>18</v>
      </c>
      <c r="B326" s="20" t="s">
        <v>96</v>
      </c>
      <c r="C326" s="39" t="s">
        <v>72</v>
      </c>
      <c r="D326" s="15">
        <f t="shared" si="187"/>
        <v>950</v>
      </c>
      <c r="E326" s="15">
        <f>ROUNDUP(Table2[[#This Row],[Column2]],0)</f>
        <v>950</v>
      </c>
      <c r="F326" s="15"/>
      <c r="G326" s="15">
        <f>Table2[[#This Row],[2017.g. pastāvīgie]]</f>
        <v>950</v>
      </c>
      <c r="H326" s="19">
        <f>Table2[[#This Row],[2017.g. pastāvīgie]]</f>
        <v>950</v>
      </c>
      <c r="I326" s="14"/>
      <c r="J326" s="15">
        <f>3800/4</f>
        <v>950</v>
      </c>
    </row>
    <row r="327" spans="1:10" x14ac:dyDescent="0.25">
      <c r="A327" s="20" t="s">
        <v>19</v>
      </c>
      <c r="B327" s="20" t="s">
        <v>96</v>
      </c>
      <c r="C327" s="39" t="s">
        <v>73</v>
      </c>
      <c r="D327" s="15">
        <f t="shared" si="187"/>
        <v>88</v>
      </c>
      <c r="E327" s="15">
        <f>ROUNDUP(Table2[[#This Row],[Column2]],0)</f>
        <v>88</v>
      </c>
      <c r="F327" s="15"/>
      <c r="G327" s="15">
        <f>Table2[[#This Row],[2017.g. pastāvīgie]]</f>
        <v>88</v>
      </c>
      <c r="H327" s="19">
        <f>Table2[[#This Row],[2017.g. pastāvīgie]]</f>
        <v>88</v>
      </c>
      <c r="I327" s="14"/>
      <c r="J327" s="15">
        <f>350/4</f>
        <v>87.5</v>
      </c>
    </row>
    <row r="328" spans="1:10" x14ac:dyDescent="0.25">
      <c r="A328" s="20" t="s">
        <v>20</v>
      </c>
      <c r="B328" s="20" t="s">
        <v>96</v>
      </c>
      <c r="C328" s="39" t="s">
        <v>74</v>
      </c>
      <c r="D328" s="15">
        <f t="shared" si="187"/>
        <v>3500</v>
      </c>
      <c r="E328" s="15"/>
      <c r="F328" s="15">
        <v>3500</v>
      </c>
      <c r="G328" s="15"/>
      <c r="H328" s="19">
        <v>3500</v>
      </c>
      <c r="I328" s="14" t="s">
        <v>39</v>
      </c>
      <c r="J328" s="15"/>
    </row>
    <row r="329" spans="1:10" ht="27.75" customHeight="1" x14ac:dyDescent="0.25">
      <c r="A329" s="32" t="s">
        <v>5</v>
      </c>
      <c r="B329" s="32" t="s">
        <v>96</v>
      </c>
      <c r="C329" s="40" t="s">
        <v>75</v>
      </c>
      <c r="D329" s="15">
        <f t="shared" si="187"/>
        <v>33745</v>
      </c>
      <c r="E329" s="15">
        <v>33745</v>
      </c>
      <c r="F329" s="15"/>
      <c r="G329" s="15">
        <f>E329</f>
        <v>33745</v>
      </c>
      <c r="H329" s="19">
        <f>E329</f>
        <v>33745</v>
      </c>
      <c r="I329" s="14"/>
      <c r="J329" s="15"/>
    </row>
    <row r="330" spans="1:10" ht="31.5" x14ac:dyDescent="0.25">
      <c r="A330" s="22" t="s">
        <v>21</v>
      </c>
      <c r="B330" s="22" t="s">
        <v>96</v>
      </c>
      <c r="C330" s="41" t="s">
        <v>76</v>
      </c>
      <c r="D330" s="15">
        <f t="shared" si="187"/>
        <v>43163</v>
      </c>
      <c r="E330" s="15">
        <f>ROUNDUP(41107*1.05,0)</f>
        <v>43163</v>
      </c>
      <c r="F330" s="15"/>
      <c r="G330" s="15">
        <f>E330</f>
        <v>43163</v>
      </c>
      <c r="H330" s="19">
        <f>E330</f>
        <v>43163</v>
      </c>
      <c r="I330" s="14"/>
      <c r="J330" s="15"/>
    </row>
    <row r="331" spans="1:10" ht="18" customHeight="1" x14ac:dyDescent="0.25">
      <c r="A331" s="22" t="s">
        <v>22</v>
      </c>
      <c r="B331" s="22" t="s">
        <v>96</v>
      </c>
      <c r="C331" s="41" t="s">
        <v>77</v>
      </c>
      <c r="D331" s="15">
        <f t="shared" si="187"/>
        <v>7194</v>
      </c>
      <c r="E331" s="15"/>
      <c r="F331" s="15">
        <v>7194</v>
      </c>
      <c r="G331" s="15"/>
      <c r="H331" s="19"/>
      <c r="I331" s="14"/>
      <c r="J331" s="15"/>
    </row>
    <row r="332" spans="1:10" ht="18" customHeight="1" x14ac:dyDescent="0.25">
      <c r="A332" s="22" t="s">
        <v>23</v>
      </c>
      <c r="B332" s="22" t="s">
        <v>96</v>
      </c>
      <c r="C332" s="41" t="s">
        <v>78</v>
      </c>
      <c r="D332" s="15">
        <f t="shared" si="187"/>
        <v>7194</v>
      </c>
      <c r="E332" s="15"/>
      <c r="F332" s="15">
        <f>ROUNDUP(E330/12*2,0)</f>
        <v>7194</v>
      </c>
      <c r="G332" s="15"/>
      <c r="H332" s="19"/>
      <c r="I332" s="14" t="s">
        <v>37</v>
      </c>
      <c r="J332" s="15"/>
    </row>
    <row r="333" spans="1:10" ht="18" customHeight="1" x14ac:dyDescent="0.25">
      <c r="A333" s="22" t="s">
        <v>24</v>
      </c>
      <c r="B333" s="22" t="s">
        <v>96</v>
      </c>
      <c r="C333" s="41" t="s">
        <v>104</v>
      </c>
      <c r="D333" s="15">
        <f t="shared" si="187"/>
        <v>461</v>
      </c>
      <c r="E333" s="15">
        <v>461</v>
      </c>
      <c r="F333" s="15"/>
      <c r="G333" s="15">
        <f>E333</f>
        <v>461</v>
      </c>
      <c r="H333" s="19">
        <f>E333</f>
        <v>461</v>
      </c>
      <c r="I333" s="14" t="s">
        <v>31</v>
      </c>
      <c r="J333" s="15"/>
    </row>
    <row r="334" spans="1:10" ht="18" customHeight="1" x14ac:dyDescent="0.25">
      <c r="A334" s="22" t="s">
        <v>25</v>
      </c>
      <c r="B334" s="22" t="s">
        <v>96</v>
      </c>
      <c r="C334" s="41" t="s">
        <v>79</v>
      </c>
      <c r="D334" s="15">
        <f t="shared" si="187"/>
        <v>250</v>
      </c>
      <c r="E334" s="15">
        <f>ROUNDUP(Table2[[#This Row],[Column2]],0)</f>
        <v>250</v>
      </c>
      <c r="F334" s="15"/>
      <c r="G334" s="15">
        <f>Table2[[#This Row],[2017.g. pastāvīgie]]</f>
        <v>250</v>
      </c>
      <c r="H334" s="19">
        <f>Table2[[#This Row],[2017.g. pastāvīgie]]</f>
        <v>250</v>
      </c>
      <c r="I334" s="14"/>
      <c r="J334" s="15">
        <f>1000/4</f>
        <v>250</v>
      </c>
    </row>
    <row r="335" spans="1:10" ht="81" customHeight="1" x14ac:dyDescent="0.25">
      <c r="A335" s="22" t="s">
        <v>26</v>
      </c>
      <c r="B335" s="22" t="s">
        <v>96</v>
      </c>
      <c r="C335" s="41" t="s">
        <v>80</v>
      </c>
      <c r="D335" s="15">
        <f t="shared" si="187"/>
        <v>1319</v>
      </c>
      <c r="E335" s="15"/>
      <c r="F335" s="15">
        <f>180+200+213+120+213+100+60+183+50</f>
        <v>1319</v>
      </c>
      <c r="G335" s="15"/>
      <c r="H335" s="19"/>
      <c r="I335" s="14" t="s">
        <v>55</v>
      </c>
      <c r="J335" s="15"/>
    </row>
    <row r="336" spans="1:10" s="26" customFormat="1" ht="18.75" customHeight="1" x14ac:dyDescent="0.25">
      <c r="A336" s="23" t="s">
        <v>27</v>
      </c>
      <c r="B336" s="23"/>
      <c r="C336" s="42"/>
      <c r="D336" s="24">
        <f>D337</f>
        <v>1060</v>
      </c>
      <c r="E336" s="24">
        <f>E337</f>
        <v>0</v>
      </c>
      <c r="F336" s="24">
        <f t="shared" ref="F336" si="188">F337</f>
        <v>1060</v>
      </c>
      <c r="G336" s="24">
        <f t="shared" ref="G336" si="189">G337</f>
        <v>0</v>
      </c>
      <c r="H336" s="25">
        <f t="shared" ref="H336" si="190">H337</f>
        <v>0</v>
      </c>
      <c r="I336" s="25"/>
      <c r="J336" s="15"/>
    </row>
    <row r="337" spans="1:10" ht="18.75" customHeight="1" x14ac:dyDescent="0.25">
      <c r="A337" s="22" t="s">
        <v>28</v>
      </c>
      <c r="B337" s="22" t="s">
        <v>96</v>
      </c>
      <c r="C337" s="41" t="s">
        <v>81</v>
      </c>
      <c r="D337" s="15">
        <f>E337+F337</f>
        <v>1060</v>
      </c>
      <c r="E337" s="15"/>
      <c r="F337" s="15">
        <f>260+800</f>
        <v>1060</v>
      </c>
      <c r="G337" s="15"/>
      <c r="H337" s="19"/>
      <c r="I337" s="14" t="s">
        <v>29</v>
      </c>
      <c r="J337" s="15"/>
    </row>
    <row r="338" spans="1:10" ht="33" customHeight="1" x14ac:dyDescent="0.25">
      <c r="A338" s="6" t="s">
        <v>53</v>
      </c>
      <c r="B338" s="6"/>
      <c r="C338" s="36"/>
      <c r="D338" s="7">
        <f>D339+D346+D360</f>
        <v>112895</v>
      </c>
      <c r="E338" s="7">
        <f t="shared" ref="E338" si="191">E339+E346+E360</f>
        <v>98974</v>
      </c>
      <c r="F338" s="7">
        <f t="shared" ref="F338" si="192">F339+F346+F360</f>
        <v>13921</v>
      </c>
      <c r="G338" s="7">
        <f t="shared" ref="G338" si="193">G339+G346+G360</f>
        <v>98974</v>
      </c>
      <c r="H338" s="9">
        <f t="shared" ref="H338" si="194">H339+H346+H360</f>
        <v>103119</v>
      </c>
      <c r="I338" s="10"/>
      <c r="J338" s="15"/>
    </row>
    <row r="339" spans="1:10" x14ac:dyDescent="0.25">
      <c r="A339" s="12" t="s">
        <v>0</v>
      </c>
      <c r="B339" s="12"/>
      <c r="C339" s="37"/>
      <c r="D339" s="8">
        <f>SUM(D340:D345)</f>
        <v>61108</v>
      </c>
      <c r="E339" s="8">
        <f>SUM(E340:E345)</f>
        <v>61108</v>
      </c>
      <c r="F339" s="8">
        <f>SUM(F340:F345)</f>
        <v>0</v>
      </c>
      <c r="G339" s="8">
        <f>SUM(G340:G345)</f>
        <v>61108</v>
      </c>
      <c r="H339" s="13">
        <f>SUM(H340:H345)</f>
        <v>61108</v>
      </c>
      <c r="I339" s="14"/>
      <c r="J339" s="15"/>
    </row>
    <row r="340" spans="1:10" x14ac:dyDescent="0.25">
      <c r="A340" s="16" t="s">
        <v>10</v>
      </c>
      <c r="B340" s="16" t="s">
        <v>97</v>
      </c>
      <c r="C340" s="38" t="s">
        <v>62</v>
      </c>
      <c r="D340" s="17">
        <f>E340+F340</f>
        <v>15444</v>
      </c>
      <c r="E340" s="17">
        <f t="shared" ref="E340" si="195">1287*12</f>
        <v>15444</v>
      </c>
      <c r="F340" s="17"/>
      <c r="G340" s="17">
        <f>E340</f>
        <v>15444</v>
      </c>
      <c r="H340" s="18">
        <f>E340</f>
        <v>15444</v>
      </c>
      <c r="I340" s="14"/>
      <c r="J340" s="15"/>
    </row>
    <row r="341" spans="1:10" x14ac:dyDescent="0.25">
      <c r="A341" s="16" t="s">
        <v>1</v>
      </c>
      <c r="B341" s="16" t="s">
        <v>97</v>
      </c>
      <c r="C341" s="38" t="s">
        <v>63</v>
      </c>
      <c r="D341" s="17">
        <f t="shared" ref="D341:D345" si="196">E341+F341</f>
        <v>3089</v>
      </c>
      <c r="E341" s="17">
        <f>ROUND(E340*0.2,0)</f>
        <v>3089</v>
      </c>
      <c r="F341" s="17"/>
      <c r="G341" s="17">
        <f>ROUND(G340*0.2,0)</f>
        <v>3089</v>
      </c>
      <c r="H341" s="18">
        <f>ROUND(H340*0.2,0)</f>
        <v>3089</v>
      </c>
      <c r="I341" s="14"/>
      <c r="J341" s="15"/>
    </row>
    <row r="342" spans="1:10" ht="31.5" x14ac:dyDescent="0.25">
      <c r="A342" s="16" t="s">
        <v>2</v>
      </c>
      <c r="B342" s="16" t="s">
        <v>97</v>
      </c>
      <c r="C342" s="38" t="s">
        <v>64</v>
      </c>
      <c r="D342" s="17">
        <f t="shared" si="196"/>
        <v>4372</v>
      </c>
      <c r="E342" s="17">
        <f>ROUNDUP((E340+E341)*0.2359,0)</f>
        <v>4372</v>
      </c>
      <c r="F342" s="17"/>
      <c r="G342" s="17">
        <f>ROUNDUP((G340+G341)*0.2359,0)</f>
        <v>4372</v>
      </c>
      <c r="H342" s="18">
        <f>ROUNDUP((H340+H341)*0.2359,0)</f>
        <v>4372</v>
      </c>
      <c r="I342" s="14"/>
      <c r="J342" s="15"/>
    </row>
    <row r="343" spans="1:10" ht="78.75" x14ac:dyDescent="0.25">
      <c r="A343" s="44" t="s">
        <v>66</v>
      </c>
      <c r="B343" s="44" t="s">
        <v>97</v>
      </c>
      <c r="C343" s="38" t="s">
        <v>67</v>
      </c>
      <c r="D343" s="17">
        <f t="shared" si="196"/>
        <v>32549</v>
      </c>
      <c r="E343" s="17">
        <f>ROUNDUP(((19778+6830+4127)*1.059),0)</f>
        <v>32549</v>
      </c>
      <c r="F343" s="17"/>
      <c r="G343" s="17">
        <f>E343</f>
        <v>32549</v>
      </c>
      <c r="H343" s="18">
        <f>D343</f>
        <v>32549</v>
      </c>
      <c r="I343" s="14"/>
      <c r="J343" s="15"/>
    </row>
    <row r="344" spans="1:10" ht="31.5" x14ac:dyDescent="0.25">
      <c r="A344" s="16" t="s">
        <v>14</v>
      </c>
      <c r="B344" s="16" t="s">
        <v>97</v>
      </c>
      <c r="C344" s="38" t="s">
        <v>65</v>
      </c>
      <c r="D344" s="17">
        <f t="shared" si="196"/>
        <v>854</v>
      </c>
      <c r="E344" s="17">
        <f>ROUNDUP(71.14*12,0)</f>
        <v>854</v>
      </c>
      <c r="F344" s="17"/>
      <c r="G344" s="17">
        <f>E344</f>
        <v>854</v>
      </c>
      <c r="H344" s="18">
        <f>E344</f>
        <v>854</v>
      </c>
      <c r="I344" s="14" t="s">
        <v>56</v>
      </c>
      <c r="J344" s="15"/>
    </row>
    <row r="345" spans="1:10" ht="31.5" x14ac:dyDescent="0.25">
      <c r="A345" s="16" t="s">
        <v>3</v>
      </c>
      <c r="B345" s="16" t="s">
        <v>97</v>
      </c>
      <c r="C345" s="38" t="s">
        <v>68</v>
      </c>
      <c r="D345" s="17">
        <f t="shared" si="196"/>
        <v>4800</v>
      </c>
      <c r="E345" s="15">
        <f>1824*2+1152</f>
        <v>4800</v>
      </c>
      <c r="F345" s="15"/>
      <c r="G345" s="15">
        <f>E345</f>
        <v>4800</v>
      </c>
      <c r="H345" s="19">
        <f>E345</f>
        <v>4800</v>
      </c>
      <c r="I345" s="14"/>
      <c r="J345" s="15"/>
    </row>
    <row r="346" spans="1:10" x14ac:dyDescent="0.25">
      <c r="A346" s="12" t="s">
        <v>4</v>
      </c>
      <c r="B346" s="12"/>
      <c r="C346" s="37"/>
      <c r="D346" s="8">
        <f>SUM(D347:D359)</f>
        <v>50727</v>
      </c>
      <c r="E346" s="8">
        <f t="shared" ref="E346" si="197">SUM(E347:E359)</f>
        <v>37866</v>
      </c>
      <c r="F346" s="8">
        <f t="shared" ref="F346" si="198">SUM(F347:F359)</f>
        <v>12861</v>
      </c>
      <c r="G346" s="8">
        <f t="shared" ref="G346" si="199">SUM(G347:G359)</f>
        <v>37866</v>
      </c>
      <c r="H346" s="13">
        <f t="shared" ref="H346" si="200">SUM(H347:H359)</f>
        <v>42011</v>
      </c>
      <c r="I346" s="14"/>
      <c r="J346" s="15"/>
    </row>
    <row r="347" spans="1:10" ht="15.75" customHeight="1" x14ac:dyDescent="0.25">
      <c r="A347" s="20" t="s">
        <v>15</v>
      </c>
      <c r="B347" s="20" t="s">
        <v>97</v>
      </c>
      <c r="C347" s="39" t="s">
        <v>69</v>
      </c>
      <c r="D347" s="15">
        <f>E347+F347</f>
        <v>645</v>
      </c>
      <c r="E347" s="15"/>
      <c r="F347" s="15">
        <f>ROUNDUP(I347/2*3,0)</f>
        <v>645</v>
      </c>
      <c r="G347" s="15"/>
      <c r="H347" s="19">
        <f>ROUND(I347/2*3,0)</f>
        <v>645</v>
      </c>
      <c r="I347" s="21">
        <v>430</v>
      </c>
      <c r="J347" s="15"/>
    </row>
    <row r="348" spans="1:10" ht="31.5" x14ac:dyDescent="0.25">
      <c r="A348" s="20" t="s">
        <v>16</v>
      </c>
      <c r="B348" s="20" t="s">
        <v>97</v>
      </c>
      <c r="C348" s="39" t="s">
        <v>70</v>
      </c>
      <c r="D348" s="15">
        <f t="shared" ref="D348:D359" si="201">E348+F348</f>
        <v>1290</v>
      </c>
      <c r="E348" s="15">
        <f>ROUND(I347*3,0)</f>
        <v>1290</v>
      </c>
      <c r="F348" s="15"/>
      <c r="G348" s="15">
        <f>ROUND(I347*3,0)</f>
        <v>1290</v>
      </c>
      <c r="H348" s="19">
        <f>ROUND(I347*3,0)</f>
        <v>1290</v>
      </c>
      <c r="I348" s="14"/>
      <c r="J348" s="15"/>
    </row>
    <row r="349" spans="1:10" x14ac:dyDescent="0.25">
      <c r="A349" s="20" t="s">
        <v>17</v>
      </c>
      <c r="B349" s="20" t="s">
        <v>97</v>
      </c>
      <c r="C349" s="39" t="s">
        <v>71</v>
      </c>
      <c r="D349" s="15">
        <f t="shared" si="201"/>
        <v>140</v>
      </c>
      <c r="E349" s="15">
        <f>ROUNDUP(Table2[[#This Row],[Column2]],0)</f>
        <v>140</v>
      </c>
      <c r="F349" s="15"/>
      <c r="G349" s="15">
        <f>Table2[[#This Row],[2017.g. pastāvīgie]]</f>
        <v>140</v>
      </c>
      <c r="H349" s="19">
        <f>Table2[[#This Row],[2017.g. pastāvīgie]]</f>
        <v>140</v>
      </c>
      <c r="I349" s="14"/>
      <c r="J349" s="15">
        <f>700/5</f>
        <v>140</v>
      </c>
    </row>
    <row r="350" spans="1:10" x14ac:dyDescent="0.25">
      <c r="A350" s="20" t="s">
        <v>18</v>
      </c>
      <c r="B350" s="20" t="s">
        <v>97</v>
      </c>
      <c r="C350" s="39" t="s">
        <v>72</v>
      </c>
      <c r="D350" s="15">
        <f t="shared" si="201"/>
        <v>840</v>
      </c>
      <c r="E350" s="15">
        <f>ROUNDUP(Table2[[#This Row],[Column2]],0)</f>
        <v>840</v>
      </c>
      <c r="F350" s="15"/>
      <c r="G350" s="15">
        <f>Table2[[#This Row],[2017.g. pastāvīgie]]</f>
        <v>840</v>
      </c>
      <c r="H350" s="19">
        <f>Table2[[#This Row],[2017.g. pastāvīgie]]</f>
        <v>840</v>
      </c>
      <c r="I350" s="14"/>
      <c r="J350" s="15">
        <f>4200/5</f>
        <v>840</v>
      </c>
    </row>
    <row r="351" spans="1:10" x14ac:dyDescent="0.25">
      <c r="A351" s="20" t="s">
        <v>19</v>
      </c>
      <c r="B351" s="20" t="s">
        <v>97</v>
      </c>
      <c r="C351" s="39" t="s">
        <v>73</v>
      </c>
      <c r="D351" s="15">
        <f t="shared" si="201"/>
        <v>50</v>
      </c>
      <c r="E351" s="15">
        <f>ROUNDUP(Table2[[#This Row],[Column2]],0)</f>
        <v>50</v>
      </c>
      <c r="F351" s="15"/>
      <c r="G351" s="15">
        <f>Table2[[#This Row],[2017.g. pastāvīgie]]</f>
        <v>50</v>
      </c>
      <c r="H351" s="19">
        <f>Table2[[#This Row],[2017.g. pastāvīgie]]</f>
        <v>50</v>
      </c>
      <c r="I351" s="14"/>
      <c r="J351" s="15">
        <f>250/5</f>
        <v>50</v>
      </c>
    </row>
    <row r="352" spans="1:10" x14ac:dyDescent="0.25">
      <c r="A352" s="20" t="s">
        <v>20</v>
      </c>
      <c r="B352" s="20" t="s">
        <v>97</v>
      </c>
      <c r="C352" s="39" t="s">
        <v>74</v>
      </c>
      <c r="D352" s="15">
        <f t="shared" si="201"/>
        <v>3500</v>
      </c>
      <c r="E352" s="15"/>
      <c r="F352" s="15">
        <v>3500</v>
      </c>
      <c r="G352" s="15"/>
      <c r="H352" s="19">
        <v>3500</v>
      </c>
      <c r="I352" s="14" t="s">
        <v>39</v>
      </c>
      <c r="J352" s="15"/>
    </row>
    <row r="353" spans="1:10" ht="27.75" customHeight="1" x14ac:dyDescent="0.25">
      <c r="A353" s="32" t="s">
        <v>5</v>
      </c>
      <c r="B353" s="32" t="s">
        <v>97</v>
      </c>
      <c r="C353" s="40" t="s">
        <v>75</v>
      </c>
      <c r="D353" s="15">
        <f t="shared" si="201"/>
        <v>17135</v>
      </c>
      <c r="E353" s="15">
        <v>17135</v>
      </c>
      <c r="F353" s="15"/>
      <c r="G353" s="15">
        <f>E353</f>
        <v>17135</v>
      </c>
      <c r="H353" s="19">
        <f>E353</f>
        <v>17135</v>
      </c>
      <c r="I353" s="14"/>
      <c r="J353" s="15"/>
    </row>
    <row r="354" spans="1:10" ht="31.5" x14ac:dyDescent="0.25">
      <c r="A354" s="22" t="s">
        <v>21</v>
      </c>
      <c r="B354" s="22" t="s">
        <v>97</v>
      </c>
      <c r="C354" s="41" t="s">
        <v>76</v>
      </c>
      <c r="D354" s="15">
        <f t="shared" si="201"/>
        <v>17750</v>
      </c>
      <c r="E354" s="15">
        <f>ROUNDUP(16904*1.05,0)</f>
        <v>17750</v>
      </c>
      <c r="F354" s="15"/>
      <c r="G354" s="15">
        <f>E354</f>
        <v>17750</v>
      </c>
      <c r="H354" s="19">
        <f>E354</f>
        <v>17750</v>
      </c>
      <c r="I354" s="14"/>
      <c r="J354" s="15"/>
    </row>
    <row r="355" spans="1:10" ht="18" customHeight="1" x14ac:dyDescent="0.25">
      <c r="A355" s="22" t="s">
        <v>22</v>
      </c>
      <c r="B355" s="22" t="s">
        <v>97</v>
      </c>
      <c r="C355" s="41" t="s">
        <v>77</v>
      </c>
      <c r="D355" s="15">
        <f t="shared" si="201"/>
        <v>2959</v>
      </c>
      <c r="E355" s="15"/>
      <c r="F355" s="15">
        <v>2959</v>
      </c>
      <c r="G355" s="15"/>
      <c r="H355" s="19"/>
      <c r="I355" s="14"/>
      <c r="J355" s="15"/>
    </row>
    <row r="356" spans="1:10" ht="18" customHeight="1" x14ac:dyDescent="0.25">
      <c r="A356" s="22" t="s">
        <v>23</v>
      </c>
      <c r="B356" s="22" t="s">
        <v>97</v>
      </c>
      <c r="C356" s="41" t="s">
        <v>78</v>
      </c>
      <c r="D356" s="15">
        <f t="shared" si="201"/>
        <v>4438</v>
      </c>
      <c r="E356" s="15"/>
      <c r="F356" s="15">
        <f>ROUNDUP(E354/12*3,0)</f>
        <v>4438</v>
      </c>
      <c r="G356" s="15"/>
      <c r="H356" s="19"/>
      <c r="I356" s="14" t="s">
        <v>38</v>
      </c>
      <c r="J356" s="15"/>
    </row>
    <row r="357" spans="1:10" ht="18" customHeight="1" x14ac:dyDescent="0.25">
      <c r="A357" s="22" t="s">
        <v>24</v>
      </c>
      <c r="B357" s="22" t="s">
        <v>97</v>
      </c>
      <c r="C357" s="41" t="s">
        <v>104</v>
      </c>
      <c r="D357" s="15">
        <f t="shared" si="201"/>
        <v>461</v>
      </c>
      <c r="E357" s="15">
        <v>461</v>
      </c>
      <c r="F357" s="15"/>
      <c r="G357" s="15">
        <f>E357</f>
        <v>461</v>
      </c>
      <c r="H357" s="19">
        <f>E357</f>
        <v>461</v>
      </c>
      <c r="I357" s="14" t="s">
        <v>31</v>
      </c>
      <c r="J357" s="15"/>
    </row>
    <row r="358" spans="1:10" ht="18" customHeight="1" x14ac:dyDescent="0.25">
      <c r="A358" s="22" t="s">
        <v>25</v>
      </c>
      <c r="B358" s="22" t="s">
        <v>97</v>
      </c>
      <c r="C358" s="41" t="s">
        <v>79</v>
      </c>
      <c r="D358" s="15">
        <f t="shared" si="201"/>
        <v>200</v>
      </c>
      <c r="E358" s="15">
        <f>ROUNDUP(Table2[[#This Row],[Column2]],0)</f>
        <v>200</v>
      </c>
      <c r="F358" s="15"/>
      <c r="G358" s="15">
        <f>Table2[[#This Row],[2017.g. pastāvīgie]]</f>
        <v>200</v>
      </c>
      <c r="H358" s="19">
        <f>Table2[[#This Row],[2017.g. pastāvīgie]]</f>
        <v>200</v>
      </c>
      <c r="I358" s="14"/>
      <c r="J358" s="15">
        <f>1000/5</f>
        <v>200</v>
      </c>
    </row>
    <row r="359" spans="1:10" ht="81" customHeight="1" x14ac:dyDescent="0.25">
      <c r="A359" s="22" t="s">
        <v>26</v>
      </c>
      <c r="B359" s="22" t="s">
        <v>97</v>
      </c>
      <c r="C359" s="41" t="s">
        <v>80</v>
      </c>
      <c r="D359" s="15">
        <f t="shared" si="201"/>
        <v>1319</v>
      </c>
      <c r="E359" s="15"/>
      <c r="F359" s="15">
        <f>180+200+213+120+213+100+60+183+50</f>
        <v>1319</v>
      </c>
      <c r="G359" s="15"/>
      <c r="H359" s="19"/>
      <c r="I359" s="14" t="s">
        <v>55</v>
      </c>
      <c r="J359" s="15"/>
    </row>
    <row r="360" spans="1:10" s="26" customFormat="1" ht="18.75" customHeight="1" x14ac:dyDescent="0.25">
      <c r="A360" s="23" t="s">
        <v>27</v>
      </c>
      <c r="B360" s="23"/>
      <c r="C360" s="42"/>
      <c r="D360" s="24">
        <f>D361</f>
        <v>1060</v>
      </c>
      <c r="E360" s="24">
        <f>E361</f>
        <v>0</v>
      </c>
      <c r="F360" s="24">
        <f t="shared" ref="F360" si="202">F361</f>
        <v>1060</v>
      </c>
      <c r="G360" s="24">
        <f t="shared" ref="G360" si="203">G361</f>
        <v>0</v>
      </c>
      <c r="H360" s="25">
        <f t="shared" ref="H360" si="204">H361</f>
        <v>0</v>
      </c>
      <c r="I360" s="25"/>
      <c r="J360" s="15"/>
    </row>
    <row r="361" spans="1:10" ht="18.75" customHeight="1" x14ac:dyDescent="0.25">
      <c r="A361" s="22" t="s">
        <v>28</v>
      </c>
      <c r="B361" s="22" t="s">
        <v>97</v>
      </c>
      <c r="C361" s="41" t="s">
        <v>81</v>
      </c>
      <c r="D361" s="15">
        <f>E361+F361</f>
        <v>1060</v>
      </c>
      <c r="E361" s="15"/>
      <c r="F361" s="15">
        <f>260+800</f>
        <v>1060</v>
      </c>
      <c r="G361" s="15"/>
      <c r="H361" s="19"/>
      <c r="I361" s="14" t="s">
        <v>29</v>
      </c>
      <c r="J361" s="15"/>
    </row>
    <row r="362" spans="1:10" ht="33" customHeight="1" x14ac:dyDescent="0.25">
      <c r="A362" s="6" t="s">
        <v>54</v>
      </c>
      <c r="B362" s="6"/>
      <c r="C362" s="36"/>
      <c r="D362" s="7">
        <f>D363+D370+D384</f>
        <v>184382</v>
      </c>
      <c r="E362" s="7">
        <f t="shared" ref="E362" si="205">E363+E370+E384</f>
        <v>164517</v>
      </c>
      <c r="F362" s="7">
        <f t="shared" ref="F362" si="206">F363+F370+F384</f>
        <v>19865</v>
      </c>
      <c r="G362" s="7">
        <f t="shared" ref="G362" si="207">G363+G370+G384</f>
        <v>164517</v>
      </c>
      <c r="H362" s="9">
        <f t="shared" ref="H362" si="208">H363+H370+H384</f>
        <v>170207</v>
      </c>
      <c r="I362" s="10"/>
      <c r="J362" s="15"/>
    </row>
    <row r="363" spans="1:10" x14ac:dyDescent="0.25">
      <c r="A363" s="12" t="s">
        <v>0</v>
      </c>
      <c r="B363" s="12"/>
      <c r="C363" s="37"/>
      <c r="D363" s="8">
        <f>SUM(D364:D369)</f>
        <v>118588</v>
      </c>
      <c r="E363" s="8">
        <f>SUM(E364:E369)</f>
        <v>118588</v>
      </c>
      <c r="F363" s="8">
        <f>SUM(F364:F369)</f>
        <v>0</v>
      </c>
      <c r="G363" s="8">
        <f>SUM(G364:G369)</f>
        <v>118588</v>
      </c>
      <c r="H363" s="13">
        <f>SUM(H364:H369)</f>
        <v>118588</v>
      </c>
      <c r="I363" s="14"/>
      <c r="J363" s="15"/>
    </row>
    <row r="364" spans="1:10" ht="31.5" x14ac:dyDescent="0.25">
      <c r="A364" s="16" t="s">
        <v>10</v>
      </c>
      <c r="B364" s="16" t="s">
        <v>98</v>
      </c>
      <c r="C364" s="38" t="s">
        <v>62</v>
      </c>
      <c r="D364" s="17">
        <f>E364+F364</f>
        <v>30888</v>
      </c>
      <c r="E364" s="17">
        <f>1287*12*2</f>
        <v>30888</v>
      </c>
      <c r="F364" s="17"/>
      <c r="G364" s="17">
        <f>E364</f>
        <v>30888</v>
      </c>
      <c r="H364" s="18">
        <f>E364</f>
        <v>30888</v>
      </c>
      <c r="I364" s="14"/>
      <c r="J364" s="15"/>
    </row>
    <row r="365" spans="1:10" ht="31.5" x14ac:dyDescent="0.25">
      <c r="A365" s="16" t="s">
        <v>1</v>
      </c>
      <c r="B365" s="16" t="s">
        <v>98</v>
      </c>
      <c r="C365" s="38" t="s">
        <v>63</v>
      </c>
      <c r="D365" s="17">
        <f t="shared" ref="D365:D369" si="209">E365+F365</f>
        <v>6178</v>
      </c>
      <c r="E365" s="17">
        <f>ROUND(E364*0.2,0)</f>
        <v>6178</v>
      </c>
      <c r="F365" s="17"/>
      <c r="G365" s="17">
        <f>ROUND(G364*0.2,0)</f>
        <v>6178</v>
      </c>
      <c r="H365" s="18">
        <f>ROUND(H364*0.2,0)</f>
        <v>6178</v>
      </c>
      <c r="I365" s="14"/>
      <c r="J365" s="15"/>
    </row>
    <row r="366" spans="1:10" ht="31.5" x14ac:dyDescent="0.25">
      <c r="A366" s="16" t="s">
        <v>2</v>
      </c>
      <c r="B366" s="16" t="s">
        <v>98</v>
      </c>
      <c r="C366" s="38" t="s">
        <v>64</v>
      </c>
      <c r="D366" s="17">
        <f t="shared" si="209"/>
        <v>8744</v>
      </c>
      <c r="E366" s="17">
        <f>ROUNDUP((E364+E365)*0.2359,0)</f>
        <v>8744</v>
      </c>
      <c r="F366" s="17"/>
      <c r="G366" s="17">
        <f>ROUNDUP((G364+G365)*0.2359,0)</f>
        <v>8744</v>
      </c>
      <c r="H366" s="18">
        <f>ROUNDUP((H364+H365)*0.2359,0)</f>
        <v>8744</v>
      </c>
      <c r="I366" s="14"/>
      <c r="J366" s="15"/>
    </row>
    <row r="367" spans="1:10" ht="78.75" x14ac:dyDescent="0.25">
      <c r="A367" s="44" t="s">
        <v>66</v>
      </c>
      <c r="B367" s="44" t="s">
        <v>98</v>
      </c>
      <c r="C367" s="38" t="s">
        <v>67</v>
      </c>
      <c r="D367" s="17">
        <f t="shared" si="209"/>
        <v>61470</v>
      </c>
      <c r="E367" s="17">
        <f>ROUNDUP(((19778+6830+4127)),0)*2</f>
        <v>61470</v>
      </c>
      <c r="F367" s="17"/>
      <c r="G367" s="17">
        <f>E367</f>
        <v>61470</v>
      </c>
      <c r="H367" s="18">
        <f>D367</f>
        <v>61470</v>
      </c>
      <c r="I367" s="14"/>
      <c r="J367" s="15"/>
    </row>
    <row r="368" spans="1:10" ht="31.5" x14ac:dyDescent="0.25">
      <c r="A368" s="16" t="s">
        <v>14</v>
      </c>
      <c r="B368" s="16" t="s">
        <v>98</v>
      </c>
      <c r="C368" s="38" t="s">
        <v>65</v>
      </c>
      <c r="D368" s="17">
        <f t="shared" si="209"/>
        <v>1708</v>
      </c>
      <c r="E368" s="17">
        <f>ROUNDUP(71.14*12,0)*2</f>
        <v>1708</v>
      </c>
      <c r="F368" s="17"/>
      <c r="G368" s="17">
        <f>E368</f>
        <v>1708</v>
      </c>
      <c r="H368" s="18">
        <f>E368</f>
        <v>1708</v>
      </c>
      <c r="I368" s="14" t="s">
        <v>56</v>
      </c>
      <c r="J368" s="15"/>
    </row>
    <row r="369" spans="1:10" ht="31.5" x14ac:dyDescent="0.25">
      <c r="A369" s="16" t="s">
        <v>3</v>
      </c>
      <c r="B369" s="16" t="s">
        <v>98</v>
      </c>
      <c r="C369" s="38" t="s">
        <v>68</v>
      </c>
      <c r="D369" s="17">
        <f t="shared" si="209"/>
        <v>9600</v>
      </c>
      <c r="E369" s="15">
        <f>(1824*2+1152)*2</f>
        <v>9600</v>
      </c>
      <c r="F369" s="15"/>
      <c r="G369" s="15">
        <f>E369</f>
        <v>9600</v>
      </c>
      <c r="H369" s="19">
        <f>E369</f>
        <v>9600</v>
      </c>
      <c r="I369" s="14"/>
      <c r="J369" s="15"/>
    </row>
    <row r="370" spans="1:10" x14ac:dyDescent="0.25">
      <c r="A370" s="12" t="s">
        <v>4</v>
      </c>
      <c r="B370" s="12"/>
      <c r="C370" s="37"/>
      <c r="D370" s="8">
        <f>SUM(D371:D383)</f>
        <v>63674</v>
      </c>
      <c r="E370" s="8">
        <f t="shared" ref="E370" si="210">SUM(E371:E383)</f>
        <v>45929</v>
      </c>
      <c r="F370" s="8">
        <f t="shared" ref="F370" si="211">SUM(F371:F383)</f>
        <v>17745</v>
      </c>
      <c r="G370" s="8">
        <f t="shared" ref="G370" si="212">SUM(G371:G383)</f>
        <v>45929</v>
      </c>
      <c r="H370" s="13">
        <f t="shared" ref="H370" si="213">SUM(H371:H383)</f>
        <v>51619</v>
      </c>
      <c r="I370" s="14"/>
      <c r="J370" s="15"/>
    </row>
    <row r="371" spans="1:10" ht="15.75" customHeight="1" x14ac:dyDescent="0.25">
      <c r="A371" s="20" t="s">
        <v>15</v>
      </c>
      <c r="B371" s="20" t="s">
        <v>98</v>
      </c>
      <c r="C371" s="39" t="s">
        <v>69</v>
      </c>
      <c r="D371" s="15">
        <f>E371+F371</f>
        <v>2190</v>
      </c>
      <c r="E371" s="15"/>
      <c r="F371" s="15">
        <f>ROUNDUP(I371/2*3,0)*2</f>
        <v>2190</v>
      </c>
      <c r="G371" s="15"/>
      <c r="H371" s="19">
        <f>ROUND(I371/2*3,0)*2</f>
        <v>2190</v>
      </c>
      <c r="I371" s="21">
        <v>730</v>
      </c>
      <c r="J371" s="15"/>
    </row>
    <row r="372" spans="1:10" ht="31.5" x14ac:dyDescent="0.25">
      <c r="A372" s="20" t="s">
        <v>16</v>
      </c>
      <c r="B372" s="20" t="s">
        <v>98</v>
      </c>
      <c r="C372" s="39" t="s">
        <v>70</v>
      </c>
      <c r="D372" s="15">
        <f t="shared" ref="D372:D383" si="214">E372+F372</f>
        <v>4380</v>
      </c>
      <c r="E372" s="15">
        <f>ROUND(I371*3,0)*2</f>
        <v>4380</v>
      </c>
      <c r="F372" s="15"/>
      <c r="G372" s="15">
        <f>ROUND(I371*3,0)*2</f>
        <v>4380</v>
      </c>
      <c r="H372" s="19">
        <f>ROUND(I371*3,0)*2</f>
        <v>4380</v>
      </c>
      <c r="I372" s="14"/>
      <c r="J372" s="15"/>
    </row>
    <row r="373" spans="1:10" ht="31.5" x14ac:dyDescent="0.25">
      <c r="A373" s="20" t="s">
        <v>17</v>
      </c>
      <c r="B373" s="20" t="s">
        <v>98</v>
      </c>
      <c r="C373" s="39" t="s">
        <v>71</v>
      </c>
      <c r="D373" s="15">
        <f t="shared" si="214"/>
        <v>573</v>
      </c>
      <c r="E373" s="15">
        <f>ROUNDUP(Table2[[#This Row],[Column2]],0)</f>
        <v>573</v>
      </c>
      <c r="F373" s="15"/>
      <c r="G373" s="15">
        <f>Table2[[#This Row],[2017.g. pastāvīgie]]</f>
        <v>573</v>
      </c>
      <c r="H373" s="19">
        <f>Table2[[#This Row],[2017.g. pastāvīgie]]</f>
        <v>573</v>
      </c>
      <c r="I373" s="14"/>
      <c r="J373" s="15">
        <f>8300/29*2</f>
        <v>572.41379310344826</v>
      </c>
    </row>
    <row r="374" spans="1:10" ht="31.5" x14ac:dyDescent="0.25">
      <c r="A374" s="20" t="s">
        <v>18</v>
      </c>
      <c r="B374" s="20" t="s">
        <v>98</v>
      </c>
      <c r="C374" s="39" t="s">
        <v>72</v>
      </c>
      <c r="D374" s="15">
        <f t="shared" si="214"/>
        <v>911</v>
      </c>
      <c r="E374" s="15">
        <f>ROUNDUP(Table2[[#This Row],[Column2]],0)</f>
        <v>911</v>
      </c>
      <c r="F374" s="15"/>
      <c r="G374" s="15">
        <f>Table2[[#This Row],[2017.g. pastāvīgie]]</f>
        <v>911</v>
      </c>
      <c r="H374" s="19">
        <f>Table2[[#This Row],[2017.g. pastāvīgie]]</f>
        <v>911</v>
      </c>
      <c r="I374" s="14"/>
      <c r="J374" s="15">
        <f>13200/29*2</f>
        <v>910.34482758620686</v>
      </c>
    </row>
    <row r="375" spans="1:10" ht="31.5" x14ac:dyDescent="0.25">
      <c r="A375" s="20" t="s">
        <v>19</v>
      </c>
      <c r="B375" s="20" t="s">
        <v>98</v>
      </c>
      <c r="C375" s="39" t="s">
        <v>73</v>
      </c>
      <c r="D375" s="15">
        <f t="shared" si="214"/>
        <v>56</v>
      </c>
      <c r="E375" s="15">
        <f>ROUNDUP(Table2[[#This Row],[Column2]],0)</f>
        <v>56</v>
      </c>
      <c r="F375" s="15"/>
      <c r="G375" s="15">
        <f>Table2[[#This Row],[2017.g. pastāvīgie]]</f>
        <v>56</v>
      </c>
      <c r="H375" s="19">
        <f>Table2[[#This Row],[2017.g. pastāvīgie]]</f>
        <v>56</v>
      </c>
      <c r="I375" s="14"/>
      <c r="J375" s="15">
        <f>800/29*2</f>
        <v>55.172413793103445</v>
      </c>
    </row>
    <row r="376" spans="1:10" ht="31.5" x14ac:dyDescent="0.25">
      <c r="A376" s="20" t="s">
        <v>20</v>
      </c>
      <c r="B376" s="20" t="s">
        <v>98</v>
      </c>
      <c r="C376" s="39" t="s">
        <v>74</v>
      </c>
      <c r="D376" s="15">
        <f t="shared" si="214"/>
        <v>7000</v>
      </c>
      <c r="E376" s="15"/>
      <c r="F376" s="46">
        <f>3500*2</f>
        <v>7000</v>
      </c>
      <c r="G376" s="15"/>
      <c r="H376" s="19">
        <v>3500</v>
      </c>
      <c r="I376" s="14" t="s">
        <v>39</v>
      </c>
      <c r="J376" s="15"/>
    </row>
    <row r="377" spans="1:10" ht="27.75" customHeight="1" x14ac:dyDescent="0.25">
      <c r="A377" s="32" t="s">
        <v>5</v>
      </c>
      <c r="B377" s="32" t="s">
        <v>98</v>
      </c>
      <c r="C377" s="40" t="s">
        <v>75</v>
      </c>
      <c r="D377" s="15">
        <f t="shared" si="214"/>
        <v>3000</v>
      </c>
      <c r="E377" s="15">
        <f>1500*2</f>
        <v>3000</v>
      </c>
      <c r="F377" s="15"/>
      <c r="G377" s="15">
        <f>E377</f>
        <v>3000</v>
      </c>
      <c r="H377" s="19">
        <f>E377</f>
        <v>3000</v>
      </c>
      <c r="I377" s="14"/>
      <c r="J377" s="15"/>
    </row>
    <row r="378" spans="1:10" ht="31.5" x14ac:dyDescent="0.25">
      <c r="A378" s="22" t="s">
        <v>21</v>
      </c>
      <c r="B378" s="22" t="s">
        <v>98</v>
      </c>
      <c r="C378" s="41" t="s">
        <v>76</v>
      </c>
      <c r="D378" s="15">
        <f t="shared" si="214"/>
        <v>35500</v>
      </c>
      <c r="E378" s="15">
        <f>ROUNDUP(16904*1.05,0)*2</f>
        <v>35500</v>
      </c>
      <c r="F378" s="15"/>
      <c r="G378" s="15">
        <f>E378</f>
        <v>35500</v>
      </c>
      <c r="H378" s="19">
        <f>E378</f>
        <v>35500</v>
      </c>
      <c r="I378" s="14"/>
      <c r="J378" s="15"/>
    </row>
    <row r="379" spans="1:10" ht="18" customHeight="1" x14ac:dyDescent="0.25">
      <c r="A379" s="22" t="s">
        <v>22</v>
      </c>
      <c r="B379" s="22" t="s">
        <v>98</v>
      </c>
      <c r="C379" s="41" t="s">
        <v>77</v>
      </c>
      <c r="D379" s="15">
        <f t="shared" si="214"/>
        <v>0</v>
      </c>
      <c r="E379" s="15"/>
      <c r="F379" s="15"/>
      <c r="G379" s="15"/>
      <c r="H379" s="19"/>
      <c r="I379" s="14"/>
      <c r="J379" s="15"/>
    </row>
    <row r="380" spans="1:10" ht="18" customHeight="1" x14ac:dyDescent="0.25">
      <c r="A380" s="22" t="s">
        <v>23</v>
      </c>
      <c r="B380" s="22" t="s">
        <v>98</v>
      </c>
      <c r="C380" s="41" t="s">
        <v>78</v>
      </c>
      <c r="D380" s="15">
        <f t="shared" si="214"/>
        <v>5917</v>
      </c>
      <c r="E380" s="15"/>
      <c r="F380" s="15">
        <f>ROUNDUP(E378/12*2,0)</f>
        <v>5917</v>
      </c>
      <c r="G380" s="15"/>
      <c r="H380" s="19"/>
      <c r="I380" s="14" t="s">
        <v>37</v>
      </c>
      <c r="J380" s="15"/>
    </row>
    <row r="381" spans="1:10" ht="18" customHeight="1" x14ac:dyDescent="0.25">
      <c r="A381" s="22" t="s">
        <v>24</v>
      </c>
      <c r="B381" s="22" t="s">
        <v>98</v>
      </c>
      <c r="C381" s="41" t="s">
        <v>104</v>
      </c>
      <c r="D381" s="15">
        <f t="shared" si="214"/>
        <v>922</v>
      </c>
      <c r="E381" s="15">
        <f>461*2</f>
        <v>922</v>
      </c>
      <c r="F381" s="15"/>
      <c r="G381" s="15">
        <f>E381</f>
        <v>922</v>
      </c>
      <c r="H381" s="19">
        <f>E381</f>
        <v>922</v>
      </c>
      <c r="I381" s="14" t="s">
        <v>31</v>
      </c>
      <c r="J381" s="15"/>
    </row>
    <row r="382" spans="1:10" ht="18" customHeight="1" x14ac:dyDescent="0.25">
      <c r="A382" s="22" t="s">
        <v>25</v>
      </c>
      <c r="B382" s="22" t="s">
        <v>98</v>
      </c>
      <c r="C382" s="41" t="s">
        <v>79</v>
      </c>
      <c r="D382" s="15">
        <f t="shared" si="214"/>
        <v>587</v>
      </c>
      <c r="E382" s="15">
        <f>ROUNDUP(Table2[[#This Row],[Column2]],0)</f>
        <v>587</v>
      </c>
      <c r="F382" s="15"/>
      <c r="G382" s="15">
        <f>Table2[[#This Row],[2017.g. pastāvīgie]]</f>
        <v>587</v>
      </c>
      <c r="H382" s="19">
        <f>Table2[[#This Row],[2017.g. pastāvīgie]]</f>
        <v>587</v>
      </c>
      <c r="I382" s="14"/>
      <c r="J382" s="15">
        <f>8500/29*2</f>
        <v>586.20689655172418</v>
      </c>
    </row>
    <row r="383" spans="1:10" ht="81" customHeight="1" x14ac:dyDescent="0.25">
      <c r="A383" s="22" t="s">
        <v>26</v>
      </c>
      <c r="B383" s="22" t="s">
        <v>98</v>
      </c>
      <c r="C383" s="41" t="s">
        <v>80</v>
      </c>
      <c r="D383" s="15">
        <f t="shared" si="214"/>
        <v>2638</v>
      </c>
      <c r="E383" s="15"/>
      <c r="F383" s="15">
        <f>(180+200+213+120+213+100+60+183+50)*2</f>
        <v>2638</v>
      </c>
      <c r="G383" s="15"/>
      <c r="H383" s="19"/>
      <c r="I383" s="14" t="s">
        <v>55</v>
      </c>
      <c r="J383" s="15"/>
    </row>
    <row r="384" spans="1:10" s="26" customFormat="1" ht="18.75" customHeight="1" x14ac:dyDescent="0.25">
      <c r="A384" s="23" t="s">
        <v>27</v>
      </c>
      <c r="B384" s="23"/>
      <c r="C384" s="42"/>
      <c r="D384" s="24">
        <f>D385</f>
        <v>2120</v>
      </c>
      <c r="E384" s="24">
        <f>E385</f>
        <v>0</v>
      </c>
      <c r="F384" s="24">
        <f t="shared" ref="F384" si="215">F385</f>
        <v>2120</v>
      </c>
      <c r="G384" s="24">
        <f t="shared" ref="G384" si="216">G385</f>
        <v>0</v>
      </c>
      <c r="H384" s="25">
        <f t="shared" ref="H384" si="217">H385</f>
        <v>0</v>
      </c>
      <c r="I384" s="25"/>
      <c r="J384" s="15"/>
    </row>
    <row r="385" spans="1:10" ht="18.75" customHeight="1" x14ac:dyDescent="0.25">
      <c r="A385" s="27" t="s">
        <v>28</v>
      </c>
      <c r="B385" s="27" t="s">
        <v>98</v>
      </c>
      <c r="C385" s="41" t="s">
        <v>81</v>
      </c>
      <c r="D385" s="28">
        <f>E385+F385</f>
        <v>2120</v>
      </c>
      <c r="E385" s="28"/>
      <c r="F385" s="28">
        <f>(260+800)*2</f>
        <v>2120</v>
      </c>
      <c r="G385" s="28"/>
      <c r="H385" s="29"/>
      <c r="I385" s="30" t="s">
        <v>29</v>
      </c>
      <c r="J385" s="28"/>
    </row>
  </sheetData>
  <pageMargins left="0.70866141732283472" right="0.70866141732283472" top="0.74803149606299213" bottom="0.74803149606299213" header="0.31496062992125984" footer="0.31496062992125984"/>
  <pageSetup paperSize="9" scale="53" fitToHeight="0" orientation="portrait" r:id="rId1"/>
  <headerFooter>
    <oddFooter>&amp;L&amp;P/&amp;N&amp;C&amp;T
&amp;D
&amp;F</oddFooter>
  </headerFooter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5"/>
    <pageSetUpPr fitToPage="1"/>
  </sheetPr>
  <dimension ref="A1:Q13"/>
  <sheetViews>
    <sheetView tabSelected="1" workbookViewId="0">
      <selection activeCell="I20" sqref="I20"/>
    </sheetView>
  </sheetViews>
  <sheetFormatPr defaultRowHeight="12.75" x14ac:dyDescent="0.2"/>
  <cols>
    <col min="1" max="1" width="47" style="48" customWidth="1"/>
    <col min="2" max="2" width="12" style="47" customWidth="1"/>
    <col min="3" max="3" width="11.5703125" style="47" customWidth="1"/>
    <col min="4" max="4" width="10.7109375" style="47" customWidth="1"/>
    <col min="5" max="5" width="12.140625" style="48" customWidth="1"/>
    <col min="6" max="6" width="7.85546875" style="48" customWidth="1"/>
    <col min="7" max="7" width="9.85546875" style="49" customWidth="1"/>
    <col min="8" max="8" width="9" style="49" customWidth="1"/>
    <col min="9" max="9" width="9.42578125" style="48" customWidth="1"/>
    <col min="10" max="10" width="8" style="48" customWidth="1"/>
    <col min="11" max="11" width="10.7109375" style="48" customWidth="1"/>
    <col min="12" max="12" width="10.7109375" style="61" customWidth="1"/>
    <col min="13" max="14" width="8.42578125" style="48" customWidth="1"/>
    <col min="15" max="15" width="8.140625" style="48" customWidth="1"/>
    <col min="16" max="257" width="9.140625" style="48"/>
    <col min="258" max="258" width="47" style="48" customWidth="1"/>
    <col min="259" max="260" width="12" style="48" customWidth="1"/>
    <col min="261" max="261" width="10.7109375" style="48" customWidth="1"/>
    <col min="262" max="262" width="12.140625" style="48" customWidth="1"/>
    <col min="263" max="263" width="7.85546875" style="48" customWidth="1"/>
    <col min="264" max="264" width="9.85546875" style="48" customWidth="1"/>
    <col min="265" max="265" width="9" style="48" customWidth="1"/>
    <col min="266" max="266" width="9.42578125" style="48" customWidth="1"/>
    <col min="267" max="267" width="8" style="48" customWidth="1"/>
    <col min="268" max="268" width="10.7109375" style="48" customWidth="1"/>
    <col min="269" max="270" width="8.42578125" style="48" customWidth="1"/>
    <col min="271" max="271" width="8.140625" style="48" customWidth="1"/>
    <col min="272" max="513" width="9.140625" style="48"/>
    <col min="514" max="514" width="47" style="48" customWidth="1"/>
    <col min="515" max="516" width="12" style="48" customWidth="1"/>
    <col min="517" max="517" width="10.7109375" style="48" customWidth="1"/>
    <col min="518" max="518" width="12.140625" style="48" customWidth="1"/>
    <col min="519" max="519" width="7.85546875" style="48" customWidth="1"/>
    <col min="520" max="520" width="9.85546875" style="48" customWidth="1"/>
    <col min="521" max="521" width="9" style="48" customWidth="1"/>
    <col min="522" max="522" width="9.42578125" style="48" customWidth="1"/>
    <col min="523" max="523" width="8" style="48" customWidth="1"/>
    <col min="524" max="524" width="10.7109375" style="48" customWidth="1"/>
    <col min="525" max="526" width="8.42578125" style="48" customWidth="1"/>
    <col min="527" max="527" width="8.140625" style="48" customWidth="1"/>
    <col min="528" max="769" width="9.140625" style="48"/>
    <col min="770" max="770" width="47" style="48" customWidth="1"/>
    <col min="771" max="772" width="12" style="48" customWidth="1"/>
    <col min="773" max="773" width="10.7109375" style="48" customWidth="1"/>
    <col min="774" max="774" width="12.140625" style="48" customWidth="1"/>
    <col min="775" max="775" width="7.85546875" style="48" customWidth="1"/>
    <col min="776" max="776" width="9.85546875" style="48" customWidth="1"/>
    <col min="777" max="777" width="9" style="48" customWidth="1"/>
    <col min="778" max="778" width="9.42578125" style="48" customWidth="1"/>
    <col min="779" max="779" width="8" style="48" customWidth="1"/>
    <col min="780" max="780" width="10.7109375" style="48" customWidth="1"/>
    <col min="781" max="782" width="8.42578125" style="48" customWidth="1"/>
    <col min="783" max="783" width="8.140625" style="48" customWidth="1"/>
    <col min="784" max="1025" width="9.140625" style="48"/>
    <col min="1026" max="1026" width="47" style="48" customWidth="1"/>
    <col min="1027" max="1028" width="12" style="48" customWidth="1"/>
    <col min="1029" max="1029" width="10.7109375" style="48" customWidth="1"/>
    <col min="1030" max="1030" width="12.140625" style="48" customWidth="1"/>
    <col min="1031" max="1031" width="7.85546875" style="48" customWidth="1"/>
    <col min="1032" max="1032" width="9.85546875" style="48" customWidth="1"/>
    <col min="1033" max="1033" width="9" style="48" customWidth="1"/>
    <col min="1034" max="1034" width="9.42578125" style="48" customWidth="1"/>
    <col min="1035" max="1035" width="8" style="48" customWidth="1"/>
    <col min="1036" max="1036" width="10.7109375" style="48" customWidth="1"/>
    <col min="1037" max="1038" width="8.42578125" style="48" customWidth="1"/>
    <col min="1039" max="1039" width="8.140625" style="48" customWidth="1"/>
    <col min="1040" max="1281" width="9.140625" style="48"/>
    <col min="1282" max="1282" width="47" style="48" customWidth="1"/>
    <col min="1283" max="1284" width="12" style="48" customWidth="1"/>
    <col min="1285" max="1285" width="10.7109375" style="48" customWidth="1"/>
    <col min="1286" max="1286" width="12.140625" style="48" customWidth="1"/>
    <col min="1287" max="1287" width="7.85546875" style="48" customWidth="1"/>
    <col min="1288" max="1288" width="9.85546875" style="48" customWidth="1"/>
    <col min="1289" max="1289" width="9" style="48" customWidth="1"/>
    <col min="1290" max="1290" width="9.42578125" style="48" customWidth="1"/>
    <col min="1291" max="1291" width="8" style="48" customWidth="1"/>
    <col min="1292" max="1292" width="10.7109375" style="48" customWidth="1"/>
    <col min="1293" max="1294" width="8.42578125" style="48" customWidth="1"/>
    <col min="1295" max="1295" width="8.140625" style="48" customWidth="1"/>
    <col min="1296" max="1537" width="9.140625" style="48"/>
    <col min="1538" max="1538" width="47" style="48" customWidth="1"/>
    <col min="1539" max="1540" width="12" style="48" customWidth="1"/>
    <col min="1541" max="1541" width="10.7109375" style="48" customWidth="1"/>
    <col min="1542" max="1542" width="12.140625" style="48" customWidth="1"/>
    <col min="1543" max="1543" width="7.85546875" style="48" customWidth="1"/>
    <col min="1544" max="1544" width="9.85546875" style="48" customWidth="1"/>
    <col min="1545" max="1545" width="9" style="48" customWidth="1"/>
    <col min="1546" max="1546" width="9.42578125" style="48" customWidth="1"/>
    <col min="1547" max="1547" width="8" style="48" customWidth="1"/>
    <col min="1548" max="1548" width="10.7109375" style="48" customWidth="1"/>
    <col min="1549" max="1550" width="8.42578125" style="48" customWidth="1"/>
    <col min="1551" max="1551" width="8.140625" style="48" customWidth="1"/>
    <col min="1552" max="1793" width="9.140625" style="48"/>
    <col min="1794" max="1794" width="47" style="48" customWidth="1"/>
    <col min="1795" max="1796" width="12" style="48" customWidth="1"/>
    <col min="1797" max="1797" width="10.7109375" style="48" customWidth="1"/>
    <col min="1798" max="1798" width="12.140625" style="48" customWidth="1"/>
    <col min="1799" max="1799" width="7.85546875" style="48" customWidth="1"/>
    <col min="1800" max="1800" width="9.85546875" style="48" customWidth="1"/>
    <col min="1801" max="1801" width="9" style="48" customWidth="1"/>
    <col min="1802" max="1802" width="9.42578125" style="48" customWidth="1"/>
    <col min="1803" max="1803" width="8" style="48" customWidth="1"/>
    <col min="1804" max="1804" width="10.7109375" style="48" customWidth="1"/>
    <col min="1805" max="1806" width="8.42578125" style="48" customWidth="1"/>
    <col min="1807" max="1807" width="8.140625" style="48" customWidth="1"/>
    <col min="1808" max="2049" width="9.140625" style="48"/>
    <col min="2050" max="2050" width="47" style="48" customWidth="1"/>
    <col min="2051" max="2052" width="12" style="48" customWidth="1"/>
    <col min="2053" max="2053" width="10.7109375" style="48" customWidth="1"/>
    <col min="2054" max="2054" width="12.140625" style="48" customWidth="1"/>
    <col min="2055" max="2055" width="7.85546875" style="48" customWidth="1"/>
    <col min="2056" max="2056" width="9.85546875" style="48" customWidth="1"/>
    <col min="2057" max="2057" width="9" style="48" customWidth="1"/>
    <col min="2058" max="2058" width="9.42578125" style="48" customWidth="1"/>
    <col min="2059" max="2059" width="8" style="48" customWidth="1"/>
    <col min="2060" max="2060" width="10.7109375" style="48" customWidth="1"/>
    <col min="2061" max="2062" width="8.42578125" style="48" customWidth="1"/>
    <col min="2063" max="2063" width="8.140625" style="48" customWidth="1"/>
    <col min="2064" max="2305" width="9.140625" style="48"/>
    <col min="2306" max="2306" width="47" style="48" customWidth="1"/>
    <col min="2307" max="2308" width="12" style="48" customWidth="1"/>
    <col min="2309" max="2309" width="10.7109375" style="48" customWidth="1"/>
    <col min="2310" max="2310" width="12.140625" style="48" customWidth="1"/>
    <col min="2311" max="2311" width="7.85546875" style="48" customWidth="1"/>
    <col min="2312" max="2312" width="9.85546875" style="48" customWidth="1"/>
    <col min="2313" max="2313" width="9" style="48" customWidth="1"/>
    <col min="2314" max="2314" width="9.42578125" style="48" customWidth="1"/>
    <col min="2315" max="2315" width="8" style="48" customWidth="1"/>
    <col min="2316" max="2316" width="10.7109375" style="48" customWidth="1"/>
    <col min="2317" max="2318" width="8.42578125" style="48" customWidth="1"/>
    <col min="2319" max="2319" width="8.140625" style="48" customWidth="1"/>
    <col min="2320" max="2561" width="9.140625" style="48"/>
    <col min="2562" max="2562" width="47" style="48" customWidth="1"/>
    <col min="2563" max="2564" width="12" style="48" customWidth="1"/>
    <col min="2565" max="2565" width="10.7109375" style="48" customWidth="1"/>
    <col min="2566" max="2566" width="12.140625" style="48" customWidth="1"/>
    <col min="2567" max="2567" width="7.85546875" style="48" customWidth="1"/>
    <col min="2568" max="2568" width="9.85546875" style="48" customWidth="1"/>
    <col min="2569" max="2569" width="9" style="48" customWidth="1"/>
    <col min="2570" max="2570" width="9.42578125" style="48" customWidth="1"/>
    <col min="2571" max="2571" width="8" style="48" customWidth="1"/>
    <col min="2572" max="2572" width="10.7109375" style="48" customWidth="1"/>
    <col min="2573" max="2574" width="8.42578125" style="48" customWidth="1"/>
    <col min="2575" max="2575" width="8.140625" style="48" customWidth="1"/>
    <col min="2576" max="2817" width="9.140625" style="48"/>
    <col min="2818" max="2818" width="47" style="48" customWidth="1"/>
    <col min="2819" max="2820" width="12" style="48" customWidth="1"/>
    <col min="2821" max="2821" width="10.7109375" style="48" customWidth="1"/>
    <col min="2822" max="2822" width="12.140625" style="48" customWidth="1"/>
    <col min="2823" max="2823" width="7.85546875" style="48" customWidth="1"/>
    <col min="2824" max="2824" width="9.85546875" style="48" customWidth="1"/>
    <col min="2825" max="2825" width="9" style="48" customWidth="1"/>
    <col min="2826" max="2826" width="9.42578125" style="48" customWidth="1"/>
    <col min="2827" max="2827" width="8" style="48" customWidth="1"/>
    <col min="2828" max="2828" width="10.7109375" style="48" customWidth="1"/>
    <col min="2829" max="2830" width="8.42578125" style="48" customWidth="1"/>
    <col min="2831" max="2831" width="8.140625" style="48" customWidth="1"/>
    <col min="2832" max="3073" width="9.140625" style="48"/>
    <col min="3074" max="3074" width="47" style="48" customWidth="1"/>
    <col min="3075" max="3076" width="12" style="48" customWidth="1"/>
    <col min="3077" max="3077" width="10.7109375" style="48" customWidth="1"/>
    <col min="3078" max="3078" width="12.140625" style="48" customWidth="1"/>
    <col min="3079" max="3079" width="7.85546875" style="48" customWidth="1"/>
    <col min="3080" max="3080" width="9.85546875" style="48" customWidth="1"/>
    <col min="3081" max="3081" width="9" style="48" customWidth="1"/>
    <col min="3082" max="3082" width="9.42578125" style="48" customWidth="1"/>
    <col min="3083" max="3083" width="8" style="48" customWidth="1"/>
    <col min="3084" max="3084" width="10.7109375" style="48" customWidth="1"/>
    <col min="3085" max="3086" width="8.42578125" style="48" customWidth="1"/>
    <col min="3087" max="3087" width="8.140625" style="48" customWidth="1"/>
    <col min="3088" max="3329" width="9.140625" style="48"/>
    <col min="3330" max="3330" width="47" style="48" customWidth="1"/>
    <col min="3331" max="3332" width="12" style="48" customWidth="1"/>
    <col min="3333" max="3333" width="10.7109375" style="48" customWidth="1"/>
    <col min="3334" max="3334" width="12.140625" style="48" customWidth="1"/>
    <col min="3335" max="3335" width="7.85546875" style="48" customWidth="1"/>
    <col min="3336" max="3336" width="9.85546875" style="48" customWidth="1"/>
    <col min="3337" max="3337" width="9" style="48" customWidth="1"/>
    <col min="3338" max="3338" width="9.42578125" style="48" customWidth="1"/>
    <col min="3339" max="3339" width="8" style="48" customWidth="1"/>
    <col min="3340" max="3340" width="10.7109375" style="48" customWidth="1"/>
    <col min="3341" max="3342" width="8.42578125" style="48" customWidth="1"/>
    <col min="3343" max="3343" width="8.140625" style="48" customWidth="1"/>
    <col min="3344" max="3585" width="9.140625" style="48"/>
    <col min="3586" max="3586" width="47" style="48" customWidth="1"/>
    <col min="3587" max="3588" width="12" style="48" customWidth="1"/>
    <col min="3589" max="3589" width="10.7109375" style="48" customWidth="1"/>
    <col min="3590" max="3590" width="12.140625" style="48" customWidth="1"/>
    <col min="3591" max="3591" width="7.85546875" style="48" customWidth="1"/>
    <col min="3592" max="3592" width="9.85546875" style="48" customWidth="1"/>
    <col min="3593" max="3593" width="9" style="48" customWidth="1"/>
    <col min="3594" max="3594" width="9.42578125" style="48" customWidth="1"/>
    <col min="3595" max="3595" width="8" style="48" customWidth="1"/>
    <col min="3596" max="3596" width="10.7109375" style="48" customWidth="1"/>
    <col min="3597" max="3598" width="8.42578125" style="48" customWidth="1"/>
    <col min="3599" max="3599" width="8.140625" style="48" customWidth="1"/>
    <col min="3600" max="3841" width="9.140625" style="48"/>
    <col min="3842" max="3842" width="47" style="48" customWidth="1"/>
    <col min="3843" max="3844" width="12" style="48" customWidth="1"/>
    <col min="3845" max="3845" width="10.7109375" style="48" customWidth="1"/>
    <col min="3846" max="3846" width="12.140625" style="48" customWidth="1"/>
    <col min="3847" max="3847" width="7.85546875" style="48" customWidth="1"/>
    <col min="3848" max="3848" width="9.85546875" style="48" customWidth="1"/>
    <col min="3849" max="3849" width="9" style="48" customWidth="1"/>
    <col min="3850" max="3850" width="9.42578125" style="48" customWidth="1"/>
    <col min="3851" max="3851" width="8" style="48" customWidth="1"/>
    <col min="3852" max="3852" width="10.7109375" style="48" customWidth="1"/>
    <col min="3853" max="3854" width="8.42578125" style="48" customWidth="1"/>
    <col min="3855" max="3855" width="8.140625" style="48" customWidth="1"/>
    <col min="3856" max="4097" width="9.140625" style="48"/>
    <col min="4098" max="4098" width="47" style="48" customWidth="1"/>
    <col min="4099" max="4100" width="12" style="48" customWidth="1"/>
    <col min="4101" max="4101" width="10.7109375" style="48" customWidth="1"/>
    <col min="4102" max="4102" width="12.140625" style="48" customWidth="1"/>
    <col min="4103" max="4103" width="7.85546875" style="48" customWidth="1"/>
    <col min="4104" max="4104" width="9.85546875" style="48" customWidth="1"/>
    <col min="4105" max="4105" width="9" style="48" customWidth="1"/>
    <col min="4106" max="4106" width="9.42578125" style="48" customWidth="1"/>
    <col min="4107" max="4107" width="8" style="48" customWidth="1"/>
    <col min="4108" max="4108" width="10.7109375" style="48" customWidth="1"/>
    <col min="4109" max="4110" width="8.42578125" style="48" customWidth="1"/>
    <col min="4111" max="4111" width="8.140625" style="48" customWidth="1"/>
    <col min="4112" max="4353" width="9.140625" style="48"/>
    <col min="4354" max="4354" width="47" style="48" customWidth="1"/>
    <col min="4355" max="4356" width="12" style="48" customWidth="1"/>
    <col min="4357" max="4357" width="10.7109375" style="48" customWidth="1"/>
    <col min="4358" max="4358" width="12.140625" style="48" customWidth="1"/>
    <col min="4359" max="4359" width="7.85546875" style="48" customWidth="1"/>
    <col min="4360" max="4360" width="9.85546875" style="48" customWidth="1"/>
    <col min="4361" max="4361" width="9" style="48" customWidth="1"/>
    <col min="4362" max="4362" width="9.42578125" style="48" customWidth="1"/>
    <col min="4363" max="4363" width="8" style="48" customWidth="1"/>
    <col min="4364" max="4364" width="10.7109375" style="48" customWidth="1"/>
    <col min="4365" max="4366" width="8.42578125" style="48" customWidth="1"/>
    <col min="4367" max="4367" width="8.140625" style="48" customWidth="1"/>
    <col min="4368" max="4609" width="9.140625" style="48"/>
    <col min="4610" max="4610" width="47" style="48" customWidth="1"/>
    <col min="4611" max="4612" width="12" style="48" customWidth="1"/>
    <col min="4613" max="4613" width="10.7109375" style="48" customWidth="1"/>
    <col min="4614" max="4614" width="12.140625" style="48" customWidth="1"/>
    <col min="4615" max="4615" width="7.85546875" style="48" customWidth="1"/>
    <col min="4616" max="4616" width="9.85546875" style="48" customWidth="1"/>
    <col min="4617" max="4617" width="9" style="48" customWidth="1"/>
    <col min="4618" max="4618" width="9.42578125" style="48" customWidth="1"/>
    <col min="4619" max="4619" width="8" style="48" customWidth="1"/>
    <col min="4620" max="4620" width="10.7109375" style="48" customWidth="1"/>
    <col min="4621" max="4622" width="8.42578125" style="48" customWidth="1"/>
    <col min="4623" max="4623" width="8.140625" style="48" customWidth="1"/>
    <col min="4624" max="4865" width="9.140625" style="48"/>
    <col min="4866" max="4866" width="47" style="48" customWidth="1"/>
    <col min="4867" max="4868" width="12" style="48" customWidth="1"/>
    <col min="4869" max="4869" width="10.7109375" style="48" customWidth="1"/>
    <col min="4870" max="4870" width="12.140625" style="48" customWidth="1"/>
    <col min="4871" max="4871" width="7.85546875" style="48" customWidth="1"/>
    <col min="4872" max="4872" width="9.85546875" style="48" customWidth="1"/>
    <col min="4873" max="4873" width="9" style="48" customWidth="1"/>
    <col min="4874" max="4874" width="9.42578125" style="48" customWidth="1"/>
    <col min="4875" max="4875" width="8" style="48" customWidth="1"/>
    <col min="4876" max="4876" width="10.7109375" style="48" customWidth="1"/>
    <col min="4877" max="4878" width="8.42578125" style="48" customWidth="1"/>
    <col min="4879" max="4879" width="8.140625" style="48" customWidth="1"/>
    <col min="4880" max="5121" width="9.140625" style="48"/>
    <col min="5122" max="5122" width="47" style="48" customWidth="1"/>
    <col min="5123" max="5124" width="12" style="48" customWidth="1"/>
    <col min="5125" max="5125" width="10.7109375" style="48" customWidth="1"/>
    <col min="5126" max="5126" width="12.140625" style="48" customWidth="1"/>
    <col min="5127" max="5127" width="7.85546875" style="48" customWidth="1"/>
    <col min="5128" max="5128" width="9.85546875" style="48" customWidth="1"/>
    <col min="5129" max="5129" width="9" style="48" customWidth="1"/>
    <col min="5130" max="5130" width="9.42578125" style="48" customWidth="1"/>
    <col min="5131" max="5131" width="8" style="48" customWidth="1"/>
    <col min="5132" max="5132" width="10.7109375" style="48" customWidth="1"/>
    <col min="5133" max="5134" width="8.42578125" style="48" customWidth="1"/>
    <col min="5135" max="5135" width="8.140625" style="48" customWidth="1"/>
    <col min="5136" max="5377" width="9.140625" style="48"/>
    <col min="5378" max="5378" width="47" style="48" customWidth="1"/>
    <col min="5379" max="5380" width="12" style="48" customWidth="1"/>
    <col min="5381" max="5381" width="10.7109375" style="48" customWidth="1"/>
    <col min="5382" max="5382" width="12.140625" style="48" customWidth="1"/>
    <col min="5383" max="5383" width="7.85546875" style="48" customWidth="1"/>
    <col min="5384" max="5384" width="9.85546875" style="48" customWidth="1"/>
    <col min="5385" max="5385" width="9" style="48" customWidth="1"/>
    <col min="5386" max="5386" width="9.42578125" style="48" customWidth="1"/>
    <col min="5387" max="5387" width="8" style="48" customWidth="1"/>
    <col min="5388" max="5388" width="10.7109375" style="48" customWidth="1"/>
    <col min="5389" max="5390" width="8.42578125" style="48" customWidth="1"/>
    <col min="5391" max="5391" width="8.140625" style="48" customWidth="1"/>
    <col min="5392" max="5633" width="9.140625" style="48"/>
    <col min="5634" max="5634" width="47" style="48" customWidth="1"/>
    <col min="5635" max="5636" width="12" style="48" customWidth="1"/>
    <col min="5637" max="5637" width="10.7109375" style="48" customWidth="1"/>
    <col min="5638" max="5638" width="12.140625" style="48" customWidth="1"/>
    <col min="5639" max="5639" width="7.85546875" style="48" customWidth="1"/>
    <col min="5640" max="5640" width="9.85546875" style="48" customWidth="1"/>
    <col min="5641" max="5641" width="9" style="48" customWidth="1"/>
    <col min="5642" max="5642" width="9.42578125" style="48" customWidth="1"/>
    <col min="5643" max="5643" width="8" style="48" customWidth="1"/>
    <col min="5644" max="5644" width="10.7109375" style="48" customWidth="1"/>
    <col min="5645" max="5646" width="8.42578125" style="48" customWidth="1"/>
    <col min="5647" max="5647" width="8.140625" style="48" customWidth="1"/>
    <col min="5648" max="5889" width="9.140625" style="48"/>
    <col min="5890" max="5890" width="47" style="48" customWidth="1"/>
    <col min="5891" max="5892" width="12" style="48" customWidth="1"/>
    <col min="5893" max="5893" width="10.7109375" style="48" customWidth="1"/>
    <col min="5894" max="5894" width="12.140625" style="48" customWidth="1"/>
    <col min="5895" max="5895" width="7.85546875" style="48" customWidth="1"/>
    <col min="5896" max="5896" width="9.85546875" style="48" customWidth="1"/>
    <col min="5897" max="5897" width="9" style="48" customWidth="1"/>
    <col min="5898" max="5898" width="9.42578125" style="48" customWidth="1"/>
    <col min="5899" max="5899" width="8" style="48" customWidth="1"/>
    <col min="5900" max="5900" width="10.7109375" style="48" customWidth="1"/>
    <col min="5901" max="5902" width="8.42578125" style="48" customWidth="1"/>
    <col min="5903" max="5903" width="8.140625" style="48" customWidth="1"/>
    <col min="5904" max="6145" width="9.140625" style="48"/>
    <col min="6146" max="6146" width="47" style="48" customWidth="1"/>
    <col min="6147" max="6148" width="12" style="48" customWidth="1"/>
    <col min="6149" max="6149" width="10.7109375" style="48" customWidth="1"/>
    <col min="6150" max="6150" width="12.140625" style="48" customWidth="1"/>
    <col min="6151" max="6151" width="7.85546875" style="48" customWidth="1"/>
    <col min="6152" max="6152" width="9.85546875" style="48" customWidth="1"/>
    <col min="6153" max="6153" width="9" style="48" customWidth="1"/>
    <col min="6154" max="6154" width="9.42578125" style="48" customWidth="1"/>
    <col min="6155" max="6155" width="8" style="48" customWidth="1"/>
    <col min="6156" max="6156" width="10.7109375" style="48" customWidth="1"/>
    <col min="6157" max="6158" width="8.42578125" style="48" customWidth="1"/>
    <col min="6159" max="6159" width="8.140625" style="48" customWidth="1"/>
    <col min="6160" max="6401" width="9.140625" style="48"/>
    <col min="6402" max="6402" width="47" style="48" customWidth="1"/>
    <col min="6403" max="6404" width="12" style="48" customWidth="1"/>
    <col min="6405" max="6405" width="10.7109375" style="48" customWidth="1"/>
    <col min="6406" max="6406" width="12.140625" style="48" customWidth="1"/>
    <col min="6407" max="6407" width="7.85546875" style="48" customWidth="1"/>
    <col min="6408" max="6408" width="9.85546875" style="48" customWidth="1"/>
    <col min="6409" max="6409" width="9" style="48" customWidth="1"/>
    <col min="6410" max="6410" width="9.42578125" style="48" customWidth="1"/>
    <col min="6411" max="6411" width="8" style="48" customWidth="1"/>
    <col min="6412" max="6412" width="10.7109375" style="48" customWidth="1"/>
    <col min="6413" max="6414" width="8.42578125" style="48" customWidth="1"/>
    <col min="6415" max="6415" width="8.140625" style="48" customWidth="1"/>
    <col min="6416" max="6657" width="9.140625" style="48"/>
    <col min="6658" max="6658" width="47" style="48" customWidth="1"/>
    <col min="6659" max="6660" width="12" style="48" customWidth="1"/>
    <col min="6661" max="6661" width="10.7109375" style="48" customWidth="1"/>
    <col min="6662" max="6662" width="12.140625" style="48" customWidth="1"/>
    <col min="6663" max="6663" width="7.85546875" style="48" customWidth="1"/>
    <col min="6664" max="6664" width="9.85546875" style="48" customWidth="1"/>
    <col min="6665" max="6665" width="9" style="48" customWidth="1"/>
    <col min="6666" max="6666" width="9.42578125" style="48" customWidth="1"/>
    <col min="6667" max="6667" width="8" style="48" customWidth="1"/>
    <col min="6668" max="6668" width="10.7109375" style="48" customWidth="1"/>
    <col min="6669" max="6670" width="8.42578125" style="48" customWidth="1"/>
    <col min="6671" max="6671" width="8.140625" style="48" customWidth="1"/>
    <col min="6672" max="6913" width="9.140625" style="48"/>
    <col min="6914" max="6914" width="47" style="48" customWidth="1"/>
    <col min="6915" max="6916" width="12" style="48" customWidth="1"/>
    <col min="6917" max="6917" width="10.7109375" style="48" customWidth="1"/>
    <col min="6918" max="6918" width="12.140625" style="48" customWidth="1"/>
    <col min="6919" max="6919" width="7.85546875" style="48" customWidth="1"/>
    <col min="6920" max="6920" width="9.85546875" style="48" customWidth="1"/>
    <col min="6921" max="6921" width="9" style="48" customWidth="1"/>
    <col min="6922" max="6922" width="9.42578125" style="48" customWidth="1"/>
    <col min="6923" max="6923" width="8" style="48" customWidth="1"/>
    <col min="6924" max="6924" width="10.7109375" style="48" customWidth="1"/>
    <col min="6925" max="6926" width="8.42578125" style="48" customWidth="1"/>
    <col min="6927" max="6927" width="8.140625" style="48" customWidth="1"/>
    <col min="6928" max="7169" width="9.140625" style="48"/>
    <col min="7170" max="7170" width="47" style="48" customWidth="1"/>
    <col min="7171" max="7172" width="12" style="48" customWidth="1"/>
    <col min="7173" max="7173" width="10.7109375" style="48" customWidth="1"/>
    <col min="7174" max="7174" width="12.140625" style="48" customWidth="1"/>
    <col min="7175" max="7175" width="7.85546875" style="48" customWidth="1"/>
    <col min="7176" max="7176" width="9.85546875" style="48" customWidth="1"/>
    <col min="7177" max="7177" width="9" style="48" customWidth="1"/>
    <col min="7178" max="7178" width="9.42578125" style="48" customWidth="1"/>
    <col min="7179" max="7179" width="8" style="48" customWidth="1"/>
    <col min="7180" max="7180" width="10.7109375" style="48" customWidth="1"/>
    <col min="7181" max="7182" width="8.42578125" style="48" customWidth="1"/>
    <col min="7183" max="7183" width="8.140625" style="48" customWidth="1"/>
    <col min="7184" max="7425" width="9.140625" style="48"/>
    <col min="7426" max="7426" width="47" style="48" customWidth="1"/>
    <col min="7427" max="7428" width="12" style="48" customWidth="1"/>
    <col min="7429" max="7429" width="10.7109375" style="48" customWidth="1"/>
    <col min="7430" max="7430" width="12.140625" style="48" customWidth="1"/>
    <col min="7431" max="7431" width="7.85546875" style="48" customWidth="1"/>
    <col min="7432" max="7432" width="9.85546875" style="48" customWidth="1"/>
    <col min="7433" max="7433" width="9" style="48" customWidth="1"/>
    <col min="7434" max="7434" width="9.42578125" style="48" customWidth="1"/>
    <col min="7435" max="7435" width="8" style="48" customWidth="1"/>
    <col min="7436" max="7436" width="10.7109375" style="48" customWidth="1"/>
    <col min="7437" max="7438" width="8.42578125" style="48" customWidth="1"/>
    <col min="7439" max="7439" width="8.140625" style="48" customWidth="1"/>
    <col min="7440" max="7681" width="9.140625" style="48"/>
    <col min="7682" max="7682" width="47" style="48" customWidth="1"/>
    <col min="7683" max="7684" width="12" style="48" customWidth="1"/>
    <col min="7685" max="7685" width="10.7109375" style="48" customWidth="1"/>
    <col min="7686" max="7686" width="12.140625" style="48" customWidth="1"/>
    <col min="7687" max="7687" width="7.85546875" style="48" customWidth="1"/>
    <col min="7688" max="7688" width="9.85546875" style="48" customWidth="1"/>
    <col min="7689" max="7689" width="9" style="48" customWidth="1"/>
    <col min="7690" max="7690" width="9.42578125" style="48" customWidth="1"/>
    <col min="7691" max="7691" width="8" style="48" customWidth="1"/>
    <col min="7692" max="7692" width="10.7109375" style="48" customWidth="1"/>
    <col min="7693" max="7694" width="8.42578125" style="48" customWidth="1"/>
    <col min="7695" max="7695" width="8.140625" style="48" customWidth="1"/>
    <col min="7696" max="7937" width="9.140625" style="48"/>
    <col min="7938" max="7938" width="47" style="48" customWidth="1"/>
    <col min="7939" max="7940" width="12" style="48" customWidth="1"/>
    <col min="7941" max="7941" width="10.7109375" style="48" customWidth="1"/>
    <col min="7942" max="7942" width="12.140625" style="48" customWidth="1"/>
    <col min="7943" max="7943" width="7.85546875" style="48" customWidth="1"/>
    <col min="7944" max="7944" width="9.85546875" style="48" customWidth="1"/>
    <col min="7945" max="7945" width="9" style="48" customWidth="1"/>
    <col min="7946" max="7946" width="9.42578125" style="48" customWidth="1"/>
    <col min="7947" max="7947" width="8" style="48" customWidth="1"/>
    <col min="7948" max="7948" width="10.7109375" style="48" customWidth="1"/>
    <col min="7949" max="7950" width="8.42578125" style="48" customWidth="1"/>
    <col min="7951" max="7951" width="8.140625" style="48" customWidth="1"/>
    <col min="7952" max="8193" width="9.140625" style="48"/>
    <col min="8194" max="8194" width="47" style="48" customWidth="1"/>
    <col min="8195" max="8196" width="12" style="48" customWidth="1"/>
    <col min="8197" max="8197" width="10.7109375" style="48" customWidth="1"/>
    <col min="8198" max="8198" width="12.140625" style="48" customWidth="1"/>
    <col min="8199" max="8199" width="7.85546875" style="48" customWidth="1"/>
    <col min="8200" max="8200" width="9.85546875" style="48" customWidth="1"/>
    <col min="8201" max="8201" width="9" style="48" customWidth="1"/>
    <col min="8202" max="8202" width="9.42578125" style="48" customWidth="1"/>
    <col min="8203" max="8203" width="8" style="48" customWidth="1"/>
    <col min="8204" max="8204" width="10.7109375" style="48" customWidth="1"/>
    <col min="8205" max="8206" width="8.42578125" style="48" customWidth="1"/>
    <col min="8207" max="8207" width="8.140625" style="48" customWidth="1"/>
    <col min="8208" max="8449" width="9.140625" style="48"/>
    <col min="8450" max="8450" width="47" style="48" customWidth="1"/>
    <col min="8451" max="8452" width="12" style="48" customWidth="1"/>
    <col min="8453" max="8453" width="10.7109375" style="48" customWidth="1"/>
    <col min="8454" max="8454" width="12.140625" style="48" customWidth="1"/>
    <col min="8455" max="8455" width="7.85546875" style="48" customWidth="1"/>
    <col min="8456" max="8456" width="9.85546875" style="48" customWidth="1"/>
    <col min="8457" max="8457" width="9" style="48" customWidth="1"/>
    <col min="8458" max="8458" width="9.42578125" style="48" customWidth="1"/>
    <col min="8459" max="8459" width="8" style="48" customWidth="1"/>
    <col min="8460" max="8460" width="10.7109375" style="48" customWidth="1"/>
    <col min="8461" max="8462" width="8.42578125" style="48" customWidth="1"/>
    <col min="8463" max="8463" width="8.140625" style="48" customWidth="1"/>
    <col min="8464" max="8705" width="9.140625" style="48"/>
    <col min="8706" max="8706" width="47" style="48" customWidth="1"/>
    <col min="8707" max="8708" width="12" style="48" customWidth="1"/>
    <col min="8709" max="8709" width="10.7109375" style="48" customWidth="1"/>
    <col min="8710" max="8710" width="12.140625" style="48" customWidth="1"/>
    <col min="8711" max="8711" width="7.85546875" style="48" customWidth="1"/>
    <col min="8712" max="8712" width="9.85546875" style="48" customWidth="1"/>
    <col min="8713" max="8713" width="9" style="48" customWidth="1"/>
    <col min="8714" max="8714" width="9.42578125" style="48" customWidth="1"/>
    <col min="8715" max="8715" width="8" style="48" customWidth="1"/>
    <col min="8716" max="8716" width="10.7109375" style="48" customWidth="1"/>
    <col min="8717" max="8718" width="8.42578125" style="48" customWidth="1"/>
    <col min="8719" max="8719" width="8.140625" style="48" customWidth="1"/>
    <col min="8720" max="8961" width="9.140625" style="48"/>
    <col min="8962" max="8962" width="47" style="48" customWidth="1"/>
    <col min="8963" max="8964" width="12" style="48" customWidth="1"/>
    <col min="8965" max="8965" width="10.7109375" style="48" customWidth="1"/>
    <col min="8966" max="8966" width="12.140625" style="48" customWidth="1"/>
    <col min="8967" max="8967" width="7.85546875" style="48" customWidth="1"/>
    <col min="8968" max="8968" width="9.85546875" style="48" customWidth="1"/>
    <col min="8969" max="8969" width="9" style="48" customWidth="1"/>
    <col min="8970" max="8970" width="9.42578125" style="48" customWidth="1"/>
    <col min="8971" max="8971" width="8" style="48" customWidth="1"/>
    <col min="8972" max="8972" width="10.7109375" style="48" customWidth="1"/>
    <col min="8973" max="8974" width="8.42578125" style="48" customWidth="1"/>
    <col min="8975" max="8975" width="8.140625" style="48" customWidth="1"/>
    <col min="8976" max="9217" width="9.140625" style="48"/>
    <col min="9218" max="9218" width="47" style="48" customWidth="1"/>
    <col min="9219" max="9220" width="12" style="48" customWidth="1"/>
    <col min="9221" max="9221" width="10.7109375" style="48" customWidth="1"/>
    <col min="9222" max="9222" width="12.140625" style="48" customWidth="1"/>
    <col min="9223" max="9223" width="7.85546875" style="48" customWidth="1"/>
    <col min="9224" max="9224" width="9.85546875" style="48" customWidth="1"/>
    <col min="9225" max="9225" width="9" style="48" customWidth="1"/>
    <col min="9226" max="9226" width="9.42578125" style="48" customWidth="1"/>
    <col min="9227" max="9227" width="8" style="48" customWidth="1"/>
    <col min="9228" max="9228" width="10.7109375" style="48" customWidth="1"/>
    <col min="9229" max="9230" width="8.42578125" style="48" customWidth="1"/>
    <col min="9231" max="9231" width="8.140625" style="48" customWidth="1"/>
    <col min="9232" max="9473" width="9.140625" style="48"/>
    <col min="9474" max="9474" width="47" style="48" customWidth="1"/>
    <col min="9475" max="9476" width="12" style="48" customWidth="1"/>
    <col min="9477" max="9477" width="10.7109375" style="48" customWidth="1"/>
    <col min="9478" max="9478" width="12.140625" style="48" customWidth="1"/>
    <col min="9479" max="9479" width="7.85546875" style="48" customWidth="1"/>
    <col min="9480" max="9480" width="9.85546875" style="48" customWidth="1"/>
    <col min="9481" max="9481" width="9" style="48" customWidth="1"/>
    <col min="9482" max="9482" width="9.42578125" style="48" customWidth="1"/>
    <col min="9483" max="9483" width="8" style="48" customWidth="1"/>
    <col min="9484" max="9484" width="10.7109375" style="48" customWidth="1"/>
    <col min="9485" max="9486" width="8.42578125" style="48" customWidth="1"/>
    <col min="9487" max="9487" width="8.140625" style="48" customWidth="1"/>
    <col min="9488" max="9729" width="9.140625" style="48"/>
    <col min="9730" max="9730" width="47" style="48" customWidth="1"/>
    <col min="9731" max="9732" width="12" style="48" customWidth="1"/>
    <col min="9733" max="9733" width="10.7109375" style="48" customWidth="1"/>
    <col min="9734" max="9734" width="12.140625" style="48" customWidth="1"/>
    <col min="9735" max="9735" width="7.85546875" style="48" customWidth="1"/>
    <col min="9736" max="9736" width="9.85546875" style="48" customWidth="1"/>
    <col min="9737" max="9737" width="9" style="48" customWidth="1"/>
    <col min="9738" max="9738" width="9.42578125" style="48" customWidth="1"/>
    <col min="9739" max="9739" width="8" style="48" customWidth="1"/>
    <col min="9740" max="9740" width="10.7109375" style="48" customWidth="1"/>
    <col min="9741" max="9742" width="8.42578125" style="48" customWidth="1"/>
    <col min="9743" max="9743" width="8.140625" style="48" customWidth="1"/>
    <col min="9744" max="9985" width="9.140625" style="48"/>
    <col min="9986" max="9986" width="47" style="48" customWidth="1"/>
    <col min="9987" max="9988" width="12" style="48" customWidth="1"/>
    <col min="9989" max="9989" width="10.7109375" style="48" customWidth="1"/>
    <col min="9990" max="9990" width="12.140625" style="48" customWidth="1"/>
    <col min="9991" max="9991" width="7.85546875" style="48" customWidth="1"/>
    <col min="9992" max="9992" width="9.85546875" style="48" customWidth="1"/>
    <col min="9993" max="9993" width="9" style="48" customWidth="1"/>
    <col min="9994" max="9994" width="9.42578125" style="48" customWidth="1"/>
    <col min="9995" max="9995" width="8" style="48" customWidth="1"/>
    <col min="9996" max="9996" width="10.7109375" style="48" customWidth="1"/>
    <col min="9997" max="9998" width="8.42578125" style="48" customWidth="1"/>
    <col min="9999" max="9999" width="8.140625" style="48" customWidth="1"/>
    <col min="10000" max="10241" width="9.140625" style="48"/>
    <col min="10242" max="10242" width="47" style="48" customWidth="1"/>
    <col min="10243" max="10244" width="12" style="48" customWidth="1"/>
    <col min="10245" max="10245" width="10.7109375" style="48" customWidth="1"/>
    <col min="10246" max="10246" width="12.140625" style="48" customWidth="1"/>
    <col min="10247" max="10247" width="7.85546875" style="48" customWidth="1"/>
    <col min="10248" max="10248" width="9.85546875" style="48" customWidth="1"/>
    <col min="10249" max="10249" width="9" style="48" customWidth="1"/>
    <col min="10250" max="10250" width="9.42578125" style="48" customWidth="1"/>
    <col min="10251" max="10251" width="8" style="48" customWidth="1"/>
    <col min="10252" max="10252" width="10.7109375" style="48" customWidth="1"/>
    <col min="10253" max="10254" width="8.42578125" style="48" customWidth="1"/>
    <col min="10255" max="10255" width="8.140625" style="48" customWidth="1"/>
    <col min="10256" max="10497" width="9.140625" style="48"/>
    <col min="10498" max="10498" width="47" style="48" customWidth="1"/>
    <col min="10499" max="10500" width="12" style="48" customWidth="1"/>
    <col min="10501" max="10501" width="10.7109375" style="48" customWidth="1"/>
    <col min="10502" max="10502" width="12.140625" style="48" customWidth="1"/>
    <col min="10503" max="10503" width="7.85546875" style="48" customWidth="1"/>
    <col min="10504" max="10504" width="9.85546875" style="48" customWidth="1"/>
    <col min="10505" max="10505" width="9" style="48" customWidth="1"/>
    <col min="10506" max="10506" width="9.42578125" style="48" customWidth="1"/>
    <col min="10507" max="10507" width="8" style="48" customWidth="1"/>
    <col min="10508" max="10508" width="10.7109375" style="48" customWidth="1"/>
    <col min="10509" max="10510" width="8.42578125" style="48" customWidth="1"/>
    <col min="10511" max="10511" width="8.140625" style="48" customWidth="1"/>
    <col min="10512" max="10753" width="9.140625" style="48"/>
    <col min="10754" max="10754" width="47" style="48" customWidth="1"/>
    <col min="10755" max="10756" width="12" style="48" customWidth="1"/>
    <col min="10757" max="10757" width="10.7109375" style="48" customWidth="1"/>
    <col min="10758" max="10758" width="12.140625" style="48" customWidth="1"/>
    <col min="10759" max="10759" width="7.85546875" style="48" customWidth="1"/>
    <col min="10760" max="10760" width="9.85546875" style="48" customWidth="1"/>
    <col min="10761" max="10761" width="9" style="48" customWidth="1"/>
    <col min="10762" max="10762" width="9.42578125" style="48" customWidth="1"/>
    <col min="10763" max="10763" width="8" style="48" customWidth="1"/>
    <col min="10764" max="10764" width="10.7109375" style="48" customWidth="1"/>
    <col min="10765" max="10766" width="8.42578125" style="48" customWidth="1"/>
    <col min="10767" max="10767" width="8.140625" style="48" customWidth="1"/>
    <col min="10768" max="11009" width="9.140625" style="48"/>
    <col min="11010" max="11010" width="47" style="48" customWidth="1"/>
    <col min="11011" max="11012" width="12" style="48" customWidth="1"/>
    <col min="11013" max="11013" width="10.7109375" style="48" customWidth="1"/>
    <col min="11014" max="11014" width="12.140625" style="48" customWidth="1"/>
    <col min="11015" max="11015" width="7.85546875" style="48" customWidth="1"/>
    <col min="11016" max="11016" width="9.85546875" style="48" customWidth="1"/>
    <col min="11017" max="11017" width="9" style="48" customWidth="1"/>
    <col min="11018" max="11018" width="9.42578125" style="48" customWidth="1"/>
    <col min="11019" max="11019" width="8" style="48" customWidth="1"/>
    <col min="11020" max="11020" width="10.7109375" style="48" customWidth="1"/>
    <col min="11021" max="11022" width="8.42578125" style="48" customWidth="1"/>
    <col min="11023" max="11023" width="8.140625" style="48" customWidth="1"/>
    <col min="11024" max="11265" width="9.140625" style="48"/>
    <col min="11266" max="11266" width="47" style="48" customWidth="1"/>
    <col min="11267" max="11268" width="12" style="48" customWidth="1"/>
    <col min="11269" max="11269" width="10.7109375" style="48" customWidth="1"/>
    <col min="11270" max="11270" width="12.140625" style="48" customWidth="1"/>
    <col min="11271" max="11271" width="7.85546875" style="48" customWidth="1"/>
    <col min="11272" max="11272" width="9.85546875" style="48" customWidth="1"/>
    <col min="11273" max="11273" width="9" style="48" customWidth="1"/>
    <col min="11274" max="11274" width="9.42578125" style="48" customWidth="1"/>
    <col min="11275" max="11275" width="8" style="48" customWidth="1"/>
    <col min="11276" max="11276" width="10.7109375" style="48" customWidth="1"/>
    <col min="11277" max="11278" width="8.42578125" style="48" customWidth="1"/>
    <col min="11279" max="11279" width="8.140625" style="48" customWidth="1"/>
    <col min="11280" max="11521" width="9.140625" style="48"/>
    <col min="11522" max="11522" width="47" style="48" customWidth="1"/>
    <col min="11523" max="11524" width="12" style="48" customWidth="1"/>
    <col min="11525" max="11525" width="10.7109375" style="48" customWidth="1"/>
    <col min="11526" max="11526" width="12.140625" style="48" customWidth="1"/>
    <col min="11527" max="11527" width="7.85546875" style="48" customWidth="1"/>
    <col min="11528" max="11528" width="9.85546875" style="48" customWidth="1"/>
    <col min="11529" max="11529" width="9" style="48" customWidth="1"/>
    <col min="11530" max="11530" width="9.42578125" style="48" customWidth="1"/>
    <col min="11531" max="11531" width="8" style="48" customWidth="1"/>
    <col min="11532" max="11532" width="10.7109375" style="48" customWidth="1"/>
    <col min="11533" max="11534" width="8.42578125" style="48" customWidth="1"/>
    <col min="11535" max="11535" width="8.140625" style="48" customWidth="1"/>
    <col min="11536" max="11777" width="9.140625" style="48"/>
    <col min="11778" max="11778" width="47" style="48" customWidth="1"/>
    <col min="11779" max="11780" width="12" style="48" customWidth="1"/>
    <col min="11781" max="11781" width="10.7109375" style="48" customWidth="1"/>
    <col min="11782" max="11782" width="12.140625" style="48" customWidth="1"/>
    <col min="11783" max="11783" width="7.85546875" style="48" customWidth="1"/>
    <col min="11784" max="11784" width="9.85546875" style="48" customWidth="1"/>
    <col min="11785" max="11785" width="9" style="48" customWidth="1"/>
    <col min="11786" max="11786" width="9.42578125" style="48" customWidth="1"/>
    <col min="11787" max="11787" width="8" style="48" customWidth="1"/>
    <col min="11788" max="11788" width="10.7109375" style="48" customWidth="1"/>
    <col min="11789" max="11790" width="8.42578125" style="48" customWidth="1"/>
    <col min="11791" max="11791" width="8.140625" style="48" customWidth="1"/>
    <col min="11792" max="12033" width="9.140625" style="48"/>
    <col min="12034" max="12034" width="47" style="48" customWidth="1"/>
    <col min="12035" max="12036" width="12" style="48" customWidth="1"/>
    <col min="12037" max="12037" width="10.7109375" style="48" customWidth="1"/>
    <col min="12038" max="12038" width="12.140625" style="48" customWidth="1"/>
    <col min="12039" max="12039" width="7.85546875" style="48" customWidth="1"/>
    <col min="12040" max="12040" width="9.85546875" style="48" customWidth="1"/>
    <col min="12041" max="12041" width="9" style="48" customWidth="1"/>
    <col min="12042" max="12042" width="9.42578125" style="48" customWidth="1"/>
    <col min="12043" max="12043" width="8" style="48" customWidth="1"/>
    <col min="12044" max="12044" width="10.7109375" style="48" customWidth="1"/>
    <col min="12045" max="12046" width="8.42578125" style="48" customWidth="1"/>
    <col min="12047" max="12047" width="8.140625" style="48" customWidth="1"/>
    <col min="12048" max="12289" width="9.140625" style="48"/>
    <col min="12290" max="12290" width="47" style="48" customWidth="1"/>
    <col min="12291" max="12292" width="12" style="48" customWidth="1"/>
    <col min="12293" max="12293" width="10.7109375" style="48" customWidth="1"/>
    <col min="12294" max="12294" width="12.140625" style="48" customWidth="1"/>
    <col min="12295" max="12295" width="7.85546875" style="48" customWidth="1"/>
    <col min="12296" max="12296" width="9.85546875" style="48" customWidth="1"/>
    <col min="12297" max="12297" width="9" style="48" customWidth="1"/>
    <col min="12298" max="12298" width="9.42578125" style="48" customWidth="1"/>
    <col min="12299" max="12299" width="8" style="48" customWidth="1"/>
    <col min="12300" max="12300" width="10.7109375" style="48" customWidth="1"/>
    <col min="12301" max="12302" width="8.42578125" style="48" customWidth="1"/>
    <col min="12303" max="12303" width="8.140625" style="48" customWidth="1"/>
    <col min="12304" max="12545" width="9.140625" style="48"/>
    <col min="12546" max="12546" width="47" style="48" customWidth="1"/>
    <col min="12547" max="12548" width="12" style="48" customWidth="1"/>
    <col min="12549" max="12549" width="10.7109375" style="48" customWidth="1"/>
    <col min="12550" max="12550" width="12.140625" style="48" customWidth="1"/>
    <col min="12551" max="12551" width="7.85546875" style="48" customWidth="1"/>
    <col min="12552" max="12552" width="9.85546875" style="48" customWidth="1"/>
    <col min="12553" max="12553" width="9" style="48" customWidth="1"/>
    <col min="12554" max="12554" width="9.42578125" style="48" customWidth="1"/>
    <col min="12555" max="12555" width="8" style="48" customWidth="1"/>
    <col min="12556" max="12556" width="10.7109375" style="48" customWidth="1"/>
    <col min="12557" max="12558" width="8.42578125" style="48" customWidth="1"/>
    <col min="12559" max="12559" width="8.140625" style="48" customWidth="1"/>
    <col min="12560" max="12801" width="9.140625" style="48"/>
    <col min="12802" max="12802" width="47" style="48" customWidth="1"/>
    <col min="12803" max="12804" width="12" style="48" customWidth="1"/>
    <col min="12805" max="12805" width="10.7109375" style="48" customWidth="1"/>
    <col min="12806" max="12806" width="12.140625" style="48" customWidth="1"/>
    <col min="12807" max="12807" width="7.85546875" style="48" customWidth="1"/>
    <col min="12808" max="12808" width="9.85546875" style="48" customWidth="1"/>
    <col min="12809" max="12809" width="9" style="48" customWidth="1"/>
    <col min="12810" max="12810" width="9.42578125" style="48" customWidth="1"/>
    <col min="12811" max="12811" width="8" style="48" customWidth="1"/>
    <col min="12812" max="12812" width="10.7109375" style="48" customWidth="1"/>
    <col min="12813" max="12814" width="8.42578125" style="48" customWidth="1"/>
    <col min="12815" max="12815" width="8.140625" style="48" customWidth="1"/>
    <col min="12816" max="13057" width="9.140625" style="48"/>
    <col min="13058" max="13058" width="47" style="48" customWidth="1"/>
    <col min="13059" max="13060" width="12" style="48" customWidth="1"/>
    <col min="13061" max="13061" width="10.7109375" style="48" customWidth="1"/>
    <col min="13062" max="13062" width="12.140625" style="48" customWidth="1"/>
    <col min="13063" max="13063" width="7.85546875" style="48" customWidth="1"/>
    <col min="13064" max="13064" width="9.85546875" style="48" customWidth="1"/>
    <col min="13065" max="13065" width="9" style="48" customWidth="1"/>
    <col min="13066" max="13066" width="9.42578125" style="48" customWidth="1"/>
    <col min="13067" max="13067" width="8" style="48" customWidth="1"/>
    <col min="13068" max="13068" width="10.7109375" style="48" customWidth="1"/>
    <col min="13069" max="13070" width="8.42578125" style="48" customWidth="1"/>
    <col min="13071" max="13071" width="8.140625" style="48" customWidth="1"/>
    <col min="13072" max="13313" width="9.140625" style="48"/>
    <col min="13314" max="13314" width="47" style="48" customWidth="1"/>
    <col min="13315" max="13316" width="12" style="48" customWidth="1"/>
    <col min="13317" max="13317" width="10.7109375" style="48" customWidth="1"/>
    <col min="13318" max="13318" width="12.140625" style="48" customWidth="1"/>
    <col min="13319" max="13319" width="7.85546875" style="48" customWidth="1"/>
    <col min="13320" max="13320" width="9.85546875" style="48" customWidth="1"/>
    <col min="13321" max="13321" width="9" style="48" customWidth="1"/>
    <col min="13322" max="13322" width="9.42578125" style="48" customWidth="1"/>
    <col min="13323" max="13323" width="8" style="48" customWidth="1"/>
    <col min="13324" max="13324" width="10.7109375" style="48" customWidth="1"/>
    <col min="13325" max="13326" width="8.42578125" style="48" customWidth="1"/>
    <col min="13327" max="13327" width="8.140625" style="48" customWidth="1"/>
    <col min="13328" max="13569" width="9.140625" style="48"/>
    <col min="13570" max="13570" width="47" style="48" customWidth="1"/>
    <col min="13571" max="13572" width="12" style="48" customWidth="1"/>
    <col min="13573" max="13573" width="10.7109375" style="48" customWidth="1"/>
    <col min="13574" max="13574" width="12.140625" style="48" customWidth="1"/>
    <col min="13575" max="13575" width="7.85546875" style="48" customWidth="1"/>
    <col min="13576" max="13576" width="9.85546875" style="48" customWidth="1"/>
    <col min="13577" max="13577" width="9" style="48" customWidth="1"/>
    <col min="13578" max="13578" width="9.42578125" style="48" customWidth="1"/>
    <col min="13579" max="13579" width="8" style="48" customWidth="1"/>
    <col min="13580" max="13580" width="10.7109375" style="48" customWidth="1"/>
    <col min="13581" max="13582" width="8.42578125" style="48" customWidth="1"/>
    <col min="13583" max="13583" width="8.140625" style="48" customWidth="1"/>
    <col min="13584" max="13825" width="9.140625" style="48"/>
    <col min="13826" max="13826" width="47" style="48" customWidth="1"/>
    <col min="13827" max="13828" width="12" style="48" customWidth="1"/>
    <col min="13829" max="13829" width="10.7109375" style="48" customWidth="1"/>
    <col min="13830" max="13830" width="12.140625" style="48" customWidth="1"/>
    <col min="13831" max="13831" width="7.85546875" style="48" customWidth="1"/>
    <col min="13832" max="13832" width="9.85546875" style="48" customWidth="1"/>
    <col min="13833" max="13833" width="9" style="48" customWidth="1"/>
    <col min="13834" max="13834" width="9.42578125" style="48" customWidth="1"/>
    <col min="13835" max="13835" width="8" style="48" customWidth="1"/>
    <col min="13836" max="13836" width="10.7109375" style="48" customWidth="1"/>
    <col min="13837" max="13838" width="8.42578125" style="48" customWidth="1"/>
    <col min="13839" max="13839" width="8.140625" style="48" customWidth="1"/>
    <col min="13840" max="14081" width="9.140625" style="48"/>
    <col min="14082" max="14082" width="47" style="48" customWidth="1"/>
    <col min="14083" max="14084" width="12" style="48" customWidth="1"/>
    <col min="14085" max="14085" width="10.7109375" style="48" customWidth="1"/>
    <col min="14086" max="14086" width="12.140625" style="48" customWidth="1"/>
    <col min="14087" max="14087" width="7.85546875" style="48" customWidth="1"/>
    <col min="14088" max="14088" width="9.85546875" style="48" customWidth="1"/>
    <col min="14089" max="14089" width="9" style="48" customWidth="1"/>
    <col min="14090" max="14090" width="9.42578125" style="48" customWidth="1"/>
    <col min="14091" max="14091" width="8" style="48" customWidth="1"/>
    <col min="14092" max="14092" width="10.7109375" style="48" customWidth="1"/>
    <col min="14093" max="14094" width="8.42578125" style="48" customWidth="1"/>
    <col min="14095" max="14095" width="8.140625" style="48" customWidth="1"/>
    <col min="14096" max="14337" width="9.140625" style="48"/>
    <col min="14338" max="14338" width="47" style="48" customWidth="1"/>
    <col min="14339" max="14340" width="12" style="48" customWidth="1"/>
    <col min="14341" max="14341" width="10.7109375" style="48" customWidth="1"/>
    <col min="14342" max="14342" width="12.140625" style="48" customWidth="1"/>
    <col min="14343" max="14343" width="7.85546875" style="48" customWidth="1"/>
    <col min="14344" max="14344" width="9.85546875" style="48" customWidth="1"/>
    <col min="14345" max="14345" width="9" style="48" customWidth="1"/>
    <col min="14346" max="14346" width="9.42578125" style="48" customWidth="1"/>
    <col min="14347" max="14347" width="8" style="48" customWidth="1"/>
    <col min="14348" max="14348" width="10.7109375" style="48" customWidth="1"/>
    <col min="14349" max="14350" width="8.42578125" style="48" customWidth="1"/>
    <col min="14351" max="14351" width="8.140625" style="48" customWidth="1"/>
    <col min="14352" max="14593" width="9.140625" style="48"/>
    <col min="14594" max="14594" width="47" style="48" customWidth="1"/>
    <col min="14595" max="14596" width="12" style="48" customWidth="1"/>
    <col min="14597" max="14597" width="10.7109375" style="48" customWidth="1"/>
    <col min="14598" max="14598" width="12.140625" style="48" customWidth="1"/>
    <col min="14599" max="14599" width="7.85546875" style="48" customWidth="1"/>
    <col min="14600" max="14600" width="9.85546875" style="48" customWidth="1"/>
    <col min="14601" max="14601" width="9" style="48" customWidth="1"/>
    <col min="14602" max="14602" width="9.42578125" style="48" customWidth="1"/>
    <col min="14603" max="14603" width="8" style="48" customWidth="1"/>
    <col min="14604" max="14604" width="10.7109375" style="48" customWidth="1"/>
    <col min="14605" max="14606" width="8.42578125" style="48" customWidth="1"/>
    <col min="14607" max="14607" width="8.140625" style="48" customWidth="1"/>
    <col min="14608" max="14849" width="9.140625" style="48"/>
    <col min="14850" max="14850" width="47" style="48" customWidth="1"/>
    <col min="14851" max="14852" width="12" style="48" customWidth="1"/>
    <col min="14853" max="14853" width="10.7109375" style="48" customWidth="1"/>
    <col min="14854" max="14854" width="12.140625" style="48" customWidth="1"/>
    <col min="14855" max="14855" width="7.85546875" style="48" customWidth="1"/>
    <col min="14856" max="14856" width="9.85546875" style="48" customWidth="1"/>
    <col min="14857" max="14857" width="9" style="48" customWidth="1"/>
    <col min="14858" max="14858" width="9.42578125" style="48" customWidth="1"/>
    <col min="14859" max="14859" width="8" style="48" customWidth="1"/>
    <col min="14860" max="14860" width="10.7109375" style="48" customWidth="1"/>
    <col min="14861" max="14862" width="8.42578125" style="48" customWidth="1"/>
    <col min="14863" max="14863" width="8.140625" style="48" customWidth="1"/>
    <col min="14864" max="15105" width="9.140625" style="48"/>
    <col min="15106" max="15106" width="47" style="48" customWidth="1"/>
    <col min="15107" max="15108" width="12" style="48" customWidth="1"/>
    <col min="15109" max="15109" width="10.7109375" style="48" customWidth="1"/>
    <col min="15110" max="15110" width="12.140625" style="48" customWidth="1"/>
    <col min="15111" max="15111" width="7.85546875" style="48" customWidth="1"/>
    <col min="15112" max="15112" width="9.85546875" style="48" customWidth="1"/>
    <col min="15113" max="15113" width="9" style="48" customWidth="1"/>
    <col min="15114" max="15114" width="9.42578125" style="48" customWidth="1"/>
    <col min="15115" max="15115" width="8" style="48" customWidth="1"/>
    <col min="15116" max="15116" width="10.7109375" style="48" customWidth="1"/>
    <col min="15117" max="15118" width="8.42578125" style="48" customWidth="1"/>
    <col min="15119" max="15119" width="8.140625" style="48" customWidth="1"/>
    <col min="15120" max="15361" width="9.140625" style="48"/>
    <col min="15362" max="15362" width="47" style="48" customWidth="1"/>
    <col min="15363" max="15364" width="12" style="48" customWidth="1"/>
    <col min="15365" max="15365" width="10.7109375" style="48" customWidth="1"/>
    <col min="15366" max="15366" width="12.140625" style="48" customWidth="1"/>
    <col min="15367" max="15367" width="7.85546875" style="48" customWidth="1"/>
    <col min="15368" max="15368" width="9.85546875" style="48" customWidth="1"/>
    <col min="15369" max="15369" width="9" style="48" customWidth="1"/>
    <col min="15370" max="15370" width="9.42578125" style="48" customWidth="1"/>
    <col min="15371" max="15371" width="8" style="48" customWidth="1"/>
    <col min="15372" max="15372" width="10.7109375" style="48" customWidth="1"/>
    <col min="15373" max="15374" width="8.42578125" style="48" customWidth="1"/>
    <col min="15375" max="15375" width="8.140625" style="48" customWidth="1"/>
    <col min="15376" max="15617" width="9.140625" style="48"/>
    <col min="15618" max="15618" width="47" style="48" customWidth="1"/>
    <col min="15619" max="15620" width="12" style="48" customWidth="1"/>
    <col min="15621" max="15621" width="10.7109375" style="48" customWidth="1"/>
    <col min="15622" max="15622" width="12.140625" style="48" customWidth="1"/>
    <col min="15623" max="15623" width="7.85546875" style="48" customWidth="1"/>
    <col min="15624" max="15624" width="9.85546875" style="48" customWidth="1"/>
    <col min="15625" max="15625" width="9" style="48" customWidth="1"/>
    <col min="15626" max="15626" width="9.42578125" style="48" customWidth="1"/>
    <col min="15627" max="15627" width="8" style="48" customWidth="1"/>
    <col min="15628" max="15628" width="10.7109375" style="48" customWidth="1"/>
    <col min="15629" max="15630" width="8.42578125" style="48" customWidth="1"/>
    <col min="15631" max="15631" width="8.140625" style="48" customWidth="1"/>
    <col min="15632" max="15873" width="9.140625" style="48"/>
    <col min="15874" max="15874" width="47" style="48" customWidth="1"/>
    <col min="15875" max="15876" width="12" style="48" customWidth="1"/>
    <col min="15877" max="15877" width="10.7109375" style="48" customWidth="1"/>
    <col min="15878" max="15878" width="12.140625" style="48" customWidth="1"/>
    <col min="15879" max="15879" width="7.85546875" style="48" customWidth="1"/>
    <col min="15880" max="15880" width="9.85546875" style="48" customWidth="1"/>
    <col min="15881" max="15881" width="9" style="48" customWidth="1"/>
    <col min="15882" max="15882" width="9.42578125" style="48" customWidth="1"/>
    <col min="15883" max="15883" width="8" style="48" customWidth="1"/>
    <col min="15884" max="15884" width="10.7109375" style="48" customWidth="1"/>
    <col min="15885" max="15886" width="8.42578125" style="48" customWidth="1"/>
    <col min="15887" max="15887" width="8.140625" style="48" customWidth="1"/>
    <col min="15888" max="16129" width="9.140625" style="48"/>
    <col min="16130" max="16130" width="47" style="48" customWidth="1"/>
    <col min="16131" max="16132" width="12" style="48" customWidth="1"/>
    <col min="16133" max="16133" width="10.7109375" style="48" customWidth="1"/>
    <col min="16134" max="16134" width="12.140625" style="48" customWidth="1"/>
    <col min="16135" max="16135" width="7.85546875" style="48" customWidth="1"/>
    <col min="16136" max="16136" width="9.85546875" style="48" customWidth="1"/>
    <col min="16137" max="16137" width="9" style="48" customWidth="1"/>
    <col min="16138" max="16138" width="9.42578125" style="48" customWidth="1"/>
    <col min="16139" max="16139" width="8" style="48" customWidth="1"/>
    <col min="16140" max="16140" width="10.7109375" style="48" customWidth="1"/>
    <col min="16141" max="16142" width="8.42578125" style="48" customWidth="1"/>
    <col min="16143" max="16143" width="8.140625" style="48" customWidth="1"/>
    <col min="16144" max="16384" width="9.140625" style="48"/>
  </cols>
  <sheetData>
    <row r="1" spans="1:17" s="61" customFormat="1" ht="93.75" customHeight="1" x14ac:dyDescent="0.2">
      <c r="B1" s="47"/>
      <c r="C1" s="47"/>
      <c r="D1" s="47"/>
      <c r="G1" s="49"/>
      <c r="H1" s="49"/>
      <c r="K1" s="68" t="s">
        <v>123</v>
      </c>
      <c r="L1" s="68"/>
      <c r="M1" s="68"/>
      <c r="N1" s="68"/>
    </row>
    <row r="2" spans="1:17" ht="14.25" x14ac:dyDescent="0.2">
      <c r="A2" s="69" t="s">
        <v>121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</row>
    <row r="3" spans="1:17" x14ac:dyDescent="0.2">
      <c r="A3" s="67"/>
    </row>
    <row r="4" spans="1:17" ht="13.5" x14ac:dyDescent="0.25">
      <c r="A4" s="50"/>
    </row>
    <row r="5" spans="1:17" s="55" customFormat="1" ht="78" x14ac:dyDescent="0.25">
      <c r="A5" s="51" t="s">
        <v>106</v>
      </c>
      <c r="B5" s="52" t="s">
        <v>107</v>
      </c>
      <c r="C5" s="52" t="s">
        <v>108</v>
      </c>
      <c r="D5" s="52" t="s">
        <v>109</v>
      </c>
      <c r="E5" s="52" t="s">
        <v>110</v>
      </c>
      <c r="F5" s="53" t="s">
        <v>111</v>
      </c>
      <c r="G5" s="53" t="s">
        <v>112</v>
      </c>
      <c r="H5" s="53" t="s">
        <v>113</v>
      </c>
      <c r="I5" s="52" t="s">
        <v>114</v>
      </c>
      <c r="J5" s="54" t="s">
        <v>115</v>
      </c>
      <c r="K5" s="54" t="s">
        <v>116</v>
      </c>
      <c r="L5" s="54" t="s">
        <v>120</v>
      </c>
      <c r="M5" s="54" t="s">
        <v>117</v>
      </c>
      <c r="N5" s="52" t="s">
        <v>118</v>
      </c>
    </row>
    <row r="6" spans="1:17" s="58" customFormat="1" ht="13.5" customHeight="1" x14ac:dyDescent="0.25">
      <c r="A6" s="65" t="s">
        <v>122</v>
      </c>
      <c r="B6" s="63">
        <v>2118</v>
      </c>
      <c r="C6" s="63">
        <f>B6*0.2</f>
        <v>423.6</v>
      </c>
      <c r="D6" s="63">
        <f t="shared" ref="D6:D7" si="0">B6+C6</f>
        <v>2541.6</v>
      </c>
      <c r="E6" s="63">
        <f>B6*0.3</f>
        <v>635.4</v>
      </c>
      <c r="F6" s="66">
        <v>12</v>
      </c>
      <c r="G6" s="64">
        <f t="shared" ref="G6:G7" si="1">B6*F6</f>
        <v>25416</v>
      </c>
      <c r="H6" s="64">
        <f>(C6*F6)+E6</f>
        <v>5718.6</v>
      </c>
      <c r="I6" s="63">
        <f>(D6*F6)+E6</f>
        <v>31134.6</v>
      </c>
      <c r="J6" s="63">
        <f>(I6+K6+L6)*0.2359</f>
        <v>7969.1973899999994</v>
      </c>
      <c r="K6" s="63">
        <f t="shared" ref="K6:K7" si="2">B6*0.5</f>
        <v>1059</v>
      </c>
      <c r="L6" s="63">
        <f>B6*0.75</f>
        <v>1588.5</v>
      </c>
      <c r="M6" s="63">
        <f t="shared" ref="M6:M7" si="3">426/12*F6</f>
        <v>426</v>
      </c>
      <c r="N6" s="62">
        <f>M6+I6+J6+K6+L6</f>
        <v>42177.29739</v>
      </c>
    </row>
    <row r="7" spans="1:17" s="58" customFormat="1" ht="13.5" customHeight="1" x14ac:dyDescent="0.25">
      <c r="A7" s="65" t="s">
        <v>122</v>
      </c>
      <c r="B7" s="63">
        <v>2118</v>
      </c>
      <c r="C7" s="63">
        <f>B7*0.2</f>
        <v>423.6</v>
      </c>
      <c r="D7" s="63">
        <f t="shared" si="0"/>
        <v>2541.6</v>
      </c>
      <c r="E7" s="63">
        <f>B7*0.3</f>
        <v>635.4</v>
      </c>
      <c r="F7" s="66">
        <v>12</v>
      </c>
      <c r="G7" s="64">
        <f t="shared" si="1"/>
        <v>25416</v>
      </c>
      <c r="H7" s="64">
        <f t="shared" ref="H7" si="4">(C7*F7)+E7</f>
        <v>5718.6</v>
      </c>
      <c r="I7" s="63">
        <f t="shared" ref="I7" si="5">(D7*F7)+E7</f>
        <v>31134.6</v>
      </c>
      <c r="J7" s="63">
        <f>(I7+K7+L7)*0.2359</f>
        <v>7969.1973899999994</v>
      </c>
      <c r="K7" s="63">
        <f t="shared" si="2"/>
        <v>1059</v>
      </c>
      <c r="L7" s="63">
        <f>B7*0.75</f>
        <v>1588.5</v>
      </c>
      <c r="M7" s="63">
        <f t="shared" si="3"/>
        <v>426</v>
      </c>
      <c r="N7" s="62">
        <f>M7+I7+J7+K7+L7</f>
        <v>42177.29739</v>
      </c>
    </row>
    <row r="8" spans="1:17" s="58" customFormat="1" ht="13.5" customHeight="1" x14ac:dyDescent="0.25">
      <c r="A8" s="57" t="s">
        <v>119</v>
      </c>
      <c r="B8" s="56">
        <f t="shared" ref="B8" si="6">SUM(B6:B7)</f>
        <v>4236</v>
      </c>
      <c r="C8" s="56">
        <f t="shared" ref="C8" si="7">SUM(C6:C7)</f>
        <v>847.2</v>
      </c>
      <c r="D8" s="56">
        <f t="shared" ref="D8" si="8">SUM(D6:D7)</f>
        <v>5083.2</v>
      </c>
      <c r="E8" s="56">
        <f t="shared" ref="E8" si="9">SUM(E6:E7)</f>
        <v>1270.8</v>
      </c>
      <c r="F8" s="56">
        <f t="shared" ref="F8" si="10">SUM(F6:F7)</f>
        <v>24</v>
      </c>
      <c r="G8" s="56">
        <f t="shared" ref="G8" si="11">SUM(G6:G7)</f>
        <v>50832</v>
      </c>
      <c r="H8" s="56">
        <f t="shared" ref="H8" si="12">SUM(H6:H7)</f>
        <v>11437.2</v>
      </c>
      <c r="I8" s="56">
        <f t="shared" ref="I8" si="13">SUM(I6:I7)</f>
        <v>62269.2</v>
      </c>
      <c r="J8" s="56">
        <f t="shared" ref="J8" si="14">SUM(J6:J7)</f>
        <v>15938.394779999999</v>
      </c>
      <c r="K8" s="56">
        <f t="shared" ref="K8" si="15">SUM(K6:K7)</f>
        <v>2118</v>
      </c>
      <c r="L8" s="56">
        <f t="shared" ref="L8" si="16">SUM(L6:L7)</f>
        <v>3177</v>
      </c>
      <c r="M8" s="56">
        <f t="shared" ref="M8" si="17">SUM(M6:M7)</f>
        <v>852</v>
      </c>
      <c r="N8" s="56">
        <f t="shared" ref="N8" si="18">SUM(N6:N7)</f>
        <v>84354.594779999999</v>
      </c>
    </row>
    <row r="9" spans="1:17" s="49" customFormat="1" x14ac:dyDescent="0.2">
      <c r="B9" s="59"/>
      <c r="C9" s="59"/>
      <c r="D9" s="59"/>
      <c r="E9" s="59"/>
      <c r="F9" s="59"/>
      <c r="G9" s="59"/>
      <c r="H9" s="59"/>
      <c r="I9" s="59"/>
      <c r="J9" s="59"/>
      <c r="K9" s="59"/>
      <c r="L9" s="59"/>
      <c r="M9" s="59"/>
      <c r="N9" s="59"/>
      <c r="O9" s="59"/>
      <c r="P9" s="59"/>
      <c r="Q9" s="59"/>
    </row>
    <row r="11" spans="1:17" x14ac:dyDescent="0.2">
      <c r="A11" s="60"/>
    </row>
    <row r="12" spans="1:17" x14ac:dyDescent="0.2">
      <c r="A12" s="60"/>
    </row>
    <row r="13" spans="1:17" x14ac:dyDescent="0.2">
      <c r="A13" s="60"/>
    </row>
  </sheetData>
  <mergeCells count="2">
    <mergeCell ref="K1:N1"/>
    <mergeCell ref="A2:N2"/>
  </mergeCells>
  <printOptions horizontalCentered="1"/>
  <pageMargins left="0" right="0" top="0" bottom="0" header="0.31496062992125984" footer="0.31496062992125984"/>
  <pageSetup paperSize="9" scale="6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PIVOT0T-5.04.2016.</vt:lpstr>
      <vt:lpstr>05.04.2016.</vt:lpstr>
      <vt:lpstr>2023_2 darbinieki</vt:lpstr>
      <vt:lpstr>'05.04.2016.'!Print_Area</vt:lpstr>
      <vt:lpstr>'2023_2 darbinieki'!Print_Area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2023-06-28T06:25:41Z</dcterms:modified>
</cp:coreProperties>
</file>