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Q:\2021_gads_zaud.komp\Pilsētas_MK_protokollēmums_Covid_19\MK Protokollēmuma izpilde 2021_atskaites\VARAM_apkopojumi\"/>
    </mc:Choice>
  </mc:AlternateContent>
  <xr:revisionPtr revIDLastSave="0" documentId="13_ncr:1_{1DB10EF9-9751-481E-B88F-528777A7B8AC}" xr6:coauthVersionLast="47" xr6:coauthVersionMax="47" xr10:uidLastSave="{00000000-0000-0000-0000-000000000000}"/>
  <bookViews>
    <workbookView xWindow="-120" yWindow="-120" windowWidth="29040" windowHeight="15840" firstSheet="2" activeTab="7" xr2:uid="{7EC9B69B-BD36-4D60-B55F-35F41D639EF9}"/>
  </bookViews>
  <sheets>
    <sheet name="piemērs" sheetId="5" state="hidden" r:id="rId1"/>
    <sheet name="marts_pirm" sheetId="13" state="hidden" r:id="rId2"/>
    <sheet name="marts_koriģetais" sheetId="9" r:id="rId3"/>
    <sheet name="marts" sheetId="2" state="hidden" r:id="rId4"/>
    <sheet name="aprīlis" sheetId="6" r:id="rId5"/>
    <sheet name="maijs" sheetId="7" r:id="rId6"/>
    <sheet name="jūnijs" sheetId="12" r:id="rId7"/>
    <sheet name="PIVOT_atskaite" sheetId="11" r:id="rId8"/>
    <sheet name="PIVOT" sheetId="10" r:id="rId9"/>
    <sheet name="atskaites_jedox" sheetId="8" state="hidden" r:id="rId10"/>
  </sheets>
  <definedNames>
    <definedName name="_palopasteviewstyle" hidden="1">"White"</definedName>
  </definedNames>
  <calcPr calcId="181029"/>
  <pivotCaches>
    <pivotCache cacheId="0" r:id="rId11"/>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9" l="1"/>
  <c r="G29" i="13"/>
  <c r="F29" i="13"/>
  <c r="E29" i="13"/>
  <c r="D29" i="13"/>
  <c r="D21" i="13"/>
  <c r="D16" i="13"/>
  <c r="G14" i="13"/>
  <c r="F14" i="13"/>
  <c r="E14" i="13"/>
  <c r="D14" i="13"/>
  <c r="D12" i="13"/>
  <c r="G10" i="13"/>
  <c r="G3" i="13" s="1"/>
  <c r="F10" i="13"/>
  <c r="E10" i="13"/>
  <c r="D10" i="13"/>
  <c r="D8" i="13"/>
  <c r="G6" i="13"/>
  <c r="F6" i="13"/>
  <c r="E6" i="13"/>
  <c r="D6" i="13"/>
  <c r="F3" i="13"/>
  <c r="E3" i="13"/>
  <c r="D3" i="13"/>
  <c r="G29" i="12" l="1"/>
  <c r="F29" i="12"/>
  <c r="E29" i="12"/>
  <c r="D29" i="12"/>
  <c r="G14" i="12"/>
  <c r="F14" i="12"/>
  <c r="E14" i="12"/>
  <c r="D14" i="12"/>
  <c r="G10" i="12"/>
  <c r="F10" i="12"/>
  <c r="E10" i="12"/>
  <c r="D10" i="12"/>
  <c r="G6" i="12"/>
  <c r="F6" i="12"/>
  <c r="E6" i="12"/>
  <c r="D6" i="12"/>
  <c r="G3" i="12"/>
  <c r="F3" i="12"/>
  <c r="E3" i="12"/>
  <c r="D3" i="12"/>
  <c r="J10" i="9" l="1"/>
  <c r="I10" i="9"/>
  <c r="I6" i="9"/>
  <c r="H6" i="9"/>
  <c r="I31" i="7"/>
  <c r="I31" i="6"/>
  <c r="I6" i="6"/>
  <c r="I10" i="6"/>
  <c r="I31" i="9"/>
  <c r="G29" i="9" l="1"/>
  <c r="F29" i="9"/>
  <c r="E29" i="9"/>
  <c r="D29" i="9"/>
  <c r="D21" i="9"/>
  <c r="D16" i="9"/>
  <c r="G14" i="9"/>
  <c r="F14" i="9"/>
  <c r="E14" i="9"/>
  <c r="D14" i="9"/>
  <c r="D12" i="9"/>
  <c r="G10" i="9"/>
  <c r="G3" i="9" s="1"/>
  <c r="F10" i="9"/>
  <c r="E10" i="9"/>
  <c r="D10" i="9"/>
  <c r="D8" i="9"/>
  <c r="D6" i="9" s="1"/>
  <c r="G6" i="9"/>
  <c r="F6" i="9"/>
  <c r="E6" i="9"/>
  <c r="F3" i="9"/>
  <c r="E3" i="9"/>
  <c r="D8" i="2" l="1"/>
  <c r="G29" i="7"/>
  <c r="F29" i="7"/>
  <c r="E29" i="7"/>
  <c r="D29" i="7"/>
  <c r="G14" i="7"/>
  <c r="F14" i="7"/>
  <c r="E14" i="7"/>
  <c r="D14" i="7"/>
  <c r="G10" i="7"/>
  <c r="F10" i="7"/>
  <c r="E10" i="7"/>
  <c r="D10" i="7"/>
  <c r="G6" i="7"/>
  <c r="F6" i="7"/>
  <c r="E6" i="7"/>
  <c r="D6" i="7"/>
  <c r="G3" i="7"/>
  <c r="F3" i="7"/>
  <c r="E3" i="7"/>
  <c r="D3" i="7"/>
  <c r="B3" i="8"/>
  <c r="I2" i="8" s="1"/>
  <c r="AF7" i="8"/>
  <c r="H2" i="8"/>
  <c r="AD6" i="8"/>
  <c r="Q7" i="8"/>
  <c r="AE6" i="8"/>
  <c r="G7" i="8"/>
  <c r="AH7" i="8"/>
  <c r="H3" i="8"/>
  <c r="L6" i="8"/>
  <c r="H6" i="8"/>
  <c r="S7" i="8"/>
  <c r="AK6" i="8"/>
  <c r="T6" i="8"/>
  <c r="AJ6" i="8"/>
  <c r="G2" i="8"/>
  <c r="O6" i="8"/>
  <c r="J2" i="8"/>
  <c r="U6" i="8"/>
  <c r="AA7" i="8"/>
  <c r="AJ7" i="8"/>
  <c r="G3" i="8"/>
  <c r="N7" i="8"/>
  <c r="K6" i="8"/>
  <c r="AG7" i="8"/>
  <c r="P7" i="8"/>
  <c r="AD7" i="8"/>
  <c r="Z7" i="8"/>
  <c r="AH6" i="8"/>
  <c r="AK7" i="8"/>
  <c r="AE7" i="8"/>
  <c r="AB6" i="8"/>
  <c r="D6" i="8"/>
  <c r="X6" i="8"/>
  <c r="D3" i="8"/>
  <c r="W7" i="8"/>
  <c r="AC7" i="8"/>
  <c r="J3" i="8"/>
  <c r="B8" i="8"/>
  <c r="I6" i="8"/>
  <c r="D2" i="8"/>
  <c r="N6" i="8"/>
  <c r="AG6" i="8"/>
  <c r="Y6" i="8"/>
  <c r="E7" i="8"/>
  <c r="AI6" i="8"/>
  <c r="V7" i="8"/>
  <c r="F2" i="8"/>
  <c r="F7" i="8"/>
  <c r="G6" i="8"/>
  <c r="Y7" i="8"/>
  <c r="E2" i="8"/>
  <c r="AA6" i="8"/>
  <c r="C6" i="8"/>
  <c r="C7" i="8"/>
  <c r="U7" i="8"/>
  <c r="M7" i="8"/>
  <c r="Q6" i="8"/>
  <c r="AB7" i="8"/>
  <c r="K7" i="8"/>
  <c r="AI7" i="8"/>
  <c r="V6" i="8"/>
  <c r="I7" i="8"/>
  <c r="D7" i="8"/>
  <c r="E3" i="8"/>
  <c r="H7" i="8"/>
  <c r="J6" i="8"/>
  <c r="S6" i="8"/>
  <c r="M6" i="8"/>
  <c r="T7" i="8"/>
  <c r="L7" i="8"/>
  <c r="Z6" i="8"/>
  <c r="X7" i="8"/>
  <c r="AF6" i="8"/>
  <c r="O7" i="8"/>
  <c r="R7" i="8"/>
  <c r="R6" i="8"/>
  <c r="F3" i="8"/>
  <c r="AL7" i="8"/>
  <c r="W6" i="8"/>
  <c r="P6" i="8"/>
  <c r="E6" i="8"/>
  <c r="AC6" i="8"/>
  <c r="J7" i="8"/>
  <c r="I3" i="8"/>
  <c r="F6" i="8"/>
  <c r="F8" i="8" s="1"/>
  <c r="AL6" i="8"/>
  <c r="AL8" i="8" s="1"/>
  <c r="AC8" i="8"/>
  <c r="O8" i="8"/>
  <c r="AH8" i="8"/>
  <c r="AE8" i="8"/>
  <c r="AD8" i="8"/>
  <c r="AJ8" i="8"/>
  <c r="D8" i="8"/>
  <c r="X8" i="8"/>
  <c r="Y8" i="8"/>
  <c r="H8" i="8"/>
  <c r="T8" i="8"/>
  <c r="V8" i="8"/>
  <c r="Q8" i="8"/>
  <c r="N8" i="8"/>
  <c r="AB8" i="8"/>
  <c r="I8" i="8"/>
  <c r="L8" i="8"/>
  <c r="AK8" i="8"/>
  <c r="J8" i="8"/>
  <c r="E8" i="8"/>
  <c r="W8" i="8"/>
  <c r="H32" i="12" l="1"/>
  <c r="H31" i="12"/>
  <c r="H30" i="12"/>
  <c r="H10" i="12"/>
  <c r="H13" i="12"/>
  <c r="H33" i="7"/>
  <c r="H32" i="7"/>
  <c r="H31" i="7"/>
  <c r="H10" i="7"/>
  <c r="H32" i="6"/>
  <c r="H31" i="6"/>
  <c r="H30" i="6"/>
  <c r="H10" i="6"/>
  <c r="H33" i="9"/>
  <c r="H31" i="9"/>
  <c r="H13" i="9"/>
  <c r="H10" i="9"/>
  <c r="G29" i="6"/>
  <c r="F29" i="6"/>
  <c r="E29" i="6"/>
  <c r="D29" i="6"/>
  <c r="G14" i="6"/>
  <c r="F14" i="6"/>
  <c r="E14" i="6"/>
  <c r="D14" i="6"/>
  <c r="G10" i="6"/>
  <c r="F10" i="6"/>
  <c r="E10" i="6"/>
  <c r="D10" i="6"/>
  <c r="G6" i="6"/>
  <c r="F6" i="6"/>
  <c r="E6" i="6"/>
  <c r="D6" i="6"/>
  <c r="G3" i="6"/>
  <c r="F3" i="6"/>
  <c r="E3" i="6"/>
  <c r="D3" i="6"/>
  <c r="R8" i="8"/>
  <c r="AG8" i="8"/>
  <c r="M8" i="8"/>
  <c r="U8" i="8"/>
  <c r="AF8" i="8"/>
  <c r="K8" i="8"/>
  <c r="P8" i="8"/>
  <c r="S8" i="8"/>
  <c r="AI8" i="8"/>
  <c r="Z8" i="8"/>
  <c r="C8" i="8"/>
  <c r="G8" i="8"/>
  <c r="AA8" i="8"/>
  <c r="H33" i="12" l="1"/>
  <c r="H13" i="6"/>
  <c r="H30" i="7"/>
  <c r="H33" i="6"/>
  <c r="H13" i="7"/>
  <c r="H32" i="9"/>
  <c r="H30" i="9"/>
  <c r="D12" i="2"/>
  <c r="D10" i="2" s="1"/>
  <c r="D3" i="2" s="1"/>
  <c r="D21" i="2"/>
  <c r="D16" i="2"/>
  <c r="D14" i="2" s="1"/>
  <c r="D6" i="5"/>
  <c r="G29" i="2"/>
  <c r="F29" i="2"/>
  <c r="E29" i="2"/>
  <c r="D29" i="2"/>
  <c r="E37" i="5"/>
  <c r="F37" i="5"/>
  <c r="G37" i="5"/>
  <c r="D37" i="5"/>
  <c r="E14" i="2"/>
  <c r="F14" i="2"/>
  <c r="G14" i="2"/>
  <c r="E14" i="5"/>
  <c r="F14" i="5"/>
  <c r="G14" i="5"/>
  <c r="D14" i="5"/>
  <c r="E10" i="2"/>
  <c r="E3" i="2" s="1"/>
  <c r="F10" i="2"/>
  <c r="G10" i="2"/>
  <c r="G3" i="2" s="1"/>
  <c r="E6" i="2"/>
  <c r="F6" i="2"/>
  <c r="G6" i="2"/>
  <c r="F3" i="2"/>
  <c r="G10" i="5"/>
  <c r="F10" i="5"/>
  <c r="F3" i="5" s="1"/>
  <c r="E10" i="5"/>
  <c r="E3" i="5" s="1"/>
  <c r="D10" i="5"/>
  <c r="D3" i="5" s="1"/>
  <c r="G6" i="5"/>
  <c r="F6" i="5"/>
  <c r="E6" i="5"/>
  <c r="G3" i="5"/>
  <c r="D6" i="2" l="1"/>
</calcChain>
</file>

<file path=xl/sharedStrings.xml><?xml version="1.0" encoding="utf-8"?>
<sst xmlns="http://schemas.openxmlformats.org/spreadsheetml/2006/main" count="1125" uniqueCount="124">
  <si>
    <t>Dezinfekcijas līdzekļi</t>
  </si>
  <si>
    <t>Autobusi</t>
  </si>
  <si>
    <t>Tramvaji</t>
  </si>
  <si>
    <t>Trolejbusi</t>
  </si>
  <si>
    <t xml:space="preserve">Periods </t>
  </si>
  <si>
    <t xml:space="preserve">Vienības </t>
  </si>
  <si>
    <t>skaits</t>
  </si>
  <si>
    <t>09.03.2021.- 31.03.2021.</t>
  </si>
  <si>
    <t>km</t>
  </si>
  <si>
    <t>EUR/km</t>
  </si>
  <si>
    <t>Informāciju aizpilda katra pašvaldība par pārvadājumu veidiem, kādi ir noteikti attiecīgā pilsētā</t>
  </si>
  <si>
    <t>Minibusi (ekspresbusi)</t>
  </si>
  <si>
    <t>Transportlīdzekļu dezinfekcija</t>
  </si>
  <si>
    <t xml:space="preserve">Iesaistīto transportlīdzekļu vienības </t>
  </si>
  <si>
    <t>Sejas maskas</t>
  </si>
  <si>
    <t>Citi izdevumi (norādīt kādi)</t>
  </si>
  <si>
    <t>01.03.2021.-31.03.2021.</t>
  </si>
  <si>
    <t>1.SADAĻA</t>
  </si>
  <si>
    <t>2.SADAĻA</t>
  </si>
  <si>
    <t>1.SADAĻĀ tiek aprēķināti faktiskie izdevumi, kas radušies saistībā ar atcelto reisu vai/un papildu reisu nodrošināšanu sakarā ar pakalpojuma apjoma ierobežošanu un 50% pasažieru piepildījuma noteikšanu</t>
  </si>
  <si>
    <t xml:space="preserve">Sociālā distancēšanās sabiedriskā transportā </t>
  </si>
  <si>
    <t>Paskaidrojumi</t>
  </si>
  <si>
    <t xml:space="preserve">2.SADAĻĀ nosakāmi kopējie izdevumi par Covid-19 infekcijas ierobežošanas pasākumiem, kas izpildāmi atbilstoši MK 09.06.2020. noteikumiem Nr.360; MK 06.11.2020. rīkojumam Nr.655 </t>
  </si>
  <si>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</si>
  <si>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</si>
  <si>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t>Transportlīdzekļu dezinfekcija, to starpā darba spēka izmaksas</t>
  </si>
  <si>
    <t>Transportlīdzekļu papildu mazgāšana</t>
  </si>
  <si>
    <t>Transportlīdzekļu papildu mazgāšana, to starpā darba spēka izmaksas</t>
  </si>
  <si>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</si>
  <si>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</si>
  <si>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t xml:space="preserve">Pašvaldībai ir pienākums pārliecināties par izmaksu pamatotību, to apjomu vai attiecināto apmēru. </t>
  </si>
  <si>
    <t>Tabulā iekļauj norādītajā laika periodā radušās pamatotās izmaksas, kas attiecināmas uz sabiedriskā transporta pakalpojuma izpildē noteiktajiem drošības pasākumiem Covid-19 infekcijas izplatības ierobežošanai.</t>
  </si>
  <si>
    <t>reizes</t>
  </si>
  <si>
    <t>Informācijas atskaņošana reisos</t>
  </si>
  <si>
    <t>gab</t>
  </si>
  <si>
    <t>litri</t>
  </si>
  <si>
    <t>to starpā uzlīmes</t>
  </si>
  <si>
    <t>metri</t>
  </si>
  <si>
    <t>to starpā norobežojošā lenta</t>
  </si>
  <si>
    <t>to starpā ozonēšanas pakalpojumi</t>
  </si>
  <si>
    <t>to starpā apstrāde ar dezinfekcijas līdzekļiem</t>
  </si>
  <si>
    <t>audiāls ieraksts</t>
  </si>
  <si>
    <t>EUR/vien bez PVN</t>
  </si>
  <si>
    <t>3.SADAĻA</t>
  </si>
  <si>
    <t>09.03.2021.-31.03.2021.</t>
  </si>
  <si>
    <t>09.03.2019.-31.03.2019.</t>
  </si>
  <si>
    <t>EUR bez PVN</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</si>
  <si>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</si>
  <si>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</si>
  <si>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</si>
  <si>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</si>
  <si>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</si>
  <si>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 xml:space="preserve">(A) No pasažieriem, t.sk., personām, kurām noteikti pašvaldības noteiktie braukšanas maksas atvieglojumi, saņemtie ieņēmumi par sniegto sabiedriskā transporta pakalpojumu </t>
  </si>
  <si>
    <t xml:space="preserve">(C) No pasažieriem, t.sk., personām, kurām noteikti pašvaldības noteiktie braukšanas maksas atvieglojumi, saņemtie ieņēmumi par sniegto sabiedriskā transporta pakalpojumu </t>
  </si>
  <si>
    <t xml:space="preserve">(D) Faktiskais nobraukums </t>
  </si>
  <si>
    <t xml:space="preserve">(Z) Pakalpojumi, pasākumi un materiāli Covid-19 pandēmijas ierobežošanai </t>
  </si>
  <si>
    <t xml:space="preserve">(K) Faktiskās izmaksas Covid-19 pandēmijas ierobežošanai, t.sk. </t>
  </si>
  <si>
    <t>KOPSUMMA (1 vienības cenas reizinājums ar preču/pakalpojumu skaitu; summa ( K x Z))</t>
  </si>
  <si>
    <t xml:space="preserve">(P) Plānotais nobraukums </t>
  </si>
  <si>
    <t xml:space="preserve">(Izm) 1 km pašizmaksa </t>
  </si>
  <si>
    <t>to starpā papildu reisi (RP)</t>
  </si>
  <si>
    <t>to starpā atceltie reisi (RA)</t>
  </si>
  <si>
    <t>to starpā papildu reisos veiktais nobraukums (NP)</t>
  </si>
  <si>
    <t>to starpā atcelto reisu nobraukums (NA)</t>
  </si>
  <si>
    <t>(S) Plānotais reisu skaits</t>
  </si>
  <si>
    <t xml:space="preserve">(R) Faktiskais reisu skaits (S + RP-RA) </t>
  </si>
  <si>
    <t>(N) Faktiskais nobraukums (P + NP-NA)</t>
  </si>
  <si>
    <t>KOPSUMMA ((N - P) x Izm)</t>
  </si>
  <si>
    <t xml:space="preserve">(N) Faktiskais nobraukums </t>
  </si>
  <si>
    <t>KOPSUMMA ((C/D-A/N) x N)</t>
  </si>
  <si>
    <t xml:space="preserve">Pārskats par sabiedriskā transporta pakalpojumos radītajiem izdevumiem un zaudējumiem
sakarā ar noteiktajiem ierobežojumiem </t>
  </si>
  <si>
    <r>
      <t xml:space="preserve">Pašvaldības atbildīgās personas vārds, uzvārds, kontaktinformācija un paraksts </t>
    </r>
    <r>
      <rPr>
        <sz val="11"/>
        <color theme="0" tint="-0.499984740745262"/>
        <rFont val="Times New Roman"/>
        <family val="1"/>
        <charset val="186"/>
      </rPr>
      <t>(ja dokuments nav parakstīts ar elektroniski)</t>
    </r>
  </si>
  <si>
    <t>01.04.2021.- 30.04.2021.</t>
  </si>
  <si>
    <t>01.04.2021.-30.04.2021.</t>
  </si>
  <si>
    <t>01.04.2019.-30.04.2019.</t>
  </si>
  <si>
    <t>Citi izdevumi- Nitrila melni un zilie cimdi</t>
  </si>
  <si>
    <t>Sagatavoja: Jēkabpils autobusu parks SIA gal.grāmatvede N.Lupiķe, t.29237946</t>
  </si>
  <si>
    <t>Pārvadātāja atbildīga persona: Jēkabpils autobusu parks SIA valdes priekšsēdētājs J.Ščerbickis</t>
  </si>
  <si>
    <t>Jēkabpils pilsētas pašvaldības, Komunālās saimniecības nodaļas, Saimniecības vadītāja Elita Vaniņa, tālr. 29611529, e-pasts: elita.vanina@jekabpils.lv</t>
  </si>
  <si>
    <t>Suma Tab D4 hlora tabletes</t>
  </si>
  <si>
    <t>01.05.2021.-31.05.2021.</t>
  </si>
  <si>
    <t>01.05.2019.-31.05.2019.</t>
  </si>
  <si>
    <t>servers_ATD/STIFSS</t>
  </si>
  <si>
    <t>[Edit View]</t>
  </si>
  <si>
    <t>[Swap]</t>
  </si>
  <si>
    <t>Rādītājs</t>
  </si>
  <si>
    <t>Vērtība</t>
  </si>
  <si>
    <t>Pārvadājumu veids</t>
  </si>
  <si>
    <t>Pilsēta</t>
  </si>
  <si>
    <t>1. Faktiskie izdevumi, kas radušies saistībā ar reisu atcelšanu vai papild reisu nodrošināšanu - KOPSUMMA ((N - P) x Izm)</t>
  </si>
  <si>
    <t>Autobuss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</si>
  <si>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</si>
  <si>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</si>
  <si>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</si>
  <si>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</si>
  <si>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</si>
  <si>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</si>
  <si>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</si>
  <si>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</si>
  <si>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</si>
  <si>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</si>
  <si>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</si>
  <si>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</si>
  <si>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</si>
  <si>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</si>
  <si>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</si>
  <si>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</si>
  <si>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</si>
  <si>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</si>
  <si>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</si>
  <si>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</si>
  <si>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</si>
  <si>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Jēkabpils</t>
  </si>
  <si>
    <t>Row Labels</t>
  </si>
  <si>
    <t>Grand Total</t>
  </si>
  <si>
    <t>Column Labels</t>
  </si>
  <si>
    <t>Sum of Vērtība</t>
  </si>
  <si>
    <t>01.06.2021.-30.06.2021.</t>
  </si>
  <si>
    <t>*) to starpā atceltie reisi (RA)</t>
  </si>
  <si>
    <t>*) to starpā atceltie reisi sakarā ar svētku izmaiņām</t>
  </si>
  <si>
    <t>Cimdi</t>
  </si>
  <si>
    <t>01.06.2019.-30.06.2019.</t>
  </si>
  <si>
    <t>Elita Vaniņa, Jēkabpils novada pašvaldības komunālās saimniecības nodaļas, Saimniecības vadītāja, elita.vanina@jekabpils.lv, tel. 29611529</t>
  </si>
  <si>
    <t>Sagatavoja: Jēkabpils autobusu parks SIA gal.grāmatvede N.Lupiķe, t.29237946, 28.07.2021.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</si>
</sst>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quot;&quot;;;;&quot;DB: &quot;@"/>
    <numFmt numFmtId="166" formatCode="&quot;&quot;;;;&quot;Cube: PnL_&quot;"/>
    <numFmt numFmtId="167" formatCode=";;;"/>
  </numFmts>
  <fonts count="27" x14ac:knownFonts="1">
    <font>
      <sz val="11"/>
      <name val="Calibri"/>
      <family val="2"/>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vertAlign val="superscript"/>
      <sz val="11"/>
      <name val="Times New Roman"/>
      <family val="1"/>
      <charset val="186"/>
    </font>
    <font>
      <u/>
      <sz val="11"/>
      <name val="Times New Roman"/>
      <family val="1"/>
      <charset val="186"/>
    </font>
    <font>
      <i/>
      <sz val="11"/>
      <name val="Times New Roman"/>
      <family val="1"/>
      <charset val="186"/>
    </font>
    <font>
      <b/>
      <sz val="14"/>
      <color theme="1"/>
      <name val="Times New Roman"/>
      <family val="1"/>
      <charset val="186"/>
    </font>
    <font>
      <sz val="11"/>
      <color theme="0" tint="-0.499984740745262"/>
      <name val="Times New Roman"/>
      <family val="1"/>
      <charset val="186"/>
    </font>
    <font>
      <b/>
      <u/>
      <sz val="11"/>
      <color theme="1"/>
      <name val="Times New Roman"/>
      <family val="1"/>
      <charset val="186"/>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sz val="9"/>
      <name val="Segoe UI"/>
      <family val="2"/>
    </font>
    <font>
      <b/>
      <sz val="10"/>
      <color indexed="9"/>
      <name val="Arial"/>
      <family val="2"/>
    </font>
    <font>
      <i/>
      <sz val="9"/>
      <name val="Segoe UI"/>
      <family val="2"/>
    </font>
    <font>
      <b/>
      <sz val="12"/>
      <name val="Calibri"/>
      <family val="2"/>
      <charset val="186"/>
    </font>
    <font>
      <b/>
      <sz val="12"/>
      <name val="Times New Roman"/>
      <family val="1"/>
      <charset val="186"/>
    </font>
    <font>
      <sz val="8"/>
      <name val="Calibri"/>
      <family val="2"/>
    </font>
    <font>
      <b/>
      <u/>
      <sz val="11"/>
      <color theme="1"/>
      <name val="Calibri"/>
      <family val="2"/>
      <charset val="186"/>
      <scheme val="minor"/>
    </font>
    <font>
      <b/>
      <sz val="11"/>
      <name val="Calibri"/>
      <family val="2"/>
      <charset val="186"/>
    </font>
  </fonts>
  <fills count="10">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
      <patternFill patternType="solid">
        <fgColor theme="5"/>
        <bgColor indexed="64"/>
      </patternFill>
    </fill>
    <fill>
      <patternFill patternType="solid">
        <fgColor rgb="FFFFFF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double">
        <color indexed="64"/>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29">
    <xf numFmtId="0" fontId="0" fillId="0" borderId="0"/>
    <xf numFmtId="0" fontId="14" fillId="0" borderId="0">
      <alignment horizontal="center"/>
    </xf>
    <xf numFmtId="0" fontId="15" fillId="0" borderId="0"/>
    <xf numFmtId="0" fontId="14" fillId="0" borderId="26">
      <alignment horizontal="center"/>
    </xf>
    <xf numFmtId="0" fontId="14" fillId="0" borderId="27">
      <alignment horizontal="center"/>
    </xf>
    <xf numFmtId="0" fontId="18" fillId="5" borderId="28">
      <alignment horizontal="center" vertical="center"/>
    </xf>
    <xf numFmtId="0" fontId="14" fillId="0" borderId="0">
      <alignment horizontal="right"/>
    </xf>
    <xf numFmtId="167" fontId="14" fillId="0" borderId="29">
      <alignment horizontal="left"/>
    </xf>
    <xf numFmtId="0" fontId="14" fillId="0" borderId="30">
      <alignment horizontal="right"/>
    </xf>
    <xf numFmtId="0" fontId="14" fillId="0" borderId="31">
      <alignment horizontal="left"/>
    </xf>
    <xf numFmtId="3" fontId="19" fillId="6" borderId="32"/>
    <xf numFmtId="0" fontId="14" fillId="0" borderId="0">
      <alignment horizontal="right"/>
    </xf>
    <xf numFmtId="0" fontId="14" fillId="0" borderId="0">
      <alignment horizontal="right"/>
    </xf>
    <xf numFmtId="0" fontId="14" fillId="0" borderId="26">
      <alignment horizontal="left"/>
    </xf>
    <xf numFmtId="0" fontId="14" fillId="0" borderId="33">
      <alignment horizontal="left"/>
    </xf>
    <xf numFmtId="0" fontId="14" fillId="0" borderId="33">
      <alignment horizontal="left"/>
    </xf>
    <xf numFmtId="167" fontId="14" fillId="0" borderId="29">
      <alignment horizontal="left"/>
    </xf>
    <xf numFmtId="167" fontId="20" fillId="0" borderId="29">
      <alignment horizontal="left"/>
    </xf>
    <xf numFmtId="167" fontId="14" fillId="0" borderId="34"/>
    <xf numFmtId="167" fontId="14" fillId="0" borderId="35"/>
    <xf numFmtId="167" fontId="14" fillId="0" borderId="35"/>
    <xf numFmtId="0" fontId="14" fillId="0" borderId="0">
      <alignment horizontal="right"/>
    </xf>
    <xf numFmtId="0" fontId="14" fillId="0" borderId="0">
      <alignment horizontal="right"/>
    </xf>
    <xf numFmtId="3" fontId="21" fillId="7" borderId="0"/>
    <xf numFmtId="0" fontId="14" fillId="0" borderId="31">
      <alignment horizontal="left"/>
    </xf>
    <xf numFmtId="0" fontId="14" fillId="0" borderId="31">
      <alignment horizontal="left"/>
    </xf>
    <xf numFmtId="0" fontId="3" fillId="0" borderId="0"/>
    <xf numFmtId="0" fontId="2" fillId="0" borderId="0"/>
    <xf numFmtId="0" fontId="1" fillId="0" borderId="0"/>
  </cellStyleXfs>
  <cellXfs count="472">
    <xf numFmtId="0" fontId="0" fillId="0" borderId="0" xfId="0"/>
    <xf numFmtId="0" fontId="4" fillId="0" borderId="0" xfId="0" applyFont="1"/>
    <xf numFmtId="0" fontId="4" fillId="2" borderId="1" xfId="0" applyFont="1" applyFill="1" applyBorder="1" applyAlignment="1">
      <alignment wrapText="1"/>
    </xf>
    <xf numFmtId="0" fontId="4" fillId="2" borderId="1" xfId="0" applyFont="1" applyFill="1" applyBorder="1" applyAlignment="1">
      <alignment horizontal="center"/>
    </xf>
    <xf numFmtId="0" fontId="4" fillId="2" borderId="1" xfId="0" applyFont="1" applyFill="1" applyBorder="1"/>
    <xf numFmtId="0" fontId="4" fillId="2" borderId="1" xfId="0" applyFont="1" applyFill="1" applyBorder="1" applyAlignment="1">
      <alignment horizontal="right"/>
    </xf>
    <xf numFmtId="0" fontId="4" fillId="2" borderId="1" xfId="0" applyFont="1" applyFill="1" applyBorder="1" applyAlignment="1">
      <alignment horizontal="right" wrapText="1"/>
    </xf>
    <xf numFmtId="0" fontId="7" fillId="3" borderId="1" xfId="0" applyFont="1" applyFill="1" applyBorder="1" applyAlignment="1">
      <alignment wrapText="1"/>
    </xf>
    <xf numFmtId="0" fontId="7" fillId="3" borderId="1" xfId="0" applyFont="1" applyFill="1" applyBorder="1" applyAlignment="1">
      <alignment horizontal="right"/>
    </xf>
    <xf numFmtId="0" fontId="7" fillId="3" borderId="1" xfId="0" applyFont="1" applyFill="1" applyBorder="1" applyAlignment="1">
      <alignment horizontal="right" wrapText="1"/>
    </xf>
    <xf numFmtId="0" fontId="5" fillId="2" borderId="1" xfId="0" applyFont="1" applyFill="1" applyBorder="1" applyAlignment="1">
      <alignment vertical="center"/>
    </xf>
    <xf numFmtId="0" fontId="5" fillId="0" borderId="0" xfId="0" applyFont="1"/>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7" fillId="0" borderId="0" xfId="0" applyFont="1"/>
    <xf numFmtId="4" fontId="4" fillId="2" borderId="1" xfId="0" applyNumberFormat="1" applyFont="1" applyFill="1" applyBorder="1" applyAlignment="1">
      <alignment horizontal="center"/>
    </xf>
    <xf numFmtId="4" fontId="4" fillId="2" borderId="1" xfId="0" applyNumberFormat="1" applyFont="1" applyFill="1" applyBorder="1" applyAlignment="1">
      <alignment horizontal="center" wrapText="1"/>
    </xf>
    <xf numFmtId="4" fontId="7" fillId="3" borderId="1" xfId="0" applyNumberFormat="1" applyFont="1" applyFill="1" applyBorder="1" applyAlignment="1">
      <alignment horizontal="center"/>
    </xf>
    <xf numFmtId="2" fontId="4" fillId="2" borderId="1" xfId="0" applyNumberFormat="1" applyFont="1" applyFill="1" applyBorder="1" applyAlignment="1">
      <alignment horizontal="center"/>
    </xf>
    <xf numFmtId="2" fontId="7" fillId="3" borderId="1" xfId="0" applyNumberFormat="1" applyFont="1" applyFill="1" applyBorder="1" applyAlignment="1">
      <alignment horizontal="center"/>
    </xf>
    <xf numFmtId="0" fontId="7" fillId="3" borderId="1" xfId="0" applyFont="1" applyFill="1" applyBorder="1" applyAlignment="1">
      <alignment horizontal="center" vertical="center" wrapText="1"/>
    </xf>
    <xf numFmtId="0" fontId="10" fillId="3" borderId="1" xfId="0" applyFont="1" applyFill="1" applyBorder="1" applyAlignment="1">
      <alignment horizontal="right"/>
    </xf>
    <xf numFmtId="0" fontId="10" fillId="3" borderId="1" xfId="0" applyFont="1" applyFill="1" applyBorder="1" applyAlignment="1">
      <alignment horizontal="right" wrapText="1"/>
    </xf>
    <xf numFmtId="0" fontId="7" fillId="3" borderId="1" xfId="0" applyFont="1" applyFill="1" applyBorder="1" applyAlignment="1">
      <alignment horizontal="center" vertical="center"/>
    </xf>
    <xf numFmtId="4" fontId="5" fillId="2" borderId="1" xfId="0" applyNumberFormat="1" applyFont="1" applyFill="1" applyBorder="1" applyAlignment="1">
      <alignment horizontal="center" vertical="center"/>
    </xf>
    <xf numFmtId="4" fontId="6" fillId="3" borderId="1" xfId="0" applyNumberFormat="1" applyFont="1" applyFill="1" applyBorder="1" applyAlignment="1">
      <alignment horizontal="center"/>
    </xf>
    <xf numFmtId="0" fontId="7" fillId="0" borderId="0" xfId="0" applyFont="1" applyAlignment="1">
      <alignment horizontal="left" wrapText="1"/>
    </xf>
    <xf numFmtId="0" fontId="4" fillId="4" borderId="1" xfId="0" applyFont="1" applyFill="1" applyBorder="1"/>
    <xf numFmtId="0" fontId="4" fillId="4" borderId="1" xfId="0" applyFont="1" applyFill="1" applyBorder="1" applyAlignment="1">
      <alignment wrapText="1"/>
    </xf>
    <xf numFmtId="0" fontId="4" fillId="4" borderId="1" xfId="0" applyFont="1" applyFill="1" applyBorder="1" applyAlignment="1">
      <alignment horizontal="center" wrapText="1"/>
    </xf>
    <xf numFmtId="0" fontId="5" fillId="4" borderId="1" xfId="0" applyFont="1" applyFill="1" applyBorder="1"/>
    <xf numFmtId="3" fontId="4" fillId="4" borderId="1" xfId="0" applyNumberFormat="1" applyFont="1" applyFill="1" applyBorder="1" applyAlignment="1">
      <alignment horizontal="center"/>
    </xf>
    <xf numFmtId="0" fontId="6" fillId="0" borderId="0" xfId="0" applyFont="1"/>
    <xf numFmtId="0" fontId="6" fillId="3" borderId="1" xfId="0" applyFont="1" applyFill="1" applyBorder="1" applyAlignment="1">
      <alignment wrapText="1"/>
    </xf>
    <xf numFmtId="0" fontId="7" fillId="3" borderId="7" xfId="0" applyFont="1" applyFill="1" applyBorder="1" applyAlignment="1">
      <alignment wrapText="1"/>
    </xf>
    <xf numFmtId="2" fontId="7" fillId="3" borderId="9" xfId="0" applyNumberFormat="1" applyFont="1" applyFill="1" applyBorder="1" applyAlignment="1">
      <alignment horizontal="center"/>
    </xf>
    <xf numFmtId="2" fontId="7" fillId="3" borderId="10" xfId="0" applyNumberFormat="1" applyFont="1" applyFill="1" applyBorder="1" applyAlignment="1">
      <alignment horizontal="center"/>
    </xf>
    <xf numFmtId="0" fontId="7" fillId="3" borderId="11" xfId="0" applyFont="1" applyFill="1" applyBorder="1" applyAlignment="1">
      <alignment horizontal="right"/>
    </xf>
    <xf numFmtId="2" fontId="7" fillId="3" borderId="12" xfId="0" applyNumberFormat="1" applyFont="1" applyFill="1" applyBorder="1" applyAlignment="1">
      <alignment horizontal="center"/>
    </xf>
    <xf numFmtId="0" fontId="7" fillId="3" borderId="11" xfId="0" applyFont="1" applyFill="1" applyBorder="1" applyAlignment="1">
      <alignment horizontal="right" wrapText="1"/>
    </xf>
    <xf numFmtId="0" fontId="7" fillId="3" borderId="13" xfId="0" applyFont="1" applyFill="1" applyBorder="1" applyAlignment="1">
      <alignment horizontal="right"/>
    </xf>
    <xf numFmtId="2" fontId="7" fillId="3" borderId="15" xfId="0" applyNumberFormat="1" applyFont="1" applyFill="1" applyBorder="1" applyAlignment="1">
      <alignment horizontal="center"/>
    </xf>
    <xf numFmtId="2" fontId="7" fillId="3" borderId="16" xfId="0" applyNumberFormat="1" applyFont="1" applyFill="1" applyBorder="1" applyAlignment="1">
      <alignment horizontal="center"/>
    </xf>
    <xf numFmtId="0" fontId="6" fillId="3" borderId="17" xfId="0" applyFont="1" applyFill="1" applyBorder="1"/>
    <xf numFmtId="0" fontId="7" fillId="3" borderId="18" xfId="0" applyFont="1" applyFill="1" applyBorder="1" applyAlignment="1">
      <alignment wrapText="1"/>
    </xf>
    <xf numFmtId="2" fontId="7" fillId="3" borderId="4" xfId="0" applyNumberFormat="1" applyFont="1" applyFill="1" applyBorder="1" applyAlignment="1">
      <alignment horizontal="center"/>
    </xf>
    <xf numFmtId="2" fontId="7" fillId="3" borderId="19" xfId="0" applyNumberFormat="1" applyFont="1" applyFill="1" applyBorder="1" applyAlignment="1">
      <alignment horizontal="center"/>
    </xf>
    <xf numFmtId="0" fontId="6" fillId="3" borderId="20" xfId="0" applyFont="1" applyFill="1" applyBorder="1" applyAlignment="1">
      <alignment wrapText="1"/>
    </xf>
    <xf numFmtId="0" fontId="6" fillId="3" borderId="21" xfId="0" applyFont="1" applyFill="1" applyBorder="1" applyAlignment="1">
      <alignment horizontal="center"/>
    </xf>
    <xf numFmtId="2" fontId="6" fillId="3" borderId="21" xfId="0" applyNumberFormat="1" applyFont="1" applyFill="1" applyBorder="1" applyAlignment="1">
      <alignment horizontal="center"/>
    </xf>
    <xf numFmtId="2" fontId="6" fillId="3" borderId="22" xfId="0" applyNumberFormat="1" applyFont="1" applyFill="1" applyBorder="1" applyAlignment="1">
      <alignment horizontal="center"/>
    </xf>
    <xf numFmtId="0" fontId="5" fillId="2" borderId="17" xfId="0" applyFont="1" applyFill="1" applyBorder="1" applyAlignment="1">
      <alignment vertical="center"/>
    </xf>
    <xf numFmtId="0" fontId="5" fillId="0" borderId="2" xfId="0" applyFont="1"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2" fontId="4" fillId="2" borderId="12" xfId="0" applyNumberFormat="1" applyFont="1" applyFill="1" applyBorder="1" applyAlignment="1">
      <alignment horizontal="center"/>
    </xf>
    <xf numFmtId="0" fontId="4" fillId="2" borderId="11" xfId="0" applyFont="1" applyFill="1" applyBorder="1"/>
    <xf numFmtId="0" fontId="4" fillId="2" borderId="11" xfId="0" applyFont="1" applyFill="1" applyBorder="1" applyAlignment="1">
      <alignment horizontal="right"/>
    </xf>
    <xf numFmtId="0" fontId="4" fillId="2" borderId="11" xfId="0" applyFont="1" applyFill="1" applyBorder="1" applyAlignment="1">
      <alignment horizontal="right" wrapText="1"/>
    </xf>
    <xf numFmtId="0" fontId="4" fillId="2" borderId="13" xfId="0" applyFont="1" applyFill="1" applyBorder="1"/>
    <xf numFmtId="0" fontId="4" fillId="2" borderId="15" xfId="0" applyFont="1" applyFill="1" applyBorder="1" applyAlignment="1">
      <alignment horizontal="center"/>
    </xf>
    <xf numFmtId="2" fontId="4" fillId="2" borderId="15" xfId="0" applyNumberFormat="1" applyFont="1" applyFill="1" applyBorder="1" applyAlignment="1">
      <alignment horizontal="center"/>
    </xf>
    <xf numFmtId="2" fontId="4" fillId="2" borderId="16" xfId="0" applyNumberFormat="1" applyFont="1" applyFill="1" applyBorder="1" applyAlignment="1">
      <alignment horizontal="center"/>
    </xf>
    <xf numFmtId="0" fontId="5" fillId="4" borderId="23" xfId="0" applyFont="1" applyFill="1" applyBorder="1"/>
    <xf numFmtId="0" fontId="4" fillId="4" borderId="15" xfId="0" applyFont="1" applyFill="1" applyBorder="1"/>
    <xf numFmtId="0" fontId="4" fillId="4" borderId="16" xfId="0" applyFont="1" applyFill="1" applyBorder="1"/>
    <xf numFmtId="0" fontId="4" fillId="2" borderId="18" xfId="0" applyFont="1" applyFill="1" applyBorder="1" applyAlignment="1">
      <alignment wrapText="1"/>
    </xf>
    <xf numFmtId="2" fontId="4" fillId="2" borderId="4" xfId="0" applyNumberFormat="1" applyFont="1" applyFill="1" applyBorder="1" applyAlignment="1">
      <alignment horizontal="center"/>
    </xf>
    <xf numFmtId="2" fontId="4" fillId="2" borderId="4" xfId="0" applyNumberFormat="1" applyFont="1" applyFill="1" applyBorder="1" applyAlignment="1">
      <alignment horizontal="center" wrapText="1"/>
    </xf>
    <xf numFmtId="2" fontId="4" fillId="2" borderId="19" xfId="0" applyNumberFormat="1" applyFont="1" applyFill="1" applyBorder="1" applyAlignment="1">
      <alignment horizontal="center"/>
    </xf>
    <xf numFmtId="0" fontId="5" fillId="2" borderId="20" xfId="0" applyFont="1" applyFill="1" applyBorder="1" applyAlignment="1">
      <alignment vertical="center"/>
    </xf>
    <xf numFmtId="0" fontId="5" fillId="2" borderId="21" xfId="0" applyFont="1" applyFill="1" applyBorder="1" applyAlignment="1">
      <alignment horizontal="center" vertical="center"/>
    </xf>
    <xf numFmtId="2" fontId="5" fillId="2" borderId="21" xfId="0" applyNumberFormat="1" applyFont="1" applyFill="1" applyBorder="1" applyAlignment="1">
      <alignment horizontal="center" vertical="center"/>
    </xf>
    <xf numFmtId="2" fontId="5" fillId="2" borderId="22" xfId="0" applyNumberFormat="1" applyFont="1" applyFill="1" applyBorder="1" applyAlignment="1">
      <alignment horizontal="center" vertical="center"/>
    </xf>
    <xf numFmtId="0" fontId="4" fillId="4" borderId="15" xfId="0" applyFont="1" applyFill="1" applyBorder="1" applyAlignment="1">
      <alignment horizontal="center" vertical="center" wrapText="1"/>
    </xf>
    <xf numFmtId="0" fontId="4" fillId="4" borderId="0" xfId="0" applyFont="1" applyFill="1" applyBorder="1"/>
    <xf numFmtId="4" fontId="5" fillId="4" borderId="1" xfId="0" applyNumberFormat="1" applyFont="1" applyFill="1" applyBorder="1" applyAlignment="1">
      <alignment horizontal="center"/>
    </xf>
    <xf numFmtId="0" fontId="4" fillId="2" borderId="23" xfId="0" applyFont="1" applyFill="1" applyBorder="1" applyAlignment="1">
      <alignment horizontal="center" wrapText="1"/>
    </xf>
    <xf numFmtId="0" fontId="5" fillId="4" borderId="7" xfId="0" applyFont="1" applyFill="1" applyBorder="1"/>
    <xf numFmtId="0" fontId="5" fillId="4" borderId="9" xfId="0" applyFont="1" applyFill="1" applyBorder="1"/>
    <xf numFmtId="4" fontId="5" fillId="4" borderId="9" xfId="0" applyNumberFormat="1" applyFont="1" applyFill="1" applyBorder="1" applyAlignment="1">
      <alignment horizontal="center"/>
    </xf>
    <xf numFmtId="4" fontId="5" fillId="4" borderId="10" xfId="0" applyNumberFormat="1" applyFont="1" applyFill="1" applyBorder="1" applyAlignment="1">
      <alignment horizontal="center"/>
    </xf>
    <xf numFmtId="0" fontId="4" fillId="4" borderId="11" xfId="0" applyFont="1" applyFill="1" applyBorder="1" applyAlignment="1">
      <alignment wrapText="1"/>
    </xf>
    <xf numFmtId="0" fontId="4" fillId="4" borderId="12" xfId="0" applyFont="1" applyFill="1" applyBorder="1"/>
    <xf numFmtId="0" fontId="4" fillId="4" borderId="13" xfId="0" applyFont="1" applyFill="1" applyBorder="1" applyAlignment="1">
      <alignment wrapText="1"/>
    </xf>
    <xf numFmtId="3" fontId="4" fillId="4" borderId="15" xfId="0" applyNumberFormat="1" applyFont="1" applyFill="1" applyBorder="1" applyAlignment="1">
      <alignment horizontal="center"/>
    </xf>
    <xf numFmtId="0" fontId="5" fillId="2" borderId="1" xfId="0" applyFont="1" applyFill="1" applyBorder="1" applyAlignment="1">
      <alignment horizontal="center" vertical="center"/>
    </xf>
    <xf numFmtId="0" fontId="6" fillId="3" borderId="1" xfId="0" applyFont="1" applyFill="1" applyBorder="1"/>
    <xf numFmtId="0" fontId="6" fillId="3" borderId="1" xfId="0" applyFont="1" applyFill="1" applyBorder="1" applyAlignment="1">
      <alignment horizontal="center"/>
    </xf>
    <xf numFmtId="0" fontId="7" fillId="3" borderId="1" xfId="0" applyFont="1" applyFill="1" applyBorder="1" applyAlignment="1">
      <alignment vertical="center"/>
    </xf>
    <xf numFmtId="0" fontId="7" fillId="3" borderId="1" xfId="0" applyFont="1" applyFill="1" applyBorder="1"/>
    <xf numFmtId="0" fontId="4" fillId="0" borderId="25" xfId="0" applyFont="1" applyBorder="1"/>
    <xf numFmtId="0" fontId="5" fillId="0" borderId="25" xfId="0" applyFont="1" applyBorder="1"/>
    <xf numFmtId="164" fontId="4" fillId="2" borderId="15" xfId="0" applyNumberFormat="1" applyFont="1" applyFill="1" applyBorder="1" applyAlignment="1">
      <alignment horizontal="center"/>
    </xf>
    <xf numFmtId="0" fontId="4" fillId="4"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4" borderId="9" xfId="0" applyFont="1" applyFill="1" applyBorder="1" applyAlignment="1">
      <alignment horizontal="center"/>
    </xf>
    <xf numFmtId="0" fontId="4" fillId="0" borderId="25" xfId="0" applyFont="1" applyBorder="1" applyAlignment="1">
      <alignment horizontal="center"/>
    </xf>
    <xf numFmtId="0" fontId="4" fillId="0" borderId="0" xfId="0" applyFont="1" applyAlignment="1">
      <alignment horizontal="center"/>
    </xf>
    <xf numFmtId="0" fontId="7" fillId="0" borderId="0" xfId="0" applyFont="1" applyAlignment="1">
      <alignment horizontal="center"/>
    </xf>
    <xf numFmtId="0" fontId="7" fillId="0" borderId="0" xfId="0" applyFont="1" applyAlignment="1">
      <alignment horizontal="center" wrapText="1"/>
    </xf>
    <xf numFmtId="0" fontId="5" fillId="0" borderId="25" xfId="0" applyFont="1" applyBorder="1" applyAlignment="1">
      <alignment horizontal="left"/>
    </xf>
    <xf numFmtId="2" fontId="5" fillId="2" borderId="1" xfId="0" applyNumberFormat="1" applyFont="1" applyFill="1" applyBorder="1" applyAlignment="1">
      <alignment horizontal="center"/>
    </xf>
    <xf numFmtId="0" fontId="13" fillId="0" borderId="0" xfId="0" applyFont="1"/>
    <xf numFmtId="0" fontId="4" fillId="4" borderId="1" xfId="0" applyFont="1" applyFill="1" applyBorder="1" applyAlignment="1">
      <alignment horizontal="center" vertical="center" wrapText="1"/>
    </xf>
    <xf numFmtId="2" fontId="0" fillId="0" borderId="0" xfId="0" applyNumberFormat="1"/>
    <xf numFmtId="0" fontId="7" fillId="3" borderId="3" xfId="0" applyFont="1" applyFill="1" applyBorder="1" applyAlignment="1">
      <alignment vertical="center" wrapText="1"/>
    </xf>
    <xf numFmtId="0" fontId="7" fillId="3" borderId="14" xfId="0" applyFont="1" applyFill="1" applyBorder="1" applyAlignment="1">
      <alignment vertical="center" wrapText="1"/>
    </xf>
    <xf numFmtId="0" fontId="4" fillId="4" borderId="0" xfId="0" applyFont="1" applyFill="1"/>
    <xf numFmtId="165" fontId="14" fillId="0" borderId="0" xfId="1" applyNumberFormat="1">
      <alignment horizontal="center"/>
    </xf>
    <xf numFmtId="0" fontId="15" fillId="0" borderId="0" xfId="2"/>
    <xf numFmtId="0" fontId="14" fillId="0" borderId="26" xfId="3">
      <alignment horizontal="center"/>
    </xf>
    <xf numFmtId="166" fontId="14" fillId="0" borderId="0" xfId="1" applyNumberFormat="1">
      <alignment horizontal="center"/>
    </xf>
    <xf numFmtId="0" fontId="16" fillId="0" borderId="27" xfId="4" applyFont="1" applyAlignment="1">
      <alignment horizontal="center" wrapText="1" shrinkToFit="1"/>
    </xf>
    <xf numFmtId="0" fontId="17" fillId="0" borderId="27" xfId="4" applyFont="1" applyAlignment="1">
      <alignment horizontal="center" wrapText="1" shrinkToFit="1"/>
    </xf>
    <xf numFmtId="0" fontId="18" fillId="5" borderId="28" xfId="5">
      <alignment horizontal="center" vertical="center"/>
    </xf>
    <xf numFmtId="0" fontId="14" fillId="0" borderId="0" xfId="1">
      <alignment horizontal="center"/>
    </xf>
    <xf numFmtId="0" fontId="17" fillId="0" borderId="0" xfId="6" applyFont="1" applyAlignment="1">
      <alignment horizontal="right" wrapText="1" shrinkToFit="1"/>
    </xf>
    <xf numFmtId="167" fontId="17" fillId="0" borderId="29" xfId="7" applyFont="1" applyAlignment="1">
      <alignment horizontal="left" wrapText="1" shrinkToFit="1"/>
    </xf>
    <xf numFmtId="0" fontId="17" fillId="0" borderId="30" xfId="8" applyFont="1" applyAlignment="1">
      <alignment horizontal="right" wrapText="1" shrinkToFit="1"/>
    </xf>
    <xf numFmtId="0" fontId="17" fillId="0" borderId="31" xfId="9" applyFont="1" applyAlignment="1">
      <alignment horizontal="left" indent="1"/>
    </xf>
    <xf numFmtId="3" fontId="19" fillId="6" borderId="32" xfId="10"/>
    <xf numFmtId="0" fontId="4" fillId="0" borderId="0" xfId="26" applyFont="1"/>
    <xf numFmtId="0" fontId="5" fillId="0" borderId="1" xfId="26" applyFont="1" applyBorder="1" applyAlignment="1">
      <alignment vertical="center"/>
    </xf>
    <xf numFmtId="0" fontId="5" fillId="0" borderId="2" xfId="26" applyFont="1" applyBorder="1" applyAlignment="1">
      <alignment vertical="center"/>
    </xf>
    <xf numFmtId="0" fontId="5" fillId="0" borderId="2" xfId="26" applyFont="1" applyBorder="1" applyAlignment="1">
      <alignment horizontal="center" vertical="center"/>
    </xf>
    <xf numFmtId="0" fontId="5" fillId="0" borderId="2" xfId="26" applyFont="1" applyBorder="1" applyAlignment="1">
      <alignment horizontal="center" vertical="center" wrapText="1"/>
    </xf>
    <xf numFmtId="0" fontId="5" fillId="0" borderId="17" xfId="26" applyFont="1" applyBorder="1" applyAlignment="1">
      <alignment horizontal="center" vertical="center"/>
    </xf>
    <xf numFmtId="0" fontId="5" fillId="0" borderId="0" xfId="26" applyFont="1"/>
    <xf numFmtId="0" fontId="5" fillId="2" borderId="17" xfId="26" applyFont="1" applyFill="1" applyBorder="1" applyAlignment="1">
      <alignment vertical="center"/>
    </xf>
    <xf numFmtId="0" fontId="5" fillId="8" borderId="20" xfId="26" applyFont="1" applyFill="1" applyBorder="1" applyAlignment="1">
      <alignment vertical="center"/>
    </xf>
    <xf numFmtId="0" fontId="5" fillId="2" borderId="21" xfId="26" applyFont="1" applyFill="1" applyBorder="1" applyAlignment="1">
      <alignment horizontal="center" vertical="center"/>
    </xf>
    <xf numFmtId="2" fontId="5" fillId="8" borderId="21" xfId="26" applyNumberFormat="1" applyFont="1" applyFill="1" applyBorder="1" applyAlignment="1">
      <alignment horizontal="center" vertical="center"/>
    </xf>
    <xf numFmtId="2" fontId="5" fillId="2" borderId="21" xfId="26" applyNumberFormat="1" applyFont="1" applyFill="1" applyBorder="1" applyAlignment="1">
      <alignment horizontal="center" vertical="center"/>
    </xf>
    <xf numFmtId="2" fontId="5" fillId="2" borderId="36" xfId="26" applyNumberFormat="1" applyFont="1" applyFill="1" applyBorder="1" applyAlignment="1">
      <alignment horizontal="center" vertical="center"/>
    </xf>
    <xf numFmtId="0" fontId="4" fillId="2" borderId="18" xfId="26" applyFont="1" applyFill="1" applyBorder="1" applyAlignment="1">
      <alignment wrapText="1"/>
    </xf>
    <xf numFmtId="2" fontId="4" fillId="2" borderId="4" xfId="26" applyNumberFormat="1" applyFont="1" applyFill="1" applyBorder="1" applyAlignment="1">
      <alignment horizontal="center"/>
    </xf>
    <xf numFmtId="2" fontId="4" fillId="2" borderId="4" xfId="26" applyNumberFormat="1" applyFont="1" applyFill="1" applyBorder="1" applyAlignment="1">
      <alignment horizontal="center" wrapText="1"/>
    </xf>
    <xf numFmtId="2" fontId="4" fillId="2" borderId="6" xfId="26" applyNumberFormat="1" applyFont="1" applyFill="1" applyBorder="1" applyAlignment="1">
      <alignment horizontal="center"/>
    </xf>
    <xf numFmtId="0" fontId="4" fillId="2" borderId="11" xfId="26" applyFont="1" applyFill="1" applyBorder="1"/>
    <xf numFmtId="2" fontId="4" fillId="2" borderId="1" xfId="26" applyNumberFormat="1" applyFont="1" applyFill="1" applyBorder="1" applyAlignment="1">
      <alignment horizontal="center"/>
    </xf>
    <xf numFmtId="2" fontId="4" fillId="2" borderId="23" xfId="26" applyNumberFormat="1" applyFont="1" applyFill="1" applyBorder="1" applyAlignment="1">
      <alignment horizontal="center"/>
    </xf>
    <xf numFmtId="0" fontId="4" fillId="2" borderId="11" xfId="26" applyFont="1" applyFill="1" applyBorder="1" applyAlignment="1">
      <alignment horizontal="right"/>
    </xf>
    <xf numFmtId="2" fontId="5" fillId="2" borderId="1" xfId="26" applyNumberFormat="1" applyFont="1" applyFill="1" applyBorder="1" applyAlignment="1">
      <alignment horizontal="center"/>
    </xf>
    <xf numFmtId="0" fontId="4" fillId="8" borderId="11" xfId="26" applyFont="1" applyFill="1" applyBorder="1"/>
    <xf numFmtId="2" fontId="4" fillId="8" borderId="1" xfId="26" applyNumberFormat="1" applyFont="1" applyFill="1" applyBorder="1" applyAlignment="1">
      <alignment horizontal="center"/>
    </xf>
    <xf numFmtId="0" fontId="4" fillId="2" borderId="11" xfId="26" applyFont="1" applyFill="1" applyBorder="1" applyAlignment="1">
      <alignment horizontal="right" wrapText="1"/>
    </xf>
    <xf numFmtId="0" fontId="4" fillId="2" borderId="23" xfId="26" applyFont="1" applyFill="1" applyBorder="1" applyAlignment="1">
      <alignment horizontal="center" wrapText="1"/>
    </xf>
    <xf numFmtId="0" fontId="4" fillId="2" borderId="13" xfId="26" applyFont="1" applyFill="1" applyBorder="1"/>
    <xf numFmtId="0" fontId="4" fillId="2" borderId="15" xfId="26" applyFont="1" applyFill="1" applyBorder="1" applyAlignment="1">
      <alignment horizontal="center"/>
    </xf>
    <xf numFmtId="164" fontId="4" fillId="2" borderId="15" xfId="26" applyNumberFormat="1" applyFont="1" applyFill="1" applyBorder="1" applyAlignment="1">
      <alignment horizontal="center"/>
    </xf>
    <xf numFmtId="2" fontId="4" fillId="2" borderId="15" xfId="26" applyNumberFormat="1" applyFont="1" applyFill="1" applyBorder="1" applyAlignment="1">
      <alignment horizontal="center"/>
    </xf>
    <xf numFmtId="2" fontId="4" fillId="2" borderId="37" xfId="26" applyNumberFormat="1" applyFont="1" applyFill="1" applyBorder="1" applyAlignment="1">
      <alignment horizontal="center"/>
    </xf>
    <xf numFmtId="0" fontId="6" fillId="3" borderId="17" xfId="26" applyFont="1" applyFill="1" applyBorder="1"/>
    <xf numFmtId="0" fontId="6" fillId="3" borderId="20" xfId="26" applyFont="1" applyFill="1" applyBorder="1" applyAlignment="1">
      <alignment wrapText="1"/>
    </xf>
    <xf numFmtId="0" fontId="6" fillId="3" borderId="21" xfId="26" applyFont="1" applyFill="1" applyBorder="1" applyAlignment="1">
      <alignment horizontal="center"/>
    </xf>
    <xf numFmtId="2" fontId="6" fillId="3" borderId="21" xfId="26" applyNumberFormat="1" applyFont="1" applyFill="1" applyBorder="1" applyAlignment="1">
      <alignment horizontal="center"/>
    </xf>
    <xf numFmtId="2" fontId="6" fillId="3" borderId="36" xfId="26" applyNumberFormat="1" applyFont="1" applyFill="1" applyBorder="1" applyAlignment="1">
      <alignment horizontal="center"/>
    </xf>
    <xf numFmtId="0" fontId="7" fillId="3" borderId="18" xfId="26" applyFont="1" applyFill="1" applyBorder="1" applyAlignment="1">
      <alignment wrapText="1"/>
    </xf>
    <xf numFmtId="0" fontId="7" fillId="3" borderId="3" xfId="26" applyFont="1" applyFill="1" applyBorder="1" applyAlignment="1">
      <alignment horizontal="center" vertical="center" wrapText="1"/>
    </xf>
    <xf numFmtId="2" fontId="7" fillId="3" borderId="4" xfId="26" applyNumberFormat="1" applyFont="1" applyFill="1" applyBorder="1" applyAlignment="1">
      <alignment horizontal="center"/>
    </xf>
    <xf numFmtId="2" fontId="7" fillId="3" borderId="6" xfId="26" applyNumberFormat="1" applyFont="1" applyFill="1" applyBorder="1" applyAlignment="1">
      <alignment horizontal="center"/>
    </xf>
    <xf numFmtId="0" fontId="7" fillId="0" borderId="0" xfId="26" applyFont="1"/>
    <xf numFmtId="0" fontId="7" fillId="3" borderId="11" xfId="26" applyFont="1" applyFill="1" applyBorder="1" applyAlignment="1">
      <alignment horizontal="right"/>
    </xf>
    <xf numFmtId="2" fontId="7" fillId="3" borderId="1" xfId="26" applyNumberFormat="1" applyFont="1" applyFill="1" applyBorder="1" applyAlignment="1">
      <alignment horizontal="center"/>
    </xf>
    <xf numFmtId="2" fontId="7" fillId="3" borderId="23" xfId="26" applyNumberFormat="1" applyFont="1" applyFill="1" applyBorder="1" applyAlignment="1">
      <alignment horizontal="center"/>
    </xf>
    <xf numFmtId="0" fontId="7" fillId="3" borderId="11" xfId="26" applyFont="1" applyFill="1" applyBorder="1" applyAlignment="1">
      <alignment horizontal="right" wrapText="1"/>
    </xf>
    <xf numFmtId="0" fontId="7" fillId="3" borderId="13" xfId="26" applyFont="1" applyFill="1" applyBorder="1" applyAlignment="1">
      <alignment horizontal="right"/>
    </xf>
    <xf numFmtId="0" fontId="7" fillId="3" borderId="14" xfId="26" applyFont="1" applyFill="1" applyBorder="1" applyAlignment="1">
      <alignment horizontal="center" vertical="center" wrapText="1"/>
    </xf>
    <xf numFmtId="2" fontId="7" fillId="3" borderId="15" xfId="26" applyNumberFormat="1" applyFont="1" applyFill="1" applyBorder="1" applyAlignment="1">
      <alignment horizontal="center"/>
    </xf>
    <xf numFmtId="2" fontId="7" fillId="3" borderId="37" xfId="26" applyNumberFormat="1" applyFont="1" applyFill="1" applyBorder="1" applyAlignment="1">
      <alignment horizontal="center"/>
    </xf>
    <xf numFmtId="0" fontId="7" fillId="3" borderId="7" xfId="26" applyFont="1" applyFill="1" applyBorder="1" applyAlignment="1">
      <alignment wrapText="1"/>
    </xf>
    <xf numFmtId="2" fontId="7" fillId="3" borderId="9" xfId="26" applyNumberFormat="1" applyFont="1" applyFill="1" applyBorder="1" applyAlignment="1">
      <alignment horizontal="center"/>
    </xf>
    <xf numFmtId="2" fontId="7" fillId="3" borderId="38" xfId="26" applyNumberFormat="1" applyFont="1" applyFill="1" applyBorder="1" applyAlignment="1">
      <alignment horizontal="center"/>
    </xf>
    <xf numFmtId="0" fontId="5" fillId="4" borderId="23" xfId="26" applyFont="1" applyFill="1" applyBorder="1"/>
    <xf numFmtId="0" fontId="5" fillId="8" borderId="7" xfId="26" applyFont="1" applyFill="1" applyBorder="1"/>
    <xf numFmtId="0" fontId="5" fillId="4" borderId="9" xfId="26" applyFont="1" applyFill="1" applyBorder="1" applyAlignment="1">
      <alignment horizontal="center"/>
    </xf>
    <xf numFmtId="4" fontId="5" fillId="8" borderId="9" xfId="26" applyNumberFormat="1" applyFont="1" applyFill="1" applyBorder="1" applyAlignment="1">
      <alignment horizontal="center"/>
    </xf>
    <xf numFmtId="4" fontId="5" fillId="4" borderId="9" xfId="26" applyNumberFormat="1" applyFont="1" applyFill="1" applyBorder="1" applyAlignment="1">
      <alignment horizontal="center"/>
    </xf>
    <xf numFmtId="4" fontId="5" fillId="4" borderId="38" xfId="26" applyNumberFormat="1" applyFont="1" applyFill="1" applyBorder="1" applyAlignment="1">
      <alignment horizontal="center"/>
    </xf>
    <xf numFmtId="0" fontId="4" fillId="4" borderId="11" xfId="26" applyFont="1" applyFill="1" applyBorder="1" applyAlignment="1">
      <alignment wrapText="1"/>
    </xf>
    <xf numFmtId="0" fontId="4" fillId="4" borderId="1" xfId="26" applyFont="1" applyFill="1" applyBorder="1" applyAlignment="1">
      <alignment horizontal="center" vertical="center" wrapText="1"/>
    </xf>
    <xf numFmtId="3" fontId="4" fillId="4" borderId="1" xfId="26" applyNumberFormat="1" applyFont="1" applyFill="1" applyBorder="1" applyAlignment="1">
      <alignment horizontal="center"/>
    </xf>
    <xf numFmtId="0" fontId="4" fillId="4" borderId="0" xfId="26" applyFont="1" applyFill="1"/>
    <xf numFmtId="0" fontId="4" fillId="4" borderId="1" xfId="26" applyFont="1" applyFill="1" applyBorder="1"/>
    <xf numFmtId="0" fontId="4" fillId="4" borderId="23" xfId="26" applyFont="1" applyFill="1" applyBorder="1"/>
    <xf numFmtId="0" fontId="4" fillId="8" borderId="11" xfId="26" applyFont="1" applyFill="1" applyBorder="1" applyAlignment="1">
      <alignment wrapText="1"/>
    </xf>
    <xf numFmtId="3" fontId="4" fillId="8" borderId="1" xfId="26" applyNumberFormat="1" applyFont="1" applyFill="1" applyBorder="1" applyAlignment="1">
      <alignment horizontal="center"/>
    </xf>
    <xf numFmtId="0" fontId="4" fillId="4" borderId="13" xfId="26" applyFont="1" applyFill="1" applyBorder="1" applyAlignment="1">
      <alignment wrapText="1"/>
    </xf>
    <xf numFmtId="0" fontId="4" fillId="4" borderId="15" xfId="26" applyFont="1" applyFill="1" applyBorder="1" applyAlignment="1">
      <alignment horizontal="center" vertical="center" wrapText="1"/>
    </xf>
    <xf numFmtId="3" fontId="4" fillId="4" borderId="15" xfId="26" applyNumberFormat="1" applyFont="1" applyFill="1" applyBorder="1" applyAlignment="1">
      <alignment horizontal="center"/>
    </xf>
    <xf numFmtId="0" fontId="4" fillId="4" borderId="15" xfId="26" applyFont="1" applyFill="1" applyBorder="1"/>
    <xf numFmtId="0" fontId="4" fillId="4" borderId="37" xfId="26" applyFont="1" applyFill="1" applyBorder="1"/>
    <xf numFmtId="0" fontId="5" fillId="0" borderId="25" xfId="26" applyFont="1" applyBorder="1" applyAlignment="1">
      <alignment horizontal="left"/>
    </xf>
    <xf numFmtId="0" fontId="4" fillId="0" borderId="25" xfId="26" applyFont="1" applyBorder="1" applyAlignment="1">
      <alignment horizontal="center"/>
    </xf>
    <xf numFmtId="0" fontId="4" fillId="0" borderId="25" xfId="26" applyFont="1" applyBorder="1"/>
    <xf numFmtId="0" fontId="5" fillId="0" borderId="25" xfId="26" applyFont="1" applyBorder="1"/>
    <xf numFmtId="0" fontId="13" fillId="0" borderId="0" xfId="26" applyFont="1"/>
    <xf numFmtId="0" fontId="4" fillId="0" borderId="0" xfId="26" applyFont="1" applyAlignment="1">
      <alignment horizontal="center"/>
    </xf>
    <xf numFmtId="0" fontId="7" fillId="0" borderId="0" xfId="26" applyFont="1" applyAlignment="1">
      <alignment horizontal="center"/>
    </xf>
    <xf numFmtId="0" fontId="6" fillId="0" borderId="0" xfId="26" applyFont="1"/>
    <xf numFmtId="0" fontId="7" fillId="0" borderId="0" xfId="26" applyFont="1" applyAlignment="1">
      <alignment horizontal="left" wrapText="1"/>
    </xf>
    <xf numFmtId="0" fontId="7" fillId="0" borderId="0" xfId="26" applyFont="1" applyAlignment="1">
      <alignment horizontal="center" wrapText="1"/>
    </xf>
    <xf numFmtId="4" fontId="4" fillId="2" borderId="1" xfId="26" applyNumberFormat="1" applyFont="1" applyFill="1" applyBorder="1" applyAlignment="1">
      <alignment horizontal="center"/>
    </xf>
    <xf numFmtId="4" fontId="4" fillId="0" borderId="0" xfId="26" applyNumberFormat="1" applyFont="1"/>
    <xf numFmtId="2" fontId="4" fillId="0" borderId="0" xfId="26" applyNumberFormat="1" applyFont="1"/>
    <xf numFmtId="3" fontId="4" fillId="0" borderId="0" xfId="26" applyNumberFormat="1" applyFont="1"/>
    <xf numFmtId="3" fontId="0" fillId="0" borderId="0" xfId="0" applyNumberFormat="1"/>
    <xf numFmtId="4" fontId="0" fillId="0" borderId="0" xfId="0" applyNumberFormat="1"/>
    <xf numFmtId="0" fontId="4" fillId="2" borderId="1" xfId="0" applyFont="1" applyFill="1" applyBorder="1" applyAlignment="1">
      <alignment vertical="center" wrapText="1"/>
    </xf>
    <xf numFmtId="0" fontId="4" fillId="2" borderId="1" xfId="0" applyFont="1" applyFill="1" applyBorder="1" applyAlignment="1">
      <alignment vertical="center"/>
    </xf>
    <xf numFmtId="0" fontId="7" fillId="3" borderId="1" xfId="0" applyFont="1" applyFill="1" applyBorder="1" applyAlignment="1">
      <alignment vertical="center" wrapText="1"/>
    </xf>
    <xf numFmtId="0" fontId="7" fillId="3" borderId="1" xfId="26" applyFont="1" applyFill="1" applyBorder="1" applyAlignment="1">
      <alignment wrapText="1"/>
    </xf>
    <xf numFmtId="0" fontId="7" fillId="3" borderId="1" xfId="26" applyFont="1" applyFill="1" applyBorder="1" applyAlignment="1">
      <alignment horizontal="center" vertical="center" wrapText="1"/>
    </xf>
    <xf numFmtId="0" fontId="7" fillId="3" borderId="1" xfId="26" applyFont="1" applyFill="1" applyBorder="1" applyAlignment="1">
      <alignment horizontal="right"/>
    </xf>
    <xf numFmtId="0" fontId="7" fillId="3" borderId="1" xfId="26" applyFont="1" applyFill="1" applyBorder="1" applyAlignment="1">
      <alignment horizontal="right" wrapText="1"/>
    </xf>
    <xf numFmtId="0" fontId="7" fillId="3" borderId="1" xfId="26" applyFont="1" applyFill="1" applyBorder="1" applyAlignment="1">
      <alignment vertical="center" wrapText="1"/>
    </xf>
    <xf numFmtId="0" fontId="0" fillId="0" borderId="0" xfId="0" applyAlignment="1">
      <alignment horizontal="left" wrapText="1"/>
    </xf>
    <xf numFmtId="0" fontId="2" fillId="0" borderId="0" xfId="27"/>
    <xf numFmtId="0" fontId="5" fillId="0" borderId="1" xfId="27" applyFont="1" applyBorder="1" applyAlignment="1">
      <alignment vertical="center"/>
    </xf>
    <xf numFmtId="0" fontId="5" fillId="0" borderId="2" xfId="27" applyFont="1" applyBorder="1" applyAlignment="1">
      <alignment vertical="center"/>
    </xf>
    <xf numFmtId="0" fontId="5" fillId="0" borderId="2" xfId="27" applyFont="1" applyBorder="1" applyAlignment="1">
      <alignment horizontal="center" vertical="center"/>
    </xf>
    <xf numFmtId="0" fontId="5" fillId="0" borderId="2" xfId="27" applyFont="1" applyBorder="1" applyAlignment="1">
      <alignment horizontal="center" vertical="center" wrapText="1"/>
    </xf>
    <xf numFmtId="0" fontId="5" fillId="2" borderId="17" xfId="27" applyFont="1" applyFill="1" applyBorder="1" applyAlignment="1">
      <alignment vertical="center"/>
    </xf>
    <xf numFmtId="0" fontId="5" fillId="2" borderId="20" xfId="27" applyFont="1" applyFill="1" applyBorder="1" applyAlignment="1">
      <alignment vertical="center"/>
    </xf>
    <xf numFmtId="0" fontId="5" fillId="2" borderId="21" xfId="27" applyFont="1" applyFill="1" applyBorder="1" applyAlignment="1">
      <alignment horizontal="center" vertical="center"/>
    </xf>
    <xf numFmtId="2" fontId="5" fillId="2" borderId="21" xfId="27" applyNumberFormat="1" applyFont="1" applyFill="1" applyBorder="1" applyAlignment="1">
      <alignment horizontal="center" vertical="center"/>
    </xf>
    <xf numFmtId="2" fontId="5" fillId="2" borderId="22" xfId="27" applyNumberFormat="1" applyFont="1" applyFill="1" applyBorder="1" applyAlignment="1">
      <alignment horizontal="center" vertical="center"/>
    </xf>
    <xf numFmtId="0" fontId="4" fillId="2" borderId="18" xfId="27" applyFont="1" applyFill="1" applyBorder="1" applyAlignment="1">
      <alignment wrapText="1"/>
    </xf>
    <xf numFmtId="2" fontId="4" fillId="2" borderId="4" xfId="27" applyNumberFormat="1" applyFont="1" applyFill="1" applyBorder="1" applyAlignment="1">
      <alignment horizontal="center"/>
    </xf>
    <xf numFmtId="2" fontId="4" fillId="2" borderId="4" xfId="27" applyNumberFormat="1" applyFont="1" applyFill="1" applyBorder="1" applyAlignment="1">
      <alignment horizontal="center" wrapText="1"/>
    </xf>
    <xf numFmtId="2" fontId="4" fillId="2" borderId="19" xfId="27" applyNumberFormat="1" applyFont="1" applyFill="1" applyBorder="1" applyAlignment="1">
      <alignment horizontal="center"/>
    </xf>
    <xf numFmtId="0" fontId="4" fillId="2" borderId="11" xfId="27" applyFont="1" applyFill="1" applyBorder="1"/>
    <xf numFmtId="2" fontId="4" fillId="2" borderId="1" xfId="27" applyNumberFormat="1" applyFont="1" applyFill="1" applyBorder="1" applyAlignment="1">
      <alignment horizontal="center"/>
    </xf>
    <xf numFmtId="2" fontId="4" fillId="2" borderId="12" xfId="27" applyNumberFormat="1" applyFont="1" applyFill="1" applyBorder="1" applyAlignment="1">
      <alignment horizontal="center"/>
    </xf>
    <xf numFmtId="0" fontId="4" fillId="2" borderId="11" xfId="27" applyFont="1" applyFill="1" applyBorder="1" applyAlignment="1">
      <alignment horizontal="right"/>
    </xf>
    <xf numFmtId="0" fontId="2" fillId="9" borderId="0" xfId="27" applyFill="1"/>
    <xf numFmtId="0" fontId="25" fillId="9" borderId="0" xfId="27" applyFont="1" applyFill="1"/>
    <xf numFmtId="0" fontId="4" fillId="2" borderId="11" xfId="27" applyFont="1" applyFill="1" applyBorder="1" applyAlignment="1">
      <alignment horizontal="right" wrapText="1"/>
    </xf>
    <xf numFmtId="0" fontId="4" fillId="2" borderId="23" xfId="27" applyFont="1" applyFill="1" applyBorder="1" applyAlignment="1">
      <alignment horizontal="center" wrapText="1"/>
    </xf>
    <xf numFmtId="0" fontId="4" fillId="2" borderId="13" xfId="27" applyFont="1" applyFill="1" applyBorder="1"/>
    <xf numFmtId="0" fontId="4" fillId="2" borderId="15" xfId="27" applyFont="1" applyFill="1" applyBorder="1" applyAlignment="1">
      <alignment horizontal="center"/>
    </xf>
    <xf numFmtId="2" fontId="4" fillId="2" borderId="15" xfId="27" applyNumberFormat="1" applyFont="1" applyFill="1" applyBorder="1" applyAlignment="1">
      <alignment horizontal="center"/>
    </xf>
    <xf numFmtId="2" fontId="4" fillId="2" borderId="16" xfId="27" applyNumberFormat="1" applyFont="1" applyFill="1" applyBorder="1" applyAlignment="1">
      <alignment horizontal="center"/>
    </xf>
    <xf numFmtId="0" fontId="6" fillId="3" borderId="17" xfId="27" applyFont="1" applyFill="1" applyBorder="1"/>
    <xf numFmtId="0" fontId="6" fillId="3" borderId="20" xfId="27" applyFont="1" applyFill="1" applyBorder="1" applyAlignment="1">
      <alignment wrapText="1"/>
    </xf>
    <xf numFmtId="0" fontId="6" fillId="3" borderId="21" xfId="27" applyFont="1" applyFill="1" applyBorder="1" applyAlignment="1">
      <alignment horizontal="center"/>
    </xf>
    <xf numFmtId="2" fontId="6" fillId="3" borderId="21" xfId="27" applyNumberFormat="1" applyFont="1" applyFill="1" applyBorder="1" applyAlignment="1">
      <alignment horizontal="center"/>
    </xf>
    <xf numFmtId="2" fontId="6" fillId="3" borderId="22" xfId="27" applyNumberFormat="1" applyFont="1" applyFill="1" applyBorder="1" applyAlignment="1">
      <alignment horizontal="center"/>
    </xf>
    <xf numFmtId="0" fontId="7" fillId="3" borderId="18" xfId="27" applyFont="1" applyFill="1" applyBorder="1" applyAlignment="1">
      <alignment wrapText="1"/>
    </xf>
    <xf numFmtId="0" fontId="7" fillId="3" borderId="3" xfId="27" applyFont="1" applyFill="1" applyBorder="1" applyAlignment="1">
      <alignment vertical="center" wrapText="1"/>
    </xf>
    <xf numFmtId="2" fontId="7" fillId="3" borderId="4" xfId="27" applyNumberFormat="1" applyFont="1" applyFill="1" applyBorder="1" applyAlignment="1">
      <alignment horizontal="center"/>
    </xf>
    <xf numFmtId="2" fontId="7" fillId="3" borderId="19" xfId="27" applyNumberFormat="1" applyFont="1" applyFill="1" applyBorder="1" applyAlignment="1">
      <alignment horizontal="center"/>
    </xf>
    <xf numFmtId="0" fontId="7" fillId="3" borderId="11" xfId="27" applyFont="1" applyFill="1" applyBorder="1" applyAlignment="1">
      <alignment horizontal="right"/>
    </xf>
    <xf numFmtId="2" fontId="7" fillId="3" borderId="1" xfId="27" applyNumberFormat="1" applyFont="1" applyFill="1" applyBorder="1" applyAlignment="1">
      <alignment horizontal="center"/>
    </xf>
    <xf numFmtId="2" fontId="7" fillId="3" borderId="12" xfId="27" applyNumberFormat="1" applyFont="1" applyFill="1" applyBorder="1" applyAlignment="1">
      <alignment horizontal="center"/>
    </xf>
    <xf numFmtId="0" fontId="7" fillId="3" borderId="11" xfId="27" applyFont="1" applyFill="1" applyBorder="1" applyAlignment="1">
      <alignment horizontal="right" wrapText="1"/>
    </xf>
    <xf numFmtId="0" fontId="7" fillId="3" borderId="13" xfId="27" applyFont="1" applyFill="1" applyBorder="1" applyAlignment="1">
      <alignment horizontal="right"/>
    </xf>
    <xf numFmtId="0" fontId="7" fillId="3" borderId="14" xfId="27" applyFont="1" applyFill="1" applyBorder="1" applyAlignment="1">
      <alignment vertical="center" wrapText="1"/>
    </xf>
    <xf numFmtId="2" fontId="7" fillId="3" borderId="15" xfId="27" applyNumberFormat="1" applyFont="1" applyFill="1" applyBorder="1" applyAlignment="1">
      <alignment horizontal="center"/>
    </xf>
    <xf numFmtId="2" fontId="7" fillId="3" borderId="16" xfId="27" applyNumberFormat="1" applyFont="1" applyFill="1" applyBorder="1" applyAlignment="1">
      <alignment horizontal="center"/>
    </xf>
    <xf numFmtId="0" fontId="7" fillId="3" borderId="7" xfId="27" applyFont="1" applyFill="1" applyBorder="1" applyAlignment="1">
      <alignment wrapText="1"/>
    </xf>
    <xf numFmtId="2" fontId="7" fillId="3" borderId="9" xfId="27" applyNumberFormat="1" applyFont="1" applyFill="1" applyBorder="1" applyAlignment="1">
      <alignment horizontal="center"/>
    </xf>
    <xf numFmtId="2" fontId="7" fillId="3" borderId="10" xfId="27" applyNumberFormat="1" applyFont="1" applyFill="1" applyBorder="1" applyAlignment="1">
      <alignment horizontal="center"/>
    </xf>
    <xf numFmtId="0" fontId="5" fillId="4" borderId="23" xfId="27" applyFont="1" applyFill="1" applyBorder="1"/>
    <xf numFmtId="0" fontId="5" fillId="4" borderId="7" xfId="27" applyFont="1" applyFill="1" applyBorder="1"/>
    <xf numFmtId="0" fontId="5" fillId="4" borderId="9" xfId="27" applyFont="1" applyFill="1" applyBorder="1"/>
    <xf numFmtId="4" fontId="5" fillId="4" borderId="9" xfId="27" applyNumberFormat="1" applyFont="1" applyFill="1" applyBorder="1" applyAlignment="1">
      <alignment horizontal="center"/>
    </xf>
    <xf numFmtId="4" fontId="5" fillId="4" borderId="10" xfId="27" applyNumberFormat="1" applyFont="1" applyFill="1" applyBorder="1" applyAlignment="1">
      <alignment horizontal="center"/>
    </xf>
    <xf numFmtId="0" fontId="4" fillId="4" borderId="11" xfId="27" applyFont="1" applyFill="1" applyBorder="1" applyAlignment="1">
      <alignment wrapText="1"/>
    </xf>
    <xf numFmtId="0" fontId="4" fillId="4" borderId="1" xfId="27" applyFont="1" applyFill="1" applyBorder="1" applyAlignment="1">
      <alignment horizontal="center" vertical="center" wrapText="1"/>
    </xf>
    <xf numFmtId="3" fontId="4" fillId="4" borderId="1" xfId="27" applyNumberFormat="1" applyFont="1" applyFill="1" applyBorder="1" applyAlignment="1">
      <alignment horizontal="center"/>
    </xf>
    <xf numFmtId="0" fontId="4" fillId="4" borderId="0" xfId="27" applyFont="1" applyFill="1"/>
    <xf numFmtId="0" fontId="4" fillId="4" borderId="1" xfId="27" applyFont="1" applyFill="1" applyBorder="1"/>
    <xf numFmtId="0" fontId="4" fillId="4" borderId="12" xfId="27" applyFont="1" applyFill="1" applyBorder="1"/>
    <xf numFmtId="0" fontId="4" fillId="4" borderId="13" xfId="27" applyFont="1" applyFill="1" applyBorder="1" applyAlignment="1">
      <alignment wrapText="1"/>
    </xf>
    <xf numFmtId="0" fontId="4" fillId="4" borderId="15" xfId="27" applyFont="1" applyFill="1" applyBorder="1" applyAlignment="1">
      <alignment horizontal="center" vertical="center" wrapText="1"/>
    </xf>
    <xf numFmtId="3" fontId="4" fillId="4" borderId="15" xfId="27" applyNumberFormat="1" applyFont="1" applyFill="1" applyBorder="1" applyAlignment="1">
      <alignment horizontal="center"/>
    </xf>
    <xf numFmtId="0" fontId="4" fillId="4" borderId="15" xfId="27" applyFont="1" applyFill="1" applyBorder="1"/>
    <xf numFmtId="0" fontId="4" fillId="4" borderId="16" xfId="27" applyFont="1" applyFill="1" applyBorder="1"/>
    <xf numFmtId="0" fontId="4" fillId="0" borderId="0" xfId="27" applyFont="1"/>
    <xf numFmtId="0" fontId="5" fillId="0" borderId="25" xfId="27" applyFont="1" applyBorder="1"/>
    <xf numFmtId="0" fontId="4" fillId="0" borderId="25" xfId="27" applyFont="1" applyBorder="1"/>
    <xf numFmtId="0" fontId="13" fillId="0" borderId="0" xfId="27" applyFont="1"/>
    <xf numFmtId="0" fontId="7" fillId="0" borderId="0" xfId="27" applyFont="1"/>
    <xf numFmtId="0" fontId="6" fillId="0" borderId="0" xfId="27" applyFont="1"/>
    <xf numFmtId="0" fontId="4" fillId="4" borderId="1" xfId="0" applyFont="1" applyFill="1" applyBorder="1" applyAlignment="1">
      <alignment horizontal="center" vertical="center" wrapText="1"/>
    </xf>
    <xf numFmtId="0" fontId="4" fillId="0" borderId="0" xfId="28" applyFont="1"/>
    <xf numFmtId="0" fontId="5" fillId="0" borderId="1" xfId="28" applyFont="1" applyBorder="1" applyAlignment="1">
      <alignment vertical="center"/>
    </xf>
    <xf numFmtId="0" fontId="5" fillId="0" borderId="2" xfId="28" applyFont="1" applyBorder="1" applyAlignment="1">
      <alignment vertical="center"/>
    </xf>
    <xf numFmtId="0" fontId="5" fillId="0" borderId="2" xfId="28" applyFont="1" applyBorder="1" applyAlignment="1">
      <alignment horizontal="center" vertical="center"/>
    </xf>
    <xf numFmtId="0" fontId="5" fillId="0" borderId="2" xfId="28" applyFont="1" applyBorder="1" applyAlignment="1">
      <alignment horizontal="center" vertical="center" wrapText="1"/>
    </xf>
    <xf numFmtId="0" fontId="5" fillId="0" borderId="0" xfId="28" applyFont="1"/>
    <xf numFmtId="0" fontId="5" fillId="2" borderId="17" xfId="28" applyFont="1" applyFill="1" applyBorder="1" applyAlignment="1">
      <alignment vertical="center"/>
    </xf>
    <xf numFmtId="0" fontId="5" fillId="2" borderId="20" xfId="28" applyFont="1" applyFill="1" applyBorder="1" applyAlignment="1">
      <alignment vertical="center"/>
    </xf>
    <xf numFmtId="0" fontId="5" fillId="2" borderId="21" xfId="28" applyFont="1" applyFill="1" applyBorder="1" applyAlignment="1">
      <alignment horizontal="center" vertical="center"/>
    </xf>
    <xf numFmtId="2" fontId="5" fillId="2" borderId="21" xfId="28" applyNumberFormat="1" applyFont="1" applyFill="1" applyBorder="1" applyAlignment="1">
      <alignment horizontal="center" vertical="center"/>
    </xf>
    <xf numFmtId="2" fontId="5" fillId="2" borderId="22" xfId="28" applyNumberFormat="1" applyFont="1" applyFill="1" applyBorder="1" applyAlignment="1">
      <alignment horizontal="center" vertical="center"/>
    </xf>
    <xf numFmtId="0" fontId="4" fillId="2" borderId="18" xfId="28" applyFont="1" applyFill="1" applyBorder="1" applyAlignment="1">
      <alignment wrapText="1"/>
    </xf>
    <xf numFmtId="2" fontId="4" fillId="2" borderId="4" xfId="28" applyNumberFormat="1" applyFont="1" applyFill="1" applyBorder="1" applyAlignment="1">
      <alignment horizontal="center"/>
    </xf>
    <xf numFmtId="2" fontId="4" fillId="2" borderId="4" xfId="28" applyNumberFormat="1" applyFont="1" applyFill="1" applyBorder="1" applyAlignment="1">
      <alignment horizontal="center" wrapText="1"/>
    </xf>
    <xf numFmtId="2" fontId="4" fillId="2" borderId="19" xfId="28" applyNumberFormat="1" applyFont="1" applyFill="1" applyBorder="1" applyAlignment="1">
      <alignment horizontal="center"/>
    </xf>
    <xf numFmtId="0" fontId="4" fillId="2" borderId="11" xfId="28" applyFont="1" applyFill="1" applyBorder="1"/>
    <xf numFmtId="2" fontId="4" fillId="2" borderId="1" xfId="28" applyNumberFormat="1" applyFont="1" applyFill="1" applyBorder="1" applyAlignment="1">
      <alignment horizontal="center"/>
    </xf>
    <xf numFmtId="2" fontId="4" fillId="2" borderId="12" xfId="28" applyNumberFormat="1" applyFont="1" applyFill="1" applyBorder="1" applyAlignment="1">
      <alignment horizontal="center"/>
    </xf>
    <xf numFmtId="0" fontId="4" fillId="2" borderId="11" xfId="28" applyFont="1" applyFill="1" applyBorder="1" applyAlignment="1">
      <alignment horizontal="right"/>
    </xf>
    <xf numFmtId="2" fontId="5" fillId="2" borderId="1" xfId="28" applyNumberFormat="1" applyFont="1" applyFill="1" applyBorder="1" applyAlignment="1">
      <alignment horizontal="center"/>
    </xf>
    <xf numFmtId="0" fontId="4" fillId="2" borderId="11" xfId="28" applyFont="1" applyFill="1" applyBorder="1" applyAlignment="1">
      <alignment horizontal="right" wrapText="1"/>
    </xf>
    <xf numFmtId="0" fontId="4" fillId="2" borderId="23" xfId="28" applyFont="1" applyFill="1" applyBorder="1" applyAlignment="1">
      <alignment horizontal="center" wrapText="1"/>
    </xf>
    <xf numFmtId="0" fontId="4" fillId="2" borderId="13" xfId="28" applyFont="1" applyFill="1" applyBorder="1"/>
    <xf numFmtId="0" fontId="4" fillId="2" borderId="15" xfId="28" applyFont="1" applyFill="1" applyBorder="1" applyAlignment="1">
      <alignment horizontal="center"/>
    </xf>
    <xf numFmtId="164" fontId="4" fillId="2" borderId="15" xfId="28" applyNumberFormat="1" applyFont="1" applyFill="1" applyBorder="1" applyAlignment="1">
      <alignment horizontal="center"/>
    </xf>
    <xf numFmtId="2" fontId="4" fillId="2" borderId="15" xfId="28" applyNumberFormat="1" applyFont="1" applyFill="1" applyBorder="1" applyAlignment="1">
      <alignment horizontal="center"/>
    </xf>
    <xf numFmtId="2" fontId="4" fillId="2" borderId="16" xfId="28" applyNumberFormat="1" applyFont="1" applyFill="1" applyBorder="1" applyAlignment="1">
      <alignment horizontal="center"/>
    </xf>
    <xf numFmtId="0" fontId="6" fillId="3" borderId="17" xfId="28" applyFont="1" applyFill="1" applyBorder="1"/>
    <xf numFmtId="0" fontId="6" fillId="3" borderId="20" xfId="28" applyFont="1" applyFill="1" applyBorder="1" applyAlignment="1">
      <alignment wrapText="1"/>
    </xf>
    <xf numFmtId="0" fontId="6" fillId="3" borderId="21" xfId="28" applyFont="1" applyFill="1" applyBorder="1" applyAlignment="1">
      <alignment horizontal="center"/>
    </xf>
    <xf numFmtId="2" fontId="6" fillId="3" borderId="21" xfId="28" applyNumberFormat="1" applyFont="1" applyFill="1" applyBorder="1" applyAlignment="1">
      <alignment horizontal="center"/>
    </xf>
    <xf numFmtId="2" fontId="6" fillId="3" borderId="22" xfId="28" applyNumberFormat="1" applyFont="1" applyFill="1" applyBorder="1" applyAlignment="1">
      <alignment horizontal="center"/>
    </xf>
    <xf numFmtId="0" fontId="7" fillId="3" borderId="18" xfId="28" applyFont="1" applyFill="1" applyBorder="1" applyAlignment="1">
      <alignment wrapText="1"/>
    </xf>
    <xf numFmtId="0" fontId="7" fillId="3" borderId="3" xfId="28" applyFont="1" applyFill="1" applyBorder="1" applyAlignment="1">
      <alignment horizontal="center" vertical="center" wrapText="1"/>
    </xf>
    <xf numFmtId="2" fontId="7" fillId="3" borderId="4" xfId="28" applyNumberFormat="1" applyFont="1" applyFill="1" applyBorder="1" applyAlignment="1">
      <alignment horizontal="center"/>
    </xf>
    <xf numFmtId="2" fontId="7" fillId="3" borderId="19" xfId="28" applyNumberFormat="1" applyFont="1" applyFill="1" applyBorder="1" applyAlignment="1">
      <alignment horizontal="center"/>
    </xf>
    <xf numFmtId="0" fontId="7" fillId="0" borderId="0" xfId="28" applyFont="1"/>
    <xf numFmtId="0" fontId="7" fillId="3" borderId="11" xfId="28" applyFont="1" applyFill="1" applyBorder="1" applyAlignment="1">
      <alignment horizontal="right"/>
    </xf>
    <xf numFmtId="2" fontId="7" fillId="3" borderId="1" xfId="28" applyNumberFormat="1" applyFont="1" applyFill="1" applyBorder="1" applyAlignment="1">
      <alignment horizontal="center"/>
    </xf>
    <xf numFmtId="2" fontId="7" fillId="3" borderId="12" xfId="28" applyNumberFormat="1" applyFont="1" applyFill="1" applyBorder="1" applyAlignment="1">
      <alignment horizontal="center"/>
    </xf>
    <xf numFmtId="0" fontId="7" fillId="3" borderId="11" xfId="28" applyFont="1" applyFill="1" applyBorder="1" applyAlignment="1">
      <alignment horizontal="right" wrapText="1"/>
    </xf>
    <xf numFmtId="0" fontId="7" fillId="3" borderId="13" xfId="28" applyFont="1" applyFill="1" applyBorder="1" applyAlignment="1">
      <alignment horizontal="right"/>
    </xf>
    <xf numFmtId="0" fontId="7" fillId="3" borderId="14" xfId="28" applyFont="1" applyFill="1" applyBorder="1" applyAlignment="1">
      <alignment horizontal="center" vertical="center" wrapText="1"/>
    </xf>
    <xf numFmtId="2" fontId="7" fillId="3" borderId="15" xfId="28" applyNumberFormat="1" applyFont="1" applyFill="1" applyBorder="1" applyAlignment="1">
      <alignment horizontal="center"/>
    </xf>
    <xf numFmtId="2" fontId="7" fillId="3" borderId="16" xfId="28" applyNumberFormat="1" applyFont="1" applyFill="1" applyBorder="1" applyAlignment="1">
      <alignment horizontal="center"/>
    </xf>
    <xf numFmtId="0" fontId="7" fillId="3" borderId="7" xfId="28" applyFont="1" applyFill="1" applyBorder="1" applyAlignment="1">
      <alignment wrapText="1"/>
    </xf>
    <xf numFmtId="2" fontId="7" fillId="3" borderId="9" xfId="28" applyNumberFormat="1" applyFont="1" applyFill="1" applyBorder="1" applyAlignment="1">
      <alignment horizontal="center"/>
    </xf>
    <xf numFmtId="2" fontId="7" fillId="3" borderId="10" xfId="28" applyNumberFormat="1" applyFont="1" applyFill="1" applyBorder="1" applyAlignment="1">
      <alignment horizontal="center"/>
    </xf>
    <xf numFmtId="0" fontId="5" fillId="4" borderId="23" xfId="28" applyFont="1" applyFill="1" applyBorder="1"/>
    <xf numFmtId="0" fontId="5" fillId="4" borderId="7" xfId="28" applyFont="1" applyFill="1" applyBorder="1"/>
    <xf numFmtId="0" fontId="5" fillId="4" borderId="9" xfId="28" applyFont="1" applyFill="1" applyBorder="1" applyAlignment="1">
      <alignment horizontal="center"/>
    </xf>
    <xf numFmtId="4" fontId="5" fillId="4" borderId="9" xfId="28" applyNumberFormat="1" applyFont="1" applyFill="1" applyBorder="1" applyAlignment="1">
      <alignment horizontal="center"/>
    </xf>
    <xf numFmtId="4" fontId="5" fillId="4" borderId="10" xfId="28" applyNumberFormat="1" applyFont="1" applyFill="1" applyBorder="1" applyAlignment="1">
      <alignment horizontal="center"/>
    </xf>
    <xf numFmtId="0" fontId="4" fillId="4" borderId="11" xfId="28" applyFont="1" applyFill="1" applyBorder="1" applyAlignment="1">
      <alignment wrapText="1"/>
    </xf>
    <xf numFmtId="0" fontId="4" fillId="4" borderId="1" xfId="28" applyFont="1" applyFill="1" applyBorder="1" applyAlignment="1">
      <alignment horizontal="center" vertical="center" wrapText="1"/>
    </xf>
    <xf numFmtId="3" fontId="4" fillId="4" borderId="1" xfId="28" applyNumberFormat="1" applyFont="1" applyFill="1" applyBorder="1" applyAlignment="1">
      <alignment horizontal="center"/>
    </xf>
    <xf numFmtId="0" fontId="4" fillId="4" borderId="0" xfId="28" applyFont="1" applyFill="1"/>
    <xf numFmtId="0" fontId="4" fillId="4" borderId="1" xfId="28" applyFont="1" applyFill="1" applyBorder="1"/>
    <xf numFmtId="0" fontId="4" fillId="4" borderId="12" xfId="28" applyFont="1" applyFill="1" applyBorder="1"/>
    <xf numFmtId="0" fontId="4" fillId="4" borderId="13" xfId="28" applyFont="1" applyFill="1" applyBorder="1" applyAlignment="1">
      <alignment wrapText="1"/>
    </xf>
    <xf numFmtId="0" fontId="4" fillId="4" borderId="15" xfId="28" applyFont="1" applyFill="1" applyBorder="1" applyAlignment="1">
      <alignment horizontal="center" vertical="center" wrapText="1"/>
    </xf>
    <xf numFmtId="3" fontId="4" fillId="4" borderId="15" xfId="28" applyNumberFormat="1" applyFont="1" applyFill="1" applyBorder="1" applyAlignment="1">
      <alignment horizontal="center"/>
    </xf>
    <xf numFmtId="0" fontId="4" fillId="4" borderId="15" xfId="28" applyFont="1" applyFill="1" applyBorder="1"/>
    <xf numFmtId="0" fontId="4" fillId="4" borderId="16" xfId="28" applyFont="1" applyFill="1" applyBorder="1"/>
    <xf numFmtId="0" fontId="5" fillId="0" borderId="25" xfId="28" applyFont="1" applyBorder="1" applyAlignment="1">
      <alignment horizontal="left"/>
    </xf>
    <xf numFmtId="0" fontId="4" fillId="0" borderId="25" xfId="28" applyFont="1" applyBorder="1" applyAlignment="1">
      <alignment horizontal="center"/>
    </xf>
    <xf numFmtId="0" fontId="4" fillId="0" borderId="25" xfId="28" applyFont="1" applyBorder="1"/>
    <xf numFmtId="0" fontId="5" fillId="0" borderId="25" xfId="28" applyFont="1" applyBorder="1"/>
    <xf numFmtId="0" fontId="13" fillId="0" borderId="0" xfId="28" applyFont="1"/>
    <xf numFmtId="0" fontId="4" fillId="0" borderId="0" xfId="28" applyFont="1" applyAlignment="1">
      <alignment horizontal="center"/>
    </xf>
    <xf numFmtId="0" fontId="7" fillId="0" borderId="0" xfId="28" applyFont="1" applyAlignment="1">
      <alignment horizontal="center"/>
    </xf>
    <xf numFmtId="0" fontId="6" fillId="0" borderId="0" xfId="28" applyFont="1"/>
    <xf numFmtId="0" fontId="7" fillId="0" borderId="0" xfId="28" applyFont="1" applyAlignment="1">
      <alignment horizontal="left" wrapText="1"/>
    </xf>
    <xf numFmtId="0" fontId="7" fillId="0" borderId="0" xfId="28" applyFont="1" applyAlignment="1">
      <alignment horizontal="center" wrapText="1"/>
    </xf>
    <xf numFmtId="0" fontId="0" fillId="0" borderId="0" xfId="0" pivotButton="1" applyAlignment="1">
      <alignment wrapText="1"/>
    </xf>
    <xf numFmtId="0" fontId="0" fillId="0" borderId="0" xfId="0" applyAlignment="1">
      <alignment wrapText="1"/>
    </xf>
    <xf numFmtId="0" fontId="22" fillId="0" borderId="1" xfId="0" applyFont="1" applyBorder="1" applyAlignment="1">
      <alignment horizontal="center"/>
    </xf>
    <xf numFmtId="0" fontId="5" fillId="2" borderId="1" xfId="0" applyFont="1" applyFill="1" applyBorder="1" applyAlignment="1">
      <alignment vertical="center" wrapText="1"/>
    </xf>
    <xf numFmtId="0" fontId="5" fillId="4" borderId="1" xfId="0" applyFont="1" applyFill="1" applyBorder="1" applyAlignment="1">
      <alignment wrapText="1"/>
    </xf>
    <xf numFmtId="0" fontId="0" fillId="0" borderId="0" xfId="0" applyFill="1"/>
    <xf numFmtId="4" fontId="23" fillId="0" borderId="1" xfId="0" applyNumberFormat="1" applyFont="1" applyFill="1" applyBorder="1" applyAlignment="1">
      <alignment horizontal="center"/>
    </xf>
    <xf numFmtId="0" fontId="22" fillId="0" borderId="1" xfId="0" applyFont="1" applyFill="1" applyBorder="1" applyAlignment="1">
      <alignment horizontal="center"/>
    </xf>
    <xf numFmtId="4" fontId="5" fillId="0" borderId="1" xfId="0" applyNumberFormat="1" applyFont="1" applyFill="1" applyBorder="1" applyAlignment="1">
      <alignment horizontal="center" vertical="center"/>
    </xf>
    <xf numFmtId="0" fontId="0" fillId="0" borderId="1" xfId="0" applyFill="1" applyBorder="1"/>
    <xf numFmtId="4" fontId="7" fillId="0" borderId="1" xfId="0" applyNumberFormat="1" applyFont="1" applyFill="1" applyBorder="1" applyAlignment="1">
      <alignment horizontal="center"/>
    </xf>
    <xf numFmtId="4" fontId="6" fillId="0" borderId="1" xfId="0" applyNumberFormat="1" applyFont="1" applyFill="1" applyBorder="1" applyAlignment="1">
      <alignment horizontal="center"/>
    </xf>
    <xf numFmtId="4" fontId="5" fillId="0" borderId="1" xfId="0" applyNumberFormat="1" applyFont="1" applyFill="1" applyBorder="1" applyAlignment="1">
      <alignment horizontal="center"/>
    </xf>
    <xf numFmtId="4" fontId="4" fillId="0" borderId="1" xfId="0" applyNumberFormat="1" applyFont="1" applyFill="1" applyBorder="1" applyAlignment="1">
      <alignment horizontal="center"/>
    </xf>
    <xf numFmtId="4" fontId="6" fillId="0" borderId="1" xfId="0" applyNumberFormat="1" applyFont="1" applyFill="1" applyBorder="1"/>
    <xf numFmtId="4" fontId="7" fillId="0" borderId="1" xfId="0" applyNumberFormat="1" applyFont="1" applyFill="1" applyBorder="1"/>
    <xf numFmtId="4" fontId="7" fillId="0" borderId="0" xfId="0" applyNumberFormat="1" applyFont="1" applyFill="1"/>
    <xf numFmtId="3" fontId="2" fillId="0" borderId="0" xfId="27" applyNumberFormat="1"/>
    <xf numFmtId="4" fontId="2" fillId="0" borderId="0" xfId="27" applyNumberFormat="1"/>
    <xf numFmtId="4" fontId="0" fillId="0" borderId="1" xfId="0" applyNumberFormat="1" applyBorder="1"/>
    <xf numFmtId="0" fontId="0" fillId="0" borderId="1" xfId="0" applyBorder="1" applyAlignment="1">
      <alignment horizontal="left" wrapText="1"/>
    </xf>
    <xf numFmtId="4" fontId="26" fillId="0" borderId="1" xfId="0" applyNumberFormat="1" applyFont="1" applyBorder="1"/>
    <xf numFmtId="0" fontId="11" fillId="0" borderId="24" xfId="0" applyFont="1" applyBorder="1" applyAlignment="1">
      <alignment horizontal="center" wrapText="1"/>
    </xf>
    <xf numFmtId="0" fontId="4"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7" fillId="0" borderId="0" xfId="28" applyFont="1" applyAlignment="1">
      <alignment horizontal="left" wrapText="1"/>
    </xf>
    <xf numFmtId="0" fontId="11" fillId="0" borderId="24" xfId="28" applyFont="1" applyBorder="1" applyAlignment="1">
      <alignment horizontal="center" wrapText="1"/>
    </xf>
    <xf numFmtId="0" fontId="4" fillId="2" borderId="17" xfId="28" applyFont="1" applyFill="1" applyBorder="1" applyAlignment="1">
      <alignment horizontal="center" vertical="center" wrapText="1"/>
    </xf>
    <xf numFmtId="0" fontId="4" fillId="2" borderId="5" xfId="28" applyFont="1" applyFill="1" applyBorder="1" applyAlignment="1">
      <alignment horizontal="center" vertical="center" wrapText="1"/>
    </xf>
    <xf numFmtId="0" fontId="4" fillId="2" borderId="6" xfId="28" applyFont="1" applyFill="1" applyBorder="1" applyAlignment="1">
      <alignment horizontal="center" vertical="center" wrapText="1"/>
    </xf>
    <xf numFmtId="0" fontId="4" fillId="2" borderId="3" xfId="28" applyFont="1" applyFill="1" applyBorder="1" applyAlignment="1">
      <alignment horizontal="center" vertical="center" wrapText="1"/>
    </xf>
    <xf numFmtId="0" fontId="4" fillId="2" borderId="4" xfId="28" applyFont="1" applyFill="1" applyBorder="1" applyAlignment="1">
      <alignment horizontal="center" vertical="center" wrapText="1"/>
    </xf>
    <xf numFmtId="0" fontId="4" fillId="2" borderId="2" xfId="28" applyFont="1" applyFill="1" applyBorder="1" applyAlignment="1">
      <alignment horizontal="center" vertical="center"/>
    </xf>
    <xf numFmtId="0" fontId="4" fillId="2" borderId="3" xfId="28" applyFont="1" applyFill="1" applyBorder="1" applyAlignment="1">
      <alignment horizontal="center" vertical="center"/>
    </xf>
    <xf numFmtId="0" fontId="4" fillId="2" borderId="4" xfId="28" applyFont="1" applyFill="1" applyBorder="1" applyAlignment="1">
      <alignment horizontal="center" vertical="center"/>
    </xf>
    <xf numFmtId="0" fontId="7" fillId="3" borderId="17" xfId="28" applyFont="1" applyFill="1" applyBorder="1" applyAlignment="1">
      <alignment horizontal="center" vertical="center" wrapText="1"/>
    </xf>
    <xf numFmtId="0" fontId="7" fillId="3" borderId="5" xfId="28" applyFont="1" applyFill="1" applyBorder="1" applyAlignment="1">
      <alignment horizontal="center" vertical="center" wrapText="1"/>
    </xf>
    <xf numFmtId="0" fontId="7" fillId="3" borderId="6" xfId="28" applyFont="1" applyFill="1" applyBorder="1" applyAlignment="1">
      <alignment horizontal="center" vertical="center" wrapText="1"/>
    </xf>
    <xf numFmtId="0" fontId="7" fillId="3" borderId="8" xfId="28" applyFont="1" applyFill="1" applyBorder="1" applyAlignment="1">
      <alignment horizontal="center" vertical="center" wrapText="1"/>
    </xf>
    <xf numFmtId="0" fontId="7" fillId="3" borderId="3" xfId="28" applyFont="1" applyFill="1" applyBorder="1" applyAlignment="1">
      <alignment horizontal="center" vertical="center" wrapText="1"/>
    </xf>
    <xf numFmtId="0" fontId="7" fillId="3" borderId="14" xfId="28" applyFont="1" applyFill="1" applyBorder="1" applyAlignment="1">
      <alignment horizontal="center" vertical="center" wrapText="1"/>
    </xf>
    <xf numFmtId="0" fontId="4" fillId="4" borderId="17" xfId="28" applyFont="1" applyFill="1" applyBorder="1" applyAlignment="1">
      <alignment horizontal="center" vertical="center" wrapText="1"/>
    </xf>
    <xf numFmtId="0" fontId="4" fillId="4" borderId="6" xfId="28" applyFont="1" applyFill="1" applyBorder="1" applyAlignment="1">
      <alignment horizontal="center" vertical="center" wrapText="1"/>
    </xf>
    <xf numFmtId="0" fontId="4" fillId="0" borderId="0" xfId="28" applyFont="1" applyAlignment="1">
      <alignment horizontal="left" wrapText="1"/>
    </xf>
    <xf numFmtId="0" fontId="7" fillId="0" borderId="0" xfId="28" applyFont="1" applyAlignment="1">
      <alignment horizontal="left" vertical="center" wrapText="1"/>
    </xf>
    <xf numFmtId="0" fontId="7" fillId="0" borderId="0" xfId="26" applyFont="1" applyAlignment="1">
      <alignment horizontal="left" wrapText="1"/>
    </xf>
    <xf numFmtId="0" fontId="11" fillId="0" borderId="24" xfId="26" applyFont="1" applyBorder="1" applyAlignment="1">
      <alignment horizontal="center" wrapText="1"/>
    </xf>
    <xf numFmtId="0" fontId="4" fillId="2" borderId="17" xfId="26" applyFont="1" applyFill="1" applyBorder="1" applyAlignment="1">
      <alignment horizontal="center" vertical="center" wrapText="1"/>
    </xf>
    <xf numFmtId="0" fontId="4" fillId="2" borderId="5" xfId="26" applyFont="1" applyFill="1" applyBorder="1" applyAlignment="1">
      <alignment horizontal="center" vertical="center" wrapText="1"/>
    </xf>
    <xf numFmtId="0" fontId="4" fillId="2" borderId="6" xfId="26" applyFont="1" applyFill="1" applyBorder="1" applyAlignment="1">
      <alignment horizontal="center" vertical="center" wrapText="1"/>
    </xf>
    <xf numFmtId="0" fontId="4" fillId="2" borderId="3" xfId="26" applyFont="1" applyFill="1" applyBorder="1" applyAlignment="1">
      <alignment horizontal="center" vertical="center" wrapText="1"/>
    </xf>
    <xf numFmtId="0" fontId="4" fillId="2" borderId="4" xfId="26" applyFont="1" applyFill="1" applyBorder="1" applyAlignment="1">
      <alignment horizontal="center" vertical="center" wrapText="1"/>
    </xf>
    <xf numFmtId="0" fontId="4" fillId="2" borderId="2" xfId="26" applyFont="1" applyFill="1" applyBorder="1" applyAlignment="1">
      <alignment horizontal="center" vertical="center"/>
    </xf>
    <xf numFmtId="0" fontId="4" fillId="2" borderId="3" xfId="26" applyFont="1" applyFill="1" applyBorder="1" applyAlignment="1">
      <alignment horizontal="center" vertical="center"/>
    </xf>
    <xf numFmtId="0" fontId="4" fillId="2" borderId="4" xfId="26" applyFont="1" applyFill="1" applyBorder="1" applyAlignment="1">
      <alignment horizontal="center" vertical="center"/>
    </xf>
    <xf numFmtId="0" fontId="7" fillId="3" borderId="17" xfId="26" applyFont="1" applyFill="1" applyBorder="1" applyAlignment="1">
      <alignment horizontal="center" vertical="center" wrapText="1"/>
    </xf>
    <xf numFmtId="0" fontId="7" fillId="3" borderId="5" xfId="26" applyFont="1" applyFill="1" applyBorder="1" applyAlignment="1">
      <alignment horizontal="center" vertical="center" wrapText="1"/>
    </xf>
    <xf numFmtId="0" fontId="7" fillId="3" borderId="6" xfId="26" applyFont="1" applyFill="1" applyBorder="1" applyAlignment="1">
      <alignment horizontal="center" vertical="center" wrapText="1"/>
    </xf>
    <xf numFmtId="0" fontId="7" fillId="3" borderId="8" xfId="26" applyFont="1" applyFill="1" applyBorder="1" applyAlignment="1">
      <alignment horizontal="center" vertical="center" wrapText="1"/>
    </xf>
    <xf numFmtId="0" fontId="7" fillId="3" borderId="3" xfId="26" applyFont="1" applyFill="1" applyBorder="1" applyAlignment="1">
      <alignment horizontal="center" vertical="center" wrapText="1"/>
    </xf>
    <xf numFmtId="0" fontId="7" fillId="3" borderId="14" xfId="26" applyFont="1" applyFill="1" applyBorder="1" applyAlignment="1">
      <alignment horizontal="center" vertical="center" wrapText="1"/>
    </xf>
    <xf numFmtId="0" fontId="4" fillId="4" borderId="17" xfId="26" applyFont="1" applyFill="1" applyBorder="1" applyAlignment="1">
      <alignment horizontal="center" vertical="center" wrapText="1"/>
    </xf>
    <xf numFmtId="0" fontId="4" fillId="4" borderId="6" xfId="26" applyFont="1" applyFill="1" applyBorder="1" applyAlignment="1">
      <alignment horizontal="center" vertical="center" wrapText="1"/>
    </xf>
    <xf numFmtId="0" fontId="4" fillId="0" borderId="0" xfId="26" applyFont="1" applyAlignment="1">
      <alignment horizontal="left" wrapText="1"/>
    </xf>
    <xf numFmtId="0" fontId="7" fillId="0" borderId="0" xfId="26" applyFont="1" applyAlignment="1">
      <alignment horizontal="left" vertical="center" wrapText="1"/>
    </xf>
    <xf numFmtId="0" fontId="7" fillId="0" borderId="0" xfId="0" applyFont="1" applyAlignment="1">
      <alignment horizontal="left" wrapText="1"/>
    </xf>
    <xf numFmtId="0" fontId="7" fillId="3" borderId="8"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wrapText="1"/>
    </xf>
    <xf numFmtId="0" fontId="4" fillId="0" borderId="0" xfId="0" applyFont="1" applyAlignment="1">
      <alignment horizontal="left" wrapText="1"/>
    </xf>
    <xf numFmtId="0" fontId="7" fillId="0" borderId="0" xfId="0" applyFont="1" applyAlignment="1">
      <alignment horizontal="left" vertical="center" wrapText="1"/>
    </xf>
    <xf numFmtId="0" fontId="7" fillId="0" borderId="0" xfId="27" applyFont="1" applyAlignment="1">
      <alignment horizontal="left" wrapText="1"/>
    </xf>
    <xf numFmtId="0" fontId="7" fillId="0" borderId="0" xfId="27" applyFont="1" applyAlignment="1">
      <alignment horizontal="left" vertical="center" wrapText="1"/>
    </xf>
    <xf numFmtId="0" fontId="11" fillId="0" borderId="24" xfId="27" applyFont="1" applyBorder="1" applyAlignment="1">
      <alignment horizontal="center" wrapText="1"/>
    </xf>
    <xf numFmtId="0" fontId="4" fillId="2" borderId="17" xfId="27" applyFont="1" applyFill="1" applyBorder="1" applyAlignment="1">
      <alignment horizontal="center" vertical="center" wrapText="1"/>
    </xf>
    <xf numFmtId="0" fontId="4" fillId="2" borderId="5" xfId="27" applyFont="1" applyFill="1" applyBorder="1" applyAlignment="1">
      <alignment horizontal="center" vertical="center" wrapText="1"/>
    </xf>
    <xf numFmtId="0" fontId="4" fillId="2" borderId="6" xfId="27" applyFont="1" applyFill="1" applyBorder="1" applyAlignment="1">
      <alignment horizontal="center" vertical="center" wrapText="1"/>
    </xf>
    <xf numFmtId="0" fontId="4" fillId="2" borderId="3" xfId="27" applyFont="1" applyFill="1" applyBorder="1" applyAlignment="1">
      <alignment horizontal="center" vertical="center" wrapText="1"/>
    </xf>
    <xf numFmtId="0" fontId="4" fillId="2" borderId="4" xfId="27" applyFont="1" applyFill="1" applyBorder="1" applyAlignment="1">
      <alignment horizontal="center" vertical="center" wrapText="1"/>
    </xf>
    <xf numFmtId="0" fontId="4" fillId="2" borderId="2" xfId="27" applyFont="1" applyFill="1" applyBorder="1" applyAlignment="1">
      <alignment horizontal="center" vertical="center"/>
    </xf>
    <xf numFmtId="0" fontId="4" fillId="2" borderId="3" xfId="27" applyFont="1" applyFill="1" applyBorder="1" applyAlignment="1">
      <alignment horizontal="center" vertical="center"/>
    </xf>
    <xf numFmtId="0" fontId="4" fillId="2" borderId="4" xfId="27" applyFont="1" applyFill="1" applyBorder="1" applyAlignment="1">
      <alignment horizontal="center" vertical="center"/>
    </xf>
    <xf numFmtId="0" fontId="7" fillId="3" borderId="17" xfId="27" applyFont="1" applyFill="1" applyBorder="1" applyAlignment="1">
      <alignment horizontal="center" vertical="center" wrapText="1"/>
    </xf>
    <xf numFmtId="0" fontId="7" fillId="3" borderId="5" xfId="27" applyFont="1" applyFill="1" applyBorder="1" applyAlignment="1">
      <alignment horizontal="center" vertical="center" wrapText="1"/>
    </xf>
    <xf numFmtId="0" fontId="7" fillId="3" borderId="6" xfId="27" applyFont="1" applyFill="1" applyBorder="1" applyAlignment="1">
      <alignment horizontal="center" vertical="center" wrapText="1"/>
    </xf>
    <xf numFmtId="0" fontId="7" fillId="3" borderId="8" xfId="27" applyFont="1" applyFill="1" applyBorder="1" applyAlignment="1">
      <alignment horizontal="center" vertical="center" wrapText="1"/>
    </xf>
    <xf numFmtId="0" fontId="7" fillId="3" borderId="3" xfId="27" applyFont="1" applyFill="1" applyBorder="1" applyAlignment="1">
      <alignment horizontal="center" vertical="center" wrapText="1"/>
    </xf>
    <xf numFmtId="0" fontId="7" fillId="3" borderId="14" xfId="27" applyFont="1" applyFill="1" applyBorder="1" applyAlignment="1">
      <alignment horizontal="center" vertical="center" wrapText="1"/>
    </xf>
    <xf numFmtId="0" fontId="4" fillId="4" borderId="17" xfId="27" applyFont="1" applyFill="1" applyBorder="1" applyAlignment="1">
      <alignment horizontal="center" vertical="center" wrapText="1"/>
    </xf>
    <xf numFmtId="0" fontId="4" fillId="4" borderId="6" xfId="27" applyFont="1" applyFill="1" applyBorder="1" applyAlignment="1">
      <alignment horizontal="center" vertical="center" wrapText="1"/>
    </xf>
    <xf numFmtId="0" fontId="4" fillId="0" borderId="0" xfId="27" applyFont="1" applyAlignment="1">
      <alignment horizontal="left" wrapText="1"/>
    </xf>
    <xf numFmtId="0" fontId="22" fillId="0" borderId="0" xfId="0" applyFont="1" applyAlignment="1">
      <alignment horizontal="center" wrapText="1"/>
    </xf>
  </cellXfs>
  <cellStyles count="29">
    <cellStyle name="____page" xfId="5" xr:uid="{B484A6D1-996E-4DB6-893D-53485EDF3B7B}"/>
    <cellStyle name="___col1" xfId="11" xr:uid="{A0B67154-CD84-454C-9B1D-198450037E17}"/>
    <cellStyle name="___col2" xfId="6" xr:uid="{229181E0-369E-493C-A416-4780589168DD}"/>
    <cellStyle name="___col3" xfId="12" xr:uid="{F1432E6B-18FC-437D-AD76-C06B54566D0A}"/>
    <cellStyle name="___page" xfId="3" xr:uid="{71DFEB6F-4D52-4F9B-B276-8ADCF49D484B}"/>
    <cellStyle name="___row1" xfId="13" xr:uid="{021EC009-1472-4FEF-B214-42CF10FBA78A}"/>
    <cellStyle name="___row2" xfId="14" xr:uid="{6BEF1A45-C302-4F02-9F27-DBCCED96699B}"/>
    <cellStyle name="___row3" xfId="15" xr:uid="{C501D9D9-9522-4AAD-9A30-165E02D7BA47}"/>
    <cellStyle name="__col1" xfId="16" xr:uid="{F16ACA76-E38A-4E59-B90E-534AD4FCB9C3}"/>
    <cellStyle name="__col2" xfId="7" xr:uid="{DC3F7F66-E907-47EC-978D-14D37EEEB67A}"/>
    <cellStyle name="__col3" xfId="17" xr:uid="{5AD3CD0E-8FE8-496B-8C3E-A8BE962D5232}"/>
    <cellStyle name="__page" xfId="1" xr:uid="{FA873E17-8BE5-4ACC-A2E2-7DCA3D98B932}"/>
    <cellStyle name="__row1" xfId="18" xr:uid="{389B9619-E9A1-4297-8414-50C43376E5CE}"/>
    <cellStyle name="__row2" xfId="19" xr:uid="{8B9964F5-EDB4-4454-8376-823F618128E4}"/>
    <cellStyle name="__row3" xfId="20" xr:uid="{3D750E9A-1BD9-449C-BE61-2565E66E7EA2}"/>
    <cellStyle name="_col1" xfId="8" xr:uid="{735F07DC-DAB0-4117-AD66-E7D4EA4C60C4}"/>
    <cellStyle name="_col2" xfId="21" xr:uid="{055FE33F-1CA4-40E1-9516-AA7358F49B06}"/>
    <cellStyle name="_col3" xfId="22" xr:uid="{1C3BE984-DC75-4F05-A5B7-DA23BC70272A}"/>
    <cellStyle name="_data" xfId="10" xr:uid="{5F4728D2-7DCA-4CA3-8C78-662EDA84C063}"/>
    <cellStyle name="_freeze" xfId="23" xr:uid="{9E77F6C0-1C71-444C-B1CE-ED2368A09A40}"/>
    <cellStyle name="_page" xfId="4" xr:uid="{DDA0D5BA-AADD-40B6-AD94-57D1573E73A3}"/>
    <cellStyle name="_row1" xfId="9" xr:uid="{320F887C-18CB-46D0-97F3-D9DD98D47825}"/>
    <cellStyle name="_row2" xfId="24" xr:uid="{C1C16D2E-DFD0-4AE7-9574-CB2ACC4116A8}"/>
    <cellStyle name="_row3" xfId="25" xr:uid="{1590A23A-7F89-4B8F-B3F9-C07DA6EB69B7}"/>
    <cellStyle name="Normal" xfId="0" builtinId="0" customBuiltin="1"/>
    <cellStyle name="Normal 2" xfId="2" xr:uid="{2082B577-771E-4D9D-A612-45A331CF5FB3}"/>
    <cellStyle name="Normal 3" xfId="26" xr:uid="{43405865-6BE6-4C1D-9487-5E88B4587FB9}"/>
    <cellStyle name="Normal 4" xfId="27" xr:uid="{9513F0F9-387B-4905-A308-169D7C9A3CD0}"/>
    <cellStyle name="Normal 5" xfId="28" xr:uid="{48FC0658-540A-4205-A8BB-61EA5DF3ACF3}"/>
  </cellStyles>
  <dxfs count="12">
    <dxf>
      <font>
        <b/>
        <charset val="186"/>
      </font>
    </dxf>
    <dxf>
      <border>
        <left style="thin">
          <color indexed="64"/>
        </lef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407.371749537037" createdVersion="7" refreshedVersion="7" minRefreshableVersion="3" recordCount="124" xr:uid="{0A491F1C-7C32-4163-BA03-2BDBBE6AE5E9}">
  <cacheSource type="worksheet">
    <worksheetSource ref="B5:G129" sheet="PIVOT"/>
  </cacheSource>
  <cacheFields count="6">
    <cacheField name="Rādītājs" numFmtId="0">
      <sharedItems containsBlank="1" count="43">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s v="Sejas maskas"/>
        <s v="Sociālā distancēšanās sabiedriskā transportā "/>
        <s v="Transportlīdzekļu dezinfekcija"/>
        <s v="Transportlīdzekļu papildu mazgāšana"/>
        <s v="Citi izdevumi- Nitrila melni un zilie cimdi"/>
        <s v="(K) Faktiskās izmaksas Covid-19 pandēmijas ierobežošanai, t.sk. "/>
        <s v="Transportlīdzekļu dezinfekcija, to starpā darba spēka izmaksas"/>
        <s v="Transportlīdzekļu papildu mazgāšana, to starpā darba spēka izmaksas"/>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Suma Tab D4 hlora tabletes"/>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Citi izdevumi (norādīt kādi)"/>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Cimdi"/>
        <m/>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4">
      <sharedItems containsString="0" containsBlank="1" containsNumber="1" minValue="-1665.5882940000006" maxValue="49186.19"/>
    </cacheField>
    <cacheField name="Pārvadājumu veids" numFmtId="0">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4">
  <r>
    <x v="0"/>
    <m/>
    <n v="-1665.5882940000006"/>
    <s v="Autobuss"/>
    <s v="Jēkabpils"/>
    <x v="0"/>
  </r>
  <r>
    <x v="1"/>
    <s v="skaits"/>
    <n v="14"/>
    <s v="Autobuss"/>
    <s v="Jēkabpils"/>
    <x v="0"/>
  </r>
  <r>
    <x v="2"/>
    <s v="skaits"/>
    <n v="3966"/>
    <s v="Autobuss"/>
    <s v="Jēkabpils"/>
    <x v="0"/>
  </r>
  <r>
    <x v="3"/>
    <s v="skaits"/>
    <n v="3796"/>
    <s v="Autobuss"/>
    <s v="Jēkabpils"/>
    <x v="0"/>
  </r>
  <r>
    <x v="4"/>
    <s v="skaits"/>
    <n v="0"/>
    <s v="Autobuss"/>
    <s v="Jēkabpils"/>
    <x v="0"/>
  </r>
  <r>
    <x v="5"/>
    <s v="skaits"/>
    <n v="170"/>
    <s v="Autobuss"/>
    <s v="Jēkabpils"/>
    <x v="0"/>
  </r>
  <r>
    <x v="6"/>
    <s v="km"/>
    <n v="37669.08"/>
    <s v="Autobuss"/>
    <s v="Jēkabpils"/>
    <x v="0"/>
  </r>
  <r>
    <x v="7"/>
    <s v="km"/>
    <n v="36350.22"/>
    <s v="Autobuss"/>
    <s v="Jēkabpils"/>
    <x v="0"/>
  </r>
  <r>
    <x v="8"/>
    <s v="km"/>
    <n v="0"/>
    <s v="Autobuss"/>
    <s v="Jēkabpils"/>
    <x v="0"/>
  </r>
  <r>
    <x v="9"/>
    <s v="km"/>
    <n v="1318.86"/>
    <s v="Autobuss"/>
    <s v="Jēkabpils"/>
    <x v="0"/>
  </r>
  <r>
    <x v="10"/>
    <s v="EUR/km"/>
    <n v="1.2628999999999999"/>
    <s v="Autobuss"/>
    <s v="Jēkabpils"/>
    <x v="0"/>
  </r>
  <r>
    <x v="11"/>
    <m/>
    <n v="57.772999999999996"/>
    <s v="Autobuss"/>
    <s v="Jēkabpils"/>
    <x v="0"/>
  </r>
  <r>
    <x v="12"/>
    <m/>
    <m/>
    <s v="Autobuss"/>
    <s v="Jēkabpils"/>
    <x v="0"/>
  </r>
  <r>
    <x v="13"/>
    <s v="litri"/>
    <n v="6"/>
    <s v="Autobuss"/>
    <s v="Jēkabpils"/>
    <x v="0"/>
  </r>
  <r>
    <x v="14"/>
    <s v="gab"/>
    <n v="10"/>
    <s v="Autobuss"/>
    <s v="Jēkabpils"/>
    <x v="0"/>
  </r>
  <r>
    <x v="15"/>
    <m/>
    <m/>
    <s v="Autobuss"/>
    <s v="Jēkabpils"/>
    <x v="0"/>
  </r>
  <r>
    <x v="16"/>
    <m/>
    <m/>
    <s v="Autobuss"/>
    <s v="Jēkabpils"/>
    <x v="0"/>
  </r>
  <r>
    <x v="17"/>
    <m/>
    <m/>
    <s v="Autobuss"/>
    <s v="Jēkabpils"/>
    <x v="0"/>
  </r>
  <r>
    <x v="18"/>
    <s v="gab"/>
    <n v="150"/>
    <s v="Autobuss"/>
    <s v="Jēkabpils"/>
    <x v="0"/>
  </r>
  <r>
    <x v="19"/>
    <s v="EUR/vien bez PVN"/>
    <m/>
    <s v="Autobuss"/>
    <s v="Jēkabpils"/>
    <x v="0"/>
  </r>
  <r>
    <x v="13"/>
    <s v="EUR/vien bez PVN"/>
    <n v="2.105"/>
    <s v="Autobuss"/>
    <s v="Jēkabpils"/>
    <x v="0"/>
  </r>
  <r>
    <x v="14"/>
    <s v="EUR/vien bez PVN"/>
    <n v="1.3967000000000001"/>
    <s v="Autobuss"/>
    <s v="Jēkabpils"/>
    <x v="0"/>
  </r>
  <r>
    <x v="15"/>
    <s v="EUR/vien bez PVN"/>
    <m/>
    <s v="Autobuss"/>
    <s v="Jēkabpils"/>
    <x v="0"/>
  </r>
  <r>
    <x v="20"/>
    <s v="EUR/vien bez PVN"/>
    <m/>
    <s v="Autobuss"/>
    <s v="Jēkabpils"/>
    <x v="0"/>
  </r>
  <r>
    <x v="21"/>
    <s v="EUR/vien bez PVN"/>
    <m/>
    <s v="Autobuss"/>
    <s v="Jēkabpils"/>
    <x v="0"/>
  </r>
  <r>
    <x v="18"/>
    <s v="EUR/vien bez PVN"/>
    <n v="0.20784"/>
    <s v="Autobuss"/>
    <s v="Jēkabpils"/>
    <x v="0"/>
  </r>
  <r>
    <x v="22"/>
    <m/>
    <n v="17868.30078034255"/>
    <s v="Autobuss"/>
    <s v="Jēkabpils"/>
    <x v="0"/>
  </r>
  <r>
    <x v="23"/>
    <s v="EUR bez PVN"/>
    <n v="20729.79"/>
    <s v="Autobuss"/>
    <s v="Jēkabpils"/>
    <x v="0"/>
  </r>
  <r>
    <x v="24"/>
    <s v="km"/>
    <n v="36350.22"/>
    <s v="Autobuss"/>
    <s v="Jēkabpils"/>
    <x v="0"/>
  </r>
  <r>
    <x v="25"/>
    <s v="EUR bez PVN"/>
    <n v="39022.199999999997"/>
    <s v="Autobuss"/>
    <s v="Jēkabpils"/>
    <x v="0"/>
  </r>
  <r>
    <x v="26"/>
    <s v="km"/>
    <n v="36749.629999999997"/>
    <s v="Autobuss"/>
    <s v="Jēkabpils"/>
    <x v="0"/>
  </r>
  <r>
    <x v="0"/>
    <m/>
    <n v="-178.18574400000404"/>
    <s v="Autobuss"/>
    <s v="Jēkabpils"/>
    <x v="1"/>
  </r>
  <r>
    <x v="1"/>
    <s v="skaits"/>
    <n v="14"/>
    <s v="Autobuss"/>
    <s v="Jēkabpils"/>
    <x v="1"/>
  </r>
  <r>
    <x v="2"/>
    <s v="skaits"/>
    <n v="5256"/>
    <s v="Autobuss"/>
    <s v="Jēkabpils"/>
    <x v="1"/>
  </r>
  <r>
    <x v="3"/>
    <s v="skaits"/>
    <n v="5236"/>
    <s v="Autobuss"/>
    <s v="Jēkabpils"/>
    <x v="1"/>
  </r>
  <r>
    <x v="4"/>
    <s v="skaits"/>
    <n v="0"/>
    <s v="Autobuss"/>
    <s v="Jēkabpils"/>
    <x v="1"/>
  </r>
  <r>
    <x v="5"/>
    <s v="skaits"/>
    <n v="20"/>
    <s v="Autobuss"/>
    <s v="Jēkabpils"/>
    <x v="1"/>
  </r>
  <r>
    <x v="6"/>
    <s v="km"/>
    <n v="47955.92"/>
    <s v="Autobuss"/>
    <s v="Jēkabpils"/>
    <x v="1"/>
  </r>
  <r>
    <x v="7"/>
    <s v="km"/>
    <n v="47800.759999999995"/>
    <s v="Autobuss"/>
    <s v="Jēkabpils"/>
    <x v="1"/>
  </r>
  <r>
    <x v="8"/>
    <s v="km"/>
    <n v="0"/>
    <s v="Autobuss"/>
    <s v="Jēkabpils"/>
    <x v="1"/>
  </r>
  <r>
    <x v="9"/>
    <s v="km"/>
    <n v="155.16"/>
    <s v="Autobuss"/>
    <s v="Jēkabpils"/>
    <x v="1"/>
  </r>
  <r>
    <x v="10"/>
    <s v="EUR/km"/>
    <n v="1.1484000000000001"/>
    <s v="Autobuss"/>
    <s v="Jēkabpils"/>
    <x v="1"/>
  </r>
  <r>
    <x v="11"/>
    <m/>
    <n v="33.927"/>
    <s v="Autobuss"/>
    <s v="Jēkabpils"/>
    <x v="1"/>
  </r>
  <r>
    <x v="12"/>
    <m/>
    <m/>
    <s v="Autobuss"/>
    <s v="Jēkabpils"/>
    <x v="1"/>
  </r>
  <r>
    <x v="13"/>
    <s v="litri"/>
    <n v="6"/>
    <s v="Autobuss"/>
    <s v="Jēkabpils"/>
    <x v="1"/>
  </r>
  <r>
    <x v="14"/>
    <m/>
    <m/>
    <s v="Autobuss"/>
    <s v="Jēkabpils"/>
    <x v="1"/>
  </r>
  <r>
    <x v="15"/>
    <m/>
    <m/>
    <s v="Autobuss"/>
    <s v="Jēkabpils"/>
    <x v="1"/>
  </r>
  <r>
    <x v="16"/>
    <m/>
    <m/>
    <s v="Autobuss"/>
    <s v="Jēkabpils"/>
    <x v="1"/>
  </r>
  <r>
    <x v="17"/>
    <m/>
    <m/>
    <s v="Autobuss"/>
    <s v="Jēkabpils"/>
    <x v="1"/>
  </r>
  <r>
    <x v="27"/>
    <s v="gab"/>
    <n v="300"/>
    <s v="Autobuss"/>
    <s v="Jēkabpils"/>
    <x v="1"/>
  </r>
  <r>
    <x v="19"/>
    <s v="EUR/vien bez PVN"/>
    <m/>
    <s v="Autobuss"/>
    <s v="Jēkabpils"/>
    <x v="1"/>
  </r>
  <r>
    <x v="13"/>
    <s v="EUR/vien bez PVN"/>
    <n v="2.5945"/>
    <s v="Autobuss"/>
    <s v="Jēkabpils"/>
    <x v="1"/>
  </r>
  <r>
    <x v="14"/>
    <s v="EUR/vien bez PVN"/>
    <m/>
    <s v="Autobuss"/>
    <s v="Jēkabpils"/>
    <x v="1"/>
  </r>
  <r>
    <x v="15"/>
    <s v="EUR/vien bez PVN"/>
    <m/>
    <s v="Autobuss"/>
    <s v="Jēkabpils"/>
    <x v="1"/>
  </r>
  <r>
    <x v="20"/>
    <s v="EUR/vien bez PVN"/>
    <m/>
    <s v="Autobuss"/>
    <s v="Jēkabpils"/>
    <x v="1"/>
  </r>
  <r>
    <x v="21"/>
    <s v="EUR/vien bez PVN"/>
    <m/>
    <s v="Autobuss"/>
    <s v="Jēkabpils"/>
    <x v="1"/>
  </r>
  <r>
    <x v="27"/>
    <s v="EUR/vien bez PVN"/>
    <n v="6.1199999999999997E-2"/>
    <s v="Autobuss"/>
    <s v="Jēkabpils"/>
    <x v="1"/>
  </r>
  <r>
    <x v="22"/>
    <m/>
    <n v="20304.424515493025"/>
    <s v="Autobuss"/>
    <s v="Jēkabpils"/>
    <x v="1"/>
  </r>
  <r>
    <x v="28"/>
    <s v="EUR bez PVN"/>
    <n v="28761.8"/>
    <s v="Autobuss"/>
    <s v="Jēkabpils"/>
    <x v="1"/>
  </r>
  <r>
    <x v="29"/>
    <s v="km"/>
    <n v="47800.76"/>
    <s v="Autobuss"/>
    <s v="Jēkabpils"/>
    <x v="1"/>
  </r>
  <r>
    <x v="30"/>
    <s v="EUR bez PVN"/>
    <n v="48542.61"/>
    <s v="Autobuss"/>
    <s v="Jēkabpils"/>
    <x v="1"/>
  </r>
  <r>
    <x v="31"/>
    <s v="km"/>
    <n v="47290.65"/>
    <s v="Autobuss"/>
    <s v="Jēkabpils"/>
    <x v="1"/>
  </r>
  <r>
    <x v="0"/>
    <m/>
    <n v="0"/>
    <s v="Autobuss"/>
    <s v="Jēkabpils"/>
    <x v="2"/>
  </r>
  <r>
    <x v="1"/>
    <s v="skaits"/>
    <n v="14"/>
    <s v="Autobuss"/>
    <s v="Jēkabpils"/>
    <x v="2"/>
  </r>
  <r>
    <x v="2"/>
    <s v="skaits"/>
    <n v="5388"/>
    <s v="Autobuss"/>
    <s v="Jēkabpils"/>
    <x v="2"/>
  </r>
  <r>
    <x v="3"/>
    <s v="skaits"/>
    <n v="5388"/>
    <s v="Autobuss"/>
    <s v="Jēkabpils"/>
    <x v="2"/>
  </r>
  <r>
    <x v="4"/>
    <s v="skaits"/>
    <n v="0"/>
    <s v="Autobuss"/>
    <s v="Jēkabpils"/>
    <x v="2"/>
  </r>
  <r>
    <x v="5"/>
    <s v="skaits"/>
    <n v="0"/>
    <s v="Autobuss"/>
    <s v="Jēkabpils"/>
    <x v="2"/>
  </r>
  <r>
    <x v="6"/>
    <s v="km"/>
    <n v="49186.19"/>
    <s v="Autobuss"/>
    <s v="Jēkabpils"/>
    <x v="2"/>
  </r>
  <r>
    <x v="7"/>
    <s v="km"/>
    <n v="49186.19"/>
    <s v="Autobuss"/>
    <s v="Jēkabpils"/>
    <x v="2"/>
  </r>
  <r>
    <x v="8"/>
    <s v="km"/>
    <n v="0"/>
    <s v="Autobuss"/>
    <s v="Jēkabpils"/>
    <x v="2"/>
  </r>
  <r>
    <x v="9"/>
    <s v="km"/>
    <n v="0"/>
    <s v="Autobuss"/>
    <s v="Jēkabpils"/>
    <x v="2"/>
  </r>
  <r>
    <x v="10"/>
    <s v="EUR/km"/>
    <n v="1.1426000000000001"/>
    <s v="Autobuss"/>
    <s v="Jēkabpils"/>
    <x v="2"/>
  </r>
  <r>
    <x v="11"/>
    <m/>
    <n v="21.297999999999998"/>
    <s v="Autobuss"/>
    <s v="Jēkabpils"/>
    <x v="2"/>
  </r>
  <r>
    <x v="12"/>
    <m/>
    <m/>
    <s v="Autobuss"/>
    <s v="Jēkabpils"/>
    <x v="2"/>
  </r>
  <r>
    <x v="13"/>
    <s v="litri"/>
    <n v="1"/>
    <s v="Autobuss"/>
    <s v="Jēkabpils"/>
    <x v="2"/>
  </r>
  <r>
    <x v="14"/>
    <m/>
    <m/>
    <s v="Autobuss"/>
    <s v="Jēkabpils"/>
    <x v="2"/>
  </r>
  <r>
    <x v="15"/>
    <m/>
    <m/>
    <s v="Autobuss"/>
    <s v="Jēkabpils"/>
    <x v="2"/>
  </r>
  <r>
    <x v="16"/>
    <m/>
    <m/>
    <s v="Autobuss"/>
    <s v="Jēkabpils"/>
    <x v="2"/>
  </r>
  <r>
    <x v="17"/>
    <m/>
    <m/>
    <s v="Autobuss"/>
    <s v="Jēkabpils"/>
    <x v="2"/>
  </r>
  <r>
    <x v="27"/>
    <s v="gab"/>
    <n v="300"/>
    <s v="Autobuss"/>
    <s v="Jēkabpils"/>
    <x v="2"/>
  </r>
  <r>
    <x v="19"/>
    <s v="EUR/vien bez PVN"/>
    <m/>
    <s v="Autobuss"/>
    <s v="Jēkabpils"/>
    <x v="2"/>
  </r>
  <r>
    <x v="13"/>
    <s v="EUR/vien bez PVN"/>
    <n v="2.95"/>
    <s v="Autobuss"/>
    <s v="Jēkabpils"/>
    <x v="2"/>
  </r>
  <r>
    <x v="14"/>
    <s v="EUR/vien bez PVN"/>
    <m/>
    <s v="Autobuss"/>
    <s v="Jēkabpils"/>
    <x v="2"/>
  </r>
  <r>
    <x v="15"/>
    <s v="EUR/vien bez PVN"/>
    <m/>
    <s v="Autobuss"/>
    <s v="Jēkabpils"/>
    <x v="2"/>
  </r>
  <r>
    <x v="20"/>
    <s v="EUR/vien bez PVN"/>
    <m/>
    <s v="Autobuss"/>
    <s v="Jēkabpils"/>
    <x v="2"/>
  </r>
  <r>
    <x v="21"/>
    <s v="EUR/vien bez PVN"/>
    <m/>
    <s v="Autobuss"/>
    <s v="Jēkabpils"/>
    <x v="2"/>
  </r>
  <r>
    <x v="32"/>
    <s v="EUR/vien bez PVN"/>
    <n v="6.1159999999999999E-2"/>
    <s v="Autobuss"/>
    <s v="Jēkabpils"/>
    <x v="2"/>
  </r>
  <r>
    <x v="22"/>
    <m/>
    <n v="17842.605663355105"/>
    <s v="Autobuss"/>
    <s v="Jēkabpils"/>
    <x v="2"/>
  </r>
  <r>
    <x v="33"/>
    <s v="EUR bez PVN"/>
    <n v="29940.75"/>
    <s v="Autobuss"/>
    <s v="Jēkabpils"/>
    <x v="2"/>
  </r>
  <r>
    <x v="34"/>
    <s v="km"/>
    <n v="49186.19"/>
    <s v="Autobuss"/>
    <s v="Jēkabpils"/>
    <x v="2"/>
  </r>
  <r>
    <x v="35"/>
    <s v="EUR bez PVN"/>
    <n v="47597.57"/>
    <s v="Autobuss"/>
    <s v="Jēkabpils"/>
    <x v="2"/>
  </r>
  <r>
    <x v="36"/>
    <s v="km"/>
    <n v="48994.95"/>
    <s v="Autobuss"/>
    <s v="Jēkabpils"/>
    <x v="2"/>
  </r>
  <r>
    <x v="0"/>
    <m/>
    <n v="0"/>
    <s v="Autobuss"/>
    <s v="Jēkabpils"/>
    <x v="3"/>
  </r>
  <r>
    <x v="1"/>
    <s v="skaits"/>
    <n v="14"/>
    <s v="Autobuss"/>
    <s v="Jēkabpils"/>
    <x v="3"/>
  </r>
  <r>
    <x v="2"/>
    <s v="skaits"/>
    <n v="5052"/>
    <s v="Autobuss"/>
    <s v="Jēkabpils"/>
    <x v="3"/>
  </r>
  <r>
    <x v="3"/>
    <s v="skaits"/>
    <n v="5032"/>
    <s v="Autobuss"/>
    <s v="Jēkabpils"/>
    <x v="3"/>
  </r>
  <r>
    <x v="4"/>
    <s v="skaits"/>
    <n v="0"/>
    <s v="Autobuss"/>
    <s v="Jēkabpils"/>
    <x v="3"/>
  </r>
  <r>
    <x v="5"/>
    <s v="skaits"/>
    <n v="20"/>
    <s v="Autobuss"/>
    <s v="Jēkabpils"/>
    <x v="3"/>
  </r>
  <r>
    <x v="6"/>
    <s v="km"/>
    <n v="46130.33"/>
    <s v="Autobuss"/>
    <s v="Jēkabpils"/>
    <x v="3"/>
  </r>
  <r>
    <x v="7"/>
    <s v="km"/>
    <n v="46130.33"/>
    <s v="Autobuss"/>
    <s v="Jēkabpils"/>
    <x v="3"/>
  </r>
  <r>
    <x v="8"/>
    <s v="km"/>
    <n v="0"/>
    <s v="Autobuss"/>
    <s v="Jēkabpils"/>
    <x v="3"/>
  </r>
  <r>
    <x v="9"/>
    <s v="km"/>
    <n v="0"/>
    <s v="Autobuss"/>
    <s v="Jēkabpils"/>
    <x v="3"/>
  </r>
  <r>
    <x v="10"/>
    <s v="EUR/km"/>
    <n v="1.4814000000000001"/>
    <s v="Autobuss"/>
    <s v="Jēkabpils"/>
    <x v="3"/>
  </r>
  <r>
    <x v="11"/>
    <m/>
    <n v="18.540000000000003"/>
    <s v="Autobuss"/>
    <s v="Jēkabpils"/>
    <x v="3"/>
  </r>
  <r>
    <x v="12"/>
    <m/>
    <m/>
    <s v="Autobuss"/>
    <s v="Jēkabpils"/>
    <x v="3"/>
  </r>
  <r>
    <x v="13"/>
    <s v="litri"/>
    <n v="1"/>
    <s v="Autobuss"/>
    <s v="Jēkabpils"/>
    <x v="3"/>
  </r>
  <r>
    <x v="37"/>
    <s v="gab"/>
    <n v="100"/>
    <s v="Autobuss"/>
    <s v="Jēkabpils"/>
    <x v="3"/>
  </r>
  <r>
    <x v="15"/>
    <m/>
    <m/>
    <s v="Autobuss"/>
    <s v="Jēkabpils"/>
    <x v="3"/>
  </r>
  <r>
    <x v="16"/>
    <m/>
    <m/>
    <s v="Autobuss"/>
    <s v="Jēkabpils"/>
    <x v="3"/>
  </r>
  <r>
    <x v="17"/>
    <m/>
    <m/>
    <s v="Autobuss"/>
    <s v="Jēkabpils"/>
    <x v="3"/>
  </r>
  <r>
    <x v="38"/>
    <m/>
    <m/>
    <s v="Autobuss"/>
    <s v="Jēkabpils"/>
    <x v="3"/>
  </r>
  <r>
    <x v="19"/>
    <s v="EUR/vien bez PVN"/>
    <m/>
    <s v="Autobuss"/>
    <s v="Jēkabpils"/>
    <x v="3"/>
  </r>
  <r>
    <x v="13"/>
    <m/>
    <n v="2.95"/>
    <s v="Autobuss"/>
    <s v="Jēkabpils"/>
    <x v="3"/>
  </r>
  <r>
    <x v="37"/>
    <m/>
    <n v="0.15590000000000001"/>
    <s v="Autobuss"/>
    <s v="Jēkabpils"/>
    <x v="3"/>
  </r>
  <r>
    <x v="15"/>
    <m/>
    <m/>
    <s v="Autobuss"/>
    <s v="Jēkabpils"/>
    <x v="3"/>
  </r>
  <r>
    <x v="20"/>
    <m/>
    <m/>
    <s v="Autobuss"/>
    <s v="Jēkabpils"/>
    <x v="3"/>
  </r>
  <r>
    <x v="21"/>
    <m/>
    <m/>
    <s v="Autobuss"/>
    <s v="Jēkabpils"/>
    <x v="3"/>
  </r>
  <r>
    <x v="32"/>
    <m/>
    <n v="0"/>
    <s v="Autobuss"/>
    <s v="Jēkabpils"/>
    <x v="3"/>
  </r>
  <r>
    <x v="22"/>
    <m/>
    <n v="10829.263286778441"/>
    <s v="Autobuss"/>
    <s v="Jēkabpils"/>
    <x v="3"/>
  </r>
  <r>
    <x v="39"/>
    <s v="EUR bez PVN"/>
    <n v="26365.46"/>
    <s v="Autobuss"/>
    <s v="Jēkabpils"/>
    <x v="3"/>
  </r>
  <r>
    <x v="40"/>
    <s v="km"/>
    <n v="46130.33"/>
    <s v="Autobuss"/>
    <s v="Jēkabpils"/>
    <x v="3"/>
  </r>
  <r>
    <x v="41"/>
    <s v="EUR bez PVN"/>
    <n v="36306.370000000003"/>
    <s v="Autobuss"/>
    <s v="Jēkabpils"/>
    <x v="3"/>
  </r>
  <r>
    <x v="42"/>
    <s v="km"/>
    <n v="45028.56"/>
    <s v="Autobuss"/>
    <s v="Jēkabpils"/>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B774F95-E9A1-4C38-B21A-BE5A8EB871E1}" name="PivotTable1"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F8" firstHeaderRow="1" firstDataRow="2" firstDataCol="1"/>
  <pivotFields count="6">
    <pivotField axis="axisRow" showAll="0">
      <items count="44">
        <item h="1" x="28"/>
        <item h="1" x="33"/>
        <item h="1" x="23"/>
        <item h="1" x="30"/>
        <item h="1" x="35"/>
        <item h="1" x="25"/>
        <item h="1" x="31"/>
        <item h="1" x="36"/>
        <item h="1" x="26"/>
        <item h="1" x="10"/>
        <item h="1" x="19"/>
        <item h="1" x="29"/>
        <item h="1" x="34"/>
        <item h="1" x="24"/>
        <item h="1" x="7"/>
        <item h="1" x="6"/>
        <item h="1" x="3"/>
        <item h="1" x="2"/>
        <item h="1" x="12"/>
        <item x="0"/>
        <item x="11"/>
        <item x="22"/>
        <item h="1" x="32"/>
        <item h="1" x="18"/>
        <item h="1" x="13"/>
        <item h="1" x="1"/>
        <item h="1" x="14"/>
        <item h="1" x="15"/>
        <item h="1" x="27"/>
        <item h="1" x="5"/>
        <item h="1" x="9"/>
        <item h="1" x="4"/>
        <item h="1" x="8"/>
        <item h="1" x="16"/>
        <item h="1" x="20"/>
        <item h="1" x="17"/>
        <item h="1" x="21"/>
        <item h="1" x="37"/>
        <item h="1" x="38"/>
        <item h="1" x="39"/>
        <item h="1" x="40"/>
        <item h="1" x="41"/>
        <item h="1" x="42"/>
        <item t="default"/>
      </items>
    </pivotField>
    <pivotField showAll="0"/>
    <pivotField dataField="1" showAll="0"/>
    <pivotField showAll="0"/>
    <pivotField showAll="0"/>
    <pivotField axis="axisCol" showAll="0">
      <items count="5">
        <item x="0"/>
        <item x="1"/>
        <item x="2"/>
        <item x="3"/>
        <item t="default"/>
      </items>
    </pivotField>
  </pivotFields>
  <rowFields count="1">
    <field x="0"/>
  </rowFields>
  <rowItems count="4">
    <i>
      <x v="19"/>
    </i>
    <i>
      <x v="20"/>
    </i>
    <i>
      <x v="21"/>
    </i>
    <i t="grand">
      <x/>
    </i>
  </rowItems>
  <colFields count="1">
    <field x="5"/>
  </colFields>
  <colItems count="5">
    <i>
      <x/>
    </i>
    <i>
      <x v="1"/>
    </i>
    <i>
      <x v="2"/>
    </i>
    <i>
      <x v="3"/>
    </i>
    <i t="grand">
      <x/>
    </i>
  </colItems>
  <dataFields count="1">
    <dataField name="Sum of Vērtība" fld="2" baseField="0" baseItem="0" numFmtId="4"/>
  </dataFields>
  <formats count="12">
    <format dxfId="11">
      <pivotArea outline="0" collapsedLevelsAreSubtotals="1" fieldPosition="0"/>
    </format>
    <format dxfId="10">
      <pivotArea type="origin" dataOnly="0" labelOnly="1" outline="0" fieldPosition="0"/>
    </format>
    <format dxfId="9">
      <pivotArea field="0" type="button" dataOnly="0" labelOnly="1" outline="0" axis="axisRow" fieldPosition="0"/>
    </format>
    <format dxfId="8">
      <pivotArea dataOnly="0" labelOnly="1" fieldPosition="0">
        <references count="1">
          <reference field="0" count="0"/>
        </references>
      </pivotArea>
    </format>
    <format dxfId="7">
      <pivotArea dataOnly="0" labelOnly="1" grandRow="1" outline="0" fieldPosition="0"/>
    </format>
    <format dxfId="6">
      <pivotArea field="5" type="button" dataOnly="0" labelOnly="1" outline="0" axis="axisCol" fieldPosition="0"/>
    </format>
    <format dxfId="5">
      <pivotArea type="topRight" dataOnly="0" labelOnly="1" outline="0" fieldPosition="0"/>
    </format>
    <format dxfId="4">
      <pivotArea dataOnly="0" labelOnly="1" fieldPosition="0">
        <references count="1">
          <reference field="5" count="0"/>
        </references>
      </pivotArea>
    </format>
    <format dxfId="3">
      <pivotArea dataOnly="0" labelOnly="1" grandCol="1" outline="0" fieldPosition="0"/>
    </format>
    <format dxfId="2">
      <pivotArea collapsedLevelsAreSubtotals="1" fieldPosition="0">
        <references count="1">
          <reference field="0" count="0"/>
        </references>
      </pivotArea>
    </format>
    <format dxfId="1">
      <pivotArea dataOnly="0" labelOnly="1" fieldPosition="0">
        <references count="1">
          <reference field="0" count="0"/>
        </references>
      </pivotArea>
    </format>
    <format dxfId="0">
      <pivotArea field="0" grandCol="1" collapsedLevelsAreSubtotals="1" axis="axisRow" fieldPosition="0">
        <references count="1">
          <reference field="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C79E7-D15E-4488-85C0-17937660FD0F}">
  <dimension ref="A1:G45"/>
  <sheetViews>
    <sheetView workbookViewId="0">
      <selection activeCell="D13" sqref="D13"/>
    </sheetView>
  </sheetViews>
  <sheetFormatPr defaultColWidth="9.140625" defaultRowHeight="15" x14ac:dyDescent="0.25"/>
  <cols>
    <col min="1" max="1" width="12.5703125" style="1" customWidth="1"/>
    <col min="2" max="2" width="46.140625" style="1" customWidth="1"/>
    <col min="3" max="3" width="11.42578125" style="1" customWidth="1"/>
    <col min="4" max="5" width="17" style="1" customWidth="1"/>
    <col min="6" max="6" width="14.28515625" style="1" customWidth="1"/>
    <col min="7" max="7" width="16.7109375" style="1" customWidth="1"/>
    <col min="8" max="16384" width="9.140625" style="1"/>
  </cols>
  <sheetData>
    <row r="1" spans="1:7" ht="36.75" customHeight="1" x14ac:dyDescent="0.3">
      <c r="A1" s="385" t="s">
        <v>70</v>
      </c>
      <c r="B1" s="385"/>
      <c r="C1" s="385"/>
      <c r="D1" s="385"/>
      <c r="E1" s="385"/>
      <c r="F1" s="385"/>
      <c r="G1" s="385"/>
    </row>
    <row r="2" spans="1:7" s="11" customFormat="1" ht="28.5" x14ac:dyDescent="0.2">
      <c r="A2" s="12" t="s">
        <v>4</v>
      </c>
      <c r="B2" s="12"/>
      <c r="C2" s="13" t="s">
        <v>5</v>
      </c>
      <c r="D2" s="13" t="s">
        <v>1</v>
      </c>
      <c r="E2" s="14" t="s">
        <v>11</v>
      </c>
      <c r="F2" s="13" t="s">
        <v>2</v>
      </c>
      <c r="G2" s="13" t="s">
        <v>3</v>
      </c>
    </row>
    <row r="3" spans="1:7" s="11" customFormat="1" ht="14.25" x14ac:dyDescent="0.2">
      <c r="A3" s="10" t="s">
        <v>17</v>
      </c>
      <c r="B3" s="10" t="s">
        <v>67</v>
      </c>
      <c r="C3" s="87"/>
      <c r="D3" s="25">
        <f>(D10-D9)*D13</f>
        <v>1884.96</v>
      </c>
      <c r="E3" s="25">
        <f t="shared" ref="E3:G3" si="0">(E9-E10)*E13</f>
        <v>0</v>
      </c>
      <c r="F3" s="25">
        <f t="shared" si="0"/>
        <v>0</v>
      </c>
      <c r="G3" s="25">
        <f t="shared" si="0"/>
        <v>0</v>
      </c>
    </row>
    <row r="4" spans="1:7" x14ac:dyDescent="0.25">
      <c r="A4" s="388" t="s">
        <v>7</v>
      </c>
      <c r="B4" s="2" t="s">
        <v>13</v>
      </c>
      <c r="C4" s="388" t="s">
        <v>6</v>
      </c>
      <c r="D4" s="16">
        <v>20</v>
      </c>
      <c r="E4" s="17"/>
      <c r="F4" s="16"/>
      <c r="G4" s="16"/>
    </row>
    <row r="5" spans="1:7" ht="15" customHeight="1" x14ac:dyDescent="0.25">
      <c r="A5" s="388"/>
      <c r="B5" s="4" t="s">
        <v>64</v>
      </c>
      <c r="C5" s="388"/>
      <c r="D5" s="16">
        <v>5479</v>
      </c>
      <c r="E5" s="16"/>
      <c r="F5" s="16"/>
      <c r="G5" s="16"/>
    </row>
    <row r="6" spans="1:7" x14ac:dyDescent="0.25">
      <c r="A6" s="388"/>
      <c r="B6" s="4" t="s">
        <v>65</v>
      </c>
      <c r="C6" s="388"/>
      <c r="D6" s="16">
        <f>D5+D7-D8</f>
        <v>5567</v>
      </c>
      <c r="E6" s="16">
        <f t="shared" ref="E6:G6" si="1">E5+E7-E8</f>
        <v>0</v>
      </c>
      <c r="F6" s="16">
        <f t="shared" si="1"/>
        <v>0</v>
      </c>
      <c r="G6" s="16">
        <f t="shared" si="1"/>
        <v>0</v>
      </c>
    </row>
    <row r="7" spans="1:7" x14ac:dyDescent="0.25">
      <c r="A7" s="388"/>
      <c r="B7" s="5" t="s">
        <v>60</v>
      </c>
      <c r="C7" s="388"/>
      <c r="D7" s="16">
        <v>830</v>
      </c>
      <c r="E7" s="16"/>
      <c r="F7" s="16"/>
      <c r="G7" s="16"/>
    </row>
    <row r="8" spans="1:7" x14ac:dyDescent="0.25">
      <c r="A8" s="388"/>
      <c r="B8" s="5" t="s">
        <v>61</v>
      </c>
      <c r="C8" s="388"/>
      <c r="D8" s="16">
        <v>742</v>
      </c>
      <c r="E8" s="16"/>
      <c r="F8" s="16"/>
      <c r="G8" s="16"/>
    </row>
    <row r="9" spans="1:7" x14ac:dyDescent="0.25">
      <c r="A9" s="388"/>
      <c r="B9" s="4" t="s">
        <v>58</v>
      </c>
      <c r="C9" s="389" t="s">
        <v>8</v>
      </c>
      <c r="D9" s="16">
        <v>57529</v>
      </c>
      <c r="E9" s="16"/>
      <c r="F9" s="16"/>
      <c r="G9" s="16"/>
    </row>
    <row r="10" spans="1:7" x14ac:dyDescent="0.25">
      <c r="A10" s="388"/>
      <c r="B10" s="4" t="s">
        <v>66</v>
      </c>
      <c r="C10" s="389"/>
      <c r="D10" s="16">
        <f>D9+D11-D12</f>
        <v>58453</v>
      </c>
      <c r="E10" s="16">
        <f t="shared" ref="E10:G10" si="2">E9+E11-E12</f>
        <v>0</v>
      </c>
      <c r="F10" s="16">
        <f t="shared" si="2"/>
        <v>0</v>
      </c>
      <c r="G10" s="16">
        <f t="shared" si="2"/>
        <v>0</v>
      </c>
    </row>
    <row r="11" spans="1:7" ht="16.5" customHeight="1" x14ac:dyDescent="0.25">
      <c r="A11" s="388"/>
      <c r="B11" s="6" t="s">
        <v>62</v>
      </c>
      <c r="C11" s="389"/>
      <c r="D11" s="16">
        <v>8715</v>
      </c>
      <c r="E11" s="16"/>
      <c r="F11" s="16"/>
      <c r="G11" s="16"/>
    </row>
    <row r="12" spans="1:7" ht="16.5" customHeight="1" x14ac:dyDescent="0.25">
      <c r="A12" s="388"/>
      <c r="B12" s="6" t="s">
        <v>63</v>
      </c>
      <c r="C12" s="389"/>
      <c r="D12" s="16">
        <v>7791</v>
      </c>
      <c r="E12" s="16"/>
      <c r="F12" s="16"/>
      <c r="G12" s="16"/>
    </row>
    <row r="13" spans="1:7" ht="30" x14ac:dyDescent="0.25">
      <c r="A13" s="2" t="s">
        <v>16</v>
      </c>
      <c r="B13" s="4" t="s">
        <v>59</v>
      </c>
      <c r="C13" s="3" t="s">
        <v>9</v>
      </c>
      <c r="D13" s="16">
        <v>2.04</v>
      </c>
      <c r="E13" s="16"/>
      <c r="F13" s="16"/>
      <c r="G13" s="16"/>
    </row>
    <row r="14" spans="1:7" s="11" customFormat="1" ht="28.5" x14ac:dyDescent="0.2">
      <c r="A14" s="88" t="s">
        <v>18</v>
      </c>
      <c r="B14" s="34" t="s">
        <v>57</v>
      </c>
      <c r="C14" s="89"/>
      <c r="D14" s="26">
        <f>SUM(D25*D36,D24*D35,D23*D34,D22*D33,D20*D31,D19*D30,D17*D28,D16*D27)</f>
        <v>16414.940000000002</v>
      </c>
      <c r="E14" s="26">
        <f t="shared" ref="E14:G14" si="3">SUM(E25*E36,E24*E35,E23*E34,E22*E33,E20*E31,E19*E30,E17*E28,E16*E27)</f>
        <v>0</v>
      </c>
      <c r="F14" s="26">
        <f t="shared" si="3"/>
        <v>0</v>
      </c>
      <c r="G14" s="26">
        <f t="shared" si="3"/>
        <v>0</v>
      </c>
    </row>
    <row r="15" spans="1:7" s="15" customFormat="1" ht="37.5" customHeight="1" x14ac:dyDescent="0.25">
      <c r="A15" s="387" t="s">
        <v>7</v>
      </c>
      <c r="B15" s="7" t="s">
        <v>55</v>
      </c>
      <c r="C15" s="21"/>
      <c r="D15" s="18"/>
      <c r="E15" s="18"/>
      <c r="F15" s="18"/>
      <c r="G15" s="18"/>
    </row>
    <row r="16" spans="1:7" s="15" customFormat="1" x14ac:dyDescent="0.25">
      <c r="A16" s="387"/>
      <c r="B16" s="8" t="s">
        <v>0</v>
      </c>
      <c r="C16" s="21" t="s">
        <v>35</v>
      </c>
      <c r="D16" s="18">
        <v>15</v>
      </c>
      <c r="E16" s="18"/>
      <c r="F16" s="18"/>
      <c r="G16" s="18"/>
    </row>
    <row r="17" spans="1:7" s="15" customFormat="1" x14ac:dyDescent="0.25">
      <c r="A17" s="387"/>
      <c r="B17" s="8" t="s">
        <v>14</v>
      </c>
      <c r="C17" s="21" t="s">
        <v>34</v>
      </c>
      <c r="D17" s="18">
        <v>200</v>
      </c>
      <c r="E17" s="18"/>
      <c r="F17" s="18"/>
      <c r="G17" s="18"/>
    </row>
    <row r="18" spans="1:7" s="15" customFormat="1" ht="18.75" customHeight="1" x14ac:dyDescent="0.25">
      <c r="A18" s="387"/>
      <c r="B18" s="9" t="s">
        <v>20</v>
      </c>
      <c r="C18" s="90"/>
      <c r="D18" s="18"/>
      <c r="E18" s="18"/>
      <c r="F18" s="18"/>
      <c r="G18" s="18"/>
    </row>
    <row r="19" spans="1:7" s="15" customFormat="1" ht="18.75" customHeight="1" x14ac:dyDescent="0.25">
      <c r="A19" s="387"/>
      <c r="B19" s="23" t="s">
        <v>36</v>
      </c>
      <c r="C19" s="24" t="s">
        <v>34</v>
      </c>
      <c r="D19" s="18">
        <v>105</v>
      </c>
      <c r="E19" s="18"/>
      <c r="F19" s="18"/>
      <c r="G19" s="18"/>
    </row>
    <row r="20" spans="1:7" s="15" customFormat="1" ht="18.75" customHeight="1" x14ac:dyDescent="0.25">
      <c r="A20" s="387"/>
      <c r="B20" s="23" t="s">
        <v>38</v>
      </c>
      <c r="C20" s="24" t="s">
        <v>37</v>
      </c>
      <c r="D20" s="18">
        <v>28</v>
      </c>
      <c r="E20" s="18"/>
      <c r="F20" s="18"/>
      <c r="G20" s="18"/>
    </row>
    <row r="21" spans="1:7" s="15" customFormat="1" x14ac:dyDescent="0.25">
      <c r="A21" s="387"/>
      <c r="B21" s="8" t="s">
        <v>12</v>
      </c>
      <c r="C21" s="387" t="s">
        <v>32</v>
      </c>
      <c r="D21" s="18"/>
      <c r="E21" s="18"/>
      <c r="F21" s="18"/>
      <c r="G21" s="18"/>
    </row>
    <row r="22" spans="1:7" s="15" customFormat="1" x14ac:dyDescent="0.25">
      <c r="A22" s="387"/>
      <c r="B22" s="22" t="s">
        <v>39</v>
      </c>
      <c r="C22" s="387"/>
      <c r="D22" s="18">
        <v>84</v>
      </c>
      <c r="E22" s="18"/>
      <c r="F22" s="18"/>
      <c r="G22" s="18"/>
    </row>
    <row r="23" spans="1:7" s="15" customFormat="1" x14ac:dyDescent="0.25">
      <c r="A23" s="387"/>
      <c r="B23" s="22" t="s">
        <v>40</v>
      </c>
      <c r="C23" s="387"/>
      <c r="D23" s="18">
        <v>3658</v>
      </c>
      <c r="E23" s="18"/>
      <c r="F23" s="18"/>
      <c r="G23" s="18"/>
    </row>
    <row r="24" spans="1:7" s="15" customFormat="1" ht="17.25" customHeight="1" x14ac:dyDescent="0.25">
      <c r="A24" s="387"/>
      <c r="B24" s="9" t="s">
        <v>26</v>
      </c>
      <c r="C24" s="21" t="s">
        <v>32</v>
      </c>
      <c r="D24" s="18">
        <v>1783</v>
      </c>
      <c r="E24" s="18"/>
      <c r="F24" s="18"/>
      <c r="G24" s="18"/>
    </row>
    <row r="25" spans="1:7" s="15" customFormat="1" ht="30" x14ac:dyDescent="0.25">
      <c r="A25" s="387"/>
      <c r="B25" s="22" t="s">
        <v>33</v>
      </c>
      <c r="C25" s="21" t="s">
        <v>41</v>
      </c>
      <c r="D25" s="18">
        <v>1</v>
      </c>
      <c r="E25" s="18"/>
      <c r="F25" s="18"/>
      <c r="G25" s="18"/>
    </row>
    <row r="26" spans="1:7" s="15" customFormat="1" ht="30" x14ac:dyDescent="0.25">
      <c r="A26" s="387"/>
      <c r="B26" s="7" t="s">
        <v>56</v>
      </c>
      <c r="C26" s="387" t="s">
        <v>42</v>
      </c>
      <c r="D26" s="91"/>
      <c r="E26" s="18"/>
      <c r="F26" s="18"/>
      <c r="G26" s="18"/>
    </row>
    <row r="27" spans="1:7" s="15" customFormat="1" x14ac:dyDescent="0.25">
      <c r="A27" s="387"/>
      <c r="B27" s="8" t="s">
        <v>0</v>
      </c>
      <c r="C27" s="387"/>
      <c r="D27" s="18">
        <v>3</v>
      </c>
      <c r="E27" s="18"/>
      <c r="F27" s="18"/>
      <c r="G27" s="18"/>
    </row>
    <row r="28" spans="1:7" s="15" customFormat="1" x14ac:dyDescent="0.25">
      <c r="A28" s="387"/>
      <c r="B28" s="8" t="s">
        <v>14</v>
      </c>
      <c r="C28" s="387"/>
      <c r="D28" s="18">
        <v>0.55000000000000004</v>
      </c>
      <c r="E28" s="18"/>
      <c r="F28" s="18"/>
      <c r="G28" s="18"/>
    </row>
    <row r="29" spans="1:7" s="15" customFormat="1" ht="18.75" customHeight="1" x14ac:dyDescent="0.25">
      <c r="A29" s="387"/>
      <c r="B29" s="9" t="s">
        <v>20</v>
      </c>
      <c r="C29" s="387"/>
      <c r="D29" s="18"/>
      <c r="E29" s="18"/>
      <c r="F29" s="18"/>
      <c r="G29" s="18"/>
    </row>
    <row r="30" spans="1:7" s="15" customFormat="1" ht="18.75" customHeight="1" x14ac:dyDescent="0.25">
      <c r="A30" s="387"/>
      <c r="B30" s="23" t="s">
        <v>36</v>
      </c>
      <c r="C30" s="387"/>
      <c r="D30" s="18">
        <v>0.53</v>
      </c>
      <c r="E30" s="18"/>
      <c r="F30" s="18"/>
      <c r="G30" s="18"/>
    </row>
    <row r="31" spans="1:7" s="15" customFormat="1" ht="15.75" customHeight="1" x14ac:dyDescent="0.25">
      <c r="A31" s="387"/>
      <c r="B31" s="23" t="s">
        <v>38</v>
      </c>
      <c r="C31" s="387"/>
      <c r="D31" s="18">
        <v>4.87</v>
      </c>
      <c r="E31" s="18"/>
      <c r="F31" s="18"/>
      <c r="G31" s="18"/>
    </row>
    <row r="32" spans="1:7" s="15" customFormat="1" x14ac:dyDescent="0.25">
      <c r="A32" s="387"/>
      <c r="B32" s="8" t="s">
        <v>12</v>
      </c>
      <c r="C32" s="387"/>
      <c r="D32" s="18"/>
      <c r="E32" s="18"/>
      <c r="F32" s="18"/>
      <c r="G32" s="18"/>
    </row>
    <row r="33" spans="1:7" s="15" customFormat="1" x14ac:dyDescent="0.25">
      <c r="A33" s="387"/>
      <c r="B33" s="22" t="s">
        <v>39</v>
      </c>
      <c r="C33" s="387"/>
      <c r="D33" s="18">
        <v>5.54</v>
      </c>
      <c r="E33" s="18"/>
      <c r="F33" s="18"/>
      <c r="G33" s="18"/>
    </row>
    <row r="34" spans="1:7" s="15" customFormat="1" x14ac:dyDescent="0.25">
      <c r="A34" s="387"/>
      <c r="B34" s="22" t="s">
        <v>40</v>
      </c>
      <c r="C34" s="387"/>
      <c r="D34" s="18">
        <v>2.2599999999999998</v>
      </c>
      <c r="E34" s="18"/>
      <c r="F34" s="18"/>
      <c r="G34" s="18"/>
    </row>
    <row r="35" spans="1:7" s="15" customFormat="1" ht="17.25" customHeight="1" x14ac:dyDescent="0.25">
      <c r="A35" s="387"/>
      <c r="B35" s="9" t="s">
        <v>26</v>
      </c>
      <c r="C35" s="387"/>
      <c r="D35" s="18">
        <v>4.03</v>
      </c>
      <c r="E35" s="18"/>
      <c r="F35" s="18"/>
      <c r="G35" s="18"/>
    </row>
    <row r="36" spans="1:7" s="15" customFormat="1" x14ac:dyDescent="0.25">
      <c r="A36" s="387"/>
      <c r="B36" s="22" t="s">
        <v>33</v>
      </c>
      <c r="C36" s="387"/>
      <c r="D36" s="18">
        <v>150</v>
      </c>
      <c r="E36" s="18"/>
      <c r="F36" s="18"/>
      <c r="G36" s="18"/>
    </row>
    <row r="37" spans="1:7" s="11" customFormat="1" ht="14.25" x14ac:dyDescent="0.2">
      <c r="A37" s="31" t="s">
        <v>43</v>
      </c>
      <c r="B37" s="31" t="s">
        <v>69</v>
      </c>
      <c r="C37" s="31"/>
      <c r="D37" s="77">
        <f>((D40/D41)-(D38/D39))*D39</f>
        <v>4716.5993557374186</v>
      </c>
      <c r="E37" s="77" t="e">
        <f t="shared" ref="E37:G37" si="4">((E40/E41)-(E38/E39))*E39</f>
        <v>#DIV/0!</v>
      </c>
      <c r="F37" s="77" t="e">
        <f t="shared" si="4"/>
        <v>#DIV/0!</v>
      </c>
      <c r="G37" s="77" t="e">
        <f t="shared" si="4"/>
        <v>#DIV/0!</v>
      </c>
    </row>
    <row r="38" spans="1:7" ht="60" x14ac:dyDescent="0.25">
      <c r="A38" s="386" t="s">
        <v>44</v>
      </c>
      <c r="B38" s="29" t="s">
        <v>52</v>
      </c>
      <c r="C38" s="30" t="s">
        <v>46</v>
      </c>
      <c r="D38" s="32">
        <v>20573</v>
      </c>
      <c r="E38" s="28"/>
      <c r="F38" s="28"/>
      <c r="G38" s="28"/>
    </row>
    <row r="39" spans="1:7" x14ac:dyDescent="0.25">
      <c r="A39" s="386"/>
      <c r="B39" s="29" t="s">
        <v>68</v>
      </c>
      <c r="C39" s="30" t="s">
        <v>8</v>
      </c>
      <c r="D39" s="32">
        <v>58453</v>
      </c>
      <c r="E39" s="28"/>
      <c r="F39" s="28"/>
      <c r="G39" s="28"/>
    </row>
    <row r="40" spans="1:7" ht="60" x14ac:dyDescent="0.25">
      <c r="A40" s="386" t="s">
        <v>45</v>
      </c>
      <c r="B40" s="29" t="s">
        <v>53</v>
      </c>
      <c r="C40" s="30" t="s">
        <v>46</v>
      </c>
      <c r="D40" s="32">
        <v>24847</v>
      </c>
      <c r="E40" s="28"/>
      <c r="F40" s="28"/>
      <c r="G40" s="28"/>
    </row>
    <row r="41" spans="1:7" x14ac:dyDescent="0.25">
      <c r="A41" s="386"/>
      <c r="B41" s="29" t="s">
        <v>54</v>
      </c>
      <c r="C41" s="30" t="s">
        <v>8</v>
      </c>
      <c r="D41" s="32">
        <v>57430</v>
      </c>
      <c r="E41" s="28"/>
      <c r="F41" s="28"/>
      <c r="G41" s="28"/>
    </row>
    <row r="44" spans="1:7" ht="15.75" thickBot="1" x14ac:dyDescent="0.3">
      <c r="B44" s="93" t="s">
        <v>71</v>
      </c>
      <c r="C44" s="92"/>
      <c r="D44" s="92"/>
      <c r="E44" s="92"/>
      <c r="F44" s="92"/>
      <c r="G44" s="92"/>
    </row>
    <row r="45" spans="1:7" ht="15.75" thickTop="1" x14ac:dyDescent="0.25"/>
  </sheetData>
  <mergeCells count="9">
    <mergeCell ref="A1:G1"/>
    <mergeCell ref="A38:A39"/>
    <mergeCell ref="A40:A41"/>
    <mergeCell ref="C21:C23"/>
    <mergeCell ref="A15:A36"/>
    <mergeCell ref="C26:C36"/>
    <mergeCell ref="A4:A12"/>
    <mergeCell ref="C4:C8"/>
    <mergeCell ref="C9:C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CE72A-5096-41A2-BC0C-8EC0FA0379E1}">
  <dimension ref="A1:G57"/>
  <sheetViews>
    <sheetView workbookViewId="0">
      <selection activeCell="D10" sqref="D10"/>
    </sheetView>
  </sheetViews>
  <sheetFormatPr defaultColWidth="9.140625" defaultRowHeight="15" x14ac:dyDescent="0.25"/>
  <cols>
    <col min="1" max="1" width="12.5703125" style="289" customWidth="1"/>
    <col min="2" max="2" width="46.140625" style="289" customWidth="1"/>
    <col min="3" max="3" width="11.42578125" style="358" customWidth="1"/>
    <col min="4" max="5" width="17" style="289" customWidth="1"/>
    <col min="6" max="6" width="14.28515625" style="289" customWidth="1"/>
    <col min="7" max="7" width="16.7109375" style="289" customWidth="1"/>
    <col min="8" max="16384" width="9.140625" style="289"/>
  </cols>
  <sheetData>
    <row r="1" spans="1:7" ht="42" customHeight="1" x14ac:dyDescent="0.3">
      <c r="A1" s="391" t="s">
        <v>70</v>
      </c>
      <c r="B1" s="391"/>
      <c r="C1" s="391"/>
      <c r="D1" s="391"/>
      <c r="E1" s="391"/>
      <c r="F1" s="391"/>
      <c r="G1" s="391"/>
    </row>
    <row r="2" spans="1:7" s="294" customFormat="1" ht="29.25" thickBot="1" x14ac:dyDescent="0.25">
      <c r="A2" s="290" t="s">
        <v>4</v>
      </c>
      <c r="B2" s="291"/>
      <c r="C2" s="292" t="s">
        <v>5</v>
      </c>
      <c r="D2" s="292" t="s">
        <v>1</v>
      </c>
      <c r="E2" s="293" t="s">
        <v>11</v>
      </c>
      <c r="F2" s="292" t="s">
        <v>2</v>
      </c>
      <c r="G2" s="292" t="s">
        <v>3</v>
      </c>
    </row>
    <row r="3" spans="1:7" s="294" customFormat="1" thickBot="1" x14ac:dyDescent="0.25">
      <c r="A3" s="295" t="s">
        <v>17</v>
      </c>
      <c r="B3" s="296" t="s">
        <v>67</v>
      </c>
      <c r="C3" s="297"/>
      <c r="D3" s="298">
        <f>(D10-D9)*D13</f>
        <v>1665.5882940000006</v>
      </c>
      <c r="E3" s="298">
        <f t="shared" ref="E3:G3" si="0">(E10-E9)*E13</f>
        <v>0</v>
      </c>
      <c r="F3" s="298">
        <f t="shared" si="0"/>
        <v>0</v>
      </c>
      <c r="G3" s="299">
        <f t="shared" si="0"/>
        <v>0</v>
      </c>
    </row>
    <row r="4" spans="1:7" x14ac:dyDescent="0.25">
      <c r="A4" s="392" t="s">
        <v>7</v>
      </c>
      <c r="B4" s="300" t="s">
        <v>13</v>
      </c>
      <c r="C4" s="395" t="s">
        <v>6</v>
      </c>
      <c r="D4" s="301">
        <v>14</v>
      </c>
      <c r="E4" s="302"/>
      <c r="F4" s="301"/>
      <c r="G4" s="303"/>
    </row>
    <row r="5" spans="1:7" ht="15" customHeight="1" x14ac:dyDescent="0.25">
      <c r="A5" s="393"/>
      <c r="B5" s="304" t="s">
        <v>64</v>
      </c>
      <c r="C5" s="395"/>
      <c r="D5" s="305">
        <v>3966</v>
      </c>
      <c r="E5" s="305"/>
      <c r="F5" s="305"/>
      <c r="G5" s="306"/>
    </row>
    <row r="6" spans="1:7" x14ac:dyDescent="0.25">
      <c r="A6" s="393"/>
      <c r="B6" s="304" t="s">
        <v>65</v>
      </c>
      <c r="C6" s="395"/>
      <c r="D6" s="305">
        <f>D5+D7-D8</f>
        <v>3796</v>
      </c>
      <c r="E6" s="305">
        <f t="shared" ref="E6:G6" si="1">E5+E7-E8</f>
        <v>0</v>
      </c>
      <c r="F6" s="305">
        <f t="shared" si="1"/>
        <v>0</v>
      </c>
      <c r="G6" s="306">
        <f t="shared" si="1"/>
        <v>0</v>
      </c>
    </row>
    <row r="7" spans="1:7" x14ac:dyDescent="0.25">
      <c r="A7" s="393"/>
      <c r="B7" s="307" t="s">
        <v>60</v>
      </c>
      <c r="C7" s="395"/>
      <c r="D7" s="305">
        <v>0</v>
      </c>
      <c r="E7" s="305"/>
      <c r="F7" s="305"/>
      <c r="G7" s="306"/>
    </row>
    <row r="8" spans="1:7" x14ac:dyDescent="0.25">
      <c r="A8" s="393"/>
      <c r="B8" s="307" t="s">
        <v>61</v>
      </c>
      <c r="C8" s="396"/>
      <c r="D8" s="308">
        <f>17*10</f>
        <v>170</v>
      </c>
      <c r="E8" s="305"/>
      <c r="F8" s="305"/>
      <c r="G8" s="306"/>
    </row>
    <row r="9" spans="1:7" x14ac:dyDescent="0.25">
      <c r="A9" s="393"/>
      <c r="B9" s="304" t="s">
        <v>58</v>
      </c>
      <c r="C9" s="397" t="s">
        <v>8</v>
      </c>
      <c r="D9" s="305">
        <v>36350.22</v>
      </c>
      <c r="E9" s="305"/>
      <c r="F9" s="305"/>
      <c r="G9" s="306"/>
    </row>
    <row r="10" spans="1:7" x14ac:dyDescent="0.25">
      <c r="A10" s="393"/>
      <c r="B10" s="304" t="s">
        <v>66</v>
      </c>
      <c r="C10" s="398"/>
      <c r="D10" s="305">
        <f>D9+D12-D11</f>
        <v>37669.08</v>
      </c>
      <c r="E10" s="305">
        <f t="shared" ref="E10:G10" si="2">E9+E11-E12</f>
        <v>0</v>
      </c>
      <c r="F10" s="305">
        <f t="shared" si="2"/>
        <v>0</v>
      </c>
      <c r="G10" s="306">
        <f t="shared" si="2"/>
        <v>0</v>
      </c>
    </row>
    <row r="11" spans="1:7" ht="16.5" customHeight="1" x14ac:dyDescent="0.25">
      <c r="A11" s="393"/>
      <c r="B11" s="309" t="s">
        <v>62</v>
      </c>
      <c r="C11" s="398"/>
      <c r="D11" s="305">
        <v>0</v>
      </c>
      <c r="E11" s="305"/>
      <c r="F11" s="305"/>
      <c r="G11" s="306"/>
    </row>
    <row r="12" spans="1:7" ht="16.5" customHeight="1" x14ac:dyDescent="0.25">
      <c r="A12" s="394"/>
      <c r="B12" s="309" t="s">
        <v>63</v>
      </c>
      <c r="C12" s="399"/>
      <c r="D12" s="308">
        <f>77.58*17</f>
        <v>1318.86</v>
      </c>
      <c r="E12" s="305"/>
      <c r="F12" s="305"/>
      <c r="G12" s="306"/>
    </row>
    <row r="13" spans="1:7" ht="30.75" thickBot="1" x14ac:dyDescent="0.3">
      <c r="A13" s="310" t="s">
        <v>16</v>
      </c>
      <c r="B13" s="311" t="s">
        <v>59</v>
      </c>
      <c r="C13" s="312" t="s">
        <v>9</v>
      </c>
      <c r="D13" s="313">
        <v>1.2628999999999999</v>
      </c>
      <c r="E13" s="314"/>
      <c r="F13" s="314"/>
      <c r="G13" s="315"/>
    </row>
    <row r="14" spans="1:7" s="294" customFormat="1" ht="29.25" thickBot="1" x14ac:dyDescent="0.25">
      <c r="A14" s="316" t="s">
        <v>18</v>
      </c>
      <c r="B14" s="317" t="s">
        <v>57</v>
      </c>
      <c r="C14" s="318"/>
      <c r="D14" s="319">
        <f>SUM(D16*D23,D17*D24,D18*D25,D19*D26,D20*D27,D21*D28)</f>
        <v>57.772999999999996</v>
      </c>
      <c r="E14" s="319">
        <f t="shared" ref="E14:G14" si="3">SUM(E16*E23,E17*E24,E18*E25,E19*E26,E20*E27,E21*E28)</f>
        <v>0</v>
      </c>
      <c r="F14" s="319">
        <f t="shared" si="3"/>
        <v>0</v>
      </c>
      <c r="G14" s="320">
        <f t="shared" si="3"/>
        <v>0</v>
      </c>
    </row>
    <row r="15" spans="1:7" s="325" customFormat="1" ht="48.75" customHeight="1" x14ac:dyDescent="0.25">
      <c r="A15" s="400" t="s">
        <v>7</v>
      </c>
      <c r="B15" s="321" t="s">
        <v>55</v>
      </c>
      <c r="C15" s="322"/>
      <c r="D15" s="323"/>
      <c r="E15" s="323"/>
      <c r="F15" s="323"/>
      <c r="G15" s="324"/>
    </row>
    <row r="16" spans="1:7" s="325" customFormat="1" x14ac:dyDescent="0.25">
      <c r="A16" s="401"/>
      <c r="B16" s="326" t="s">
        <v>0</v>
      </c>
      <c r="C16" s="322" t="s">
        <v>35</v>
      </c>
      <c r="D16" s="327">
        <f>5+1</f>
        <v>6</v>
      </c>
      <c r="E16" s="327"/>
      <c r="F16" s="327"/>
      <c r="G16" s="328"/>
    </row>
    <row r="17" spans="1:7" s="325" customFormat="1" x14ac:dyDescent="0.25">
      <c r="A17" s="401"/>
      <c r="B17" s="326" t="s">
        <v>14</v>
      </c>
      <c r="C17" s="322" t="s">
        <v>34</v>
      </c>
      <c r="D17" s="327">
        <v>10</v>
      </c>
      <c r="E17" s="327"/>
      <c r="F17" s="327"/>
      <c r="G17" s="328"/>
    </row>
    <row r="18" spans="1:7" s="325" customFormat="1" ht="18.75" customHeight="1" x14ac:dyDescent="0.25">
      <c r="A18" s="401"/>
      <c r="B18" s="329" t="s">
        <v>20</v>
      </c>
      <c r="C18" s="322"/>
      <c r="D18" s="327"/>
      <c r="E18" s="327"/>
      <c r="F18" s="327"/>
      <c r="G18" s="328"/>
    </row>
    <row r="19" spans="1:7" s="325" customFormat="1" x14ac:dyDescent="0.25">
      <c r="A19" s="401"/>
      <c r="B19" s="326" t="s">
        <v>12</v>
      </c>
      <c r="C19" s="322"/>
      <c r="D19" s="327"/>
      <c r="E19" s="327"/>
      <c r="F19" s="327"/>
      <c r="G19" s="328"/>
    </row>
    <row r="20" spans="1:7" s="325" customFormat="1" ht="17.25" customHeight="1" x14ac:dyDescent="0.25">
      <c r="A20" s="401"/>
      <c r="B20" s="329" t="s">
        <v>26</v>
      </c>
      <c r="C20" s="322"/>
      <c r="D20" s="327"/>
      <c r="E20" s="327"/>
      <c r="F20" s="327"/>
      <c r="G20" s="328"/>
    </row>
    <row r="21" spans="1:7" s="325" customFormat="1" ht="15.75" thickBot="1" x14ac:dyDescent="0.3">
      <c r="A21" s="401"/>
      <c r="B21" s="330" t="s">
        <v>75</v>
      </c>
      <c r="C21" s="331" t="s">
        <v>34</v>
      </c>
      <c r="D21" s="332">
        <f>100+50</f>
        <v>150</v>
      </c>
      <c r="E21" s="332"/>
      <c r="F21" s="332"/>
      <c r="G21" s="333"/>
    </row>
    <row r="22" spans="1:7" s="325" customFormat="1" ht="30" x14ac:dyDescent="0.25">
      <c r="A22" s="401"/>
      <c r="B22" s="334" t="s">
        <v>56</v>
      </c>
      <c r="C22" s="403" t="s">
        <v>42</v>
      </c>
      <c r="D22" s="335"/>
      <c r="E22" s="335"/>
      <c r="F22" s="335"/>
      <c r="G22" s="336"/>
    </row>
    <row r="23" spans="1:7" s="325" customFormat="1" x14ac:dyDescent="0.25">
      <c r="A23" s="401"/>
      <c r="B23" s="326" t="s">
        <v>0</v>
      </c>
      <c r="C23" s="404"/>
      <c r="D23" s="327">
        <v>2.105</v>
      </c>
      <c r="E23" s="327"/>
      <c r="F23" s="327"/>
      <c r="G23" s="328"/>
    </row>
    <row r="24" spans="1:7" s="325" customFormat="1" x14ac:dyDescent="0.25">
      <c r="A24" s="401"/>
      <c r="B24" s="326" t="s">
        <v>14</v>
      </c>
      <c r="C24" s="404"/>
      <c r="D24" s="327">
        <v>1.3967000000000001</v>
      </c>
      <c r="E24" s="327"/>
      <c r="F24" s="327"/>
      <c r="G24" s="328"/>
    </row>
    <row r="25" spans="1:7" s="325" customFormat="1" ht="15" customHeight="1" x14ac:dyDescent="0.25">
      <c r="A25" s="401"/>
      <c r="B25" s="329" t="s">
        <v>20</v>
      </c>
      <c r="C25" s="404"/>
      <c r="D25" s="327"/>
      <c r="E25" s="327"/>
      <c r="F25" s="327"/>
      <c r="G25" s="328"/>
    </row>
    <row r="26" spans="1:7" s="325" customFormat="1" ht="31.5" customHeight="1" x14ac:dyDescent="0.25">
      <c r="A26" s="401"/>
      <c r="B26" s="329" t="s">
        <v>25</v>
      </c>
      <c r="C26" s="404"/>
      <c r="D26" s="327"/>
      <c r="E26" s="327"/>
      <c r="F26" s="327"/>
      <c r="G26" s="328"/>
    </row>
    <row r="27" spans="1:7" s="325" customFormat="1" ht="33" customHeight="1" x14ac:dyDescent="0.25">
      <c r="A27" s="401"/>
      <c r="B27" s="329" t="s">
        <v>27</v>
      </c>
      <c r="C27" s="404"/>
      <c r="D27" s="327"/>
      <c r="E27" s="327"/>
      <c r="F27" s="327"/>
      <c r="G27" s="328"/>
    </row>
    <row r="28" spans="1:7" ht="15.75" thickBot="1" x14ac:dyDescent="0.3">
      <c r="A28" s="402"/>
      <c r="B28" s="330" t="s">
        <v>75</v>
      </c>
      <c r="C28" s="405"/>
      <c r="D28" s="332">
        <v>0.20784</v>
      </c>
      <c r="E28" s="332"/>
      <c r="F28" s="332"/>
      <c r="G28" s="333"/>
    </row>
    <row r="29" spans="1:7" s="294" customFormat="1" ht="14.25" x14ac:dyDescent="0.2">
      <c r="A29" s="337" t="s">
        <v>43</v>
      </c>
      <c r="B29" s="338" t="s">
        <v>69</v>
      </c>
      <c r="C29" s="339"/>
      <c r="D29" s="340">
        <f>((D32/D33)-(D30/D31))*D31</f>
        <v>17868.30078034255</v>
      </c>
      <c r="E29" s="340" t="e">
        <f>((E32/E33)-(E31/#REF!))*#REF!</f>
        <v>#DIV/0!</v>
      </c>
      <c r="F29" s="340" t="e">
        <f t="shared" ref="F29:G29" si="4">((F32/F33)-(F30/F31))*F31</f>
        <v>#DIV/0!</v>
      </c>
      <c r="G29" s="341" t="e">
        <f t="shared" si="4"/>
        <v>#DIV/0!</v>
      </c>
    </row>
    <row r="30" spans="1:7" ht="60" x14ac:dyDescent="0.25">
      <c r="A30" s="406" t="s">
        <v>44</v>
      </c>
      <c r="B30" s="342" t="s">
        <v>52</v>
      </c>
      <c r="C30" s="343" t="s">
        <v>46</v>
      </c>
      <c r="D30" s="344">
        <v>20729.79</v>
      </c>
      <c r="E30" s="345"/>
      <c r="F30" s="346"/>
      <c r="G30" s="347"/>
    </row>
    <row r="31" spans="1:7" x14ac:dyDescent="0.25">
      <c r="A31" s="407"/>
      <c r="B31" s="342" t="s">
        <v>68</v>
      </c>
      <c r="C31" s="343" t="s">
        <v>8</v>
      </c>
      <c r="D31" s="344">
        <v>36350.22</v>
      </c>
      <c r="E31" s="346"/>
      <c r="F31" s="346"/>
      <c r="G31" s="347"/>
    </row>
    <row r="32" spans="1:7" ht="60" x14ac:dyDescent="0.25">
      <c r="A32" s="406" t="s">
        <v>45</v>
      </c>
      <c r="B32" s="342" t="s">
        <v>53</v>
      </c>
      <c r="C32" s="343" t="s">
        <v>46</v>
      </c>
      <c r="D32" s="344">
        <v>39022.199999999997</v>
      </c>
      <c r="E32" s="346"/>
      <c r="F32" s="346"/>
      <c r="G32" s="347"/>
    </row>
    <row r="33" spans="1:7" ht="15.75" thickBot="1" x14ac:dyDescent="0.3">
      <c r="A33" s="407"/>
      <c r="B33" s="348" t="s">
        <v>54</v>
      </c>
      <c r="C33" s="349" t="s">
        <v>8</v>
      </c>
      <c r="D33" s="350">
        <v>36749.629999999997</v>
      </c>
      <c r="E33" s="351"/>
      <c r="F33" s="351"/>
      <c r="G33" s="352"/>
    </row>
    <row r="36" spans="1:7" ht="15.75" thickBot="1" x14ac:dyDescent="0.3">
      <c r="B36" s="353" t="s">
        <v>71</v>
      </c>
      <c r="C36" s="354"/>
      <c r="D36" s="355"/>
      <c r="E36" s="356" t="s">
        <v>78</v>
      </c>
      <c r="F36" s="355"/>
      <c r="G36" s="355"/>
    </row>
    <row r="37" spans="1:7" ht="15.75" thickTop="1" x14ac:dyDescent="0.25">
      <c r="B37" s="357" t="s">
        <v>77</v>
      </c>
    </row>
    <row r="38" spans="1:7" x14ac:dyDescent="0.25">
      <c r="B38" s="357" t="s">
        <v>76</v>
      </c>
    </row>
    <row r="39" spans="1:7" x14ac:dyDescent="0.25">
      <c r="A39" s="289" t="s">
        <v>10</v>
      </c>
    </row>
    <row r="40" spans="1:7" ht="33" customHeight="1" x14ac:dyDescent="0.25">
      <c r="A40" s="390" t="s">
        <v>31</v>
      </c>
      <c r="B40" s="390"/>
      <c r="C40" s="390"/>
      <c r="D40" s="390"/>
      <c r="E40" s="390"/>
      <c r="F40" s="390"/>
      <c r="G40" s="390"/>
    </row>
    <row r="41" spans="1:7" x14ac:dyDescent="0.25">
      <c r="A41" s="325" t="s">
        <v>30</v>
      </c>
      <c r="B41" s="325"/>
      <c r="C41" s="359"/>
      <c r="D41" s="325"/>
      <c r="E41" s="325"/>
      <c r="F41" s="325"/>
      <c r="G41" s="325"/>
    </row>
    <row r="42" spans="1:7" ht="28.5" customHeight="1" x14ac:dyDescent="0.25">
      <c r="A42" s="408" t="s">
        <v>19</v>
      </c>
      <c r="B42" s="408"/>
      <c r="C42" s="408"/>
      <c r="D42" s="408"/>
      <c r="E42" s="408"/>
      <c r="F42" s="408"/>
      <c r="G42" s="408"/>
    </row>
    <row r="43" spans="1:7" ht="33" customHeight="1" x14ac:dyDescent="0.25">
      <c r="A43" s="390" t="s">
        <v>22</v>
      </c>
      <c r="B43" s="390"/>
      <c r="C43" s="390"/>
      <c r="D43" s="390"/>
      <c r="E43" s="390"/>
      <c r="F43" s="390"/>
      <c r="G43" s="390"/>
    </row>
    <row r="44" spans="1:7" ht="33" customHeight="1" x14ac:dyDescent="0.25">
      <c r="A44" s="390" t="s">
        <v>47</v>
      </c>
      <c r="B44" s="390"/>
      <c r="C44" s="390"/>
      <c r="D44" s="390"/>
      <c r="E44" s="390"/>
      <c r="F44" s="390"/>
      <c r="G44" s="390"/>
    </row>
    <row r="45" spans="1:7" x14ac:dyDescent="0.25">
      <c r="A45" s="325"/>
      <c r="B45" s="325"/>
      <c r="C45" s="359"/>
      <c r="D45" s="325"/>
      <c r="E45" s="325"/>
      <c r="F45" s="325"/>
      <c r="G45" s="325"/>
    </row>
    <row r="46" spans="1:7" x14ac:dyDescent="0.25">
      <c r="A46" s="360" t="s">
        <v>21</v>
      </c>
      <c r="B46" s="325"/>
      <c r="C46" s="359"/>
      <c r="D46" s="325"/>
      <c r="E46" s="325"/>
      <c r="F46" s="325"/>
      <c r="G46" s="325"/>
    </row>
    <row r="47" spans="1:7" ht="30" customHeight="1" x14ac:dyDescent="0.25">
      <c r="A47" s="390" t="s">
        <v>48</v>
      </c>
      <c r="B47" s="390"/>
      <c r="C47" s="390"/>
      <c r="D47" s="390"/>
      <c r="E47" s="390"/>
      <c r="F47" s="390"/>
      <c r="G47" s="390"/>
    </row>
    <row r="48" spans="1:7" ht="33" customHeight="1" x14ac:dyDescent="0.25">
      <c r="A48" s="390" t="s">
        <v>23</v>
      </c>
      <c r="B48" s="390"/>
      <c r="C48" s="390"/>
      <c r="D48" s="390"/>
      <c r="E48" s="390"/>
      <c r="F48" s="390"/>
      <c r="G48" s="390"/>
    </row>
    <row r="49" spans="1:7" ht="34.5" customHeight="1" x14ac:dyDescent="0.25">
      <c r="A49" s="390" t="s">
        <v>28</v>
      </c>
      <c r="B49" s="390"/>
      <c r="C49" s="390"/>
      <c r="D49" s="390"/>
      <c r="E49" s="390"/>
      <c r="F49" s="390"/>
      <c r="G49" s="390"/>
    </row>
    <row r="50" spans="1:7" ht="63" customHeight="1" x14ac:dyDescent="0.25">
      <c r="A50" s="390" t="s">
        <v>49</v>
      </c>
      <c r="B50" s="390"/>
      <c r="C50" s="390"/>
      <c r="D50" s="390"/>
      <c r="E50" s="390"/>
      <c r="F50" s="390"/>
      <c r="G50" s="390"/>
    </row>
    <row r="51" spans="1:7" ht="30.75" customHeight="1" x14ac:dyDescent="0.25">
      <c r="A51" s="390" t="s">
        <v>24</v>
      </c>
      <c r="B51" s="390"/>
      <c r="C51" s="390"/>
      <c r="D51" s="390"/>
      <c r="E51" s="390"/>
      <c r="F51" s="390"/>
      <c r="G51" s="390"/>
    </row>
    <row r="52" spans="1:7" ht="43.5" customHeight="1" x14ac:dyDescent="0.25">
      <c r="A52" s="409" t="s">
        <v>29</v>
      </c>
      <c r="B52" s="409"/>
      <c r="C52" s="409"/>
      <c r="D52" s="409"/>
      <c r="E52" s="409"/>
      <c r="F52" s="409"/>
      <c r="G52" s="409"/>
    </row>
    <row r="53" spans="1:7" ht="30" customHeight="1" x14ac:dyDescent="0.25">
      <c r="A53" s="390" t="s">
        <v>50</v>
      </c>
      <c r="B53" s="390"/>
      <c r="C53" s="390"/>
      <c r="D53" s="390"/>
      <c r="E53" s="390"/>
      <c r="F53" s="390"/>
      <c r="G53" s="390"/>
    </row>
    <row r="54" spans="1:7" ht="45" customHeight="1" x14ac:dyDescent="0.25">
      <c r="A54" s="390" t="s">
        <v>51</v>
      </c>
      <c r="B54" s="390"/>
      <c r="C54" s="390"/>
      <c r="D54" s="390"/>
      <c r="E54" s="390"/>
      <c r="F54" s="390"/>
      <c r="G54" s="390"/>
    </row>
    <row r="55" spans="1:7" ht="16.5" customHeight="1" x14ac:dyDescent="0.25">
      <c r="A55" s="361"/>
      <c r="B55" s="361"/>
      <c r="C55" s="362"/>
      <c r="D55" s="361"/>
      <c r="E55" s="361"/>
      <c r="F55" s="361"/>
      <c r="G55" s="361"/>
    </row>
    <row r="56" spans="1:7" x14ac:dyDescent="0.25">
      <c r="A56" s="325"/>
      <c r="B56" s="325"/>
      <c r="C56" s="359"/>
      <c r="D56" s="325"/>
      <c r="E56" s="325"/>
      <c r="F56" s="325"/>
      <c r="G56" s="325"/>
    </row>
    <row r="57" spans="1:7" x14ac:dyDescent="0.25">
      <c r="A57" s="325"/>
      <c r="B57" s="325"/>
      <c r="C57" s="359"/>
      <c r="D57" s="325"/>
      <c r="E57" s="325"/>
      <c r="F57" s="325"/>
      <c r="G57" s="325"/>
    </row>
  </sheetData>
  <mergeCells count="20">
    <mergeCell ref="A53:G53"/>
    <mergeCell ref="A54:G54"/>
    <mergeCell ref="A47:G47"/>
    <mergeCell ref="A48:G48"/>
    <mergeCell ref="A49:G49"/>
    <mergeCell ref="A50:G50"/>
    <mergeCell ref="A51:G51"/>
    <mergeCell ref="A52:G52"/>
    <mergeCell ref="A44:G44"/>
    <mergeCell ref="A1:G1"/>
    <mergeCell ref="A4:A12"/>
    <mergeCell ref="C4:C8"/>
    <mergeCell ref="C9:C12"/>
    <mergeCell ref="A15:A28"/>
    <mergeCell ref="C22:C28"/>
    <mergeCell ref="A30:A31"/>
    <mergeCell ref="A32:A33"/>
    <mergeCell ref="A40:G40"/>
    <mergeCell ref="A42:G42"/>
    <mergeCell ref="A43:G4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294BD-D0B4-4751-AFEF-DB32F755BE00}">
  <dimension ref="A1:J57"/>
  <sheetViews>
    <sheetView workbookViewId="0">
      <selection activeCell="H1" sqref="H1:J1048576"/>
    </sheetView>
  </sheetViews>
  <sheetFormatPr defaultColWidth="9.140625" defaultRowHeight="15" x14ac:dyDescent="0.25"/>
  <cols>
    <col min="1" max="1" width="12.5703125" style="124" customWidth="1"/>
    <col min="2" max="2" width="46.140625" style="124" customWidth="1"/>
    <col min="3" max="3" width="11.42578125" style="200" customWidth="1"/>
    <col min="4" max="5" width="17" style="124" customWidth="1"/>
    <col min="6" max="6" width="14.28515625" style="124" customWidth="1"/>
    <col min="7" max="7" width="16.7109375" style="124" customWidth="1"/>
    <col min="8" max="10" width="0" style="124" hidden="1" customWidth="1"/>
    <col min="11" max="16384" width="9.140625" style="124"/>
  </cols>
  <sheetData>
    <row r="1" spans="1:10" ht="42" customHeight="1" x14ac:dyDescent="0.3">
      <c r="A1" s="411" t="s">
        <v>70</v>
      </c>
      <c r="B1" s="411"/>
      <c r="C1" s="411"/>
      <c r="D1" s="411"/>
      <c r="E1" s="411"/>
      <c r="F1" s="411"/>
      <c r="G1" s="411"/>
    </row>
    <row r="2" spans="1:10" s="130" customFormat="1" ht="29.25" thickBot="1" x14ac:dyDescent="0.25">
      <c r="A2" s="125" t="s">
        <v>4</v>
      </c>
      <c r="B2" s="126"/>
      <c r="C2" s="127" t="s">
        <v>5</v>
      </c>
      <c r="D2" s="127" t="s">
        <v>1</v>
      </c>
      <c r="E2" s="128" t="s">
        <v>11</v>
      </c>
      <c r="F2" s="127" t="s">
        <v>2</v>
      </c>
      <c r="G2" s="129" t="s">
        <v>3</v>
      </c>
    </row>
    <row r="3" spans="1:10" s="130" customFormat="1" thickBot="1" x14ac:dyDescent="0.25">
      <c r="A3" s="131" t="s">
        <v>17</v>
      </c>
      <c r="B3" s="132" t="s">
        <v>67</v>
      </c>
      <c r="C3" s="133"/>
      <c r="D3" s="134">
        <f>(D10-D9)*D13</f>
        <v>-1665.5882940000006</v>
      </c>
      <c r="E3" s="135">
        <f t="shared" ref="E3:G3" si="0">(E10-E9)*E13</f>
        <v>0</v>
      </c>
      <c r="F3" s="135">
        <f t="shared" si="0"/>
        <v>0</v>
      </c>
      <c r="G3" s="136">
        <f t="shared" si="0"/>
        <v>0</v>
      </c>
    </row>
    <row r="4" spans="1:10" x14ac:dyDescent="0.25">
      <c r="A4" s="412" t="s">
        <v>7</v>
      </c>
      <c r="B4" s="137" t="s">
        <v>13</v>
      </c>
      <c r="C4" s="415" t="s">
        <v>6</v>
      </c>
      <c r="D4" s="138">
        <v>14</v>
      </c>
      <c r="E4" s="139"/>
      <c r="F4" s="138"/>
      <c r="G4" s="140"/>
    </row>
    <row r="5" spans="1:10" ht="15" customHeight="1" x14ac:dyDescent="0.25">
      <c r="A5" s="413"/>
      <c r="B5" s="141" t="s">
        <v>64</v>
      </c>
      <c r="C5" s="415"/>
      <c r="D5" s="205">
        <v>3966</v>
      </c>
      <c r="E5" s="142"/>
      <c r="F5" s="142"/>
      <c r="G5" s="143"/>
    </row>
    <row r="6" spans="1:10" x14ac:dyDescent="0.25">
      <c r="A6" s="413"/>
      <c r="B6" s="141" t="s">
        <v>65</v>
      </c>
      <c r="C6" s="415"/>
      <c r="D6" s="205">
        <f>D5+D7-D8</f>
        <v>3796</v>
      </c>
      <c r="E6" s="142">
        <f t="shared" ref="E6:G6" si="1">E5+E7-E8</f>
        <v>0</v>
      </c>
      <c r="F6" s="142">
        <f t="shared" si="1"/>
        <v>0</v>
      </c>
      <c r="G6" s="143">
        <f t="shared" si="1"/>
        <v>0</v>
      </c>
      <c r="H6" s="206">
        <f>D5-D8</f>
        <v>3796</v>
      </c>
      <c r="I6" s="206" t="b">
        <f>H6=D6</f>
        <v>1</v>
      </c>
    </row>
    <row r="7" spans="1:10" x14ac:dyDescent="0.25">
      <c r="A7" s="413"/>
      <c r="B7" s="144" t="s">
        <v>60</v>
      </c>
      <c r="C7" s="415"/>
      <c r="D7" s="205">
        <v>0</v>
      </c>
      <c r="E7" s="142"/>
      <c r="F7" s="142"/>
      <c r="G7" s="143"/>
    </row>
    <row r="8" spans="1:10" x14ac:dyDescent="0.25">
      <c r="A8" s="413"/>
      <c r="B8" s="144" t="s">
        <v>61</v>
      </c>
      <c r="C8" s="416"/>
      <c r="D8" s="145">
        <f>17*10</f>
        <v>170</v>
      </c>
      <c r="E8" s="142"/>
      <c r="F8" s="142"/>
      <c r="G8" s="143"/>
    </row>
    <row r="9" spans="1:10" x14ac:dyDescent="0.25">
      <c r="A9" s="413"/>
      <c r="B9" s="141" t="s">
        <v>58</v>
      </c>
      <c r="C9" s="417" t="s">
        <v>8</v>
      </c>
      <c r="D9" s="142">
        <v>37669.08</v>
      </c>
      <c r="E9" s="142"/>
      <c r="F9" s="142"/>
      <c r="G9" s="143"/>
    </row>
    <row r="10" spans="1:10" x14ac:dyDescent="0.25">
      <c r="A10" s="413"/>
      <c r="B10" s="146" t="s">
        <v>66</v>
      </c>
      <c r="C10" s="418"/>
      <c r="D10" s="147">
        <f>D9-D12+D11</f>
        <v>36350.22</v>
      </c>
      <c r="E10" s="142">
        <f t="shared" ref="E10:G10" si="2">E9+E11-E12</f>
        <v>0</v>
      </c>
      <c r="F10" s="142">
        <f t="shared" si="2"/>
        <v>0</v>
      </c>
      <c r="G10" s="143">
        <f t="shared" si="2"/>
        <v>0</v>
      </c>
      <c r="H10" s="208">
        <f ca="1">atskaites_jedox!AB8</f>
        <v>49034.52</v>
      </c>
      <c r="I10" s="207">
        <f>D9-D12</f>
        <v>36350.22</v>
      </c>
      <c r="J10" s="124" t="b">
        <f>I10=D31</f>
        <v>1</v>
      </c>
    </row>
    <row r="11" spans="1:10" ht="16.5" customHeight="1" x14ac:dyDescent="0.25">
      <c r="A11" s="413"/>
      <c r="B11" s="148" t="s">
        <v>62</v>
      </c>
      <c r="C11" s="418"/>
      <c r="D11" s="142">
        <v>0</v>
      </c>
      <c r="E11" s="142"/>
      <c r="F11" s="142"/>
      <c r="G11" s="143"/>
    </row>
    <row r="12" spans="1:10" ht="16.5" customHeight="1" x14ac:dyDescent="0.25">
      <c r="A12" s="414"/>
      <c r="B12" s="148" t="s">
        <v>63</v>
      </c>
      <c r="C12" s="419"/>
      <c r="D12" s="145">
        <f>77.58*17</f>
        <v>1318.86</v>
      </c>
      <c r="E12" s="142"/>
      <c r="F12" s="142"/>
      <c r="G12" s="143"/>
    </row>
    <row r="13" spans="1:10" ht="30.75" thickBot="1" x14ac:dyDescent="0.3">
      <c r="A13" s="149" t="s">
        <v>16</v>
      </c>
      <c r="B13" s="150" t="s">
        <v>59</v>
      </c>
      <c r="C13" s="151" t="s">
        <v>9</v>
      </c>
      <c r="D13" s="152">
        <v>1.2628999999999999</v>
      </c>
      <c r="E13" s="153"/>
      <c r="F13" s="153"/>
      <c r="G13" s="154"/>
      <c r="H13" s="206">
        <f ca="1">atskaites_jedox!AC8</f>
        <v>1.26</v>
      </c>
    </row>
    <row r="14" spans="1:10" s="130" customFormat="1" ht="29.25" thickBot="1" x14ac:dyDescent="0.25">
      <c r="A14" s="155" t="s">
        <v>18</v>
      </c>
      <c r="B14" s="156" t="s">
        <v>57</v>
      </c>
      <c r="C14" s="157"/>
      <c r="D14" s="158">
        <f>SUM(D16*D23,D17*D24,D18*D25,D19*D26,D20*D27,D21*D28)</f>
        <v>57.772999999999996</v>
      </c>
      <c r="E14" s="158">
        <f t="shared" ref="E14:G14" si="3">SUM(E16*E23,E17*E24,E18*E25,E19*E26,E20*E27,E21*E28)</f>
        <v>0</v>
      </c>
      <c r="F14" s="158">
        <f t="shared" si="3"/>
        <v>0</v>
      </c>
      <c r="G14" s="159">
        <f t="shared" si="3"/>
        <v>0</v>
      </c>
    </row>
    <row r="15" spans="1:10" s="164" customFormat="1" ht="48.75" customHeight="1" x14ac:dyDescent="0.25">
      <c r="A15" s="420" t="s">
        <v>7</v>
      </c>
      <c r="B15" s="160" t="s">
        <v>55</v>
      </c>
      <c r="C15" s="161"/>
      <c r="D15" s="162"/>
      <c r="E15" s="162"/>
      <c r="F15" s="162"/>
      <c r="G15" s="163"/>
    </row>
    <row r="16" spans="1:10" s="164" customFormat="1" x14ac:dyDescent="0.25">
      <c r="A16" s="421"/>
      <c r="B16" s="165" t="s">
        <v>0</v>
      </c>
      <c r="C16" s="161" t="s">
        <v>35</v>
      </c>
      <c r="D16" s="166">
        <f>5+1</f>
        <v>6</v>
      </c>
      <c r="E16" s="166"/>
      <c r="F16" s="166"/>
      <c r="G16" s="167"/>
    </row>
    <row r="17" spans="1:9" s="164" customFormat="1" x14ac:dyDescent="0.25">
      <c r="A17" s="421"/>
      <c r="B17" s="165" t="s">
        <v>14</v>
      </c>
      <c r="C17" s="161" t="s">
        <v>34</v>
      </c>
      <c r="D17" s="166">
        <v>10</v>
      </c>
      <c r="E17" s="166"/>
      <c r="F17" s="166"/>
      <c r="G17" s="167"/>
    </row>
    <row r="18" spans="1:9" s="164" customFormat="1" ht="18.75" customHeight="1" x14ac:dyDescent="0.25">
      <c r="A18" s="421"/>
      <c r="B18" s="168" t="s">
        <v>20</v>
      </c>
      <c r="C18" s="161"/>
      <c r="D18" s="166"/>
      <c r="E18" s="166"/>
      <c r="F18" s="166"/>
      <c r="G18" s="167"/>
    </row>
    <row r="19" spans="1:9" s="164" customFormat="1" x14ac:dyDescent="0.25">
      <c r="A19" s="421"/>
      <c r="B19" s="165" t="s">
        <v>12</v>
      </c>
      <c r="C19" s="161"/>
      <c r="D19" s="166"/>
      <c r="E19" s="166"/>
      <c r="F19" s="166"/>
      <c r="G19" s="167"/>
    </row>
    <row r="20" spans="1:9" s="164" customFormat="1" ht="17.25" customHeight="1" x14ac:dyDescent="0.25">
      <c r="A20" s="421"/>
      <c r="B20" s="168" t="s">
        <v>26</v>
      </c>
      <c r="C20" s="161"/>
      <c r="D20" s="166"/>
      <c r="E20" s="166"/>
      <c r="F20" s="166"/>
      <c r="G20" s="167"/>
    </row>
    <row r="21" spans="1:9" s="164" customFormat="1" ht="15.75" thickBot="1" x14ac:dyDescent="0.3">
      <c r="A21" s="421"/>
      <c r="B21" s="169" t="s">
        <v>75</v>
      </c>
      <c r="C21" s="170" t="s">
        <v>34</v>
      </c>
      <c r="D21" s="171">
        <f>100+50</f>
        <v>150</v>
      </c>
      <c r="E21" s="171"/>
      <c r="F21" s="171"/>
      <c r="G21" s="172"/>
    </row>
    <row r="22" spans="1:9" s="164" customFormat="1" ht="30" x14ac:dyDescent="0.25">
      <c r="A22" s="421"/>
      <c r="B22" s="173" t="s">
        <v>56</v>
      </c>
      <c r="C22" s="423" t="s">
        <v>42</v>
      </c>
      <c r="D22" s="174"/>
      <c r="E22" s="174"/>
      <c r="F22" s="174"/>
      <c r="G22" s="175"/>
    </row>
    <row r="23" spans="1:9" s="164" customFormat="1" x14ac:dyDescent="0.25">
      <c r="A23" s="421"/>
      <c r="B23" s="165" t="s">
        <v>0</v>
      </c>
      <c r="C23" s="424"/>
      <c r="D23" s="166">
        <v>2.105</v>
      </c>
      <c r="E23" s="166"/>
      <c r="F23" s="166"/>
      <c r="G23" s="167"/>
    </row>
    <row r="24" spans="1:9" s="164" customFormat="1" x14ac:dyDescent="0.25">
      <c r="A24" s="421"/>
      <c r="B24" s="165" t="s">
        <v>14</v>
      </c>
      <c r="C24" s="424"/>
      <c r="D24" s="166">
        <v>1.3967000000000001</v>
      </c>
      <c r="E24" s="166"/>
      <c r="F24" s="166"/>
      <c r="G24" s="167"/>
    </row>
    <row r="25" spans="1:9" s="164" customFormat="1" ht="15" customHeight="1" x14ac:dyDescent="0.25">
      <c r="A25" s="421"/>
      <c r="B25" s="168" t="s">
        <v>20</v>
      </c>
      <c r="C25" s="424"/>
      <c r="D25" s="166"/>
      <c r="E25" s="166"/>
      <c r="F25" s="166"/>
      <c r="G25" s="167"/>
    </row>
    <row r="26" spans="1:9" s="164" customFormat="1" ht="31.5" customHeight="1" x14ac:dyDescent="0.25">
      <c r="A26" s="421"/>
      <c r="B26" s="168" t="s">
        <v>25</v>
      </c>
      <c r="C26" s="424"/>
      <c r="D26" s="166"/>
      <c r="E26" s="166"/>
      <c r="F26" s="166"/>
      <c r="G26" s="167"/>
    </row>
    <row r="27" spans="1:9" s="164" customFormat="1" ht="33" customHeight="1" x14ac:dyDescent="0.25">
      <c r="A27" s="421"/>
      <c r="B27" s="168" t="s">
        <v>27</v>
      </c>
      <c r="C27" s="424"/>
      <c r="D27" s="166"/>
      <c r="E27" s="166"/>
      <c r="F27" s="166"/>
      <c r="G27" s="167"/>
    </row>
    <row r="28" spans="1:9" ht="15.75" thickBot="1" x14ac:dyDescent="0.3">
      <c r="A28" s="422"/>
      <c r="B28" s="169" t="s">
        <v>75</v>
      </c>
      <c r="C28" s="425"/>
      <c r="D28" s="171">
        <v>0.20784</v>
      </c>
      <c r="E28" s="171"/>
      <c r="F28" s="171"/>
      <c r="G28" s="172"/>
    </row>
    <row r="29" spans="1:9" s="130" customFormat="1" ht="14.25" x14ac:dyDescent="0.2">
      <c r="A29" s="176" t="s">
        <v>43</v>
      </c>
      <c r="B29" s="177" t="s">
        <v>69</v>
      </c>
      <c r="C29" s="178"/>
      <c r="D29" s="179">
        <f>((D32/D33)-(D30/D31))*D31</f>
        <v>17868.30078034255</v>
      </c>
      <c r="E29" s="180" t="e">
        <f>((E32/E33)-(E31/#REF!))*#REF!</f>
        <v>#DIV/0!</v>
      </c>
      <c r="F29" s="180" t="e">
        <f t="shared" ref="F29:G29" si="4">((F32/F33)-(F30/F31))*F31</f>
        <v>#DIV/0!</v>
      </c>
      <c r="G29" s="181" t="e">
        <f t="shared" si="4"/>
        <v>#DIV/0!</v>
      </c>
    </row>
    <row r="30" spans="1:9" ht="60" x14ac:dyDescent="0.25">
      <c r="A30" s="426" t="s">
        <v>44</v>
      </c>
      <c r="B30" s="182" t="s">
        <v>52</v>
      </c>
      <c r="C30" s="183" t="s">
        <v>46</v>
      </c>
      <c r="D30" s="184">
        <v>20729.79</v>
      </c>
      <c r="E30" s="185"/>
      <c r="F30" s="186"/>
      <c r="G30" s="187"/>
      <c r="H30" s="208">
        <f ca="1">atskaites_jedox!AA8</f>
        <v>28069.439999999999</v>
      </c>
    </row>
    <row r="31" spans="1:9" x14ac:dyDescent="0.25">
      <c r="A31" s="427"/>
      <c r="B31" s="188" t="s">
        <v>68</v>
      </c>
      <c r="C31" s="183" t="s">
        <v>8</v>
      </c>
      <c r="D31" s="189">
        <v>36350.22</v>
      </c>
      <c r="E31" s="186"/>
      <c r="F31" s="186"/>
      <c r="G31" s="187"/>
      <c r="H31" s="208">
        <f ca="1">atskaites_jedox!AB8</f>
        <v>49034.52</v>
      </c>
      <c r="I31" s="124" t="b">
        <f>D31=D10</f>
        <v>1</v>
      </c>
    </row>
    <row r="32" spans="1:9" ht="60" x14ac:dyDescent="0.25">
      <c r="A32" s="426" t="s">
        <v>45</v>
      </c>
      <c r="B32" s="182" t="s">
        <v>53</v>
      </c>
      <c r="C32" s="183" t="s">
        <v>46</v>
      </c>
      <c r="D32" s="184">
        <v>39022.199999999997</v>
      </c>
      <c r="E32" s="186"/>
      <c r="F32" s="186"/>
      <c r="G32" s="187"/>
      <c r="H32" s="208">
        <f ca="1">atskaites_jedox!C8</f>
        <v>52595.14</v>
      </c>
    </row>
    <row r="33" spans="1:8" ht="15.75" thickBot="1" x14ac:dyDescent="0.3">
      <c r="A33" s="427"/>
      <c r="B33" s="190" t="s">
        <v>54</v>
      </c>
      <c r="C33" s="191" t="s">
        <v>8</v>
      </c>
      <c r="D33" s="192">
        <v>36749.629999999997</v>
      </c>
      <c r="E33" s="193"/>
      <c r="F33" s="193"/>
      <c r="G33" s="194"/>
      <c r="H33" s="208">
        <f ca="1">atskaites_jedox!D8</f>
        <v>49532.4</v>
      </c>
    </row>
    <row r="36" spans="1:8" ht="15.75" thickBot="1" x14ac:dyDescent="0.3">
      <c r="B36" s="195" t="s">
        <v>71</v>
      </c>
      <c r="C36" s="196"/>
      <c r="D36" s="197"/>
      <c r="E36" s="198" t="s">
        <v>78</v>
      </c>
      <c r="F36" s="197"/>
      <c r="G36" s="197"/>
    </row>
    <row r="37" spans="1:8" ht="15.75" thickTop="1" x14ac:dyDescent="0.25">
      <c r="B37" s="199" t="s">
        <v>77</v>
      </c>
    </row>
    <row r="38" spans="1:8" x14ac:dyDescent="0.25">
      <c r="B38" s="199" t="s">
        <v>76</v>
      </c>
    </row>
    <row r="39" spans="1:8" x14ac:dyDescent="0.25">
      <c r="A39" s="124" t="s">
        <v>10</v>
      </c>
    </row>
    <row r="40" spans="1:8" ht="33" customHeight="1" x14ac:dyDescent="0.25">
      <c r="A40" s="410" t="s">
        <v>31</v>
      </c>
      <c r="B40" s="410"/>
      <c r="C40" s="410"/>
      <c r="D40" s="410"/>
      <c r="E40" s="410"/>
      <c r="F40" s="410"/>
      <c r="G40" s="410"/>
    </row>
    <row r="41" spans="1:8" x14ac:dyDescent="0.25">
      <c r="A41" s="164" t="s">
        <v>30</v>
      </c>
      <c r="B41" s="164"/>
      <c r="C41" s="201"/>
      <c r="D41" s="164"/>
      <c r="E41" s="164"/>
      <c r="F41" s="164"/>
      <c r="G41" s="164"/>
    </row>
    <row r="42" spans="1:8" ht="28.5" customHeight="1" x14ac:dyDescent="0.25">
      <c r="A42" s="428" t="s">
        <v>19</v>
      </c>
      <c r="B42" s="428"/>
      <c r="C42" s="428"/>
      <c r="D42" s="428"/>
      <c r="E42" s="428"/>
      <c r="F42" s="428"/>
      <c r="G42" s="428"/>
    </row>
    <row r="43" spans="1:8" ht="33" customHeight="1" x14ac:dyDescent="0.25">
      <c r="A43" s="410" t="s">
        <v>22</v>
      </c>
      <c r="B43" s="410"/>
      <c r="C43" s="410"/>
      <c r="D43" s="410"/>
      <c r="E43" s="410"/>
      <c r="F43" s="410"/>
      <c r="G43" s="410"/>
    </row>
    <row r="44" spans="1:8" ht="33" customHeight="1" x14ac:dyDescent="0.25">
      <c r="A44" s="410" t="s">
        <v>47</v>
      </c>
      <c r="B44" s="410"/>
      <c r="C44" s="410"/>
      <c r="D44" s="410"/>
      <c r="E44" s="410"/>
      <c r="F44" s="410"/>
      <c r="G44" s="410"/>
    </row>
    <row r="45" spans="1:8" x14ac:dyDescent="0.25">
      <c r="A45" s="164"/>
      <c r="B45" s="164"/>
      <c r="C45" s="201"/>
      <c r="D45" s="164"/>
      <c r="E45" s="164"/>
      <c r="F45" s="164"/>
      <c r="G45" s="164"/>
    </row>
    <row r="46" spans="1:8" x14ac:dyDescent="0.25">
      <c r="A46" s="202" t="s">
        <v>21</v>
      </c>
      <c r="B46" s="164"/>
      <c r="C46" s="201"/>
      <c r="D46" s="164"/>
      <c r="E46" s="164"/>
      <c r="F46" s="164"/>
      <c r="G46" s="164"/>
    </row>
    <row r="47" spans="1:8" ht="30" customHeight="1" x14ac:dyDescent="0.25">
      <c r="A47" s="410" t="s">
        <v>48</v>
      </c>
      <c r="B47" s="410"/>
      <c r="C47" s="410"/>
      <c r="D47" s="410"/>
      <c r="E47" s="410"/>
      <c r="F47" s="410"/>
      <c r="G47" s="410"/>
    </row>
    <row r="48" spans="1:8" ht="33" customHeight="1" x14ac:dyDescent="0.25">
      <c r="A48" s="410" t="s">
        <v>23</v>
      </c>
      <c r="B48" s="410"/>
      <c r="C48" s="410"/>
      <c r="D48" s="410"/>
      <c r="E48" s="410"/>
      <c r="F48" s="410"/>
      <c r="G48" s="410"/>
    </row>
    <row r="49" spans="1:7" ht="34.5" customHeight="1" x14ac:dyDescent="0.25">
      <c r="A49" s="410" t="s">
        <v>28</v>
      </c>
      <c r="B49" s="410"/>
      <c r="C49" s="410"/>
      <c r="D49" s="410"/>
      <c r="E49" s="410"/>
      <c r="F49" s="410"/>
      <c r="G49" s="410"/>
    </row>
    <row r="50" spans="1:7" ht="63" customHeight="1" x14ac:dyDescent="0.25">
      <c r="A50" s="410" t="s">
        <v>49</v>
      </c>
      <c r="B50" s="410"/>
      <c r="C50" s="410"/>
      <c r="D50" s="410"/>
      <c r="E50" s="410"/>
      <c r="F50" s="410"/>
      <c r="G50" s="410"/>
    </row>
    <row r="51" spans="1:7" ht="30.75" customHeight="1" x14ac:dyDescent="0.25">
      <c r="A51" s="410" t="s">
        <v>24</v>
      </c>
      <c r="B51" s="410"/>
      <c r="C51" s="410"/>
      <c r="D51" s="410"/>
      <c r="E51" s="410"/>
      <c r="F51" s="410"/>
      <c r="G51" s="410"/>
    </row>
    <row r="52" spans="1:7" ht="43.5" customHeight="1" x14ac:dyDescent="0.25">
      <c r="A52" s="429" t="s">
        <v>29</v>
      </c>
      <c r="B52" s="429"/>
      <c r="C52" s="429"/>
      <c r="D52" s="429"/>
      <c r="E52" s="429"/>
      <c r="F52" s="429"/>
      <c r="G52" s="429"/>
    </row>
    <row r="53" spans="1:7" ht="30" customHeight="1" x14ac:dyDescent="0.25">
      <c r="A53" s="410" t="s">
        <v>50</v>
      </c>
      <c r="B53" s="410"/>
      <c r="C53" s="410"/>
      <c r="D53" s="410"/>
      <c r="E53" s="410"/>
      <c r="F53" s="410"/>
      <c r="G53" s="410"/>
    </row>
    <row r="54" spans="1:7" ht="45" customHeight="1" x14ac:dyDescent="0.25">
      <c r="A54" s="410" t="s">
        <v>51</v>
      </c>
      <c r="B54" s="410"/>
      <c r="C54" s="410"/>
      <c r="D54" s="410"/>
      <c r="E54" s="410"/>
      <c r="F54" s="410"/>
      <c r="G54" s="410"/>
    </row>
    <row r="55" spans="1:7" ht="16.5" customHeight="1" x14ac:dyDescent="0.25">
      <c r="A55" s="203"/>
      <c r="B55" s="203"/>
      <c r="C55" s="204"/>
      <c r="D55" s="203"/>
      <c r="E55" s="203"/>
      <c r="F55" s="203"/>
      <c r="G55" s="203"/>
    </row>
    <row r="56" spans="1:7" x14ac:dyDescent="0.25">
      <c r="A56" s="164"/>
      <c r="B56" s="164"/>
      <c r="C56" s="201"/>
      <c r="D56" s="164"/>
      <c r="E56" s="164"/>
      <c r="F56" s="164"/>
      <c r="G56" s="164"/>
    </row>
    <row r="57" spans="1:7" x14ac:dyDescent="0.25">
      <c r="A57" s="164"/>
      <c r="B57" s="164"/>
      <c r="C57" s="201"/>
      <c r="D57" s="164"/>
      <c r="E57" s="164"/>
      <c r="F57" s="164"/>
      <c r="G57" s="164"/>
    </row>
  </sheetData>
  <mergeCells count="20">
    <mergeCell ref="A53:G53"/>
    <mergeCell ref="A54:G54"/>
    <mergeCell ref="A47:G47"/>
    <mergeCell ref="A48:G48"/>
    <mergeCell ref="A49:G49"/>
    <mergeCell ref="A50:G50"/>
    <mergeCell ref="A51:G51"/>
    <mergeCell ref="A52:G52"/>
    <mergeCell ref="A44:G44"/>
    <mergeCell ref="A1:G1"/>
    <mergeCell ref="A4:A12"/>
    <mergeCell ref="C4:C8"/>
    <mergeCell ref="C9:C12"/>
    <mergeCell ref="A15:A28"/>
    <mergeCell ref="C22:C28"/>
    <mergeCell ref="A30:A31"/>
    <mergeCell ref="A32:A33"/>
    <mergeCell ref="A40:G40"/>
    <mergeCell ref="A42:G42"/>
    <mergeCell ref="A43:G4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DCCB-D681-4EEB-83EA-E116793AC980}">
  <dimension ref="A1:G57"/>
  <sheetViews>
    <sheetView workbookViewId="0">
      <selection activeCell="L17" sqref="L17"/>
    </sheetView>
  </sheetViews>
  <sheetFormatPr defaultColWidth="9.140625" defaultRowHeight="15" x14ac:dyDescent="0.25"/>
  <cols>
    <col min="1" max="1" width="12.5703125" style="1" customWidth="1"/>
    <col min="2" max="2" width="46.140625" style="1" customWidth="1"/>
    <col min="3" max="3" width="11.42578125" style="100" customWidth="1"/>
    <col min="4" max="5" width="17" style="1" customWidth="1"/>
    <col min="6" max="6" width="14.28515625" style="1" customWidth="1"/>
    <col min="7" max="7" width="16.7109375" style="1" customWidth="1"/>
    <col min="8" max="16384" width="9.140625" style="1"/>
  </cols>
  <sheetData>
    <row r="1" spans="1:7" ht="42" customHeight="1" x14ac:dyDescent="0.3">
      <c r="A1" s="385" t="s">
        <v>70</v>
      </c>
      <c r="B1" s="385"/>
      <c r="C1" s="385"/>
      <c r="D1" s="385"/>
      <c r="E1" s="385"/>
      <c r="F1" s="385"/>
      <c r="G1" s="385"/>
    </row>
    <row r="2" spans="1:7" s="11" customFormat="1" ht="29.25" thickBot="1" x14ac:dyDescent="0.25">
      <c r="A2" s="12" t="s">
        <v>4</v>
      </c>
      <c r="B2" s="53"/>
      <c r="C2" s="54" t="s">
        <v>5</v>
      </c>
      <c r="D2" s="54" t="s">
        <v>1</v>
      </c>
      <c r="E2" s="55" t="s">
        <v>11</v>
      </c>
      <c r="F2" s="54" t="s">
        <v>2</v>
      </c>
      <c r="G2" s="54" t="s">
        <v>3</v>
      </c>
    </row>
    <row r="3" spans="1:7" s="11" customFormat="1" thickBot="1" x14ac:dyDescent="0.25">
      <c r="A3" s="52" t="s">
        <v>17</v>
      </c>
      <c r="B3" s="71" t="s">
        <v>67</v>
      </c>
      <c r="C3" s="72"/>
      <c r="D3" s="73">
        <f>(D10-D9)*D13</f>
        <v>1665.5882940000006</v>
      </c>
      <c r="E3" s="73">
        <f t="shared" ref="E3:G3" si="0">(E10-E9)*E13</f>
        <v>0</v>
      </c>
      <c r="F3" s="73">
        <f t="shared" si="0"/>
        <v>0</v>
      </c>
      <c r="G3" s="74">
        <f t="shared" si="0"/>
        <v>0</v>
      </c>
    </row>
    <row r="4" spans="1:7" x14ac:dyDescent="0.25">
      <c r="A4" s="444" t="s">
        <v>7</v>
      </c>
      <c r="B4" s="67" t="s">
        <v>13</v>
      </c>
      <c r="C4" s="442" t="s">
        <v>6</v>
      </c>
      <c r="D4" s="68">
        <v>14</v>
      </c>
      <c r="E4" s="69"/>
      <c r="F4" s="68"/>
      <c r="G4" s="70"/>
    </row>
    <row r="5" spans="1:7" ht="15" customHeight="1" x14ac:dyDescent="0.25">
      <c r="A5" s="445"/>
      <c r="B5" s="57" t="s">
        <v>64</v>
      </c>
      <c r="C5" s="442"/>
      <c r="D5" s="19">
        <v>3966</v>
      </c>
      <c r="E5" s="19"/>
      <c r="F5" s="19"/>
      <c r="G5" s="56"/>
    </row>
    <row r="6" spans="1:7" x14ac:dyDescent="0.25">
      <c r="A6" s="445"/>
      <c r="B6" s="57" t="s">
        <v>65</v>
      </c>
      <c r="C6" s="442"/>
      <c r="D6" s="19">
        <f>D5+D7-D8</f>
        <v>3796</v>
      </c>
      <c r="E6" s="19">
        <f t="shared" ref="E6:G6" si="1">E5+E7-E8</f>
        <v>0</v>
      </c>
      <c r="F6" s="19">
        <f t="shared" si="1"/>
        <v>0</v>
      </c>
      <c r="G6" s="56">
        <f t="shared" si="1"/>
        <v>0</v>
      </c>
    </row>
    <row r="7" spans="1:7" x14ac:dyDescent="0.25">
      <c r="A7" s="445"/>
      <c r="B7" s="58" t="s">
        <v>60</v>
      </c>
      <c r="C7" s="442"/>
      <c r="D7" s="19">
        <v>0</v>
      </c>
      <c r="E7" s="19"/>
      <c r="F7" s="19"/>
      <c r="G7" s="56"/>
    </row>
    <row r="8" spans="1:7" x14ac:dyDescent="0.25">
      <c r="A8" s="445"/>
      <c r="B8" s="58" t="s">
        <v>61</v>
      </c>
      <c r="C8" s="443"/>
      <c r="D8" s="104">
        <f>17*10</f>
        <v>170</v>
      </c>
      <c r="E8" s="19"/>
      <c r="F8" s="19"/>
      <c r="G8" s="56"/>
    </row>
    <row r="9" spans="1:7" x14ac:dyDescent="0.25">
      <c r="A9" s="445"/>
      <c r="B9" s="57" t="s">
        <v>58</v>
      </c>
      <c r="C9" s="439" t="s">
        <v>8</v>
      </c>
      <c r="D9" s="19">
        <v>36350.22</v>
      </c>
      <c r="E9" s="19"/>
      <c r="F9" s="19"/>
      <c r="G9" s="56"/>
    </row>
    <row r="10" spans="1:7" x14ac:dyDescent="0.25">
      <c r="A10" s="445"/>
      <c r="B10" s="57" t="s">
        <v>66</v>
      </c>
      <c r="C10" s="440"/>
      <c r="D10" s="19">
        <f>D9+D12-D11</f>
        <v>37669.08</v>
      </c>
      <c r="E10" s="19">
        <f t="shared" ref="E10:G10" si="2">E9+E11-E12</f>
        <v>0</v>
      </c>
      <c r="F10" s="19">
        <f t="shared" si="2"/>
        <v>0</v>
      </c>
      <c r="G10" s="56">
        <f t="shared" si="2"/>
        <v>0</v>
      </c>
    </row>
    <row r="11" spans="1:7" ht="16.5" customHeight="1" x14ac:dyDescent="0.25">
      <c r="A11" s="445"/>
      <c r="B11" s="59" t="s">
        <v>62</v>
      </c>
      <c r="C11" s="440"/>
      <c r="D11" s="19">
        <v>0</v>
      </c>
      <c r="E11" s="19"/>
      <c r="F11" s="19"/>
      <c r="G11" s="56"/>
    </row>
    <row r="12" spans="1:7" ht="16.5" customHeight="1" x14ac:dyDescent="0.25">
      <c r="A12" s="446"/>
      <c r="B12" s="59" t="s">
        <v>63</v>
      </c>
      <c r="C12" s="441"/>
      <c r="D12" s="104">
        <f>77.58*17</f>
        <v>1318.86</v>
      </c>
      <c r="E12" s="19"/>
      <c r="F12" s="19"/>
      <c r="G12" s="56"/>
    </row>
    <row r="13" spans="1:7" ht="30.75" thickBot="1" x14ac:dyDescent="0.3">
      <c r="A13" s="78" t="s">
        <v>16</v>
      </c>
      <c r="B13" s="60" t="s">
        <v>59</v>
      </c>
      <c r="C13" s="61" t="s">
        <v>9</v>
      </c>
      <c r="D13" s="94">
        <v>1.2628999999999999</v>
      </c>
      <c r="E13" s="62"/>
      <c r="F13" s="62"/>
      <c r="G13" s="63"/>
    </row>
    <row r="14" spans="1:7" s="11" customFormat="1" ht="29.25" thickBot="1" x14ac:dyDescent="0.25">
      <c r="A14" s="44" t="s">
        <v>18</v>
      </c>
      <c r="B14" s="48" t="s">
        <v>57</v>
      </c>
      <c r="C14" s="49"/>
      <c r="D14" s="50">
        <f>SUM(D16*D23,D17*D24,D18*D25,D19*D26,D20*D27,D21*D28)</f>
        <v>57.772999999999996</v>
      </c>
      <c r="E14" s="50">
        <f t="shared" ref="E14:G14" si="3">SUM(E16*E23,E17*E24,E18*E25,E19*E26,E20*E27,E21*E28)</f>
        <v>0</v>
      </c>
      <c r="F14" s="50">
        <f t="shared" si="3"/>
        <v>0</v>
      </c>
      <c r="G14" s="51">
        <f t="shared" si="3"/>
        <v>0</v>
      </c>
    </row>
    <row r="15" spans="1:7" s="15" customFormat="1" ht="48.75" customHeight="1" x14ac:dyDescent="0.25">
      <c r="A15" s="434" t="s">
        <v>7</v>
      </c>
      <c r="B15" s="45" t="s">
        <v>55</v>
      </c>
      <c r="C15" s="96"/>
      <c r="D15" s="46"/>
      <c r="E15" s="46"/>
      <c r="F15" s="46"/>
      <c r="G15" s="47"/>
    </row>
    <row r="16" spans="1:7" s="15" customFormat="1" x14ac:dyDescent="0.25">
      <c r="A16" s="435"/>
      <c r="B16" s="38" t="s">
        <v>0</v>
      </c>
      <c r="C16" s="96" t="s">
        <v>35</v>
      </c>
      <c r="D16" s="20">
        <f>5+1</f>
        <v>6</v>
      </c>
      <c r="E16" s="20"/>
      <c r="F16" s="20"/>
      <c r="G16" s="39"/>
    </row>
    <row r="17" spans="1:7" s="15" customFormat="1" x14ac:dyDescent="0.25">
      <c r="A17" s="435"/>
      <c r="B17" s="38" t="s">
        <v>14</v>
      </c>
      <c r="C17" s="96" t="s">
        <v>34</v>
      </c>
      <c r="D17" s="20">
        <v>10</v>
      </c>
      <c r="E17" s="20"/>
      <c r="F17" s="20"/>
      <c r="G17" s="39"/>
    </row>
    <row r="18" spans="1:7" s="15" customFormat="1" ht="18.75" customHeight="1" x14ac:dyDescent="0.25">
      <c r="A18" s="435"/>
      <c r="B18" s="40" t="s">
        <v>20</v>
      </c>
      <c r="C18" s="96"/>
      <c r="D18" s="20"/>
      <c r="E18" s="20"/>
      <c r="F18" s="20"/>
      <c r="G18" s="39"/>
    </row>
    <row r="19" spans="1:7" s="15" customFormat="1" x14ac:dyDescent="0.25">
      <c r="A19" s="435"/>
      <c r="B19" s="38" t="s">
        <v>12</v>
      </c>
      <c r="C19" s="96"/>
      <c r="D19" s="20"/>
      <c r="E19" s="20"/>
      <c r="F19" s="20"/>
      <c r="G19" s="39"/>
    </row>
    <row r="20" spans="1:7" s="15" customFormat="1" ht="17.25" customHeight="1" x14ac:dyDescent="0.25">
      <c r="A20" s="435"/>
      <c r="B20" s="40" t="s">
        <v>26</v>
      </c>
      <c r="C20" s="96"/>
      <c r="D20" s="20"/>
      <c r="E20" s="20"/>
      <c r="F20" s="20"/>
      <c r="G20" s="39"/>
    </row>
    <row r="21" spans="1:7" s="15" customFormat="1" ht="15.75" thickBot="1" x14ac:dyDescent="0.3">
      <c r="A21" s="435"/>
      <c r="B21" s="41" t="s">
        <v>75</v>
      </c>
      <c r="C21" s="97" t="s">
        <v>34</v>
      </c>
      <c r="D21" s="42">
        <f>100+50</f>
        <v>150</v>
      </c>
      <c r="E21" s="42"/>
      <c r="F21" s="42"/>
      <c r="G21" s="43"/>
    </row>
    <row r="22" spans="1:7" s="15" customFormat="1" ht="30" x14ac:dyDescent="0.25">
      <c r="A22" s="435"/>
      <c r="B22" s="35" t="s">
        <v>56</v>
      </c>
      <c r="C22" s="431" t="s">
        <v>42</v>
      </c>
      <c r="D22" s="36"/>
      <c r="E22" s="36"/>
      <c r="F22" s="36"/>
      <c r="G22" s="37"/>
    </row>
    <row r="23" spans="1:7" s="15" customFormat="1" x14ac:dyDescent="0.25">
      <c r="A23" s="435"/>
      <c r="B23" s="38" t="s">
        <v>0</v>
      </c>
      <c r="C23" s="432"/>
      <c r="D23" s="20">
        <v>2.105</v>
      </c>
      <c r="E23" s="20"/>
      <c r="F23" s="20"/>
      <c r="G23" s="39"/>
    </row>
    <row r="24" spans="1:7" s="15" customFormat="1" x14ac:dyDescent="0.25">
      <c r="A24" s="435"/>
      <c r="B24" s="38" t="s">
        <v>14</v>
      </c>
      <c r="C24" s="432"/>
      <c r="D24" s="20">
        <v>1.3967000000000001</v>
      </c>
      <c r="E24" s="20"/>
      <c r="F24" s="20"/>
      <c r="G24" s="39"/>
    </row>
    <row r="25" spans="1:7" s="15" customFormat="1" ht="15" customHeight="1" x14ac:dyDescent="0.25">
      <c r="A25" s="435"/>
      <c r="B25" s="40" t="s">
        <v>20</v>
      </c>
      <c r="C25" s="432"/>
      <c r="D25" s="20"/>
      <c r="E25" s="20"/>
      <c r="F25" s="20"/>
      <c r="G25" s="39"/>
    </row>
    <row r="26" spans="1:7" s="15" customFormat="1" ht="31.5" customHeight="1" x14ac:dyDescent="0.25">
      <c r="A26" s="435"/>
      <c r="B26" s="40" t="s">
        <v>25</v>
      </c>
      <c r="C26" s="432"/>
      <c r="D26" s="20"/>
      <c r="E26" s="20"/>
      <c r="F26" s="20"/>
      <c r="G26" s="39"/>
    </row>
    <row r="27" spans="1:7" s="15" customFormat="1" ht="33" customHeight="1" x14ac:dyDescent="0.25">
      <c r="A27" s="435"/>
      <c r="B27" s="40" t="s">
        <v>27</v>
      </c>
      <c r="C27" s="432"/>
      <c r="D27" s="20"/>
      <c r="E27" s="20"/>
      <c r="F27" s="20"/>
      <c r="G27" s="39"/>
    </row>
    <row r="28" spans="1:7" ht="15.75" thickBot="1" x14ac:dyDescent="0.3">
      <c r="A28" s="436"/>
      <c r="B28" s="41" t="s">
        <v>75</v>
      </c>
      <c r="C28" s="433"/>
      <c r="D28" s="42">
        <v>0.20784</v>
      </c>
      <c r="E28" s="42"/>
      <c r="F28" s="42"/>
      <c r="G28" s="43"/>
    </row>
    <row r="29" spans="1:7" s="11" customFormat="1" ht="14.25" x14ac:dyDescent="0.2">
      <c r="A29" s="64" t="s">
        <v>43</v>
      </c>
      <c r="B29" s="79" t="s">
        <v>69</v>
      </c>
      <c r="C29" s="98"/>
      <c r="D29" s="81">
        <f>((D32/D33)-(D30/D31))*D31</f>
        <v>17868.30078034255</v>
      </c>
      <c r="E29" s="81" t="e">
        <f>((E32/E33)-(E31/#REF!))*#REF!</f>
        <v>#DIV/0!</v>
      </c>
      <c r="F29" s="81" t="e">
        <f t="shared" ref="F29:G29" si="4">((F32/F33)-(F30/F31))*F31</f>
        <v>#DIV/0!</v>
      </c>
      <c r="G29" s="82" t="e">
        <f t="shared" si="4"/>
        <v>#DIV/0!</v>
      </c>
    </row>
    <row r="30" spans="1:7" ht="60" x14ac:dyDescent="0.25">
      <c r="A30" s="437" t="s">
        <v>44</v>
      </c>
      <c r="B30" s="83" t="s">
        <v>52</v>
      </c>
      <c r="C30" s="95" t="s">
        <v>46</v>
      </c>
      <c r="D30" s="32">
        <v>20729.79</v>
      </c>
      <c r="E30" s="76"/>
      <c r="F30" s="28"/>
      <c r="G30" s="84"/>
    </row>
    <row r="31" spans="1:7" x14ac:dyDescent="0.25">
      <c r="A31" s="438"/>
      <c r="B31" s="83" t="s">
        <v>68</v>
      </c>
      <c r="C31" s="95" t="s">
        <v>8</v>
      </c>
      <c r="D31" s="32">
        <v>36350.22</v>
      </c>
      <c r="E31" s="28"/>
      <c r="F31" s="28"/>
      <c r="G31" s="84"/>
    </row>
    <row r="32" spans="1:7" ht="60" x14ac:dyDescent="0.25">
      <c r="A32" s="437" t="s">
        <v>45</v>
      </c>
      <c r="B32" s="83" t="s">
        <v>53</v>
      </c>
      <c r="C32" s="95" t="s">
        <v>46</v>
      </c>
      <c r="D32" s="32">
        <v>39022.199999999997</v>
      </c>
      <c r="E32" s="28"/>
      <c r="F32" s="28"/>
      <c r="G32" s="84"/>
    </row>
    <row r="33" spans="1:7" ht="15.75" thickBot="1" x14ac:dyDescent="0.3">
      <c r="A33" s="438"/>
      <c r="B33" s="85" t="s">
        <v>54</v>
      </c>
      <c r="C33" s="75" t="s">
        <v>8</v>
      </c>
      <c r="D33" s="86">
        <v>36749.629999999997</v>
      </c>
      <c r="E33" s="65"/>
      <c r="F33" s="65"/>
      <c r="G33" s="66"/>
    </row>
    <row r="36" spans="1:7" ht="15.75" thickBot="1" x14ac:dyDescent="0.3">
      <c r="B36" s="103" t="s">
        <v>71</v>
      </c>
      <c r="C36" s="99"/>
      <c r="D36" s="92"/>
      <c r="E36" s="93" t="s">
        <v>78</v>
      </c>
      <c r="F36" s="92"/>
      <c r="G36" s="92"/>
    </row>
    <row r="37" spans="1:7" ht="15.75" thickTop="1" x14ac:dyDescent="0.25">
      <c r="B37" s="105" t="s">
        <v>77</v>
      </c>
    </row>
    <row r="38" spans="1:7" x14ac:dyDescent="0.25">
      <c r="B38" s="105" t="s">
        <v>76</v>
      </c>
    </row>
    <row r="39" spans="1:7" x14ac:dyDescent="0.25">
      <c r="A39" s="1" t="s">
        <v>10</v>
      </c>
    </row>
    <row r="40" spans="1:7" ht="33" customHeight="1" x14ac:dyDescent="0.25">
      <c r="A40" s="430" t="s">
        <v>31</v>
      </c>
      <c r="B40" s="430"/>
      <c r="C40" s="430"/>
      <c r="D40" s="430"/>
      <c r="E40" s="430"/>
      <c r="F40" s="430"/>
      <c r="G40" s="430"/>
    </row>
    <row r="41" spans="1:7" x14ac:dyDescent="0.25">
      <c r="A41" s="15" t="s">
        <v>30</v>
      </c>
      <c r="B41" s="15"/>
      <c r="C41" s="101"/>
      <c r="D41" s="15"/>
      <c r="E41" s="15"/>
      <c r="F41" s="15"/>
      <c r="G41" s="15"/>
    </row>
    <row r="42" spans="1:7" ht="28.5" customHeight="1" x14ac:dyDescent="0.25">
      <c r="A42" s="449" t="s">
        <v>19</v>
      </c>
      <c r="B42" s="449"/>
      <c r="C42" s="449"/>
      <c r="D42" s="449"/>
      <c r="E42" s="449"/>
      <c r="F42" s="449"/>
      <c r="G42" s="449"/>
    </row>
    <row r="43" spans="1:7" ht="33" customHeight="1" x14ac:dyDescent="0.25">
      <c r="A43" s="430" t="s">
        <v>22</v>
      </c>
      <c r="B43" s="430"/>
      <c r="C43" s="430"/>
      <c r="D43" s="430"/>
      <c r="E43" s="430"/>
      <c r="F43" s="430"/>
      <c r="G43" s="430"/>
    </row>
    <row r="44" spans="1:7" ht="33" customHeight="1" x14ac:dyDescent="0.25">
      <c r="A44" s="430" t="s">
        <v>47</v>
      </c>
      <c r="B44" s="430"/>
      <c r="C44" s="430"/>
      <c r="D44" s="430"/>
      <c r="E44" s="430"/>
      <c r="F44" s="430"/>
      <c r="G44" s="430"/>
    </row>
    <row r="45" spans="1:7" x14ac:dyDescent="0.25">
      <c r="A45" s="15"/>
      <c r="B45" s="15"/>
      <c r="C45" s="101"/>
      <c r="D45" s="15"/>
      <c r="E45" s="15"/>
      <c r="F45" s="15"/>
      <c r="G45" s="15"/>
    </row>
    <row r="46" spans="1:7" x14ac:dyDescent="0.25">
      <c r="A46" s="33" t="s">
        <v>21</v>
      </c>
      <c r="B46" s="15"/>
      <c r="C46" s="101"/>
      <c r="D46" s="15"/>
      <c r="E46" s="15"/>
      <c r="F46" s="15"/>
      <c r="G46" s="15"/>
    </row>
    <row r="47" spans="1:7" ht="30" customHeight="1" x14ac:dyDescent="0.25">
      <c r="A47" s="430" t="s">
        <v>48</v>
      </c>
      <c r="B47" s="430"/>
      <c r="C47" s="430"/>
      <c r="D47" s="430"/>
      <c r="E47" s="430"/>
      <c r="F47" s="430"/>
      <c r="G47" s="430"/>
    </row>
    <row r="48" spans="1:7" ht="33" customHeight="1" x14ac:dyDescent="0.25">
      <c r="A48" s="448" t="s">
        <v>23</v>
      </c>
      <c r="B48" s="448"/>
      <c r="C48" s="448"/>
      <c r="D48" s="448"/>
      <c r="E48" s="448"/>
      <c r="F48" s="448"/>
      <c r="G48" s="448"/>
    </row>
    <row r="49" spans="1:7" ht="34.5" customHeight="1" x14ac:dyDescent="0.25">
      <c r="A49" s="448" t="s">
        <v>28</v>
      </c>
      <c r="B49" s="448"/>
      <c r="C49" s="448"/>
      <c r="D49" s="448"/>
      <c r="E49" s="448"/>
      <c r="F49" s="448"/>
      <c r="G49" s="448"/>
    </row>
    <row r="50" spans="1:7" ht="63" customHeight="1" x14ac:dyDescent="0.25">
      <c r="A50" s="448" t="s">
        <v>49</v>
      </c>
      <c r="B50" s="448"/>
      <c r="C50" s="448"/>
      <c r="D50" s="448"/>
      <c r="E50" s="448"/>
      <c r="F50" s="448"/>
      <c r="G50" s="448"/>
    </row>
    <row r="51" spans="1:7" ht="30.75" customHeight="1" x14ac:dyDescent="0.25">
      <c r="A51" s="448" t="s">
        <v>24</v>
      </c>
      <c r="B51" s="448"/>
      <c r="C51" s="448"/>
      <c r="D51" s="448"/>
      <c r="E51" s="448"/>
      <c r="F51" s="448"/>
      <c r="G51" s="448"/>
    </row>
    <row r="52" spans="1:7" ht="43.5" customHeight="1" x14ac:dyDescent="0.25">
      <c r="A52" s="447" t="s">
        <v>29</v>
      </c>
      <c r="B52" s="447"/>
      <c r="C52" s="447"/>
      <c r="D52" s="447"/>
      <c r="E52" s="447"/>
      <c r="F52" s="447"/>
      <c r="G52" s="447"/>
    </row>
    <row r="53" spans="1:7" ht="30" customHeight="1" x14ac:dyDescent="0.25">
      <c r="A53" s="430" t="s">
        <v>50</v>
      </c>
      <c r="B53" s="430"/>
      <c r="C53" s="430"/>
      <c r="D53" s="430"/>
      <c r="E53" s="430"/>
      <c r="F53" s="430"/>
      <c r="G53" s="430"/>
    </row>
    <row r="54" spans="1:7" ht="45" customHeight="1" x14ac:dyDescent="0.25">
      <c r="A54" s="430" t="s">
        <v>51</v>
      </c>
      <c r="B54" s="430"/>
      <c r="C54" s="430"/>
      <c r="D54" s="430"/>
      <c r="E54" s="430"/>
      <c r="F54" s="430"/>
      <c r="G54" s="430"/>
    </row>
    <row r="55" spans="1:7" ht="16.5" customHeight="1" x14ac:dyDescent="0.25">
      <c r="A55" s="27"/>
      <c r="B55" s="27"/>
      <c r="C55" s="102"/>
      <c r="D55" s="27"/>
      <c r="E55" s="27"/>
      <c r="F55" s="27"/>
      <c r="G55" s="27"/>
    </row>
    <row r="56" spans="1:7" x14ac:dyDescent="0.25">
      <c r="A56" s="15"/>
      <c r="B56" s="15"/>
      <c r="C56" s="101"/>
      <c r="D56" s="15"/>
      <c r="E56" s="15"/>
      <c r="F56" s="15"/>
      <c r="G56" s="15"/>
    </row>
    <row r="57" spans="1:7" x14ac:dyDescent="0.25">
      <c r="A57" s="15"/>
      <c r="B57" s="15"/>
      <c r="C57" s="101"/>
      <c r="D57" s="15"/>
      <c r="E57" s="15"/>
      <c r="F57" s="15"/>
      <c r="G57" s="15"/>
    </row>
  </sheetData>
  <mergeCells count="20">
    <mergeCell ref="A54:G54"/>
    <mergeCell ref="A53:G53"/>
    <mergeCell ref="A1:G1"/>
    <mergeCell ref="C9:C12"/>
    <mergeCell ref="C4:C8"/>
    <mergeCell ref="A4:A12"/>
    <mergeCell ref="A52:G52"/>
    <mergeCell ref="A51:G51"/>
    <mergeCell ref="A48:G48"/>
    <mergeCell ref="A42:G42"/>
    <mergeCell ref="A43:G43"/>
    <mergeCell ref="A49:G49"/>
    <mergeCell ref="A50:G50"/>
    <mergeCell ref="A44:G44"/>
    <mergeCell ref="A47:G47"/>
    <mergeCell ref="C22:C28"/>
    <mergeCell ref="A15:A28"/>
    <mergeCell ref="A40:G40"/>
    <mergeCell ref="A30:A31"/>
    <mergeCell ref="A32:A3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2B393-8A2C-48DB-87B9-D4FA0706AD3E}">
  <dimension ref="A1:I54"/>
  <sheetViews>
    <sheetView workbookViewId="0">
      <selection activeCell="H1" sqref="H1:J1048576"/>
    </sheetView>
  </sheetViews>
  <sheetFormatPr defaultRowHeight="15" x14ac:dyDescent="0.25"/>
  <cols>
    <col min="1" max="1" width="15.140625" customWidth="1"/>
    <col min="2" max="2" width="51.28515625" customWidth="1"/>
    <col min="3" max="3" width="13" customWidth="1"/>
    <col min="4" max="4" width="14.140625" customWidth="1"/>
    <col min="5" max="5" width="14.5703125" customWidth="1"/>
    <col min="6" max="6" width="12.42578125" customWidth="1"/>
    <col min="7" max="7" width="13.140625" customWidth="1"/>
    <col min="8" max="10" width="0" hidden="1" customWidth="1"/>
  </cols>
  <sheetData>
    <row r="1" spans="1:9" ht="42" customHeight="1" x14ac:dyDescent="0.3">
      <c r="A1" s="385" t="s">
        <v>70</v>
      </c>
      <c r="B1" s="385"/>
      <c r="C1" s="385"/>
      <c r="D1" s="385"/>
      <c r="E1" s="385"/>
      <c r="F1" s="385"/>
      <c r="G1" s="385"/>
    </row>
    <row r="2" spans="1:9" ht="29.25" thickBot="1" x14ac:dyDescent="0.3">
      <c r="A2" s="12" t="s">
        <v>4</v>
      </c>
      <c r="B2" s="53"/>
      <c r="C2" s="54" t="s">
        <v>5</v>
      </c>
      <c r="D2" s="54" t="s">
        <v>1</v>
      </c>
      <c r="E2" s="55" t="s">
        <v>11</v>
      </c>
      <c r="F2" s="54" t="s">
        <v>2</v>
      </c>
      <c r="G2" s="54" t="s">
        <v>3</v>
      </c>
    </row>
    <row r="3" spans="1:9" ht="15.75" thickBot="1" x14ac:dyDescent="0.3">
      <c r="A3" s="52" t="s">
        <v>17</v>
      </c>
      <c r="B3" s="71" t="s">
        <v>67</v>
      </c>
      <c r="C3" s="72"/>
      <c r="D3" s="73">
        <f>(D10-D9)*D13</f>
        <v>-178.18574400000404</v>
      </c>
      <c r="E3" s="73">
        <f t="shared" ref="E3:G3" si="0">(E10-E9)*E13</f>
        <v>0</v>
      </c>
      <c r="F3" s="73">
        <f t="shared" si="0"/>
        <v>0</v>
      </c>
      <c r="G3" s="74">
        <f t="shared" si="0"/>
        <v>0</v>
      </c>
    </row>
    <row r="4" spans="1:9" ht="17.25" customHeight="1" x14ac:dyDescent="0.25">
      <c r="A4" s="444" t="s">
        <v>72</v>
      </c>
      <c r="B4" s="67" t="s">
        <v>13</v>
      </c>
      <c r="C4" s="442" t="s">
        <v>6</v>
      </c>
      <c r="D4" s="68">
        <v>14</v>
      </c>
      <c r="E4" s="69"/>
      <c r="F4" s="68"/>
      <c r="G4" s="70"/>
    </row>
    <row r="5" spans="1:9" x14ac:dyDescent="0.25">
      <c r="A5" s="445"/>
      <c r="B5" s="57" t="s">
        <v>64</v>
      </c>
      <c r="C5" s="442"/>
      <c r="D5" s="19">
        <v>5256</v>
      </c>
      <c r="E5" s="19"/>
      <c r="F5" s="19"/>
      <c r="G5" s="56"/>
    </row>
    <row r="6" spans="1:9" x14ac:dyDescent="0.25">
      <c r="A6" s="445"/>
      <c r="B6" s="57" t="s">
        <v>65</v>
      </c>
      <c r="C6" s="442"/>
      <c r="D6" s="19">
        <f>D5+D7-D8</f>
        <v>5236</v>
      </c>
      <c r="E6" s="19">
        <f t="shared" ref="E6:G6" si="1">E5+E7-E8</f>
        <v>0</v>
      </c>
      <c r="F6" s="19">
        <f t="shared" si="1"/>
        <v>0</v>
      </c>
      <c r="G6" s="56">
        <f t="shared" si="1"/>
        <v>0</v>
      </c>
      <c r="I6" s="107">
        <f>D5-D8</f>
        <v>5236</v>
      </c>
    </row>
    <row r="7" spans="1:9" ht="16.5" customHeight="1" x14ac:dyDescent="0.25">
      <c r="A7" s="445"/>
      <c r="B7" s="58" t="s">
        <v>60</v>
      </c>
      <c r="C7" s="442"/>
      <c r="D7" s="19">
        <v>0</v>
      </c>
      <c r="E7" s="19"/>
      <c r="F7" s="19"/>
      <c r="G7" s="56"/>
    </row>
    <row r="8" spans="1:9" ht="14.25" customHeight="1" x14ac:dyDescent="0.25">
      <c r="A8" s="445"/>
      <c r="B8" s="58" t="s">
        <v>61</v>
      </c>
      <c r="C8" s="443"/>
      <c r="D8" s="19">
        <v>20</v>
      </c>
      <c r="E8" s="19"/>
      <c r="F8" s="19"/>
      <c r="G8" s="56"/>
    </row>
    <row r="9" spans="1:9" ht="16.5" customHeight="1" x14ac:dyDescent="0.25">
      <c r="A9" s="445"/>
      <c r="B9" s="57" t="s">
        <v>58</v>
      </c>
      <c r="C9" s="439" t="s">
        <v>8</v>
      </c>
      <c r="D9" s="19">
        <v>47955.92</v>
      </c>
      <c r="E9" s="19"/>
      <c r="F9" s="19"/>
      <c r="G9" s="56"/>
    </row>
    <row r="10" spans="1:9" ht="19.5" customHeight="1" x14ac:dyDescent="0.25">
      <c r="A10" s="445"/>
      <c r="B10" s="57" t="s">
        <v>66</v>
      </c>
      <c r="C10" s="440"/>
      <c r="D10" s="19">
        <f>D9+D11-D12</f>
        <v>47800.759999999995</v>
      </c>
      <c r="E10" s="19">
        <f t="shared" ref="E10:G10" si="2">E9+E11-E12</f>
        <v>0</v>
      </c>
      <c r="F10" s="19">
        <f t="shared" si="2"/>
        <v>0</v>
      </c>
      <c r="G10" s="56">
        <f t="shared" si="2"/>
        <v>0</v>
      </c>
      <c r="H10" s="209">
        <f ca="1">atskaites_jedox!AE8</f>
        <v>47800.76</v>
      </c>
      <c r="I10" s="107">
        <f>D9-D12</f>
        <v>47800.759999999995</v>
      </c>
    </row>
    <row r="11" spans="1:9" ht="17.25" customHeight="1" x14ac:dyDescent="0.25">
      <c r="A11" s="445"/>
      <c r="B11" s="59" t="s">
        <v>62</v>
      </c>
      <c r="C11" s="440"/>
      <c r="D11" s="19">
        <v>0</v>
      </c>
      <c r="E11" s="19"/>
      <c r="F11" s="19"/>
      <c r="G11" s="56"/>
    </row>
    <row r="12" spans="1:9" ht="17.25" customHeight="1" x14ac:dyDescent="0.25">
      <c r="A12" s="446"/>
      <c r="B12" s="59" t="s">
        <v>63</v>
      </c>
      <c r="C12" s="441"/>
      <c r="D12" s="19">
        <v>155.16</v>
      </c>
      <c r="E12" s="19"/>
      <c r="F12" s="19"/>
      <c r="G12" s="56"/>
    </row>
    <row r="13" spans="1:9" ht="30" customHeight="1" thickBot="1" x14ac:dyDescent="0.3">
      <c r="A13" s="78" t="s">
        <v>73</v>
      </c>
      <c r="B13" s="60" t="s">
        <v>59</v>
      </c>
      <c r="C13" s="61" t="s">
        <v>9</v>
      </c>
      <c r="D13" s="94">
        <v>1.1484000000000001</v>
      </c>
      <c r="E13" s="62"/>
      <c r="F13" s="62"/>
      <c r="G13" s="63"/>
      <c r="H13" s="210">
        <f ca="1">atskaites_jedox!AF8</f>
        <v>1.1491</v>
      </c>
    </row>
    <row r="14" spans="1:9" ht="36" customHeight="1" thickBot="1" x14ac:dyDescent="0.3">
      <c r="A14" s="44" t="s">
        <v>18</v>
      </c>
      <c r="B14" s="48" t="s">
        <v>57</v>
      </c>
      <c r="C14" s="49"/>
      <c r="D14" s="50">
        <f>SUM(D16*D23,D17*D24,D18*D25,D19*D26,D20*D27,D21*D28)</f>
        <v>33.927</v>
      </c>
      <c r="E14" s="50">
        <f t="shared" ref="E14:G14" si="3">SUM(E16*E23,E17*E24,E18*E25,E19*E26,E20*E27,E21*E28)</f>
        <v>0</v>
      </c>
      <c r="F14" s="50">
        <f t="shared" si="3"/>
        <v>0</v>
      </c>
      <c r="G14" s="51">
        <f t="shared" si="3"/>
        <v>0</v>
      </c>
    </row>
    <row r="15" spans="1:9" ht="30" x14ac:dyDescent="0.25">
      <c r="A15" s="434" t="s">
        <v>72</v>
      </c>
      <c r="B15" s="45" t="s">
        <v>55</v>
      </c>
      <c r="C15" s="108"/>
      <c r="D15" s="46"/>
      <c r="E15" s="46"/>
      <c r="F15" s="46"/>
      <c r="G15" s="47"/>
    </row>
    <row r="16" spans="1:9" x14ac:dyDescent="0.25">
      <c r="A16" s="435"/>
      <c r="B16" s="38" t="s">
        <v>0</v>
      </c>
      <c r="C16" s="108" t="s">
        <v>35</v>
      </c>
      <c r="D16" s="20">
        <v>6</v>
      </c>
      <c r="E16" s="20"/>
      <c r="F16" s="20"/>
      <c r="G16" s="39"/>
    </row>
    <row r="17" spans="1:9" x14ac:dyDescent="0.25">
      <c r="A17" s="435"/>
      <c r="B17" s="38" t="s">
        <v>14</v>
      </c>
      <c r="C17" s="108"/>
      <c r="D17" s="20"/>
      <c r="E17" s="20"/>
      <c r="F17" s="20"/>
      <c r="G17" s="39"/>
    </row>
    <row r="18" spans="1:9" ht="16.5" customHeight="1" x14ac:dyDescent="0.25">
      <c r="A18" s="435"/>
      <c r="B18" s="40" t="s">
        <v>20</v>
      </c>
      <c r="C18" s="108"/>
      <c r="D18" s="20"/>
      <c r="E18" s="20"/>
      <c r="F18" s="20"/>
      <c r="G18" s="39"/>
    </row>
    <row r="19" spans="1:9" x14ac:dyDescent="0.25">
      <c r="A19" s="435"/>
      <c r="B19" s="38" t="s">
        <v>12</v>
      </c>
      <c r="C19" s="108"/>
      <c r="D19" s="20"/>
      <c r="E19" s="20"/>
      <c r="F19" s="20"/>
      <c r="G19" s="39"/>
    </row>
    <row r="20" spans="1:9" ht="15.75" customHeight="1" x14ac:dyDescent="0.25">
      <c r="A20" s="435"/>
      <c r="B20" s="40" t="s">
        <v>26</v>
      </c>
      <c r="C20" s="108"/>
      <c r="D20" s="20"/>
      <c r="E20" s="20"/>
      <c r="F20" s="20"/>
      <c r="G20" s="39"/>
    </row>
    <row r="21" spans="1:9" ht="15.75" thickBot="1" x14ac:dyDescent="0.3">
      <c r="A21" s="435"/>
      <c r="B21" s="41" t="s">
        <v>79</v>
      </c>
      <c r="C21" s="109" t="s">
        <v>34</v>
      </c>
      <c r="D21" s="42">
        <v>300</v>
      </c>
      <c r="E21" s="42"/>
      <c r="F21" s="42"/>
      <c r="G21" s="43"/>
    </row>
    <row r="22" spans="1:9" ht="33.75" customHeight="1" x14ac:dyDescent="0.25">
      <c r="A22" s="435"/>
      <c r="B22" s="35" t="s">
        <v>56</v>
      </c>
      <c r="C22" s="431" t="s">
        <v>42</v>
      </c>
      <c r="D22" s="36"/>
      <c r="E22" s="36"/>
      <c r="F22" s="36"/>
      <c r="G22" s="37"/>
    </row>
    <row r="23" spans="1:9" x14ac:dyDescent="0.25">
      <c r="A23" s="435"/>
      <c r="B23" s="38" t="s">
        <v>0</v>
      </c>
      <c r="C23" s="432"/>
      <c r="D23" s="20">
        <v>2.5945</v>
      </c>
      <c r="E23" s="20"/>
      <c r="F23" s="20"/>
      <c r="G23" s="39"/>
    </row>
    <row r="24" spans="1:9" x14ac:dyDescent="0.25">
      <c r="A24" s="435"/>
      <c r="B24" s="38" t="s">
        <v>14</v>
      </c>
      <c r="C24" s="432"/>
      <c r="D24" s="20"/>
      <c r="E24" s="20"/>
      <c r="F24" s="20"/>
      <c r="G24" s="39"/>
    </row>
    <row r="25" spans="1:9" ht="18.75" customHeight="1" x14ac:dyDescent="0.25">
      <c r="A25" s="435"/>
      <c r="B25" s="40" t="s">
        <v>20</v>
      </c>
      <c r="C25" s="432"/>
      <c r="D25" s="20"/>
      <c r="E25" s="20"/>
      <c r="F25" s="20"/>
      <c r="G25" s="39"/>
    </row>
    <row r="26" spans="1:9" ht="35.25" customHeight="1" x14ac:dyDescent="0.25">
      <c r="A26" s="435"/>
      <c r="B26" s="40" t="s">
        <v>25</v>
      </c>
      <c r="C26" s="432"/>
      <c r="D26" s="20"/>
      <c r="E26" s="20"/>
      <c r="F26" s="20"/>
      <c r="G26" s="39"/>
    </row>
    <row r="27" spans="1:9" ht="33.75" customHeight="1" x14ac:dyDescent="0.25">
      <c r="A27" s="435"/>
      <c r="B27" s="40" t="s">
        <v>27</v>
      </c>
      <c r="C27" s="432"/>
      <c r="D27" s="20"/>
      <c r="E27" s="20"/>
      <c r="F27" s="20"/>
      <c r="G27" s="39"/>
    </row>
    <row r="28" spans="1:9" ht="15.75" thickBot="1" x14ac:dyDescent="0.3">
      <c r="A28" s="436"/>
      <c r="B28" s="41" t="s">
        <v>79</v>
      </c>
      <c r="C28" s="433"/>
      <c r="D28" s="42">
        <v>6.1199999999999997E-2</v>
      </c>
      <c r="E28" s="42"/>
      <c r="F28" s="42"/>
      <c r="G28" s="43"/>
    </row>
    <row r="29" spans="1:9" x14ac:dyDescent="0.25">
      <c r="A29" s="64" t="s">
        <v>43</v>
      </c>
      <c r="B29" s="79" t="s">
        <v>69</v>
      </c>
      <c r="C29" s="80"/>
      <c r="D29" s="81">
        <f>((D32/D33)-(D30/D31))*D31</f>
        <v>20304.424515493025</v>
      </c>
      <c r="E29" s="81" t="e">
        <f>((E32/E33)-(E31/#REF!))*#REF!</f>
        <v>#DIV/0!</v>
      </c>
      <c r="F29" s="81" t="e">
        <f t="shared" ref="F29:G29" si="4">((F32/F33)-(F30/F31))*F31</f>
        <v>#DIV/0!</v>
      </c>
      <c r="G29" s="82" t="e">
        <f t="shared" si="4"/>
        <v>#DIV/0!</v>
      </c>
    </row>
    <row r="30" spans="1:9" ht="65.25" customHeight="1" x14ac:dyDescent="0.25">
      <c r="A30" s="437" t="s">
        <v>73</v>
      </c>
      <c r="B30" s="83" t="s">
        <v>52</v>
      </c>
      <c r="C30" s="106" t="s">
        <v>46</v>
      </c>
      <c r="D30" s="32">
        <v>28761.8</v>
      </c>
      <c r="E30" s="110"/>
      <c r="F30" s="28"/>
      <c r="G30" s="84"/>
      <c r="H30" s="209">
        <f ca="1">atskaites_jedox!AD8</f>
        <v>28761.8</v>
      </c>
    </row>
    <row r="31" spans="1:9" ht="15.75" customHeight="1" x14ac:dyDescent="0.25">
      <c r="A31" s="438"/>
      <c r="B31" s="83" t="s">
        <v>68</v>
      </c>
      <c r="C31" s="106" t="s">
        <v>8</v>
      </c>
      <c r="D31" s="32">
        <v>47800.76</v>
      </c>
      <c r="E31" s="28"/>
      <c r="F31" s="28"/>
      <c r="G31" s="84"/>
      <c r="H31" s="209">
        <f ca="1">atskaites_jedox!AE8</f>
        <v>47800.76</v>
      </c>
      <c r="I31" t="b">
        <f>D31=D10</f>
        <v>1</v>
      </c>
    </row>
    <row r="32" spans="1:9" ht="60" x14ac:dyDescent="0.25">
      <c r="A32" s="437" t="s">
        <v>74</v>
      </c>
      <c r="B32" s="83" t="s">
        <v>53</v>
      </c>
      <c r="C32" s="106" t="s">
        <v>46</v>
      </c>
      <c r="D32" s="32">
        <v>48542.61</v>
      </c>
      <c r="E32" s="28"/>
      <c r="F32" s="28"/>
      <c r="G32" s="84"/>
      <c r="H32" s="209">
        <f ca="1">atskaites_jedox!F8</f>
        <v>48542.61</v>
      </c>
    </row>
    <row r="33" spans="1:8" ht="15.75" thickBot="1" x14ac:dyDescent="0.3">
      <c r="A33" s="438"/>
      <c r="B33" s="85" t="s">
        <v>54</v>
      </c>
      <c r="C33" s="75" t="s">
        <v>8</v>
      </c>
      <c r="D33" s="86">
        <v>47290.65</v>
      </c>
      <c r="E33" s="65"/>
      <c r="F33" s="65"/>
      <c r="G33" s="66"/>
      <c r="H33" s="209">
        <f ca="1">atskaites_jedox!G8</f>
        <v>47290.65</v>
      </c>
    </row>
    <row r="34" spans="1:8" x14ac:dyDescent="0.25">
      <c r="A34" s="1"/>
      <c r="B34" s="1"/>
      <c r="C34" s="1"/>
      <c r="D34" s="1"/>
      <c r="E34" s="1"/>
      <c r="F34" s="1"/>
      <c r="G34" s="1"/>
    </row>
    <row r="35" spans="1:8" x14ac:dyDescent="0.25">
      <c r="A35" s="1"/>
      <c r="B35" s="1"/>
      <c r="C35" s="1"/>
      <c r="D35" s="1"/>
      <c r="E35" s="1"/>
      <c r="F35" s="1"/>
      <c r="G35" s="1"/>
    </row>
    <row r="36" spans="1:8" ht="15.75" thickBot="1" x14ac:dyDescent="0.3">
      <c r="A36" s="1"/>
      <c r="B36" s="93" t="s">
        <v>71</v>
      </c>
      <c r="C36" s="92"/>
      <c r="D36" s="92"/>
      <c r="E36" s="92" t="s">
        <v>78</v>
      </c>
      <c r="F36" s="92"/>
      <c r="G36" s="92"/>
    </row>
    <row r="37" spans="1:8" ht="15.75" thickTop="1" x14ac:dyDescent="0.25">
      <c r="A37" s="1"/>
      <c r="B37" s="105" t="s">
        <v>77</v>
      </c>
      <c r="C37" s="1"/>
      <c r="D37" s="1"/>
      <c r="E37" s="1"/>
      <c r="F37" s="1"/>
      <c r="G37" s="1"/>
    </row>
    <row r="38" spans="1:8" x14ac:dyDescent="0.25">
      <c r="A38" s="1"/>
      <c r="B38" s="105" t="s">
        <v>76</v>
      </c>
      <c r="C38" s="1"/>
      <c r="D38" s="1"/>
      <c r="E38" s="1"/>
      <c r="F38" s="1"/>
      <c r="G38" s="1"/>
    </row>
    <row r="39" spans="1:8" x14ac:dyDescent="0.25">
      <c r="A39" s="1" t="s">
        <v>10</v>
      </c>
      <c r="B39" s="1"/>
      <c r="C39" s="1"/>
      <c r="D39" s="1"/>
      <c r="E39" s="1"/>
      <c r="F39" s="1"/>
      <c r="G39" s="1"/>
    </row>
    <row r="40" spans="1:8" ht="32.25" customHeight="1" x14ac:dyDescent="0.25">
      <c r="A40" s="430" t="s">
        <v>31</v>
      </c>
      <c r="B40" s="430"/>
      <c r="C40" s="430"/>
      <c r="D40" s="430"/>
      <c r="E40" s="430"/>
      <c r="F40" s="430"/>
      <c r="G40" s="430"/>
    </row>
    <row r="41" spans="1:8" x14ac:dyDescent="0.25">
      <c r="A41" s="15" t="s">
        <v>30</v>
      </c>
      <c r="B41" s="15"/>
      <c r="C41" s="15"/>
      <c r="D41" s="15"/>
      <c r="E41" s="15"/>
      <c r="F41" s="15"/>
      <c r="G41" s="15"/>
    </row>
    <row r="42" spans="1:8" ht="33.75" customHeight="1" x14ac:dyDescent="0.25">
      <c r="A42" s="449" t="s">
        <v>19</v>
      </c>
      <c r="B42" s="449"/>
      <c r="C42" s="449"/>
      <c r="D42" s="449"/>
      <c r="E42" s="449"/>
      <c r="F42" s="449"/>
      <c r="G42" s="449"/>
    </row>
    <row r="43" spans="1:8" ht="30.75" customHeight="1" x14ac:dyDescent="0.25">
      <c r="A43" s="430" t="s">
        <v>22</v>
      </c>
      <c r="B43" s="430"/>
      <c r="C43" s="430"/>
      <c r="D43" s="430"/>
      <c r="E43" s="430"/>
      <c r="F43" s="430"/>
      <c r="G43" s="430"/>
    </row>
    <row r="44" spans="1:8" ht="34.5" customHeight="1" x14ac:dyDescent="0.25">
      <c r="A44" s="430" t="s">
        <v>47</v>
      </c>
      <c r="B44" s="430"/>
      <c r="C44" s="430"/>
      <c r="D44" s="430"/>
      <c r="E44" s="430"/>
      <c r="F44" s="430"/>
      <c r="G44" s="430"/>
    </row>
    <row r="45" spans="1:8" x14ac:dyDescent="0.25">
      <c r="A45" s="15"/>
      <c r="B45" s="15"/>
      <c r="C45" s="15"/>
      <c r="D45" s="15"/>
      <c r="E45" s="15"/>
      <c r="F45" s="15"/>
      <c r="G45" s="15"/>
    </row>
    <row r="46" spans="1:8" x14ac:dyDescent="0.25">
      <c r="A46" s="33" t="s">
        <v>21</v>
      </c>
      <c r="B46" s="15"/>
      <c r="C46" s="15"/>
      <c r="D46" s="15"/>
      <c r="E46" s="15"/>
      <c r="F46" s="15"/>
      <c r="G46" s="15"/>
    </row>
    <row r="47" spans="1:8" ht="36" customHeight="1" x14ac:dyDescent="0.25">
      <c r="A47" s="430" t="s">
        <v>48</v>
      </c>
      <c r="B47" s="430"/>
      <c r="C47" s="430"/>
      <c r="D47" s="430"/>
      <c r="E47" s="430"/>
      <c r="F47" s="430"/>
      <c r="G47" s="430"/>
    </row>
    <row r="48" spans="1:8" ht="33" customHeight="1" x14ac:dyDescent="0.25">
      <c r="A48" s="430" t="s">
        <v>23</v>
      </c>
      <c r="B48" s="430"/>
      <c r="C48" s="430"/>
      <c r="D48" s="430"/>
      <c r="E48" s="430"/>
      <c r="F48" s="430"/>
      <c r="G48" s="430"/>
    </row>
    <row r="49" spans="1:7" ht="33" customHeight="1" x14ac:dyDescent="0.25">
      <c r="A49" s="430" t="s">
        <v>28</v>
      </c>
      <c r="B49" s="430"/>
      <c r="C49" s="430"/>
      <c r="D49" s="430"/>
      <c r="E49" s="430"/>
      <c r="F49" s="430"/>
      <c r="G49" s="430"/>
    </row>
    <row r="50" spans="1:7" ht="66" customHeight="1" x14ac:dyDescent="0.25">
      <c r="A50" s="430" t="s">
        <v>49</v>
      </c>
      <c r="B50" s="430"/>
      <c r="C50" s="430"/>
      <c r="D50" s="430"/>
      <c r="E50" s="430"/>
      <c r="F50" s="430"/>
      <c r="G50" s="430"/>
    </row>
    <row r="51" spans="1:7" ht="36" customHeight="1" x14ac:dyDescent="0.25">
      <c r="A51" s="430" t="s">
        <v>24</v>
      </c>
      <c r="B51" s="430"/>
      <c r="C51" s="430"/>
      <c r="D51" s="430"/>
      <c r="E51" s="430"/>
      <c r="F51" s="430"/>
      <c r="G51" s="430"/>
    </row>
    <row r="52" spans="1:7" ht="48.75" customHeight="1" x14ac:dyDescent="0.25">
      <c r="A52" s="450" t="s">
        <v>29</v>
      </c>
      <c r="B52" s="450"/>
      <c r="C52" s="450"/>
      <c r="D52" s="450"/>
      <c r="E52" s="450"/>
      <c r="F52" s="450"/>
      <c r="G52" s="450"/>
    </row>
    <row r="53" spans="1:7" ht="35.25" customHeight="1" x14ac:dyDescent="0.25">
      <c r="A53" s="430" t="s">
        <v>50</v>
      </c>
      <c r="B53" s="430"/>
      <c r="C53" s="430"/>
      <c r="D53" s="430"/>
      <c r="E53" s="430"/>
      <c r="F53" s="430"/>
      <c r="G53" s="430"/>
    </row>
    <row r="54" spans="1:7" ht="45.75" customHeight="1" x14ac:dyDescent="0.25">
      <c r="A54" s="430" t="s">
        <v>51</v>
      </c>
      <c r="B54" s="430"/>
      <c r="C54" s="430"/>
      <c r="D54" s="430"/>
      <c r="E54" s="430"/>
      <c r="F54" s="430"/>
      <c r="G54" s="430"/>
    </row>
  </sheetData>
  <mergeCells count="20">
    <mergeCell ref="A44:G44"/>
    <mergeCell ref="A1:G1"/>
    <mergeCell ref="A4:A12"/>
    <mergeCell ref="C4:C8"/>
    <mergeCell ref="C9:C12"/>
    <mergeCell ref="A15:A28"/>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E344D-16CA-4264-875A-1FE37EFACD1D}">
  <dimension ref="A1:I54"/>
  <sheetViews>
    <sheetView workbookViewId="0">
      <selection activeCell="K1" sqref="K1"/>
    </sheetView>
  </sheetViews>
  <sheetFormatPr defaultRowHeight="15" x14ac:dyDescent="0.25"/>
  <cols>
    <col min="1" max="1" width="15.140625" customWidth="1"/>
    <col min="2" max="2" width="51.28515625" customWidth="1"/>
    <col min="3" max="3" width="13" customWidth="1"/>
    <col min="4" max="4" width="14.140625" customWidth="1"/>
    <col min="5" max="5" width="14.5703125" customWidth="1"/>
    <col min="6" max="6" width="12.42578125" customWidth="1"/>
    <col min="7" max="7" width="13.140625" customWidth="1"/>
    <col min="8" max="9" width="0" hidden="1" customWidth="1"/>
  </cols>
  <sheetData>
    <row r="1" spans="1:8" ht="42" customHeight="1" x14ac:dyDescent="0.3">
      <c r="A1" s="385" t="s">
        <v>70</v>
      </c>
      <c r="B1" s="385"/>
      <c r="C1" s="385"/>
      <c r="D1" s="385"/>
      <c r="E1" s="385"/>
      <c r="F1" s="385"/>
      <c r="G1" s="385"/>
    </row>
    <row r="2" spans="1:8" ht="29.25" thickBot="1" x14ac:dyDescent="0.3">
      <c r="A2" s="12" t="s">
        <v>4</v>
      </c>
      <c r="B2" s="53"/>
      <c r="C2" s="54" t="s">
        <v>5</v>
      </c>
      <c r="D2" s="54" t="s">
        <v>1</v>
      </c>
      <c r="E2" s="55" t="s">
        <v>11</v>
      </c>
      <c r="F2" s="54" t="s">
        <v>2</v>
      </c>
      <c r="G2" s="54" t="s">
        <v>3</v>
      </c>
    </row>
    <row r="3" spans="1:8" ht="15.75" thickBot="1" x14ac:dyDescent="0.3">
      <c r="A3" s="52" t="s">
        <v>17</v>
      </c>
      <c r="B3" s="71" t="s">
        <v>67</v>
      </c>
      <c r="C3" s="72"/>
      <c r="D3" s="73">
        <f>(D10-D9)*D13</f>
        <v>0</v>
      </c>
      <c r="E3" s="73">
        <f t="shared" ref="E3:G3" si="0">(E10-E9)*E13</f>
        <v>0</v>
      </c>
      <c r="F3" s="73">
        <f t="shared" si="0"/>
        <v>0</v>
      </c>
      <c r="G3" s="74">
        <f t="shared" si="0"/>
        <v>0</v>
      </c>
    </row>
    <row r="4" spans="1:8" ht="17.25" customHeight="1" x14ac:dyDescent="0.25">
      <c r="A4" s="444" t="s">
        <v>80</v>
      </c>
      <c r="B4" s="67" t="s">
        <v>13</v>
      </c>
      <c r="C4" s="442" t="s">
        <v>6</v>
      </c>
      <c r="D4" s="68">
        <v>14</v>
      </c>
      <c r="E4" s="69"/>
      <c r="F4" s="68"/>
      <c r="G4" s="70"/>
    </row>
    <row r="5" spans="1:8" x14ac:dyDescent="0.25">
      <c r="A5" s="445"/>
      <c r="B5" s="57" t="s">
        <v>64</v>
      </c>
      <c r="C5" s="442"/>
      <c r="D5" s="19">
        <v>5388</v>
      </c>
      <c r="E5" s="19"/>
      <c r="F5" s="19"/>
      <c r="G5" s="56"/>
    </row>
    <row r="6" spans="1:8" x14ac:dyDescent="0.25">
      <c r="A6" s="445"/>
      <c r="B6" s="57" t="s">
        <v>65</v>
      </c>
      <c r="C6" s="442"/>
      <c r="D6" s="19">
        <f>D5+D7-D8</f>
        <v>5388</v>
      </c>
      <c r="E6" s="19">
        <f t="shared" ref="E6:G6" si="1">E5+E7-E8</f>
        <v>0</v>
      </c>
      <c r="F6" s="19">
        <f t="shared" si="1"/>
        <v>0</v>
      </c>
      <c r="G6" s="56">
        <f t="shared" si="1"/>
        <v>0</v>
      </c>
    </row>
    <row r="7" spans="1:8" ht="16.5" customHeight="1" x14ac:dyDescent="0.25">
      <c r="A7" s="445"/>
      <c r="B7" s="58" t="s">
        <v>60</v>
      </c>
      <c r="C7" s="442"/>
      <c r="D7" s="19">
        <v>0</v>
      </c>
      <c r="E7" s="19"/>
      <c r="F7" s="19"/>
      <c r="G7" s="56"/>
    </row>
    <row r="8" spans="1:8" ht="14.25" customHeight="1" x14ac:dyDescent="0.25">
      <c r="A8" s="445"/>
      <c r="B8" s="58" t="s">
        <v>61</v>
      </c>
      <c r="C8" s="443"/>
      <c r="D8" s="19">
        <v>0</v>
      </c>
      <c r="E8" s="19"/>
      <c r="F8" s="19"/>
      <c r="G8" s="56"/>
    </row>
    <row r="9" spans="1:8" ht="16.5" customHeight="1" x14ac:dyDescent="0.25">
      <c r="A9" s="445"/>
      <c r="B9" s="57" t="s">
        <v>58</v>
      </c>
      <c r="C9" s="439" t="s">
        <v>8</v>
      </c>
      <c r="D9" s="19">
        <v>49186.19</v>
      </c>
      <c r="E9" s="19"/>
      <c r="F9" s="19"/>
      <c r="G9" s="56"/>
    </row>
    <row r="10" spans="1:8" ht="19.5" customHeight="1" x14ac:dyDescent="0.25">
      <c r="A10" s="445"/>
      <c r="B10" s="57" t="s">
        <v>66</v>
      </c>
      <c r="C10" s="440"/>
      <c r="D10" s="19">
        <f>D9+D11-D12</f>
        <v>49186.19</v>
      </c>
      <c r="E10" s="19">
        <f t="shared" ref="E10:G10" si="2">E9+E11-E12</f>
        <v>0</v>
      </c>
      <c r="F10" s="19">
        <f t="shared" si="2"/>
        <v>0</v>
      </c>
      <c r="G10" s="56">
        <f t="shared" si="2"/>
        <v>0</v>
      </c>
      <c r="H10" s="209">
        <f ca="1">atskaites_jedox!AH8</f>
        <v>49186.19</v>
      </c>
    </row>
    <row r="11" spans="1:8" ht="17.25" customHeight="1" x14ac:dyDescent="0.25">
      <c r="A11" s="445"/>
      <c r="B11" s="59" t="s">
        <v>62</v>
      </c>
      <c r="C11" s="440"/>
      <c r="D11" s="19">
        <v>0</v>
      </c>
      <c r="E11" s="19"/>
      <c r="F11" s="19"/>
      <c r="G11" s="56"/>
    </row>
    <row r="12" spans="1:8" ht="17.25" customHeight="1" x14ac:dyDescent="0.25">
      <c r="A12" s="446"/>
      <c r="B12" s="59" t="s">
        <v>63</v>
      </c>
      <c r="C12" s="441"/>
      <c r="D12" s="19">
        <v>0</v>
      </c>
      <c r="E12" s="19"/>
      <c r="F12" s="19"/>
      <c r="G12" s="56"/>
    </row>
    <row r="13" spans="1:8" ht="30" customHeight="1" thickBot="1" x14ac:dyDescent="0.3">
      <c r="A13" s="78"/>
      <c r="B13" s="60" t="s">
        <v>59</v>
      </c>
      <c r="C13" s="61" t="s">
        <v>9</v>
      </c>
      <c r="D13" s="62">
        <v>1.1426000000000001</v>
      </c>
      <c r="E13" s="62"/>
      <c r="F13" s="62"/>
      <c r="G13" s="63"/>
      <c r="H13" s="210">
        <f ca="1">atskaites_jedox!AI8</f>
        <v>1.1400000000000001</v>
      </c>
    </row>
    <row r="14" spans="1:8" ht="36" customHeight="1" thickBot="1" x14ac:dyDescent="0.3">
      <c r="A14" s="44" t="s">
        <v>18</v>
      </c>
      <c r="B14" s="48" t="s">
        <v>57</v>
      </c>
      <c r="C14" s="49"/>
      <c r="D14" s="50">
        <f>SUM(D16*D23,D17*D24,D18*D25,D19*D26,D20*D27,D21*D28)</f>
        <v>21.297999999999998</v>
      </c>
      <c r="E14" s="50">
        <f t="shared" ref="E14:G14" si="3">SUM(E16*E23,E17*E24,E18*E25,E19*E26,E20*E27,E21*E28)</f>
        <v>0</v>
      </c>
      <c r="F14" s="50">
        <f t="shared" si="3"/>
        <v>0</v>
      </c>
      <c r="G14" s="51">
        <f t="shared" si="3"/>
        <v>0</v>
      </c>
    </row>
    <row r="15" spans="1:8" ht="30" x14ac:dyDescent="0.25">
      <c r="A15" s="434" t="s">
        <v>80</v>
      </c>
      <c r="B15" s="45" t="s">
        <v>55</v>
      </c>
      <c r="C15" s="108"/>
      <c r="D15" s="46"/>
      <c r="E15" s="46"/>
      <c r="F15" s="46"/>
      <c r="G15" s="47"/>
    </row>
    <row r="16" spans="1:8" x14ac:dyDescent="0.25">
      <c r="A16" s="435"/>
      <c r="B16" s="38" t="s">
        <v>0</v>
      </c>
      <c r="C16" s="108" t="s">
        <v>35</v>
      </c>
      <c r="D16" s="20">
        <v>1</v>
      </c>
      <c r="E16" s="20"/>
      <c r="F16" s="20"/>
      <c r="G16" s="39"/>
    </row>
    <row r="17" spans="1:9" x14ac:dyDescent="0.25">
      <c r="A17" s="435"/>
      <c r="B17" s="38" t="s">
        <v>14</v>
      </c>
      <c r="C17" s="108"/>
      <c r="D17" s="20"/>
      <c r="E17" s="20"/>
      <c r="F17" s="20"/>
      <c r="G17" s="39"/>
    </row>
    <row r="18" spans="1:9" ht="16.5" customHeight="1" x14ac:dyDescent="0.25">
      <c r="A18" s="435"/>
      <c r="B18" s="40" t="s">
        <v>20</v>
      </c>
      <c r="C18" s="108"/>
      <c r="D18" s="20"/>
      <c r="E18" s="20"/>
      <c r="F18" s="20"/>
      <c r="G18" s="39"/>
    </row>
    <row r="19" spans="1:9" x14ac:dyDescent="0.25">
      <c r="A19" s="435"/>
      <c r="B19" s="38" t="s">
        <v>12</v>
      </c>
      <c r="C19" s="108"/>
      <c r="D19" s="20"/>
      <c r="E19" s="20"/>
      <c r="F19" s="20"/>
      <c r="G19" s="39"/>
    </row>
    <row r="20" spans="1:9" ht="15.75" customHeight="1" x14ac:dyDescent="0.25">
      <c r="A20" s="435"/>
      <c r="B20" s="40" t="s">
        <v>26</v>
      </c>
      <c r="C20" s="108"/>
      <c r="D20" s="20"/>
      <c r="E20" s="20"/>
      <c r="F20" s="20"/>
      <c r="G20" s="39"/>
    </row>
    <row r="21" spans="1:9" ht="15.75" thickBot="1" x14ac:dyDescent="0.3">
      <c r="A21" s="435"/>
      <c r="B21" s="41" t="s">
        <v>79</v>
      </c>
      <c r="C21" s="109" t="s">
        <v>34</v>
      </c>
      <c r="D21" s="42">
        <v>300</v>
      </c>
      <c r="E21" s="42"/>
      <c r="F21" s="42"/>
      <c r="G21" s="43"/>
    </row>
    <row r="22" spans="1:9" ht="33.75" customHeight="1" x14ac:dyDescent="0.25">
      <c r="A22" s="435"/>
      <c r="B22" s="35" t="s">
        <v>56</v>
      </c>
      <c r="C22" s="431" t="s">
        <v>42</v>
      </c>
      <c r="D22" s="36"/>
      <c r="E22" s="36"/>
      <c r="F22" s="36"/>
      <c r="G22" s="37"/>
    </row>
    <row r="23" spans="1:9" x14ac:dyDescent="0.25">
      <c r="A23" s="435"/>
      <c r="B23" s="38" t="s">
        <v>0</v>
      </c>
      <c r="C23" s="432"/>
      <c r="D23" s="20">
        <v>2.95</v>
      </c>
      <c r="E23" s="20"/>
      <c r="F23" s="20"/>
      <c r="G23" s="39"/>
    </row>
    <row r="24" spans="1:9" x14ac:dyDescent="0.25">
      <c r="A24" s="435"/>
      <c r="B24" s="38" t="s">
        <v>14</v>
      </c>
      <c r="C24" s="432"/>
      <c r="D24" s="20"/>
      <c r="E24" s="20"/>
      <c r="F24" s="20"/>
      <c r="G24" s="39"/>
    </row>
    <row r="25" spans="1:9" ht="18.75" customHeight="1" x14ac:dyDescent="0.25">
      <c r="A25" s="435"/>
      <c r="B25" s="40" t="s">
        <v>20</v>
      </c>
      <c r="C25" s="432"/>
      <c r="D25" s="20"/>
      <c r="E25" s="20"/>
      <c r="F25" s="20"/>
      <c r="G25" s="39"/>
    </row>
    <row r="26" spans="1:9" ht="35.25" customHeight="1" x14ac:dyDescent="0.25">
      <c r="A26" s="435"/>
      <c r="B26" s="40" t="s">
        <v>25</v>
      </c>
      <c r="C26" s="432"/>
      <c r="D26" s="20"/>
      <c r="E26" s="20"/>
      <c r="F26" s="20"/>
      <c r="G26" s="39"/>
    </row>
    <row r="27" spans="1:9" ht="33.75" customHeight="1" x14ac:dyDescent="0.25">
      <c r="A27" s="435"/>
      <c r="B27" s="40" t="s">
        <v>27</v>
      </c>
      <c r="C27" s="432"/>
      <c r="D27" s="20"/>
      <c r="E27" s="20"/>
      <c r="F27" s="20"/>
      <c r="G27" s="39"/>
    </row>
    <row r="28" spans="1:9" ht="15.75" thickBot="1" x14ac:dyDescent="0.3">
      <c r="A28" s="436"/>
      <c r="B28" s="41" t="s">
        <v>15</v>
      </c>
      <c r="C28" s="433"/>
      <c r="D28" s="42">
        <v>6.1159999999999999E-2</v>
      </c>
      <c r="E28" s="42"/>
      <c r="F28" s="42"/>
      <c r="G28" s="43"/>
    </row>
    <row r="29" spans="1:9" x14ac:dyDescent="0.25">
      <c r="A29" s="64" t="s">
        <v>43</v>
      </c>
      <c r="B29" s="79" t="s">
        <v>69</v>
      </c>
      <c r="C29" s="80"/>
      <c r="D29" s="81">
        <f>((D32/D33)-(D30/D31))*D31</f>
        <v>17842.605663355105</v>
      </c>
      <c r="E29" s="81" t="e">
        <f>((E32/E33)-(E31/#REF!))*#REF!</f>
        <v>#DIV/0!</v>
      </c>
      <c r="F29" s="81" t="e">
        <f t="shared" ref="F29:G29" si="4">((F32/F33)-(F30/F31))*F31</f>
        <v>#DIV/0!</v>
      </c>
      <c r="G29" s="82" t="e">
        <f t="shared" si="4"/>
        <v>#DIV/0!</v>
      </c>
    </row>
    <row r="30" spans="1:9" ht="65.25" customHeight="1" x14ac:dyDescent="0.25">
      <c r="A30" s="437" t="s">
        <v>80</v>
      </c>
      <c r="B30" s="83" t="s">
        <v>52</v>
      </c>
      <c r="C30" s="106" t="s">
        <v>46</v>
      </c>
      <c r="D30" s="32">
        <v>29940.75</v>
      </c>
      <c r="E30" s="110"/>
      <c r="F30" s="28"/>
      <c r="G30" s="84"/>
      <c r="H30" s="209">
        <f ca="1">atskaites_jedox!AG8</f>
        <v>29940.75</v>
      </c>
    </row>
    <row r="31" spans="1:9" ht="15.75" customHeight="1" x14ac:dyDescent="0.25">
      <c r="A31" s="438"/>
      <c r="B31" s="83" t="s">
        <v>68</v>
      </c>
      <c r="C31" s="106" t="s">
        <v>8</v>
      </c>
      <c r="D31" s="32">
        <v>49186.19</v>
      </c>
      <c r="E31" s="28"/>
      <c r="F31" s="28"/>
      <c r="G31" s="84"/>
      <c r="H31" s="209">
        <f ca="1">atskaites_jedox!AH8</f>
        <v>49186.19</v>
      </c>
      <c r="I31" t="b">
        <f>D31=D10</f>
        <v>1</v>
      </c>
    </row>
    <row r="32" spans="1:9" ht="60" x14ac:dyDescent="0.25">
      <c r="A32" s="437" t="s">
        <v>81</v>
      </c>
      <c r="B32" s="83" t="s">
        <v>53</v>
      </c>
      <c r="C32" s="106" t="s">
        <v>46</v>
      </c>
      <c r="D32" s="32">
        <v>47597.57</v>
      </c>
      <c r="E32" s="28"/>
      <c r="F32" s="28"/>
      <c r="G32" s="84"/>
      <c r="H32" s="209">
        <f ca="1">atskaites_jedox!I8</f>
        <v>47597.57</v>
      </c>
    </row>
    <row r="33" spans="1:8" ht="15.75" thickBot="1" x14ac:dyDescent="0.3">
      <c r="A33" s="438"/>
      <c r="B33" s="85" t="s">
        <v>54</v>
      </c>
      <c r="C33" s="75" t="s">
        <v>8</v>
      </c>
      <c r="D33" s="86">
        <v>48994.95</v>
      </c>
      <c r="E33" s="65"/>
      <c r="F33" s="65"/>
      <c r="G33" s="66"/>
      <c r="H33" s="209">
        <f ca="1">atskaites_jedox!J8</f>
        <v>48994.95</v>
      </c>
    </row>
    <row r="34" spans="1:8" x14ac:dyDescent="0.25">
      <c r="A34" s="1"/>
      <c r="B34" s="1"/>
      <c r="C34" s="1"/>
      <c r="D34" s="1"/>
      <c r="E34" s="1"/>
      <c r="F34" s="1"/>
      <c r="G34" s="1"/>
    </row>
    <row r="35" spans="1:8" x14ac:dyDescent="0.25">
      <c r="A35" s="1"/>
      <c r="B35" s="1"/>
      <c r="C35" s="1"/>
      <c r="D35" s="1"/>
      <c r="E35" s="1"/>
      <c r="F35" s="1"/>
      <c r="G35" s="1"/>
    </row>
    <row r="36" spans="1:8" ht="15.75" thickBot="1" x14ac:dyDescent="0.3">
      <c r="A36" s="1"/>
      <c r="B36" s="93" t="s">
        <v>71</v>
      </c>
      <c r="C36" s="92"/>
      <c r="D36" s="92"/>
      <c r="E36" s="92" t="s">
        <v>78</v>
      </c>
      <c r="F36" s="92"/>
      <c r="G36" s="92"/>
    </row>
    <row r="37" spans="1:8" ht="15.75" thickTop="1" x14ac:dyDescent="0.25">
      <c r="A37" s="1"/>
      <c r="B37" s="105" t="s">
        <v>77</v>
      </c>
      <c r="C37" s="1"/>
      <c r="D37" s="1"/>
      <c r="E37" s="1"/>
      <c r="F37" s="1"/>
      <c r="G37" s="1"/>
    </row>
    <row r="38" spans="1:8" x14ac:dyDescent="0.25">
      <c r="A38" s="1"/>
      <c r="B38" s="105" t="s">
        <v>76</v>
      </c>
      <c r="C38" s="1"/>
      <c r="D38" s="1"/>
      <c r="E38" s="1"/>
      <c r="F38" s="1"/>
      <c r="G38" s="1"/>
    </row>
    <row r="39" spans="1:8" x14ac:dyDescent="0.25">
      <c r="A39" s="1" t="s">
        <v>10</v>
      </c>
      <c r="B39" s="1"/>
      <c r="C39" s="1"/>
      <c r="D39" s="1"/>
      <c r="E39" s="1"/>
      <c r="F39" s="1"/>
      <c r="G39" s="1"/>
    </row>
    <row r="40" spans="1:8" ht="32.25" customHeight="1" x14ac:dyDescent="0.25">
      <c r="A40" s="430" t="s">
        <v>31</v>
      </c>
      <c r="B40" s="430"/>
      <c r="C40" s="430"/>
      <c r="D40" s="430"/>
      <c r="E40" s="430"/>
      <c r="F40" s="430"/>
      <c r="G40" s="430"/>
    </row>
    <row r="41" spans="1:8" x14ac:dyDescent="0.25">
      <c r="A41" s="15" t="s">
        <v>30</v>
      </c>
      <c r="B41" s="15"/>
      <c r="C41" s="15"/>
      <c r="D41" s="15"/>
      <c r="E41" s="15"/>
      <c r="F41" s="15"/>
      <c r="G41" s="15"/>
    </row>
    <row r="42" spans="1:8" ht="33.75" customHeight="1" x14ac:dyDescent="0.25">
      <c r="A42" s="449" t="s">
        <v>19</v>
      </c>
      <c r="B42" s="449"/>
      <c r="C42" s="449"/>
      <c r="D42" s="449"/>
      <c r="E42" s="449"/>
      <c r="F42" s="449"/>
      <c r="G42" s="449"/>
    </row>
    <row r="43" spans="1:8" ht="30.75" customHeight="1" x14ac:dyDescent="0.25">
      <c r="A43" s="430" t="s">
        <v>22</v>
      </c>
      <c r="B43" s="430"/>
      <c r="C43" s="430"/>
      <c r="D43" s="430"/>
      <c r="E43" s="430"/>
      <c r="F43" s="430"/>
      <c r="G43" s="430"/>
    </row>
    <row r="44" spans="1:8" ht="34.5" customHeight="1" x14ac:dyDescent="0.25">
      <c r="A44" s="430" t="s">
        <v>47</v>
      </c>
      <c r="B44" s="430"/>
      <c r="C44" s="430"/>
      <c r="D44" s="430"/>
      <c r="E44" s="430"/>
      <c r="F44" s="430"/>
      <c r="G44" s="430"/>
    </row>
    <row r="45" spans="1:8" x14ac:dyDescent="0.25">
      <c r="A45" s="15"/>
      <c r="B45" s="15"/>
      <c r="C45" s="15"/>
      <c r="D45" s="15"/>
      <c r="E45" s="15"/>
      <c r="F45" s="15"/>
      <c r="G45" s="15"/>
    </row>
    <row r="46" spans="1:8" x14ac:dyDescent="0.25">
      <c r="A46" s="33" t="s">
        <v>21</v>
      </c>
      <c r="B46" s="15"/>
      <c r="C46" s="15"/>
      <c r="D46" s="15"/>
      <c r="E46" s="15"/>
      <c r="F46" s="15"/>
      <c r="G46" s="15"/>
    </row>
    <row r="47" spans="1:8" ht="36" customHeight="1" x14ac:dyDescent="0.25">
      <c r="A47" s="430" t="s">
        <v>48</v>
      </c>
      <c r="B47" s="430"/>
      <c r="C47" s="430"/>
      <c r="D47" s="430"/>
      <c r="E47" s="430"/>
      <c r="F47" s="430"/>
      <c r="G47" s="430"/>
    </row>
    <row r="48" spans="1:8" ht="33" customHeight="1" x14ac:dyDescent="0.25">
      <c r="A48" s="430" t="s">
        <v>23</v>
      </c>
      <c r="B48" s="430"/>
      <c r="C48" s="430"/>
      <c r="D48" s="430"/>
      <c r="E48" s="430"/>
      <c r="F48" s="430"/>
      <c r="G48" s="430"/>
    </row>
    <row r="49" spans="1:7" ht="33" customHeight="1" x14ac:dyDescent="0.25">
      <c r="A49" s="430" t="s">
        <v>28</v>
      </c>
      <c r="B49" s="430"/>
      <c r="C49" s="430"/>
      <c r="D49" s="430"/>
      <c r="E49" s="430"/>
      <c r="F49" s="430"/>
      <c r="G49" s="430"/>
    </row>
    <row r="50" spans="1:7" ht="66" customHeight="1" x14ac:dyDescent="0.25">
      <c r="A50" s="430" t="s">
        <v>49</v>
      </c>
      <c r="B50" s="430"/>
      <c r="C50" s="430"/>
      <c r="D50" s="430"/>
      <c r="E50" s="430"/>
      <c r="F50" s="430"/>
      <c r="G50" s="430"/>
    </row>
    <row r="51" spans="1:7" ht="36" customHeight="1" x14ac:dyDescent="0.25">
      <c r="A51" s="430" t="s">
        <v>24</v>
      </c>
      <c r="B51" s="430"/>
      <c r="C51" s="430"/>
      <c r="D51" s="430"/>
      <c r="E51" s="430"/>
      <c r="F51" s="430"/>
      <c r="G51" s="430"/>
    </row>
    <row r="52" spans="1:7" ht="48.75" customHeight="1" x14ac:dyDescent="0.25">
      <c r="A52" s="450" t="s">
        <v>29</v>
      </c>
      <c r="B52" s="450"/>
      <c r="C52" s="450"/>
      <c r="D52" s="450"/>
      <c r="E52" s="450"/>
      <c r="F52" s="450"/>
      <c r="G52" s="450"/>
    </row>
    <row r="53" spans="1:7" ht="35.25" customHeight="1" x14ac:dyDescent="0.25">
      <c r="A53" s="430" t="s">
        <v>50</v>
      </c>
      <c r="B53" s="430"/>
      <c r="C53" s="430"/>
      <c r="D53" s="430"/>
      <c r="E53" s="430"/>
      <c r="F53" s="430"/>
      <c r="G53" s="430"/>
    </row>
    <row r="54" spans="1:7" ht="45.75" customHeight="1" x14ac:dyDescent="0.25">
      <c r="A54" s="430" t="s">
        <v>51</v>
      </c>
      <c r="B54" s="430"/>
      <c r="C54" s="430"/>
      <c r="D54" s="430"/>
      <c r="E54" s="430"/>
      <c r="F54" s="430"/>
      <c r="G54" s="430"/>
    </row>
  </sheetData>
  <mergeCells count="20">
    <mergeCell ref="A44:G44"/>
    <mergeCell ref="A1:G1"/>
    <mergeCell ref="A4:A12"/>
    <mergeCell ref="C4:C8"/>
    <mergeCell ref="C9:C12"/>
    <mergeCell ref="A15:A28"/>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C80F2-991C-488D-8267-31A0DC6FAC21}">
  <dimension ref="A1:M54"/>
  <sheetViews>
    <sheetView topLeftCell="A7" zoomScale="90" zoomScaleNormal="90" workbookViewId="0">
      <selection activeCell="H1" sqref="H1:H1048576"/>
    </sheetView>
  </sheetViews>
  <sheetFormatPr defaultColWidth="8.7109375" defaultRowHeight="15" x14ac:dyDescent="0.25"/>
  <cols>
    <col min="1" max="1" width="15.140625" style="220" customWidth="1"/>
    <col min="2" max="2" width="51.28515625" style="220" customWidth="1"/>
    <col min="3" max="3" width="13" style="220" customWidth="1"/>
    <col min="4" max="4" width="14.140625" style="220" customWidth="1"/>
    <col min="5" max="5" width="14.5703125" style="220" customWidth="1"/>
    <col min="6" max="6" width="12.42578125" style="220" customWidth="1"/>
    <col min="7" max="7" width="13.140625" style="220" customWidth="1"/>
    <col min="8" max="8" width="0" style="220" hidden="1" customWidth="1"/>
    <col min="9" max="16384" width="8.7109375" style="220"/>
  </cols>
  <sheetData>
    <row r="1" spans="1:13" ht="42" customHeight="1" x14ac:dyDescent="0.3">
      <c r="A1" s="453" t="s">
        <v>70</v>
      </c>
      <c r="B1" s="453"/>
      <c r="C1" s="453"/>
      <c r="D1" s="453"/>
      <c r="E1" s="453"/>
      <c r="F1" s="453"/>
      <c r="G1" s="453"/>
    </row>
    <row r="2" spans="1:13" ht="29.25" thickBot="1" x14ac:dyDescent="0.3">
      <c r="A2" s="221" t="s">
        <v>4</v>
      </c>
      <c r="B2" s="222"/>
      <c r="C2" s="223" t="s">
        <v>5</v>
      </c>
      <c r="D2" s="223" t="s">
        <v>1</v>
      </c>
      <c r="E2" s="224" t="s">
        <v>11</v>
      </c>
      <c r="F2" s="223" t="s">
        <v>2</v>
      </c>
      <c r="G2" s="223" t="s">
        <v>3</v>
      </c>
    </row>
    <row r="3" spans="1:13" ht="15.75" thickBot="1" x14ac:dyDescent="0.3">
      <c r="A3" s="225" t="s">
        <v>17</v>
      </c>
      <c r="B3" s="226" t="s">
        <v>67</v>
      </c>
      <c r="C3" s="227"/>
      <c r="D3" s="228">
        <f>(D10-D9)*D13</f>
        <v>0</v>
      </c>
      <c r="E3" s="228">
        <f t="shared" ref="E3:G3" si="0">(E10-E9)*E13</f>
        <v>0</v>
      </c>
      <c r="F3" s="228">
        <f t="shared" si="0"/>
        <v>0</v>
      </c>
      <c r="G3" s="229">
        <f t="shared" si="0"/>
        <v>0</v>
      </c>
    </row>
    <row r="4" spans="1:13" ht="17.25" customHeight="1" x14ac:dyDescent="0.25">
      <c r="A4" s="454" t="s">
        <v>117</v>
      </c>
      <c r="B4" s="230" t="s">
        <v>13</v>
      </c>
      <c r="C4" s="457" t="s">
        <v>6</v>
      </c>
      <c r="D4" s="231">
        <v>14</v>
      </c>
      <c r="E4" s="232"/>
      <c r="F4" s="231"/>
      <c r="G4" s="233"/>
    </row>
    <row r="5" spans="1:13" x14ac:dyDescent="0.25">
      <c r="A5" s="455"/>
      <c r="B5" s="234" t="s">
        <v>64</v>
      </c>
      <c r="C5" s="457"/>
      <c r="D5" s="235">
        <v>5052</v>
      </c>
      <c r="E5" s="235"/>
      <c r="F5" s="235"/>
      <c r="G5" s="236"/>
    </row>
    <row r="6" spans="1:13" x14ac:dyDescent="0.25">
      <c r="A6" s="455"/>
      <c r="B6" s="234" t="s">
        <v>65</v>
      </c>
      <c r="C6" s="457"/>
      <c r="D6" s="235">
        <f>D5+D7-D8</f>
        <v>5032</v>
      </c>
      <c r="E6" s="235">
        <f t="shared" ref="E6:G6" si="1">E5+E7-E8</f>
        <v>0</v>
      </c>
      <c r="F6" s="235">
        <f t="shared" si="1"/>
        <v>0</v>
      </c>
      <c r="G6" s="236">
        <f t="shared" si="1"/>
        <v>0</v>
      </c>
    </row>
    <row r="7" spans="1:13" ht="16.5" customHeight="1" x14ac:dyDescent="0.25">
      <c r="A7" s="455"/>
      <c r="B7" s="237" t="s">
        <v>60</v>
      </c>
      <c r="C7" s="457"/>
      <c r="D7" s="235">
        <v>0</v>
      </c>
      <c r="E7" s="235"/>
      <c r="F7" s="235"/>
      <c r="G7" s="236"/>
      <c r="H7" s="238"/>
      <c r="I7" s="238"/>
      <c r="J7" s="238"/>
      <c r="K7" s="238"/>
      <c r="L7" s="238"/>
      <c r="M7" s="238"/>
    </row>
    <row r="8" spans="1:13" ht="14.25" customHeight="1" x14ac:dyDescent="0.25">
      <c r="A8" s="455"/>
      <c r="B8" s="237" t="s">
        <v>118</v>
      </c>
      <c r="C8" s="458"/>
      <c r="D8" s="235">
        <v>20</v>
      </c>
      <c r="E8" s="235"/>
      <c r="F8" s="235"/>
      <c r="G8" s="236"/>
      <c r="I8" s="239" t="s">
        <v>119</v>
      </c>
      <c r="J8" s="239"/>
      <c r="K8" s="239"/>
      <c r="L8" s="239"/>
      <c r="M8" s="238"/>
    </row>
    <row r="9" spans="1:13" ht="16.5" customHeight="1" x14ac:dyDescent="0.25">
      <c r="A9" s="455"/>
      <c r="B9" s="234" t="s">
        <v>58</v>
      </c>
      <c r="C9" s="459" t="s">
        <v>8</v>
      </c>
      <c r="D9" s="235">
        <v>46130.33</v>
      </c>
      <c r="E9" s="235"/>
      <c r="F9" s="235"/>
      <c r="G9" s="236"/>
    </row>
    <row r="10" spans="1:13" ht="19.5" customHeight="1" x14ac:dyDescent="0.25">
      <c r="A10" s="455"/>
      <c r="B10" s="234" t="s">
        <v>66</v>
      </c>
      <c r="C10" s="460"/>
      <c r="D10" s="235">
        <f>D9+D11-D12</f>
        <v>46130.33</v>
      </c>
      <c r="E10" s="235">
        <f t="shared" ref="E10:G10" si="2">E9+E11-E12</f>
        <v>0</v>
      </c>
      <c r="F10" s="235">
        <f t="shared" si="2"/>
        <v>0</v>
      </c>
      <c r="G10" s="236">
        <f t="shared" si="2"/>
        <v>0</v>
      </c>
      <c r="H10" s="380">
        <f ca="1">atskaites_jedox!AK8</f>
        <v>46130.33</v>
      </c>
    </row>
    <row r="11" spans="1:13" ht="17.25" customHeight="1" x14ac:dyDescent="0.25">
      <c r="A11" s="455"/>
      <c r="B11" s="240" t="s">
        <v>62</v>
      </c>
      <c r="C11" s="460"/>
      <c r="D11" s="235">
        <v>0</v>
      </c>
      <c r="E11" s="235"/>
      <c r="F11" s="235"/>
      <c r="G11" s="236"/>
    </row>
    <row r="12" spans="1:13" ht="17.25" customHeight="1" x14ac:dyDescent="0.25">
      <c r="A12" s="456"/>
      <c r="B12" s="240" t="s">
        <v>63</v>
      </c>
      <c r="C12" s="461"/>
      <c r="D12" s="235">
        <v>0</v>
      </c>
      <c r="E12" s="235"/>
      <c r="F12" s="235"/>
      <c r="G12" s="236"/>
    </row>
    <row r="13" spans="1:13" ht="30" customHeight="1" thickBot="1" x14ac:dyDescent="0.3">
      <c r="A13" s="241"/>
      <c r="B13" s="242" t="s">
        <v>59</v>
      </c>
      <c r="C13" s="243" t="s">
        <v>9</v>
      </c>
      <c r="D13" s="244">
        <v>1.4814000000000001</v>
      </c>
      <c r="E13" s="244"/>
      <c r="F13" s="244"/>
      <c r="G13" s="245"/>
      <c r="H13" s="381">
        <f ca="1">atskaites_jedox!AL8</f>
        <v>1.48</v>
      </c>
    </row>
    <row r="14" spans="1:13" ht="36" customHeight="1" thickBot="1" x14ac:dyDescent="0.3">
      <c r="A14" s="246" t="s">
        <v>18</v>
      </c>
      <c r="B14" s="247" t="s">
        <v>57</v>
      </c>
      <c r="C14" s="248"/>
      <c r="D14" s="249">
        <f>SUM(D16*D23,D17*D24,D18*D25,D19*D26,D20*D27,D21*D28)</f>
        <v>18.540000000000003</v>
      </c>
      <c r="E14" s="249">
        <f t="shared" ref="E14:G14" si="3">SUM(E16*E23,E17*E24,E18*E25,E19*E26,E20*E27,E21*E28)</f>
        <v>0</v>
      </c>
      <c r="F14" s="249">
        <f t="shared" si="3"/>
        <v>0</v>
      </c>
      <c r="G14" s="250">
        <f t="shared" si="3"/>
        <v>0</v>
      </c>
    </row>
    <row r="15" spans="1:13" ht="30" x14ac:dyDescent="0.25">
      <c r="A15" s="462" t="s">
        <v>117</v>
      </c>
      <c r="B15" s="251" t="s">
        <v>55</v>
      </c>
      <c r="C15" s="252"/>
      <c r="D15" s="253"/>
      <c r="E15" s="253"/>
      <c r="F15" s="253"/>
      <c r="G15" s="254"/>
    </row>
    <row r="16" spans="1:13" x14ac:dyDescent="0.25">
      <c r="A16" s="463"/>
      <c r="B16" s="255" t="s">
        <v>0</v>
      </c>
      <c r="C16" s="252" t="s">
        <v>35</v>
      </c>
      <c r="D16" s="256">
        <v>1</v>
      </c>
      <c r="E16" s="256"/>
      <c r="F16" s="256"/>
      <c r="G16" s="257"/>
    </row>
    <row r="17" spans="1:8" x14ac:dyDescent="0.25">
      <c r="A17" s="463"/>
      <c r="B17" s="255" t="s">
        <v>120</v>
      </c>
      <c r="C17" s="252" t="s">
        <v>34</v>
      </c>
      <c r="D17" s="256">
        <v>100</v>
      </c>
      <c r="E17" s="256"/>
      <c r="F17" s="256"/>
      <c r="G17" s="257"/>
    </row>
    <row r="18" spans="1:8" ht="16.5" customHeight="1" x14ac:dyDescent="0.25">
      <c r="A18" s="463"/>
      <c r="B18" s="258" t="s">
        <v>20</v>
      </c>
      <c r="C18" s="252"/>
      <c r="D18" s="256"/>
      <c r="E18" s="256"/>
      <c r="F18" s="256"/>
      <c r="G18" s="257"/>
    </row>
    <row r="19" spans="1:8" x14ac:dyDescent="0.25">
      <c r="A19" s="463"/>
      <c r="B19" s="255" t="s">
        <v>12</v>
      </c>
      <c r="C19" s="252"/>
      <c r="D19" s="256"/>
      <c r="E19" s="256"/>
      <c r="F19" s="256"/>
      <c r="G19" s="257"/>
    </row>
    <row r="20" spans="1:8" ht="15.75" customHeight="1" x14ac:dyDescent="0.25">
      <c r="A20" s="463"/>
      <c r="B20" s="258" t="s">
        <v>26</v>
      </c>
      <c r="C20" s="252"/>
      <c r="D20" s="256"/>
      <c r="E20" s="256"/>
      <c r="F20" s="256"/>
      <c r="G20" s="257"/>
    </row>
    <row r="21" spans="1:8" ht="15.75" thickBot="1" x14ac:dyDescent="0.3">
      <c r="A21" s="463"/>
      <c r="B21" s="259"/>
      <c r="C21" s="260"/>
      <c r="D21" s="261"/>
      <c r="E21" s="261"/>
      <c r="F21" s="261"/>
      <c r="G21" s="262"/>
    </row>
    <row r="22" spans="1:8" ht="33.75" customHeight="1" x14ac:dyDescent="0.25">
      <c r="A22" s="463"/>
      <c r="B22" s="263" t="s">
        <v>56</v>
      </c>
      <c r="C22" s="465" t="s">
        <v>42</v>
      </c>
      <c r="D22" s="264"/>
      <c r="E22" s="264"/>
      <c r="F22" s="264"/>
      <c r="G22" s="265"/>
    </row>
    <row r="23" spans="1:8" x14ac:dyDescent="0.25">
      <c r="A23" s="463"/>
      <c r="B23" s="255" t="s">
        <v>0</v>
      </c>
      <c r="C23" s="466"/>
      <c r="D23" s="256">
        <v>2.95</v>
      </c>
      <c r="E23" s="256"/>
      <c r="F23" s="256"/>
      <c r="G23" s="257"/>
    </row>
    <row r="24" spans="1:8" x14ac:dyDescent="0.25">
      <c r="A24" s="463"/>
      <c r="B24" s="255" t="s">
        <v>120</v>
      </c>
      <c r="C24" s="466"/>
      <c r="D24" s="256">
        <v>0.15590000000000001</v>
      </c>
      <c r="E24" s="256"/>
      <c r="F24" s="256"/>
      <c r="G24" s="257"/>
    </row>
    <row r="25" spans="1:8" ht="18.75" customHeight="1" x14ac:dyDescent="0.25">
      <c r="A25" s="463"/>
      <c r="B25" s="258" t="s">
        <v>20</v>
      </c>
      <c r="C25" s="466"/>
      <c r="D25" s="256"/>
      <c r="E25" s="256"/>
      <c r="F25" s="256"/>
      <c r="G25" s="257"/>
    </row>
    <row r="26" spans="1:8" ht="35.25" customHeight="1" x14ac:dyDescent="0.25">
      <c r="A26" s="463"/>
      <c r="B26" s="258" t="s">
        <v>25</v>
      </c>
      <c r="C26" s="466"/>
      <c r="D26" s="256"/>
      <c r="E26" s="256"/>
      <c r="F26" s="256"/>
      <c r="G26" s="257"/>
    </row>
    <row r="27" spans="1:8" ht="33.75" customHeight="1" x14ac:dyDescent="0.25">
      <c r="A27" s="463"/>
      <c r="B27" s="258" t="s">
        <v>27</v>
      </c>
      <c r="C27" s="466"/>
      <c r="D27" s="256"/>
      <c r="E27" s="256"/>
      <c r="F27" s="256"/>
      <c r="G27" s="257"/>
    </row>
    <row r="28" spans="1:8" ht="15.75" thickBot="1" x14ac:dyDescent="0.3">
      <c r="A28" s="464"/>
      <c r="B28" s="259" t="s">
        <v>15</v>
      </c>
      <c r="C28" s="467"/>
      <c r="D28" s="261">
        <v>0</v>
      </c>
      <c r="E28" s="261"/>
      <c r="F28" s="261"/>
      <c r="G28" s="262"/>
    </row>
    <row r="29" spans="1:8" x14ac:dyDescent="0.25">
      <c r="A29" s="266" t="s">
        <v>43</v>
      </c>
      <c r="B29" s="267" t="s">
        <v>69</v>
      </c>
      <c r="C29" s="268"/>
      <c r="D29" s="269">
        <f>((D32/D33)-(D30/D31))*D31</f>
        <v>10829.263286778441</v>
      </c>
      <c r="E29" s="269" t="e">
        <f>((E32/E33)-(E31/#REF!))*#REF!</f>
        <v>#DIV/0!</v>
      </c>
      <c r="F29" s="269" t="e">
        <f t="shared" ref="F29:G29" si="4">((F32/F33)-(F30/F31))*F31</f>
        <v>#DIV/0!</v>
      </c>
      <c r="G29" s="270" t="e">
        <f t="shared" si="4"/>
        <v>#DIV/0!</v>
      </c>
    </row>
    <row r="30" spans="1:8" ht="65.25" customHeight="1" x14ac:dyDescent="0.25">
      <c r="A30" s="468" t="s">
        <v>117</v>
      </c>
      <c r="B30" s="271" t="s">
        <v>52</v>
      </c>
      <c r="C30" s="272" t="s">
        <v>46</v>
      </c>
      <c r="D30" s="273">
        <v>26365.46</v>
      </c>
      <c r="E30" s="274"/>
      <c r="F30" s="275"/>
      <c r="G30" s="276"/>
      <c r="H30" s="380">
        <f ca="1">atskaites_jedox!AJ8</f>
        <v>26365.46</v>
      </c>
    </row>
    <row r="31" spans="1:8" ht="15.75" customHeight="1" x14ac:dyDescent="0.25">
      <c r="A31" s="469"/>
      <c r="B31" s="271" t="s">
        <v>68</v>
      </c>
      <c r="C31" s="272" t="s">
        <v>8</v>
      </c>
      <c r="D31" s="273">
        <v>46130.33</v>
      </c>
      <c r="E31" s="275"/>
      <c r="F31" s="275"/>
      <c r="G31" s="276"/>
      <c r="H31" s="380">
        <f ca="1">atskaites_jedox!AK8</f>
        <v>46130.33</v>
      </c>
    </row>
    <row r="32" spans="1:8" ht="60" x14ac:dyDescent="0.25">
      <c r="A32" s="468" t="s">
        <v>121</v>
      </c>
      <c r="B32" s="271" t="s">
        <v>53</v>
      </c>
      <c r="C32" s="272" t="s">
        <v>46</v>
      </c>
      <c r="D32" s="273">
        <v>36306.370000000003</v>
      </c>
      <c r="E32" s="275"/>
      <c r="F32" s="275"/>
      <c r="G32" s="276"/>
      <c r="H32" s="380">
        <f ca="1">atskaites_jedox!L8</f>
        <v>36306.370000000003</v>
      </c>
    </row>
    <row r="33" spans="1:8" ht="15.75" thickBot="1" x14ac:dyDescent="0.3">
      <c r="A33" s="469"/>
      <c r="B33" s="277" t="s">
        <v>54</v>
      </c>
      <c r="C33" s="278" t="s">
        <v>8</v>
      </c>
      <c r="D33" s="279">
        <v>45028.56</v>
      </c>
      <c r="E33" s="280"/>
      <c r="F33" s="280"/>
      <c r="G33" s="281"/>
      <c r="H33" s="380">
        <f ca="1">atskaites_jedox!M8</f>
        <v>45028.56</v>
      </c>
    </row>
    <row r="34" spans="1:8" x14ac:dyDescent="0.25">
      <c r="A34" s="282"/>
      <c r="B34" s="282"/>
      <c r="C34" s="282"/>
      <c r="D34" s="282"/>
      <c r="E34" s="282"/>
      <c r="F34" s="282"/>
      <c r="G34" s="282"/>
    </row>
    <row r="35" spans="1:8" x14ac:dyDescent="0.25">
      <c r="A35" s="282"/>
      <c r="B35" s="282"/>
      <c r="C35" s="282"/>
      <c r="D35" s="282"/>
      <c r="E35" s="282"/>
      <c r="F35" s="282"/>
      <c r="G35" s="282"/>
    </row>
    <row r="36" spans="1:8" ht="15.75" thickBot="1" x14ac:dyDescent="0.3">
      <c r="A36" s="282"/>
      <c r="B36" s="283" t="s">
        <v>71</v>
      </c>
      <c r="C36" s="284"/>
      <c r="D36" s="284"/>
      <c r="E36" s="284" t="s">
        <v>122</v>
      </c>
      <c r="F36" s="284"/>
      <c r="G36" s="284"/>
    </row>
    <row r="37" spans="1:8" ht="15.75" thickTop="1" x14ac:dyDescent="0.25">
      <c r="A37" s="282"/>
      <c r="B37" s="285" t="s">
        <v>77</v>
      </c>
      <c r="C37" s="282"/>
      <c r="D37" s="282"/>
      <c r="E37" s="282"/>
      <c r="F37" s="282"/>
      <c r="G37" s="282"/>
    </row>
    <row r="38" spans="1:8" x14ac:dyDescent="0.25">
      <c r="A38" s="282"/>
      <c r="B38" s="285" t="s">
        <v>123</v>
      </c>
      <c r="C38" s="282"/>
      <c r="D38" s="282"/>
      <c r="E38" s="282"/>
      <c r="F38" s="282"/>
      <c r="G38" s="282"/>
    </row>
    <row r="39" spans="1:8" x14ac:dyDescent="0.25">
      <c r="A39" s="282" t="s">
        <v>10</v>
      </c>
      <c r="B39" s="282"/>
      <c r="C39" s="282"/>
      <c r="D39" s="282"/>
      <c r="E39" s="282"/>
      <c r="F39" s="282"/>
      <c r="G39" s="282"/>
    </row>
    <row r="40" spans="1:8" ht="32.25" customHeight="1" x14ac:dyDescent="0.25">
      <c r="A40" s="451" t="s">
        <v>31</v>
      </c>
      <c r="B40" s="451"/>
      <c r="C40" s="451"/>
      <c r="D40" s="451"/>
      <c r="E40" s="451"/>
      <c r="F40" s="451"/>
      <c r="G40" s="451"/>
    </row>
    <row r="41" spans="1:8" x14ac:dyDescent="0.25">
      <c r="A41" s="286" t="s">
        <v>30</v>
      </c>
      <c r="B41" s="286"/>
      <c r="C41" s="286"/>
      <c r="D41" s="286"/>
      <c r="E41" s="286"/>
      <c r="F41" s="286"/>
      <c r="G41" s="286"/>
    </row>
    <row r="42" spans="1:8" ht="33.75" customHeight="1" x14ac:dyDescent="0.25">
      <c r="A42" s="470" t="s">
        <v>19</v>
      </c>
      <c r="B42" s="470"/>
      <c r="C42" s="470"/>
      <c r="D42" s="470"/>
      <c r="E42" s="470"/>
      <c r="F42" s="470"/>
      <c r="G42" s="470"/>
    </row>
    <row r="43" spans="1:8" ht="30.75" customHeight="1" x14ac:dyDescent="0.25">
      <c r="A43" s="451" t="s">
        <v>22</v>
      </c>
      <c r="B43" s="451"/>
      <c r="C43" s="451"/>
      <c r="D43" s="451"/>
      <c r="E43" s="451"/>
      <c r="F43" s="451"/>
      <c r="G43" s="451"/>
    </row>
    <row r="44" spans="1:8" ht="34.5" customHeight="1" x14ac:dyDescent="0.25">
      <c r="A44" s="451" t="s">
        <v>47</v>
      </c>
      <c r="B44" s="451"/>
      <c r="C44" s="451"/>
      <c r="D44" s="451"/>
      <c r="E44" s="451"/>
      <c r="F44" s="451"/>
      <c r="G44" s="451"/>
    </row>
    <row r="45" spans="1:8" x14ac:dyDescent="0.25">
      <c r="A45" s="286"/>
      <c r="B45" s="286"/>
      <c r="C45" s="286"/>
      <c r="D45" s="286"/>
      <c r="E45" s="286"/>
      <c r="F45" s="286"/>
      <c r="G45" s="286"/>
    </row>
    <row r="46" spans="1:8" x14ac:dyDescent="0.25">
      <c r="A46" s="287" t="s">
        <v>21</v>
      </c>
      <c r="B46" s="286"/>
      <c r="C46" s="286"/>
      <c r="D46" s="286"/>
      <c r="E46" s="286"/>
      <c r="F46" s="286"/>
      <c r="G46" s="286"/>
    </row>
    <row r="47" spans="1:8" ht="36" customHeight="1" x14ac:dyDescent="0.25">
      <c r="A47" s="451" t="s">
        <v>48</v>
      </c>
      <c r="B47" s="451"/>
      <c r="C47" s="451"/>
      <c r="D47" s="451"/>
      <c r="E47" s="451"/>
      <c r="F47" s="451"/>
      <c r="G47" s="451"/>
    </row>
    <row r="48" spans="1:8" ht="33" customHeight="1" x14ac:dyDescent="0.25">
      <c r="A48" s="451" t="s">
        <v>23</v>
      </c>
      <c r="B48" s="451"/>
      <c r="C48" s="451"/>
      <c r="D48" s="451"/>
      <c r="E48" s="451"/>
      <c r="F48" s="451"/>
      <c r="G48" s="451"/>
    </row>
    <row r="49" spans="1:7" ht="33" customHeight="1" x14ac:dyDescent="0.25">
      <c r="A49" s="451" t="s">
        <v>28</v>
      </c>
      <c r="B49" s="451"/>
      <c r="C49" s="451"/>
      <c r="D49" s="451"/>
      <c r="E49" s="451"/>
      <c r="F49" s="451"/>
      <c r="G49" s="451"/>
    </row>
    <row r="50" spans="1:7" ht="66" customHeight="1" x14ac:dyDescent="0.25">
      <c r="A50" s="451" t="s">
        <v>49</v>
      </c>
      <c r="B50" s="451"/>
      <c r="C50" s="451"/>
      <c r="D50" s="451"/>
      <c r="E50" s="451"/>
      <c r="F50" s="451"/>
      <c r="G50" s="451"/>
    </row>
    <row r="51" spans="1:7" ht="36" customHeight="1" x14ac:dyDescent="0.25">
      <c r="A51" s="451" t="s">
        <v>24</v>
      </c>
      <c r="B51" s="451"/>
      <c r="C51" s="451"/>
      <c r="D51" s="451"/>
      <c r="E51" s="451"/>
      <c r="F51" s="451"/>
      <c r="G51" s="451"/>
    </row>
    <row r="52" spans="1:7" ht="48.75" customHeight="1" x14ac:dyDescent="0.25">
      <c r="A52" s="452" t="s">
        <v>29</v>
      </c>
      <c r="B52" s="452"/>
      <c r="C52" s="452"/>
      <c r="D52" s="452"/>
      <c r="E52" s="452"/>
      <c r="F52" s="452"/>
      <c r="G52" s="452"/>
    </row>
    <row r="53" spans="1:7" ht="35.25" customHeight="1" x14ac:dyDescent="0.25">
      <c r="A53" s="451" t="s">
        <v>50</v>
      </c>
      <c r="B53" s="451"/>
      <c r="C53" s="451"/>
      <c r="D53" s="451"/>
      <c r="E53" s="451"/>
      <c r="F53" s="451"/>
      <c r="G53" s="451"/>
    </row>
    <row r="54" spans="1:7" ht="45.75" customHeight="1" x14ac:dyDescent="0.25">
      <c r="A54" s="451" t="s">
        <v>51</v>
      </c>
      <c r="B54" s="451"/>
      <c r="C54" s="451"/>
      <c r="D54" s="451"/>
      <c r="E54" s="451"/>
      <c r="F54" s="451"/>
      <c r="G54" s="451"/>
    </row>
  </sheetData>
  <mergeCells count="20">
    <mergeCell ref="A44:G44"/>
    <mergeCell ref="A1:G1"/>
    <mergeCell ref="A4:A12"/>
    <mergeCell ref="C4:C8"/>
    <mergeCell ref="C9:C12"/>
    <mergeCell ref="A15:A28"/>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290B-46AF-4904-A31F-27807EA59D36}">
  <dimension ref="A3:F8"/>
  <sheetViews>
    <sheetView tabSelected="1" workbookViewId="0">
      <selection activeCell="C19" sqref="C19"/>
    </sheetView>
  </sheetViews>
  <sheetFormatPr defaultRowHeight="15" x14ac:dyDescent="0.25"/>
  <cols>
    <col min="1" max="1" width="57.5703125" style="364" customWidth="1"/>
    <col min="2" max="6" width="13.42578125" customWidth="1"/>
  </cols>
  <sheetData>
    <row r="3" spans="1:6" ht="30" x14ac:dyDescent="0.25">
      <c r="A3" s="363" t="s">
        <v>116</v>
      </c>
      <c r="B3" s="363" t="s">
        <v>115</v>
      </c>
      <c r="C3" s="364"/>
      <c r="D3" s="364"/>
      <c r="E3" s="364"/>
      <c r="F3" s="364"/>
    </row>
    <row r="4" spans="1:6" ht="30" x14ac:dyDescent="0.25">
      <c r="A4" s="363" t="s">
        <v>113</v>
      </c>
      <c r="B4" s="364" t="s">
        <v>7</v>
      </c>
      <c r="C4" s="364" t="s">
        <v>97</v>
      </c>
      <c r="D4" s="364" t="s">
        <v>102</v>
      </c>
      <c r="E4" s="364" t="s">
        <v>107</v>
      </c>
      <c r="F4" s="364" t="s">
        <v>114</v>
      </c>
    </row>
    <row r="5" spans="1:6" ht="44.1" customHeight="1" x14ac:dyDescent="0.25">
      <c r="A5" s="383" t="s">
        <v>89</v>
      </c>
      <c r="B5" s="382">
        <v>-1665.5882940000006</v>
      </c>
      <c r="C5" s="382">
        <v>-178.18574400000404</v>
      </c>
      <c r="D5" s="382">
        <v>0</v>
      </c>
      <c r="E5" s="382">
        <v>0</v>
      </c>
      <c r="F5" s="384">
        <v>-1843.7740380000046</v>
      </c>
    </row>
    <row r="6" spans="1:6" ht="44.1" customHeight="1" x14ac:dyDescent="0.25">
      <c r="A6" s="383" t="s">
        <v>91</v>
      </c>
      <c r="B6" s="382">
        <v>57.772999999999996</v>
      </c>
      <c r="C6" s="382">
        <v>33.927</v>
      </c>
      <c r="D6" s="382">
        <v>21.297999999999998</v>
      </c>
      <c r="E6" s="382">
        <v>18.540000000000003</v>
      </c>
      <c r="F6" s="384">
        <v>131.53799999999998</v>
      </c>
    </row>
    <row r="7" spans="1:6" ht="44.1" customHeight="1" x14ac:dyDescent="0.25">
      <c r="A7" s="383" t="s">
        <v>92</v>
      </c>
      <c r="B7" s="382">
        <v>17868.30078034255</v>
      </c>
      <c r="C7" s="382">
        <v>20304.424515493025</v>
      </c>
      <c r="D7" s="382">
        <v>17842.605663355105</v>
      </c>
      <c r="E7" s="382">
        <v>10829.263286778441</v>
      </c>
      <c r="F7" s="384">
        <v>66844.594245969114</v>
      </c>
    </row>
    <row r="8" spans="1:6" x14ac:dyDescent="0.25">
      <c r="A8" s="219" t="s">
        <v>114</v>
      </c>
      <c r="B8" s="210">
        <v>16260.48548634255</v>
      </c>
      <c r="C8" s="210">
        <v>20160.165771493022</v>
      </c>
      <c r="D8" s="210">
        <v>17863.903663355104</v>
      </c>
      <c r="E8" s="210">
        <v>10847.803286778442</v>
      </c>
      <c r="F8" s="210">
        <v>65132.358207969111</v>
      </c>
    </row>
  </sheetData>
  <pageMargins left="0.7" right="0.7" top="0.75" bottom="0.75" header="0.3" footer="0.3"/>
  <pageSetup paperSize="9" orientation="landscape" horizontalDpi="300" verticalDpi="30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AF4C5-E256-4EFA-A7F0-3B817C94BDDB}">
  <dimension ref="B1:K129"/>
  <sheetViews>
    <sheetView zoomScale="80" zoomScaleNormal="80" workbookViewId="0">
      <pane ySplit="5" topLeftCell="A6" activePane="bottomLeft" state="frozen"/>
      <selection pane="bottomLeft" activeCell="N13" sqref="N13"/>
    </sheetView>
  </sheetViews>
  <sheetFormatPr defaultRowHeight="15" x14ac:dyDescent="0.25"/>
  <cols>
    <col min="1" max="1" width="5.42578125" customWidth="1"/>
    <col min="2" max="2" width="49.28515625" customWidth="1"/>
    <col min="3" max="3" width="37.5703125" customWidth="1"/>
    <col min="4" max="4" width="13.42578125" style="379" customWidth="1"/>
    <col min="5" max="5" width="18.42578125" style="368" bestFit="1" customWidth="1"/>
    <col min="6" max="6" width="13.7109375" style="368" customWidth="1"/>
    <col min="7" max="7" width="23.42578125" style="368" bestFit="1" customWidth="1"/>
    <col min="8" max="11" width="9.140625" style="368"/>
  </cols>
  <sheetData>
    <row r="1" spans="2:7" x14ac:dyDescent="0.25">
      <c r="B1" s="471" t="s">
        <v>70</v>
      </c>
      <c r="C1" s="471"/>
      <c r="D1" s="471"/>
      <c r="E1" s="471"/>
      <c r="F1" s="471"/>
      <c r="G1" s="471"/>
    </row>
    <row r="2" spans="2:7" x14ac:dyDescent="0.25">
      <c r="B2" s="471"/>
      <c r="C2" s="471"/>
      <c r="D2" s="471"/>
      <c r="E2" s="471"/>
      <c r="F2" s="471"/>
      <c r="G2" s="471"/>
    </row>
    <row r="5" spans="2:7" ht="15.75" x14ac:dyDescent="0.25">
      <c r="B5" s="365" t="s">
        <v>85</v>
      </c>
      <c r="C5" s="365" t="s">
        <v>5</v>
      </c>
      <c r="D5" s="369" t="s">
        <v>86</v>
      </c>
      <c r="E5" s="370" t="s">
        <v>87</v>
      </c>
      <c r="F5" s="370" t="s">
        <v>88</v>
      </c>
      <c r="G5" s="370" t="s">
        <v>4</v>
      </c>
    </row>
    <row r="6" spans="2:7" ht="42.75" x14ac:dyDescent="0.25">
      <c r="B6" s="366" t="s">
        <v>89</v>
      </c>
      <c r="C6" s="87"/>
      <c r="D6" s="371">
        <v>-1665.5882940000006</v>
      </c>
      <c r="E6" s="372" t="s">
        <v>90</v>
      </c>
      <c r="F6" s="372" t="s">
        <v>112</v>
      </c>
      <c r="G6" s="372" t="s">
        <v>7</v>
      </c>
    </row>
    <row r="7" spans="2:7" x14ac:dyDescent="0.25">
      <c r="B7" s="2" t="s">
        <v>13</v>
      </c>
      <c r="C7" s="211" t="s">
        <v>6</v>
      </c>
      <c r="D7" s="373">
        <v>14</v>
      </c>
      <c r="E7" s="372" t="s">
        <v>90</v>
      </c>
      <c r="F7" s="372" t="s">
        <v>112</v>
      </c>
      <c r="G7" s="372" t="s">
        <v>7</v>
      </c>
    </row>
    <row r="8" spans="2:7" x14ac:dyDescent="0.25">
      <c r="B8" s="4" t="s">
        <v>64</v>
      </c>
      <c r="C8" s="211" t="s">
        <v>6</v>
      </c>
      <c r="D8" s="373">
        <v>3966</v>
      </c>
      <c r="E8" s="372" t="s">
        <v>90</v>
      </c>
      <c r="F8" s="372" t="s">
        <v>112</v>
      </c>
      <c r="G8" s="372" t="s">
        <v>7</v>
      </c>
    </row>
    <row r="9" spans="2:7" x14ac:dyDescent="0.25">
      <c r="B9" s="4" t="s">
        <v>65</v>
      </c>
      <c r="C9" s="211" t="s">
        <v>6</v>
      </c>
      <c r="D9" s="373">
        <v>3796</v>
      </c>
      <c r="E9" s="372" t="s">
        <v>90</v>
      </c>
      <c r="F9" s="372" t="s">
        <v>112</v>
      </c>
      <c r="G9" s="372" t="s">
        <v>7</v>
      </c>
    </row>
    <row r="10" spans="2:7" x14ac:dyDescent="0.25">
      <c r="B10" s="5" t="s">
        <v>60</v>
      </c>
      <c r="C10" s="211" t="s">
        <v>6</v>
      </c>
      <c r="D10" s="373">
        <v>0</v>
      </c>
      <c r="E10" s="372" t="s">
        <v>90</v>
      </c>
      <c r="F10" s="372" t="s">
        <v>112</v>
      </c>
      <c r="G10" s="372" t="s">
        <v>7</v>
      </c>
    </row>
    <row r="11" spans="2:7" x14ac:dyDescent="0.25">
      <c r="B11" s="5" t="s">
        <v>61</v>
      </c>
      <c r="C11" s="211" t="s">
        <v>6</v>
      </c>
      <c r="D11" s="373">
        <v>170</v>
      </c>
      <c r="E11" s="372" t="s">
        <v>90</v>
      </c>
      <c r="F11" s="372" t="s">
        <v>112</v>
      </c>
      <c r="G11" s="372" t="s">
        <v>7</v>
      </c>
    </row>
    <row r="12" spans="2:7" x14ac:dyDescent="0.25">
      <c r="B12" s="4" t="s">
        <v>58</v>
      </c>
      <c r="C12" s="212" t="s">
        <v>8</v>
      </c>
      <c r="D12" s="373">
        <v>37669.08</v>
      </c>
      <c r="E12" s="372" t="s">
        <v>90</v>
      </c>
      <c r="F12" s="372" t="s">
        <v>112</v>
      </c>
      <c r="G12" s="372" t="s">
        <v>7</v>
      </c>
    </row>
    <row r="13" spans="2:7" x14ac:dyDescent="0.25">
      <c r="B13" s="4" t="s">
        <v>66</v>
      </c>
      <c r="C13" s="212" t="s">
        <v>8</v>
      </c>
      <c r="D13" s="373">
        <v>36350.22</v>
      </c>
      <c r="E13" s="372" t="s">
        <v>90</v>
      </c>
      <c r="F13" s="372" t="s">
        <v>112</v>
      </c>
      <c r="G13" s="372" t="s">
        <v>7</v>
      </c>
    </row>
    <row r="14" spans="2:7" x14ac:dyDescent="0.25">
      <c r="B14" s="6" t="s">
        <v>62</v>
      </c>
      <c r="C14" s="212" t="s">
        <v>8</v>
      </c>
      <c r="D14" s="373">
        <v>0</v>
      </c>
      <c r="E14" s="372" t="s">
        <v>90</v>
      </c>
      <c r="F14" s="372" t="s">
        <v>112</v>
      </c>
      <c r="G14" s="372" t="s">
        <v>7</v>
      </c>
    </row>
    <row r="15" spans="2:7" x14ac:dyDescent="0.25">
      <c r="B15" s="6" t="s">
        <v>63</v>
      </c>
      <c r="C15" s="212" t="s">
        <v>8</v>
      </c>
      <c r="D15" s="373">
        <v>1318.86</v>
      </c>
      <c r="E15" s="372" t="s">
        <v>90</v>
      </c>
      <c r="F15" s="372" t="s">
        <v>112</v>
      </c>
      <c r="G15" s="372" t="s">
        <v>7</v>
      </c>
    </row>
    <row r="16" spans="2:7" x14ac:dyDescent="0.25">
      <c r="B16" s="4" t="s">
        <v>59</v>
      </c>
      <c r="C16" s="3" t="s">
        <v>9</v>
      </c>
      <c r="D16" s="373">
        <v>1.2628999999999999</v>
      </c>
      <c r="E16" s="372" t="s">
        <v>90</v>
      </c>
      <c r="F16" s="372" t="s">
        <v>112</v>
      </c>
      <c r="G16" s="372" t="s">
        <v>7</v>
      </c>
    </row>
    <row r="17" spans="2:7" ht="57.75" x14ac:dyDescent="0.25">
      <c r="B17" s="34" t="s">
        <v>91</v>
      </c>
      <c r="C17" s="89"/>
      <c r="D17" s="374">
        <v>57.772999999999996</v>
      </c>
      <c r="E17" s="372" t="s">
        <v>90</v>
      </c>
      <c r="F17" s="372" t="s">
        <v>112</v>
      </c>
      <c r="G17" s="372" t="s">
        <v>7</v>
      </c>
    </row>
    <row r="18" spans="2:7" ht="30" x14ac:dyDescent="0.25">
      <c r="B18" s="214" t="s">
        <v>55</v>
      </c>
      <c r="C18" s="215"/>
      <c r="D18" s="373"/>
      <c r="E18" s="372" t="s">
        <v>90</v>
      </c>
      <c r="F18" s="372" t="s">
        <v>112</v>
      </c>
      <c r="G18" s="372" t="s">
        <v>7</v>
      </c>
    </row>
    <row r="19" spans="2:7" x14ac:dyDescent="0.25">
      <c r="B19" s="216" t="s">
        <v>0</v>
      </c>
      <c r="C19" s="215" t="s">
        <v>35</v>
      </c>
      <c r="D19" s="373">
        <v>6</v>
      </c>
      <c r="E19" s="372" t="s">
        <v>90</v>
      </c>
      <c r="F19" s="372" t="s">
        <v>112</v>
      </c>
      <c r="G19" s="372" t="s">
        <v>7</v>
      </c>
    </row>
    <row r="20" spans="2:7" x14ac:dyDescent="0.25">
      <c r="B20" s="216" t="s">
        <v>14</v>
      </c>
      <c r="C20" s="215" t="s">
        <v>34</v>
      </c>
      <c r="D20" s="373">
        <v>10</v>
      </c>
      <c r="E20" s="372" t="s">
        <v>90</v>
      </c>
      <c r="F20" s="372" t="s">
        <v>112</v>
      </c>
      <c r="G20" s="372" t="s">
        <v>7</v>
      </c>
    </row>
    <row r="21" spans="2:7" x14ac:dyDescent="0.25">
      <c r="B21" s="217" t="s">
        <v>20</v>
      </c>
      <c r="C21" s="215"/>
      <c r="D21" s="373"/>
      <c r="E21" s="372" t="s">
        <v>90</v>
      </c>
      <c r="F21" s="372" t="s">
        <v>112</v>
      </c>
      <c r="G21" s="372" t="s">
        <v>7</v>
      </c>
    </row>
    <row r="22" spans="2:7" x14ac:dyDescent="0.25">
      <c r="B22" s="216" t="s">
        <v>12</v>
      </c>
      <c r="C22" s="215"/>
      <c r="D22" s="373"/>
      <c r="E22" s="372" t="s">
        <v>90</v>
      </c>
      <c r="F22" s="372" t="s">
        <v>112</v>
      </c>
      <c r="G22" s="372" t="s">
        <v>7</v>
      </c>
    </row>
    <row r="23" spans="2:7" x14ac:dyDescent="0.25">
      <c r="B23" s="217" t="s">
        <v>26</v>
      </c>
      <c r="C23" s="215"/>
      <c r="D23" s="373"/>
      <c r="E23" s="372" t="s">
        <v>90</v>
      </c>
      <c r="F23" s="372" t="s">
        <v>112</v>
      </c>
      <c r="G23" s="372" t="s">
        <v>7</v>
      </c>
    </row>
    <row r="24" spans="2:7" x14ac:dyDescent="0.25">
      <c r="B24" s="216" t="s">
        <v>75</v>
      </c>
      <c r="C24" s="215" t="s">
        <v>34</v>
      </c>
      <c r="D24" s="373">
        <v>150</v>
      </c>
      <c r="E24" s="372" t="s">
        <v>90</v>
      </c>
      <c r="F24" s="372" t="s">
        <v>112</v>
      </c>
      <c r="G24" s="372" t="s">
        <v>7</v>
      </c>
    </row>
    <row r="25" spans="2:7" ht="30" x14ac:dyDescent="0.25">
      <c r="B25" s="214" t="s">
        <v>56</v>
      </c>
      <c r="C25" s="218" t="s">
        <v>42</v>
      </c>
      <c r="D25" s="373"/>
      <c r="E25" s="372" t="s">
        <v>90</v>
      </c>
      <c r="F25" s="372" t="s">
        <v>112</v>
      </c>
      <c r="G25" s="372" t="s">
        <v>7</v>
      </c>
    </row>
    <row r="26" spans="2:7" x14ac:dyDescent="0.25">
      <c r="B26" s="216" t="s">
        <v>0</v>
      </c>
      <c r="C26" s="218" t="s">
        <v>42</v>
      </c>
      <c r="D26" s="373">
        <v>2.105</v>
      </c>
      <c r="E26" s="372" t="s">
        <v>90</v>
      </c>
      <c r="F26" s="372" t="s">
        <v>112</v>
      </c>
      <c r="G26" s="372" t="s">
        <v>7</v>
      </c>
    </row>
    <row r="27" spans="2:7" x14ac:dyDescent="0.25">
      <c r="B27" s="216" t="s">
        <v>14</v>
      </c>
      <c r="C27" s="218" t="s">
        <v>42</v>
      </c>
      <c r="D27" s="373">
        <v>1.3967000000000001</v>
      </c>
      <c r="E27" s="372" t="s">
        <v>90</v>
      </c>
      <c r="F27" s="372" t="s">
        <v>112</v>
      </c>
      <c r="G27" s="372" t="s">
        <v>7</v>
      </c>
    </row>
    <row r="28" spans="2:7" x14ac:dyDescent="0.25">
      <c r="B28" s="217" t="s">
        <v>20</v>
      </c>
      <c r="C28" s="218" t="s">
        <v>42</v>
      </c>
      <c r="D28" s="373"/>
      <c r="E28" s="372" t="s">
        <v>90</v>
      </c>
      <c r="F28" s="372" t="s">
        <v>112</v>
      </c>
      <c r="G28" s="372" t="s">
        <v>7</v>
      </c>
    </row>
    <row r="29" spans="2:7" ht="30" x14ac:dyDescent="0.25">
      <c r="B29" s="217" t="s">
        <v>25</v>
      </c>
      <c r="C29" s="218" t="s">
        <v>42</v>
      </c>
      <c r="D29" s="373"/>
      <c r="E29" s="372" t="s">
        <v>90</v>
      </c>
      <c r="F29" s="372" t="s">
        <v>112</v>
      </c>
      <c r="G29" s="372" t="s">
        <v>7</v>
      </c>
    </row>
    <row r="30" spans="2:7" ht="30" x14ac:dyDescent="0.25">
      <c r="B30" s="217" t="s">
        <v>27</v>
      </c>
      <c r="C30" s="218" t="s">
        <v>42</v>
      </c>
      <c r="D30" s="373"/>
      <c r="E30" s="372" t="s">
        <v>90</v>
      </c>
      <c r="F30" s="372" t="s">
        <v>112</v>
      </c>
      <c r="G30" s="372" t="s">
        <v>7</v>
      </c>
    </row>
    <row r="31" spans="2:7" x14ac:dyDescent="0.25">
      <c r="B31" s="216" t="s">
        <v>75</v>
      </c>
      <c r="C31" s="218" t="s">
        <v>42</v>
      </c>
      <c r="D31" s="373">
        <v>0.20784</v>
      </c>
      <c r="E31" s="372" t="s">
        <v>90</v>
      </c>
      <c r="F31" s="372" t="s">
        <v>112</v>
      </c>
      <c r="G31" s="372" t="s">
        <v>7</v>
      </c>
    </row>
    <row r="32" spans="2:7" ht="29.25" x14ac:dyDescent="0.25">
      <c r="B32" s="367" t="s">
        <v>92</v>
      </c>
      <c r="C32" s="31"/>
      <c r="D32" s="375">
        <v>17868.30078034255</v>
      </c>
      <c r="E32" s="372" t="s">
        <v>90</v>
      </c>
      <c r="F32" s="372" t="s">
        <v>112</v>
      </c>
      <c r="G32" s="372" t="s">
        <v>7</v>
      </c>
    </row>
    <row r="33" spans="2:7" ht="60" x14ac:dyDescent="0.25">
      <c r="B33" s="29" t="s">
        <v>93</v>
      </c>
      <c r="C33" s="288" t="s">
        <v>46</v>
      </c>
      <c r="D33" s="376">
        <v>20729.79</v>
      </c>
      <c r="E33" s="372" t="s">
        <v>90</v>
      </c>
      <c r="F33" s="372" t="s">
        <v>112</v>
      </c>
      <c r="G33" s="372" t="s">
        <v>7</v>
      </c>
    </row>
    <row r="34" spans="2:7" x14ac:dyDescent="0.25">
      <c r="B34" s="29" t="s">
        <v>94</v>
      </c>
      <c r="C34" s="288" t="s">
        <v>8</v>
      </c>
      <c r="D34" s="376">
        <v>36350.22</v>
      </c>
      <c r="E34" s="372" t="s">
        <v>90</v>
      </c>
      <c r="F34" s="372" t="s">
        <v>112</v>
      </c>
      <c r="G34" s="372" t="s">
        <v>7</v>
      </c>
    </row>
    <row r="35" spans="2:7" ht="60" x14ac:dyDescent="0.25">
      <c r="B35" s="29" t="s">
        <v>95</v>
      </c>
      <c r="C35" s="288" t="s">
        <v>46</v>
      </c>
      <c r="D35" s="376">
        <v>39022.199999999997</v>
      </c>
      <c r="E35" s="372" t="s">
        <v>90</v>
      </c>
      <c r="F35" s="372" t="s">
        <v>112</v>
      </c>
      <c r="G35" s="372" t="s">
        <v>7</v>
      </c>
    </row>
    <row r="36" spans="2:7" x14ac:dyDescent="0.25">
      <c r="B36" s="29" t="s">
        <v>96</v>
      </c>
      <c r="C36" s="288" t="s">
        <v>8</v>
      </c>
      <c r="D36" s="376">
        <v>36749.629999999997</v>
      </c>
      <c r="E36" s="372" t="s">
        <v>90</v>
      </c>
      <c r="F36" s="372" t="s">
        <v>112</v>
      </c>
      <c r="G36" s="372" t="s">
        <v>7</v>
      </c>
    </row>
    <row r="37" spans="2:7" ht="42.75" x14ac:dyDescent="0.25">
      <c r="B37" s="366" t="s">
        <v>89</v>
      </c>
      <c r="C37" s="87"/>
      <c r="D37" s="371">
        <v>-178.18574400000404</v>
      </c>
      <c r="E37" s="372" t="s">
        <v>90</v>
      </c>
      <c r="F37" s="372" t="s">
        <v>112</v>
      </c>
      <c r="G37" s="372" t="s">
        <v>97</v>
      </c>
    </row>
    <row r="38" spans="2:7" x14ac:dyDescent="0.25">
      <c r="B38" s="2" t="s">
        <v>13</v>
      </c>
      <c r="C38" s="211" t="s">
        <v>6</v>
      </c>
      <c r="D38" s="373">
        <v>14</v>
      </c>
      <c r="E38" s="372" t="s">
        <v>90</v>
      </c>
      <c r="F38" s="372" t="s">
        <v>112</v>
      </c>
      <c r="G38" s="372" t="s">
        <v>97</v>
      </c>
    </row>
    <row r="39" spans="2:7" x14ac:dyDescent="0.25">
      <c r="B39" s="4" t="s">
        <v>64</v>
      </c>
      <c r="C39" s="211" t="s">
        <v>6</v>
      </c>
      <c r="D39" s="373">
        <v>5256</v>
      </c>
      <c r="E39" s="372" t="s">
        <v>90</v>
      </c>
      <c r="F39" s="372" t="s">
        <v>112</v>
      </c>
      <c r="G39" s="372" t="s">
        <v>97</v>
      </c>
    </row>
    <row r="40" spans="2:7" x14ac:dyDescent="0.25">
      <c r="B40" s="4" t="s">
        <v>65</v>
      </c>
      <c r="C40" s="211" t="s">
        <v>6</v>
      </c>
      <c r="D40" s="373">
        <v>5236</v>
      </c>
      <c r="E40" s="372" t="s">
        <v>90</v>
      </c>
      <c r="F40" s="372" t="s">
        <v>112</v>
      </c>
      <c r="G40" s="372" t="s">
        <v>97</v>
      </c>
    </row>
    <row r="41" spans="2:7" x14ac:dyDescent="0.25">
      <c r="B41" s="5" t="s">
        <v>60</v>
      </c>
      <c r="C41" s="211" t="s">
        <v>6</v>
      </c>
      <c r="D41" s="373">
        <v>0</v>
      </c>
      <c r="E41" s="372" t="s">
        <v>90</v>
      </c>
      <c r="F41" s="372" t="s">
        <v>112</v>
      </c>
      <c r="G41" s="372" t="s">
        <v>97</v>
      </c>
    </row>
    <row r="42" spans="2:7" x14ac:dyDescent="0.25">
      <c r="B42" s="5" t="s">
        <v>61</v>
      </c>
      <c r="C42" s="211" t="s">
        <v>6</v>
      </c>
      <c r="D42" s="373">
        <v>20</v>
      </c>
      <c r="E42" s="372" t="s">
        <v>90</v>
      </c>
      <c r="F42" s="372" t="s">
        <v>112</v>
      </c>
      <c r="G42" s="372" t="s">
        <v>97</v>
      </c>
    </row>
    <row r="43" spans="2:7" x14ac:dyDescent="0.25">
      <c r="B43" s="4" t="s">
        <v>58</v>
      </c>
      <c r="C43" s="212" t="s">
        <v>8</v>
      </c>
      <c r="D43" s="373">
        <v>47955.92</v>
      </c>
      <c r="E43" s="372" t="s">
        <v>90</v>
      </c>
      <c r="F43" s="372" t="s">
        <v>112</v>
      </c>
      <c r="G43" s="372" t="s">
        <v>97</v>
      </c>
    </row>
    <row r="44" spans="2:7" x14ac:dyDescent="0.25">
      <c r="B44" s="4" t="s">
        <v>66</v>
      </c>
      <c r="C44" s="212" t="s">
        <v>8</v>
      </c>
      <c r="D44" s="373">
        <v>47800.759999999995</v>
      </c>
      <c r="E44" s="372" t="s">
        <v>90</v>
      </c>
      <c r="F44" s="372" t="s">
        <v>112</v>
      </c>
      <c r="G44" s="372" t="s">
        <v>97</v>
      </c>
    </row>
    <row r="45" spans="2:7" x14ac:dyDescent="0.25">
      <c r="B45" s="6" t="s">
        <v>62</v>
      </c>
      <c r="C45" s="212" t="s">
        <v>8</v>
      </c>
      <c r="D45" s="373">
        <v>0</v>
      </c>
      <c r="E45" s="372" t="s">
        <v>90</v>
      </c>
      <c r="F45" s="372" t="s">
        <v>112</v>
      </c>
      <c r="G45" s="372" t="s">
        <v>97</v>
      </c>
    </row>
    <row r="46" spans="2:7" x14ac:dyDescent="0.25">
      <c r="B46" s="6" t="s">
        <v>63</v>
      </c>
      <c r="C46" s="212" t="s">
        <v>8</v>
      </c>
      <c r="D46" s="373">
        <v>155.16</v>
      </c>
      <c r="E46" s="372" t="s">
        <v>90</v>
      </c>
      <c r="F46" s="372" t="s">
        <v>112</v>
      </c>
      <c r="G46" s="372" t="s">
        <v>97</v>
      </c>
    </row>
    <row r="47" spans="2:7" x14ac:dyDescent="0.25">
      <c r="B47" s="4" t="s">
        <v>59</v>
      </c>
      <c r="C47" s="3" t="s">
        <v>9</v>
      </c>
      <c r="D47" s="373">
        <v>1.1484000000000001</v>
      </c>
      <c r="E47" s="372" t="s">
        <v>90</v>
      </c>
      <c r="F47" s="372" t="s">
        <v>112</v>
      </c>
      <c r="G47" s="372" t="s">
        <v>97</v>
      </c>
    </row>
    <row r="48" spans="2:7" ht="57.75" x14ac:dyDescent="0.25">
      <c r="B48" s="34" t="s">
        <v>91</v>
      </c>
      <c r="C48" s="89"/>
      <c r="D48" s="377">
        <v>33.927</v>
      </c>
      <c r="E48" s="372" t="s">
        <v>90</v>
      </c>
      <c r="F48" s="372" t="s">
        <v>112</v>
      </c>
      <c r="G48" s="372" t="s">
        <v>97</v>
      </c>
    </row>
    <row r="49" spans="2:7" ht="30" x14ac:dyDescent="0.25">
      <c r="B49" s="7" t="s">
        <v>55</v>
      </c>
      <c r="C49" s="213"/>
      <c r="D49" s="378"/>
      <c r="E49" s="372" t="s">
        <v>90</v>
      </c>
      <c r="F49" s="372" t="s">
        <v>112</v>
      </c>
      <c r="G49" s="372" t="s">
        <v>97</v>
      </c>
    </row>
    <row r="50" spans="2:7" x14ac:dyDescent="0.25">
      <c r="B50" s="8" t="s">
        <v>0</v>
      </c>
      <c r="C50" s="213" t="s">
        <v>35</v>
      </c>
      <c r="D50" s="378">
        <v>6</v>
      </c>
      <c r="E50" s="372" t="s">
        <v>90</v>
      </c>
      <c r="F50" s="372" t="s">
        <v>112</v>
      </c>
      <c r="G50" s="372" t="s">
        <v>97</v>
      </c>
    </row>
    <row r="51" spans="2:7" x14ac:dyDescent="0.25">
      <c r="B51" s="8" t="s">
        <v>14</v>
      </c>
      <c r="C51" s="213"/>
      <c r="D51" s="378"/>
      <c r="E51" s="372" t="s">
        <v>90</v>
      </c>
      <c r="F51" s="372" t="s">
        <v>112</v>
      </c>
      <c r="G51" s="372" t="s">
        <v>97</v>
      </c>
    </row>
    <row r="52" spans="2:7" x14ac:dyDescent="0.25">
      <c r="B52" s="9" t="s">
        <v>20</v>
      </c>
      <c r="C52" s="213"/>
      <c r="D52" s="378"/>
      <c r="E52" s="372" t="s">
        <v>90</v>
      </c>
      <c r="F52" s="372" t="s">
        <v>112</v>
      </c>
      <c r="G52" s="372" t="s">
        <v>97</v>
      </c>
    </row>
    <row r="53" spans="2:7" x14ac:dyDescent="0.25">
      <c r="B53" s="8" t="s">
        <v>12</v>
      </c>
      <c r="C53" s="213"/>
      <c r="D53" s="378"/>
      <c r="E53" s="372" t="s">
        <v>90</v>
      </c>
      <c r="F53" s="372" t="s">
        <v>112</v>
      </c>
      <c r="G53" s="372" t="s">
        <v>97</v>
      </c>
    </row>
    <row r="54" spans="2:7" x14ac:dyDescent="0.25">
      <c r="B54" s="9" t="s">
        <v>26</v>
      </c>
      <c r="C54" s="213"/>
      <c r="D54" s="378"/>
      <c r="E54" s="372" t="s">
        <v>90</v>
      </c>
      <c r="F54" s="372" t="s">
        <v>112</v>
      </c>
      <c r="G54" s="372" t="s">
        <v>97</v>
      </c>
    </row>
    <row r="55" spans="2:7" x14ac:dyDescent="0.25">
      <c r="B55" s="8" t="s">
        <v>79</v>
      </c>
      <c r="C55" s="213" t="s">
        <v>34</v>
      </c>
      <c r="D55" s="378">
        <v>300</v>
      </c>
      <c r="E55" s="372" t="s">
        <v>90</v>
      </c>
      <c r="F55" s="372" t="s">
        <v>112</v>
      </c>
      <c r="G55" s="372" t="s">
        <v>97</v>
      </c>
    </row>
    <row r="56" spans="2:7" ht="30" x14ac:dyDescent="0.25">
      <c r="B56" s="7" t="s">
        <v>56</v>
      </c>
      <c r="C56" s="213" t="s">
        <v>42</v>
      </c>
      <c r="D56" s="378"/>
      <c r="E56" s="372" t="s">
        <v>90</v>
      </c>
      <c r="F56" s="372" t="s">
        <v>112</v>
      </c>
      <c r="G56" s="372" t="s">
        <v>97</v>
      </c>
    </row>
    <row r="57" spans="2:7" x14ac:dyDescent="0.25">
      <c r="B57" s="8" t="s">
        <v>0</v>
      </c>
      <c r="C57" s="213" t="s">
        <v>42</v>
      </c>
      <c r="D57" s="378">
        <v>2.5945</v>
      </c>
      <c r="E57" s="372" t="s">
        <v>90</v>
      </c>
      <c r="F57" s="372" t="s">
        <v>112</v>
      </c>
      <c r="G57" s="372" t="s">
        <v>97</v>
      </c>
    </row>
    <row r="58" spans="2:7" x14ac:dyDescent="0.25">
      <c r="B58" s="8" t="s">
        <v>14</v>
      </c>
      <c r="C58" s="213" t="s">
        <v>42</v>
      </c>
      <c r="D58" s="378"/>
      <c r="E58" s="372" t="s">
        <v>90</v>
      </c>
      <c r="F58" s="372" t="s">
        <v>112</v>
      </c>
      <c r="G58" s="372" t="s">
        <v>97</v>
      </c>
    </row>
    <row r="59" spans="2:7" x14ac:dyDescent="0.25">
      <c r="B59" s="9" t="s">
        <v>20</v>
      </c>
      <c r="C59" s="213" t="s">
        <v>42</v>
      </c>
      <c r="D59" s="378"/>
      <c r="E59" s="372" t="s">
        <v>90</v>
      </c>
      <c r="F59" s="372" t="s">
        <v>112</v>
      </c>
      <c r="G59" s="372" t="s">
        <v>97</v>
      </c>
    </row>
    <row r="60" spans="2:7" ht="30" x14ac:dyDescent="0.25">
      <c r="B60" s="9" t="s">
        <v>25</v>
      </c>
      <c r="C60" s="213" t="s">
        <v>42</v>
      </c>
      <c r="D60" s="378"/>
      <c r="E60" s="372" t="s">
        <v>90</v>
      </c>
      <c r="F60" s="372" t="s">
        <v>112</v>
      </c>
      <c r="G60" s="372" t="s">
        <v>97</v>
      </c>
    </row>
    <row r="61" spans="2:7" ht="30" x14ac:dyDescent="0.25">
      <c r="B61" s="9" t="s">
        <v>27</v>
      </c>
      <c r="C61" s="213" t="s">
        <v>42</v>
      </c>
      <c r="D61" s="378"/>
      <c r="E61" s="372" t="s">
        <v>90</v>
      </c>
      <c r="F61" s="372" t="s">
        <v>112</v>
      </c>
      <c r="G61" s="372" t="s">
        <v>97</v>
      </c>
    </row>
    <row r="62" spans="2:7" x14ac:dyDescent="0.25">
      <c r="B62" s="8" t="s">
        <v>79</v>
      </c>
      <c r="C62" s="213" t="s">
        <v>42</v>
      </c>
      <c r="D62" s="378">
        <v>6.1199999999999997E-2</v>
      </c>
      <c r="E62" s="372" t="s">
        <v>90</v>
      </c>
      <c r="F62" s="372" t="s">
        <v>112</v>
      </c>
      <c r="G62" s="372" t="s">
        <v>97</v>
      </c>
    </row>
    <row r="63" spans="2:7" ht="29.25" x14ac:dyDescent="0.25">
      <c r="B63" s="367" t="s">
        <v>92</v>
      </c>
      <c r="C63" s="31"/>
      <c r="D63" s="377">
        <v>20304.424515493025</v>
      </c>
      <c r="E63" s="372" t="s">
        <v>90</v>
      </c>
      <c r="F63" s="372" t="s">
        <v>112</v>
      </c>
      <c r="G63" s="372" t="s">
        <v>97</v>
      </c>
    </row>
    <row r="64" spans="2:7" ht="60" x14ac:dyDescent="0.25">
      <c r="B64" s="29" t="s">
        <v>98</v>
      </c>
      <c r="C64" s="288" t="s">
        <v>46</v>
      </c>
      <c r="D64" s="378">
        <v>28761.8</v>
      </c>
      <c r="E64" s="372" t="s">
        <v>90</v>
      </c>
      <c r="F64" s="372" t="s">
        <v>112</v>
      </c>
      <c r="G64" s="372" t="s">
        <v>97</v>
      </c>
    </row>
    <row r="65" spans="2:7" x14ac:dyDescent="0.25">
      <c r="B65" s="29" t="s">
        <v>99</v>
      </c>
      <c r="C65" s="288" t="s">
        <v>8</v>
      </c>
      <c r="D65" s="378">
        <v>47800.76</v>
      </c>
      <c r="E65" s="372" t="s">
        <v>90</v>
      </c>
      <c r="F65" s="372" t="s">
        <v>112</v>
      </c>
      <c r="G65" s="372" t="s">
        <v>97</v>
      </c>
    </row>
    <row r="66" spans="2:7" ht="60" x14ac:dyDescent="0.25">
      <c r="B66" s="29" t="s">
        <v>100</v>
      </c>
      <c r="C66" s="288" t="s">
        <v>46</v>
      </c>
      <c r="D66" s="378">
        <v>48542.61</v>
      </c>
      <c r="E66" s="372" t="s">
        <v>90</v>
      </c>
      <c r="F66" s="372" t="s">
        <v>112</v>
      </c>
      <c r="G66" s="372" t="s">
        <v>97</v>
      </c>
    </row>
    <row r="67" spans="2:7" x14ac:dyDescent="0.25">
      <c r="B67" s="29" t="s">
        <v>101</v>
      </c>
      <c r="C67" s="288" t="s">
        <v>8</v>
      </c>
      <c r="D67" s="378">
        <v>47290.65</v>
      </c>
      <c r="E67" s="372" t="s">
        <v>90</v>
      </c>
      <c r="F67" s="372" t="s">
        <v>112</v>
      </c>
      <c r="G67" s="372" t="s">
        <v>97</v>
      </c>
    </row>
    <row r="68" spans="2:7" ht="42.75" x14ac:dyDescent="0.25">
      <c r="B68" s="366" t="s">
        <v>89</v>
      </c>
      <c r="C68" s="87"/>
      <c r="D68" s="377">
        <v>0</v>
      </c>
      <c r="E68" s="372" t="s">
        <v>90</v>
      </c>
      <c r="F68" s="372" t="s">
        <v>112</v>
      </c>
      <c r="G68" s="372" t="s">
        <v>102</v>
      </c>
    </row>
    <row r="69" spans="2:7" x14ac:dyDescent="0.25">
      <c r="B69" s="2" t="s">
        <v>13</v>
      </c>
      <c r="C69" s="211" t="s">
        <v>6</v>
      </c>
      <c r="D69" s="378">
        <v>14</v>
      </c>
      <c r="E69" s="372" t="s">
        <v>90</v>
      </c>
      <c r="F69" s="372" t="s">
        <v>112</v>
      </c>
      <c r="G69" s="372" t="s">
        <v>102</v>
      </c>
    </row>
    <row r="70" spans="2:7" x14ac:dyDescent="0.25">
      <c r="B70" s="4" t="s">
        <v>64</v>
      </c>
      <c r="C70" s="211" t="s">
        <v>6</v>
      </c>
      <c r="D70" s="378">
        <v>5388</v>
      </c>
      <c r="E70" s="372" t="s">
        <v>90</v>
      </c>
      <c r="F70" s="372" t="s">
        <v>112</v>
      </c>
      <c r="G70" s="372" t="s">
        <v>102</v>
      </c>
    </row>
    <row r="71" spans="2:7" x14ac:dyDescent="0.25">
      <c r="B71" s="4" t="s">
        <v>65</v>
      </c>
      <c r="C71" s="211" t="s">
        <v>6</v>
      </c>
      <c r="D71" s="378">
        <v>5388</v>
      </c>
      <c r="E71" s="372" t="s">
        <v>90</v>
      </c>
      <c r="F71" s="372" t="s">
        <v>112</v>
      </c>
      <c r="G71" s="372" t="s">
        <v>102</v>
      </c>
    </row>
    <row r="72" spans="2:7" x14ac:dyDescent="0.25">
      <c r="B72" s="5" t="s">
        <v>60</v>
      </c>
      <c r="C72" s="211" t="s">
        <v>6</v>
      </c>
      <c r="D72" s="378">
        <v>0</v>
      </c>
      <c r="E72" s="372" t="s">
        <v>90</v>
      </c>
      <c r="F72" s="372" t="s">
        <v>112</v>
      </c>
      <c r="G72" s="372" t="s">
        <v>102</v>
      </c>
    </row>
    <row r="73" spans="2:7" x14ac:dyDescent="0.25">
      <c r="B73" s="5" t="s">
        <v>61</v>
      </c>
      <c r="C73" s="211" t="s">
        <v>6</v>
      </c>
      <c r="D73" s="378">
        <v>0</v>
      </c>
      <c r="E73" s="372" t="s">
        <v>90</v>
      </c>
      <c r="F73" s="372" t="s">
        <v>112</v>
      </c>
      <c r="G73" s="372" t="s">
        <v>102</v>
      </c>
    </row>
    <row r="74" spans="2:7" x14ac:dyDescent="0.25">
      <c r="B74" s="4" t="s">
        <v>58</v>
      </c>
      <c r="C74" s="212" t="s">
        <v>8</v>
      </c>
      <c r="D74" s="378">
        <v>49186.19</v>
      </c>
      <c r="E74" s="372" t="s">
        <v>90</v>
      </c>
      <c r="F74" s="372" t="s">
        <v>112</v>
      </c>
      <c r="G74" s="372" t="s">
        <v>102</v>
      </c>
    </row>
    <row r="75" spans="2:7" x14ac:dyDescent="0.25">
      <c r="B75" s="4" t="s">
        <v>66</v>
      </c>
      <c r="C75" s="212" t="s">
        <v>8</v>
      </c>
      <c r="D75" s="378">
        <v>49186.19</v>
      </c>
      <c r="E75" s="372" t="s">
        <v>90</v>
      </c>
      <c r="F75" s="372" t="s">
        <v>112</v>
      </c>
      <c r="G75" s="372" t="s">
        <v>102</v>
      </c>
    </row>
    <row r="76" spans="2:7" x14ac:dyDescent="0.25">
      <c r="B76" s="6" t="s">
        <v>62</v>
      </c>
      <c r="C76" s="212" t="s">
        <v>8</v>
      </c>
      <c r="D76" s="378">
        <v>0</v>
      </c>
      <c r="E76" s="372" t="s">
        <v>90</v>
      </c>
      <c r="F76" s="372" t="s">
        <v>112</v>
      </c>
      <c r="G76" s="372" t="s">
        <v>102</v>
      </c>
    </row>
    <row r="77" spans="2:7" x14ac:dyDescent="0.25">
      <c r="B77" s="6" t="s">
        <v>63</v>
      </c>
      <c r="C77" s="212" t="s">
        <v>8</v>
      </c>
      <c r="D77" s="378">
        <v>0</v>
      </c>
      <c r="E77" s="372" t="s">
        <v>90</v>
      </c>
      <c r="F77" s="372" t="s">
        <v>112</v>
      </c>
      <c r="G77" s="372" t="s">
        <v>102</v>
      </c>
    </row>
    <row r="78" spans="2:7" x14ac:dyDescent="0.25">
      <c r="B78" s="4" t="s">
        <v>59</v>
      </c>
      <c r="C78" s="3" t="s">
        <v>9</v>
      </c>
      <c r="D78" s="378">
        <v>1.1426000000000001</v>
      </c>
      <c r="E78" s="372" t="s">
        <v>90</v>
      </c>
      <c r="F78" s="372" t="s">
        <v>112</v>
      </c>
      <c r="G78" s="372" t="s">
        <v>102</v>
      </c>
    </row>
    <row r="79" spans="2:7" ht="57.75" x14ac:dyDescent="0.25">
      <c r="B79" s="34" t="s">
        <v>91</v>
      </c>
      <c r="C79" s="89"/>
      <c r="D79" s="377">
        <v>21.297999999999998</v>
      </c>
      <c r="E79" s="372" t="s">
        <v>90</v>
      </c>
      <c r="F79" s="372" t="s">
        <v>112</v>
      </c>
      <c r="G79" s="372" t="s">
        <v>102</v>
      </c>
    </row>
    <row r="80" spans="2:7" ht="30" x14ac:dyDescent="0.25">
      <c r="B80" s="7" t="s">
        <v>55</v>
      </c>
      <c r="C80" s="213"/>
      <c r="D80" s="378"/>
      <c r="E80" s="372" t="s">
        <v>90</v>
      </c>
      <c r="F80" s="372" t="s">
        <v>112</v>
      </c>
      <c r="G80" s="372" t="s">
        <v>102</v>
      </c>
    </row>
    <row r="81" spans="2:7" x14ac:dyDescent="0.25">
      <c r="B81" s="8" t="s">
        <v>0</v>
      </c>
      <c r="C81" s="213" t="s">
        <v>35</v>
      </c>
      <c r="D81" s="378">
        <v>1</v>
      </c>
      <c r="E81" s="372" t="s">
        <v>90</v>
      </c>
      <c r="F81" s="372" t="s">
        <v>112</v>
      </c>
      <c r="G81" s="372" t="s">
        <v>102</v>
      </c>
    </row>
    <row r="82" spans="2:7" x14ac:dyDescent="0.25">
      <c r="B82" s="8" t="s">
        <v>14</v>
      </c>
      <c r="C82" s="213"/>
      <c r="D82" s="378"/>
      <c r="E82" s="372" t="s">
        <v>90</v>
      </c>
      <c r="F82" s="372" t="s">
        <v>112</v>
      </c>
      <c r="G82" s="372" t="s">
        <v>102</v>
      </c>
    </row>
    <row r="83" spans="2:7" x14ac:dyDescent="0.25">
      <c r="B83" s="9" t="s">
        <v>20</v>
      </c>
      <c r="C83" s="213"/>
      <c r="D83" s="378"/>
      <c r="E83" s="372" t="s">
        <v>90</v>
      </c>
      <c r="F83" s="372" t="s">
        <v>112</v>
      </c>
      <c r="G83" s="372" t="s">
        <v>102</v>
      </c>
    </row>
    <row r="84" spans="2:7" x14ac:dyDescent="0.25">
      <c r="B84" s="8" t="s">
        <v>12</v>
      </c>
      <c r="C84" s="213"/>
      <c r="D84" s="378"/>
      <c r="E84" s="372" t="s">
        <v>90</v>
      </c>
      <c r="F84" s="372" t="s">
        <v>112</v>
      </c>
      <c r="G84" s="372" t="s">
        <v>102</v>
      </c>
    </row>
    <row r="85" spans="2:7" x14ac:dyDescent="0.25">
      <c r="B85" s="9" t="s">
        <v>26</v>
      </c>
      <c r="C85" s="213"/>
      <c r="D85" s="378"/>
      <c r="E85" s="372" t="s">
        <v>90</v>
      </c>
      <c r="F85" s="372" t="s">
        <v>112</v>
      </c>
      <c r="G85" s="372" t="s">
        <v>102</v>
      </c>
    </row>
    <row r="86" spans="2:7" x14ac:dyDescent="0.25">
      <c r="B86" s="8" t="s">
        <v>79</v>
      </c>
      <c r="C86" s="213" t="s">
        <v>34</v>
      </c>
      <c r="D86" s="378">
        <v>300</v>
      </c>
      <c r="E86" s="372" t="s">
        <v>90</v>
      </c>
      <c r="F86" s="372" t="s">
        <v>112</v>
      </c>
      <c r="G86" s="372" t="s">
        <v>102</v>
      </c>
    </row>
    <row r="87" spans="2:7" ht="30" x14ac:dyDescent="0.25">
      <c r="B87" s="7" t="s">
        <v>56</v>
      </c>
      <c r="C87" s="213" t="s">
        <v>42</v>
      </c>
      <c r="D87" s="378"/>
      <c r="E87" s="372" t="s">
        <v>90</v>
      </c>
      <c r="F87" s="372" t="s">
        <v>112</v>
      </c>
      <c r="G87" s="372" t="s">
        <v>102</v>
      </c>
    </row>
    <row r="88" spans="2:7" x14ac:dyDescent="0.25">
      <c r="B88" s="8" t="s">
        <v>0</v>
      </c>
      <c r="C88" s="213" t="s">
        <v>42</v>
      </c>
      <c r="D88" s="378">
        <v>2.95</v>
      </c>
      <c r="E88" s="372" t="s">
        <v>90</v>
      </c>
      <c r="F88" s="372" t="s">
        <v>112</v>
      </c>
      <c r="G88" s="372" t="s">
        <v>102</v>
      </c>
    </row>
    <row r="89" spans="2:7" x14ac:dyDescent="0.25">
      <c r="B89" s="8" t="s">
        <v>14</v>
      </c>
      <c r="C89" s="213" t="s">
        <v>42</v>
      </c>
      <c r="D89" s="378"/>
      <c r="E89" s="372" t="s">
        <v>90</v>
      </c>
      <c r="F89" s="372" t="s">
        <v>112</v>
      </c>
      <c r="G89" s="372" t="s">
        <v>102</v>
      </c>
    </row>
    <row r="90" spans="2:7" x14ac:dyDescent="0.25">
      <c r="B90" s="9" t="s">
        <v>20</v>
      </c>
      <c r="C90" s="213" t="s">
        <v>42</v>
      </c>
      <c r="D90" s="378"/>
      <c r="E90" s="372" t="s">
        <v>90</v>
      </c>
      <c r="F90" s="372" t="s">
        <v>112</v>
      </c>
      <c r="G90" s="372" t="s">
        <v>102</v>
      </c>
    </row>
    <row r="91" spans="2:7" ht="30" x14ac:dyDescent="0.25">
      <c r="B91" s="9" t="s">
        <v>25</v>
      </c>
      <c r="C91" s="213" t="s">
        <v>42</v>
      </c>
      <c r="D91" s="378"/>
      <c r="E91" s="372" t="s">
        <v>90</v>
      </c>
      <c r="F91" s="372" t="s">
        <v>112</v>
      </c>
      <c r="G91" s="372" t="s">
        <v>102</v>
      </c>
    </row>
    <row r="92" spans="2:7" ht="30" x14ac:dyDescent="0.25">
      <c r="B92" s="9" t="s">
        <v>27</v>
      </c>
      <c r="C92" s="213" t="s">
        <v>42</v>
      </c>
      <c r="D92" s="378"/>
      <c r="E92" s="372" t="s">
        <v>90</v>
      </c>
      <c r="F92" s="372" t="s">
        <v>112</v>
      </c>
      <c r="G92" s="372" t="s">
        <v>102</v>
      </c>
    </row>
    <row r="93" spans="2:7" x14ac:dyDescent="0.25">
      <c r="B93" s="8" t="s">
        <v>15</v>
      </c>
      <c r="C93" s="213" t="s">
        <v>42</v>
      </c>
      <c r="D93" s="378">
        <v>6.1159999999999999E-2</v>
      </c>
      <c r="E93" s="372" t="s">
        <v>90</v>
      </c>
      <c r="F93" s="372" t="s">
        <v>112</v>
      </c>
      <c r="G93" s="372" t="s">
        <v>102</v>
      </c>
    </row>
    <row r="94" spans="2:7" ht="29.25" x14ac:dyDescent="0.25">
      <c r="B94" s="367" t="s">
        <v>92</v>
      </c>
      <c r="C94" s="31"/>
      <c r="D94" s="377">
        <v>17842.605663355105</v>
      </c>
      <c r="E94" s="372" t="s">
        <v>90</v>
      </c>
      <c r="F94" s="372" t="s">
        <v>112</v>
      </c>
      <c r="G94" s="372" t="s">
        <v>102</v>
      </c>
    </row>
    <row r="95" spans="2:7" ht="60" x14ac:dyDescent="0.25">
      <c r="B95" s="29" t="s">
        <v>103</v>
      </c>
      <c r="C95" s="288" t="s">
        <v>46</v>
      </c>
      <c r="D95" s="378">
        <v>29940.75</v>
      </c>
      <c r="E95" s="372" t="s">
        <v>90</v>
      </c>
      <c r="F95" s="372" t="s">
        <v>112</v>
      </c>
      <c r="G95" s="372" t="s">
        <v>102</v>
      </c>
    </row>
    <row r="96" spans="2:7" x14ac:dyDescent="0.25">
      <c r="B96" s="29" t="s">
        <v>104</v>
      </c>
      <c r="C96" s="288" t="s">
        <v>8</v>
      </c>
      <c r="D96" s="378">
        <v>49186.19</v>
      </c>
      <c r="E96" s="372" t="s">
        <v>90</v>
      </c>
      <c r="F96" s="372" t="s">
        <v>112</v>
      </c>
      <c r="G96" s="372" t="s">
        <v>102</v>
      </c>
    </row>
    <row r="97" spans="2:7" ht="60" x14ac:dyDescent="0.25">
      <c r="B97" s="29" t="s">
        <v>105</v>
      </c>
      <c r="C97" s="288" t="s">
        <v>46</v>
      </c>
      <c r="D97" s="378">
        <v>47597.57</v>
      </c>
      <c r="E97" s="372" t="s">
        <v>90</v>
      </c>
      <c r="F97" s="372" t="s">
        <v>112</v>
      </c>
      <c r="G97" s="372" t="s">
        <v>102</v>
      </c>
    </row>
    <row r="98" spans="2:7" x14ac:dyDescent="0.25">
      <c r="B98" s="29" t="s">
        <v>106</v>
      </c>
      <c r="C98" s="288" t="s">
        <v>8</v>
      </c>
      <c r="D98" s="378">
        <v>48994.95</v>
      </c>
      <c r="E98" s="372" t="s">
        <v>90</v>
      </c>
      <c r="F98" s="372" t="s">
        <v>112</v>
      </c>
      <c r="G98" s="372" t="s">
        <v>102</v>
      </c>
    </row>
    <row r="99" spans="2:7" ht="42.75" x14ac:dyDescent="0.25">
      <c r="B99" s="366" t="s">
        <v>89</v>
      </c>
      <c r="C99" s="87"/>
      <c r="D99" s="377">
        <v>0</v>
      </c>
      <c r="E99" s="372" t="s">
        <v>90</v>
      </c>
      <c r="F99" s="372" t="s">
        <v>112</v>
      </c>
      <c r="G99" s="372" t="s">
        <v>107</v>
      </c>
    </row>
    <row r="100" spans="2:7" x14ac:dyDescent="0.25">
      <c r="B100" s="2" t="s">
        <v>13</v>
      </c>
      <c r="C100" s="211" t="s">
        <v>6</v>
      </c>
      <c r="D100" s="378">
        <v>14</v>
      </c>
      <c r="E100" s="372" t="s">
        <v>90</v>
      </c>
      <c r="F100" s="372" t="s">
        <v>112</v>
      </c>
      <c r="G100" s="372" t="s">
        <v>107</v>
      </c>
    </row>
    <row r="101" spans="2:7" x14ac:dyDescent="0.25">
      <c r="B101" s="4" t="s">
        <v>64</v>
      </c>
      <c r="C101" s="211" t="s">
        <v>6</v>
      </c>
      <c r="D101" s="378">
        <v>5052</v>
      </c>
      <c r="E101" s="372" t="s">
        <v>90</v>
      </c>
      <c r="F101" s="372" t="s">
        <v>112</v>
      </c>
      <c r="G101" s="372" t="s">
        <v>107</v>
      </c>
    </row>
    <row r="102" spans="2:7" x14ac:dyDescent="0.25">
      <c r="B102" s="4" t="s">
        <v>65</v>
      </c>
      <c r="C102" s="211" t="s">
        <v>6</v>
      </c>
      <c r="D102" s="378">
        <v>5032</v>
      </c>
      <c r="E102" s="372" t="s">
        <v>90</v>
      </c>
      <c r="F102" s="372" t="s">
        <v>112</v>
      </c>
      <c r="G102" s="372" t="s">
        <v>107</v>
      </c>
    </row>
    <row r="103" spans="2:7" x14ac:dyDescent="0.25">
      <c r="B103" s="5" t="s">
        <v>60</v>
      </c>
      <c r="C103" s="211" t="s">
        <v>6</v>
      </c>
      <c r="D103" s="378">
        <v>0</v>
      </c>
      <c r="E103" s="372" t="s">
        <v>90</v>
      </c>
      <c r="F103" s="372" t="s">
        <v>112</v>
      </c>
      <c r="G103" s="372" t="s">
        <v>107</v>
      </c>
    </row>
    <row r="104" spans="2:7" x14ac:dyDescent="0.25">
      <c r="B104" s="5" t="s">
        <v>61</v>
      </c>
      <c r="C104" s="211" t="s">
        <v>6</v>
      </c>
      <c r="D104" s="378">
        <v>20</v>
      </c>
      <c r="E104" s="372" t="s">
        <v>90</v>
      </c>
      <c r="F104" s="372" t="s">
        <v>112</v>
      </c>
      <c r="G104" s="372" t="s">
        <v>107</v>
      </c>
    </row>
    <row r="105" spans="2:7" x14ac:dyDescent="0.25">
      <c r="B105" s="4" t="s">
        <v>58</v>
      </c>
      <c r="C105" s="212" t="s">
        <v>8</v>
      </c>
      <c r="D105" s="378">
        <v>46130.33</v>
      </c>
      <c r="E105" s="372" t="s">
        <v>90</v>
      </c>
      <c r="F105" s="372" t="s">
        <v>112</v>
      </c>
      <c r="G105" s="372" t="s">
        <v>107</v>
      </c>
    </row>
    <row r="106" spans="2:7" x14ac:dyDescent="0.25">
      <c r="B106" s="4" t="s">
        <v>66</v>
      </c>
      <c r="C106" s="212" t="s">
        <v>8</v>
      </c>
      <c r="D106" s="378">
        <v>46130.33</v>
      </c>
      <c r="E106" s="372" t="s">
        <v>90</v>
      </c>
      <c r="F106" s="372" t="s">
        <v>112</v>
      </c>
      <c r="G106" s="372" t="s">
        <v>107</v>
      </c>
    </row>
    <row r="107" spans="2:7" x14ac:dyDescent="0.25">
      <c r="B107" s="6" t="s">
        <v>62</v>
      </c>
      <c r="C107" s="212" t="s">
        <v>8</v>
      </c>
      <c r="D107" s="378">
        <v>0</v>
      </c>
      <c r="E107" s="372" t="s">
        <v>90</v>
      </c>
      <c r="F107" s="372" t="s">
        <v>112</v>
      </c>
      <c r="G107" s="372" t="s">
        <v>107</v>
      </c>
    </row>
    <row r="108" spans="2:7" x14ac:dyDescent="0.25">
      <c r="B108" s="6" t="s">
        <v>63</v>
      </c>
      <c r="C108" s="212" t="s">
        <v>8</v>
      </c>
      <c r="D108" s="378">
        <v>0</v>
      </c>
      <c r="E108" s="372" t="s">
        <v>90</v>
      </c>
      <c r="F108" s="372" t="s">
        <v>112</v>
      </c>
      <c r="G108" s="372" t="s">
        <v>107</v>
      </c>
    </row>
    <row r="109" spans="2:7" x14ac:dyDescent="0.25">
      <c r="B109" s="4" t="s">
        <v>59</v>
      </c>
      <c r="C109" s="3" t="s">
        <v>9</v>
      </c>
      <c r="D109" s="378">
        <v>1.4814000000000001</v>
      </c>
      <c r="E109" s="372" t="s">
        <v>90</v>
      </c>
      <c r="F109" s="372" t="s">
        <v>112</v>
      </c>
      <c r="G109" s="372" t="s">
        <v>107</v>
      </c>
    </row>
    <row r="110" spans="2:7" ht="57.75" x14ac:dyDescent="0.25">
      <c r="B110" s="34" t="s">
        <v>91</v>
      </c>
      <c r="C110" s="89"/>
      <c r="D110" s="377">
        <v>18.540000000000003</v>
      </c>
      <c r="E110" s="372" t="s">
        <v>90</v>
      </c>
      <c r="F110" s="372" t="s">
        <v>112</v>
      </c>
      <c r="G110" s="372" t="s">
        <v>107</v>
      </c>
    </row>
    <row r="111" spans="2:7" ht="30" x14ac:dyDescent="0.25">
      <c r="B111" s="7" t="s">
        <v>55</v>
      </c>
      <c r="C111" s="213"/>
      <c r="D111" s="378"/>
      <c r="E111" s="372" t="s">
        <v>90</v>
      </c>
      <c r="F111" s="372" t="s">
        <v>112</v>
      </c>
      <c r="G111" s="372" t="s">
        <v>107</v>
      </c>
    </row>
    <row r="112" spans="2:7" x14ac:dyDescent="0.25">
      <c r="B112" s="8" t="s">
        <v>0</v>
      </c>
      <c r="C112" s="213" t="s">
        <v>35</v>
      </c>
      <c r="D112" s="378">
        <v>1</v>
      </c>
      <c r="E112" s="372" t="s">
        <v>90</v>
      </c>
      <c r="F112" s="372" t="s">
        <v>112</v>
      </c>
      <c r="G112" s="372" t="s">
        <v>107</v>
      </c>
    </row>
    <row r="113" spans="2:7" x14ac:dyDescent="0.25">
      <c r="B113" s="8" t="s">
        <v>120</v>
      </c>
      <c r="C113" s="213" t="s">
        <v>34</v>
      </c>
      <c r="D113" s="378">
        <v>100</v>
      </c>
      <c r="E113" s="372" t="s">
        <v>90</v>
      </c>
      <c r="F113" s="372" t="s">
        <v>112</v>
      </c>
      <c r="G113" s="372" t="s">
        <v>107</v>
      </c>
    </row>
    <row r="114" spans="2:7" x14ac:dyDescent="0.25">
      <c r="B114" s="9" t="s">
        <v>20</v>
      </c>
      <c r="C114" s="213"/>
      <c r="D114" s="378"/>
      <c r="E114" s="372" t="s">
        <v>90</v>
      </c>
      <c r="F114" s="372" t="s">
        <v>112</v>
      </c>
      <c r="G114" s="372" t="s">
        <v>107</v>
      </c>
    </row>
    <row r="115" spans="2:7" x14ac:dyDescent="0.25">
      <c r="B115" s="8" t="s">
        <v>12</v>
      </c>
      <c r="C115" s="213"/>
      <c r="D115" s="378"/>
      <c r="E115" s="372" t="s">
        <v>90</v>
      </c>
      <c r="F115" s="372" t="s">
        <v>112</v>
      </c>
      <c r="G115" s="372" t="s">
        <v>107</v>
      </c>
    </row>
    <row r="116" spans="2:7" x14ac:dyDescent="0.25">
      <c r="B116" s="9" t="s">
        <v>26</v>
      </c>
      <c r="C116" s="213"/>
      <c r="D116" s="378"/>
      <c r="E116" s="372" t="s">
        <v>90</v>
      </c>
      <c r="F116" s="372" t="s">
        <v>112</v>
      </c>
      <c r="G116" s="372" t="s">
        <v>107</v>
      </c>
    </row>
    <row r="117" spans="2:7" x14ac:dyDescent="0.25">
      <c r="B117" s="8"/>
      <c r="C117" s="213"/>
      <c r="D117" s="378"/>
      <c r="E117" s="372" t="s">
        <v>90</v>
      </c>
      <c r="F117" s="372" t="s">
        <v>112</v>
      </c>
      <c r="G117" s="372" t="s">
        <v>107</v>
      </c>
    </row>
    <row r="118" spans="2:7" ht="30" x14ac:dyDescent="0.25">
      <c r="B118" s="7" t="s">
        <v>56</v>
      </c>
      <c r="C118" s="213" t="s">
        <v>42</v>
      </c>
      <c r="D118" s="378"/>
      <c r="E118" s="372" t="s">
        <v>90</v>
      </c>
      <c r="F118" s="372" t="s">
        <v>112</v>
      </c>
      <c r="G118" s="372" t="s">
        <v>107</v>
      </c>
    </row>
    <row r="119" spans="2:7" x14ac:dyDescent="0.25">
      <c r="B119" s="8" t="s">
        <v>0</v>
      </c>
      <c r="C119" s="213"/>
      <c r="D119" s="378">
        <v>2.95</v>
      </c>
      <c r="E119" s="372" t="s">
        <v>90</v>
      </c>
      <c r="F119" s="372" t="s">
        <v>112</v>
      </c>
      <c r="G119" s="372" t="s">
        <v>107</v>
      </c>
    </row>
    <row r="120" spans="2:7" x14ac:dyDescent="0.25">
      <c r="B120" s="8" t="s">
        <v>120</v>
      </c>
      <c r="C120" s="213"/>
      <c r="D120" s="378">
        <v>0.15590000000000001</v>
      </c>
      <c r="E120" s="372" t="s">
        <v>90</v>
      </c>
      <c r="F120" s="372" t="s">
        <v>112</v>
      </c>
      <c r="G120" s="372" t="s">
        <v>107</v>
      </c>
    </row>
    <row r="121" spans="2:7" x14ac:dyDescent="0.25">
      <c r="B121" s="9" t="s">
        <v>20</v>
      </c>
      <c r="C121" s="213"/>
      <c r="D121" s="378"/>
      <c r="E121" s="372" t="s">
        <v>90</v>
      </c>
      <c r="F121" s="372" t="s">
        <v>112</v>
      </c>
      <c r="G121" s="372" t="s">
        <v>107</v>
      </c>
    </row>
    <row r="122" spans="2:7" ht="30" x14ac:dyDescent="0.25">
      <c r="B122" s="9" t="s">
        <v>25</v>
      </c>
      <c r="C122" s="213"/>
      <c r="D122" s="378"/>
      <c r="E122" s="372" t="s">
        <v>90</v>
      </c>
      <c r="F122" s="372" t="s">
        <v>112</v>
      </c>
      <c r="G122" s="372" t="s">
        <v>107</v>
      </c>
    </row>
    <row r="123" spans="2:7" ht="30" x14ac:dyDescent="0.25">
      <c r="B123" s="9" t="s">
        <v>27</v>
      </c>
      <c r="C123" s="213"/>
      <c r="D123" s="378"/>
      <c r="E123" s="372" t="s">
        <v>90</v>
      </c>
      <c r="F123" s="372" t="s">
        <v>112</v>
      </c>
      <c r="G123" s="372" t="s">
        <v>107</v>
      </c>
    </row>
    <row r="124" spans="2:7" x14ac:dyDescent="0.25">
      <c r="B124" s="9" t="s">
        <v>15</v>
      </c>
      <c r="C124" s="213"/>
      <c r="D124" s="378">
        <v>0</v>
      </c>
      <c r="E124" s="372" t="s">
        <v>90</v>
      </c>
      <c r="F124" s="372" t="s">
        <v>112</v>
      </c>
      <c r="G124" s="372" t="s">
        <v>107</v>
      </c>
    </row>
    <row r="125" spans="2:7" ht="29.25" x14ac:dyDescent="0.25">
      <c r="B125" s="367" t="s">
        <v>92</v>
      </c>
      <c r="C125" s="31"/>
      <c r="D125" s="377">
        <v>10829.263286778441</v>
      </c>
      <c r="E125" s="372" t="s">
        <v>90</v>
      </c>
      <c r="F125" s="372" t="s">
        <v>112</v>
      </c>
      <c r="G125" s="372" t="s">
        <v>107</v>
      </c>
    </row>
    <row r="126" spans="2:7" ht="60" x14ac:dyDescent="0.25">
      <c r="B126" s="29" t="s">
        <v>108</v>
      </c>
      <c r="C126" s="288" t="s">
        <v>46</v>
      </c>
      <c r="D126" s="378">
        <v>26365.46</v>
      </c>
      <c r="E126" s="372" t="s">
        <v>90</v>
      </c>
      <c r="F126" s="372" t="s">
        <v>112</v>
      </c>
      <c r="G126" s="372" t="s">
        <v>107</v>
      </c>
    </row>
    <row r="127" spans="2:7" x14ac:dyDescent="0.25">
      <c r="B127" s="29" t="s">
        <v>109</v>
      </c>
      <c r="C127" s="288" t="s">
        <v>8</v>
      </c>
      <c r="D127" s="378">
        <v>46130.33</v>
      </c>
      <c r="E127" s="372" t="s">
        <v>90</v>
      </c>
      <c r="F127" s="372" t="s">
        <v>112</v>
      </c>
      <c r="G127" s="372" t="s">
        <v>107</v>
      </c>
    </row>
    <row r="128" spans="2:7" ht="60" x14ac:dyDescent="0.25">
      <c r="B128" s="29" t="s">
        <v>110</v>
      </c>
      <c r="C128" s="288" t="s">
        <v>46</v>
      </c>
      <c r="D128" s="378">
        <v>36306.370000000003</v>
      </c>
      <c r="E128" s="372" t="s">
        <v>90</v>
      </c>
      <c r="F128" s="372" t="s">
        <v>112</v>
      </c>
      <c r="G128" s="372" t="s">
        <v>107</v>
      </c>
    </row>
    <row r="129" spans="2:7" x14ac:dyDescent="0.25">
      <c r="B129" s="29" t="s">
        <v>111</v>
      </c>
      <c r="C129" s="288" t="s">
        <v>8</v>
      </c>
      <c r="D129" s="378">
        <v>45028.56</v>
      </c>
      <c r="E129" s="372" t="s">
        <v>90</v>
      </c>
      <c r="F129" s="372" t="s">
        <v>112</v>
      </c>
      <c r="G129" s="372" t="s">
        <v>107</v>
      </c>
    </row>
  </sheetData>
  <mergeCells count="1">
    <mergeCell ref="B1:G2"/>
  </mergeCells>
  <phoneticPr fontId="24"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858C1-778C-4E1F-8C27-0735AD071B2F}">
  <dimension ref="B2:AL8"/>
  <sheetViews>
    <sheetView topLeftCell="Y1" workbookViewId="0">
      <selection activeCell="D22" sqref="D22"/>
    </sheetView>
  </sheetViews>
  <sheetFormatPr defaultColWidth="9.140625" defaultRowHeight="15" x14ac:dyDescent="0.25"/>
  <cols>
    <col min="1" max="1" width="3.7109375" style="112" customWidth="1"/>
    <col min="2" max="2" width="23.85546875" style="112" bestFit="1" customWidth="1"/>
    <col min="3" max="38" width="14.7109375" style="112" customWidth="1"/>
    <col min="39" max="16384" width="9.140625" style="112"/>
  </cols>
  <sheetData>
    <row r="2" spans="2:38" x14ac:dyDescent="0.25">
      <c r="B2" s="111" t="s">
        <v>82</v>
      </c>
      <c r="D2" s="113" t="str">
        <f ca="1">_xll.PALO.VIEW.DIMNAME($B$2,$B$3,0,0)</f>
        <v>ContractNo</v>
      </c>
      <c r="E2" s="113" t="str">
        <f ca="1">_xll.PALO.VIEW.DIMNAME($B$2,$B$3,0,1)</f>
        <v>Region</v>
      </c>
      <c r="F2" s="113" t="str">
        <f ca="1">_xll.PALO.VIEW.DIMNAME($B$2,$B$3,0,2)</f>
        <v>Traffic</v>
      </c>
      <c r="G2" s="113" t="str">
        <f ca="1">_xll.PALO.VIEW.DIMNAME($B$2,$B$3,0,3)</f>
        <v>Period_type</v>
      </c>
      <c r="H2" s="113" t="str">
        <f ca="1">_xll.PALO.VIEW.DIMNAME($B$2,$B$3,0,4)</f>
        <v>Report_type</v>
      </c>
      <c r="I2" s="113" t="str">
        <f ca="1">_xll.PALO.VIEW.DIMNAME($B$2,$B$3,0,5)</f>
        <v>Transport</v>
      </c>
      <c r="J2" s="113" t="str">
        <f ca="1">_xll.PALO.VIEW.DIMNAME($B$2,$B$3,0,6)</f>
        <v>Vertibas</v>
      </c>
    </row>
    <row r="3" spans="2:38" x14ac:dyDescent="0.25">
      <c r="B3" s="114" t="str">
        <f ca="1">_xll.PALO.CUBE($B$2,"PnL_")</f>
        <v xml:space="preserve">	a7df98124852c84d81a0ac801e4941d5f1009fac</v>
      </c>
      <c r="D3" s="115" t="str">
        <f ca="1">_xll.PALO.ENAME($B$2,$B$3,0,0,0)</f>
        <v>Visi_ligumi</v>
      </c>
      <c r="E3" s="115" t="str">
        <f ca="1">_xll.PALO.ENAME($B$2,$B$3,0,1,0)</f>
        <v>Visi regioni</v>
      </c>
      <c r="F3" s="115" t="str">
        <f ca="1">_xll.PALO.ENAME($B$2,$B$3,0,2,0)</f>
        <v>Visi marsruti</v>
      </c>
      <c r="G3" s="116" t="str">
        <f ca="1">_xll.PALO.ENAME($B$2,$B$3,0,3,0)</f>
        <v>MONTH</v>
      </c>
      <c r="H3" s="116" t="str">
        <f ca="1">_xll.PALO.ENAME($B$2,$B$3,0,4,0)</f>
        <v>FACTUAL</v>
      </c>
      <c r="I3" s="115" t="str">
        <f ca="1">_xll.PALO.ENAME($B$2,$B$3,0,5,0)</f>
        <v>Visi_veidi</v>
      </c>
      <c r="J3" s="115" t="str">
        <f ca="1">_xll.PALO.ENAME($B$2,$B$3,0,6,0)</f>
        <v>EUR [+]</v>
      </c>
    </row>
    <row r="4" spans="2:38" x14ac:dyDescent="0.25">
      <c r="B4" s="117" t="s">
        <v>83</v>
      </c>
    </row>
    <row r="5" spans="2:38" x14ac:dyDescent="0.25">
      <c r="B5" s="118" t="s">
        <v>84</v>
      </c>
    </row>
    <row r="6" spans="2:38" x14ac:dyDescent="0.25">
      <c r="C6" s="119" t="str">
        <f ca="1">_xll.PALO.ENAME($B$2,$B$3,2,0,0)</f>
        <v>2019-03</v>
      </c>
      <c r="D6" s="120" t="str">
        <f ca="1">_xll.PALO.ENAME($B$2,$B$3,2,0,1)</f>
        <v>2019-03</v>
      </c>
      <c r="E6" s="120" t="str">
        <f ca="1">_xll.PALO.ENAME($B$2,$B$3,2,0,2)</f>
        <v>2019-03</v>
      </c>
      <c r="F6" s="119" t="str">
        <f ca="1">_xll.PALO.ENAME($B$2,$B$3,2,0,3)</f>
        <v>2019-04</v>
      </c>
      <c r="G6" s="120" t="str">
        <f ca="1">_xll.PALO.ENAME($B$2,$B$3,2,0,4)</f>
        <v>2019-04</v>
      </c>
      <c r="H6" s="120" t="str">
        <f ca="1">_xll.PALO.ENAME($B$2,$B$3,2,0,5)</f>
        <v>2019-04</v>
      </c>
      <c r="I6" s="119" t="str">
        <f ca="1">_xll.PALO.ENAME($B$2,$B$3,2,0,6)</f>
        <v>2019-05</v>
      </c>
      <c r="J6" s="120" t="str">
        <f ca="1">_xll.PALO.ENAME($B$2,$B$3,2,0,7)</f>
        <v>2019-05</v>
      </c>
      <c r="K6" s="120" t="str">
        <f ca="1">_xll.PALO.ENAME($B$2,$B$3,2,0,8)</f>
        <v>2019-05</v>
      </c>
      <c r="L6" s="119" t="str">
        <f ca="1">_xll.PALO.ENAME($B$2,$B$3,2,0,9)</f>
        <v>2019-06</v>
      </c>
      <c r="M6" s="120" t="str">
        <f ca="1">_xll.PALO.ENAME($B$2,$B$3,2,0,10)</f>
        <v>2019-06</v>
      </c>
      <c r="N6" s="120" t="str">
        <f ca="1">_xll.PALO.ENAME($B$2,$B$3,2,0,11)</f>
        <v>2019-06</v>
      </c>
      <c r="O6" s="119" t="str">
        <f ca="1">_xll.PALO.ENAME($B$2,$B$3,2,0,12)</f>
        <v>2020-03</v>
      </c>
      <c r="P6" s="120" t="str">
        <f ca="1">_xll.PALO.ENAME($B$2,$B$3,2,0,13)</f>
        <v>2020-03</v>
      </c>
      <c r="Q6" s="120" t="str">
        <f ca="1">_xll.PALO.ENAME($B$2,$B$3,2,0,14)</f>
        <v>2020-03</v>
      </c>
      <c r="R6" s="119" t="str">
        <f ca="1">_xll.PALO.ENAME($B$2,$B$3,2,0,15)</f>
        <v>2020-04</v>
      </c>
      <c r="S6" s="120" t="str">
        <f ca="1">_xll.PALO.ENAME($B$2,$B$3,2,0,16)</f>
        <v>2020-04</v>
      </c>
      <c r="T6" s="120" t="str">
        <f ca="1">_xll.PALO.ENAME($B$2,$B$3,2,0,17)</f>
        <v>2020-04</v>
      </c>
      <c r="U6" s="119" t="str">
        <f ca="1">_xll.PALO.ENAME($B$2,$B$3,2,0,18)</f>
        <v>2020-05</v>
      </c>
      <c r="V6" s="120" t="str">
        <f ca="1">_xll.PALO.ENAME($B$2,$B$3,2,0,19)</f>
        <v>2020-05</v>
      </c>
      <c r="W6" s="120" t="str">
        <f ca="1">_xll.PALO.ENAME($B$2,$B$3,2,0,20)</f>
        <v>2020-05</v>
      </c>
      <c r="X6" s="119" t="str">
        <f ca="1">_xll.PALO.ENAME($B$2,$B$3,2,0,21)</f>
        <v>2020-06</v>
      </c>
      <c r="Y6" s="120" t="str">
        <f ca="1">_xll.PALO.ENAME($B$2,$B$3,2,0,22)</f>
        <v>2020-06</v>
      </c>
      <c r="Z6" s="120" t="str">
        <f ca="1">_xll.PALO.ENAME($B$2,$B$3,2,0,23)</f>
        <v>2020-06</v>
      </c>
      <c r="AA6" s="119" t="str">
        <f ca="1">_xll.PALO.ENAME($B$2,$B$3,2,0,24)</f>
        <v>2021-03</v>
      </c>
      <c r="AB6" s="120" t="str">
        <f ca="1">_xll.PALO.ENAME($B$2,$B$3,2,0,25)</f>
        <v>2021-03</v>
      </c>
      <c r="AC6" s="120" t="str">
        <f ca="1">_xll.PALO.ENAME($B$2,$B$3,2,0,26)</f>
        <v>2021-03</v>
      </c>
      <c r="AD6" s="119" t="str">
        <f ca="1">_xll.PALO.ENAME($B$2,$B$3,2,0,27)</f>
        <v>2021-04</v>
      </c>
      <c r="AE6" s="120" t="str">
        <f ca="1">_xll.PALO.ENAME($B$2,$B$3,2,0,28)</f>
        <v>2021-04</v>
      </c>
      <c r="AF6" s="120" t="str">
        <f ca="1">_xll.PALO.ENAME($B$2,$B$3,2,0,29)</f>
        <v>2021-04</v>
      </c>
      <c r="AG6" s="119" t="str">
        <f ca="1">_xll.PALO.ENAME($B$2,$B$3,2,0,30)</f>
        <v>2021-05</v>
      </c>
      <c r="AH6" s="120" t="str">
        <f ca="1">_xll.PALO.ENAME($B$2,$B$3,2,0,31)</f>
        <v>2021-05</v>
      </c>
      <c r="AI6" s="120" t="str">
        <f ca="1">_xll.PALO.ENAME($B$2,$B$3,2,0,32)</f>
        <v>2021-05</v>
      </c>
      <c r="AJ6" s="119" t="str">
        <f ca="1">_xll.PALO.ENAME($B$2,$B$3,2,0,33)</f>
        <v>2021-06</v>
      </c>
      <c r="AK6" s="120" t="str">
        <f ca="1">_xll.PALO.ENAME($B$2,$B$3,2,0,34)</f>
        <v>2021-06</v>
      </c>
      <c r="AL6" s="120" t="str">
        <f ca="1">_xll.PALO.ENAME($B$2,$B$3,2,0,35)</f>
        <v>2021-06</v>
      </c>
    </row>
    <row r="7" spans="2:38" ht="24.75" x14ac:dyDescent="0.25">
      <c r="C7" s="121" t="str">
        <f ca="1">_xll.PALO.ENAME($B$2,$B$3,2,1,0)</f>
        <v>Ieņēmumi</v>
      </c>
      <c r="D7" s="121" t="str">
        <f ca="1">_xll.PALO.ENAME($B$2,$B$3,2,1,1)</f>
        <v>Nobraukums maršrutu tīklā</v>
      </c>
      <c r="E7" s="121" t="str">
        <f ca="1">_xll.PALO.ENAME($B$2,$B$3,2,1,2)</f>
        <v>Viena kilometra pašizmaksa (EUR)</v>
      </c>
      <c r="F7" s="121" t="str">
        <f ca="1">_xll.PALO.ENAME($B$2,$B$3,2,1,3)</f>
        <v>Ieņēmumi</v>
      </c>
      <c r="G7" s="121" t="str">
        <f ca="1">_xll.PALO.ENAME($B$2,$B$3,2,1,4)</f>
        <v>Nobraukums maršrutu tīklā</v>
      </c>
      <c r="H7" s="121" t="str">
        <f ca="1">_xll.PALO.ENAME($B$2,$B$3,2,1,5)</f>
        <v>Viena kilometra pašizmaksa (EUR)</v>
      </c>
      <c r="I7" s="121" t="str">
        <f ca="1">_xll.PALO.ENAME($B$2,$B$3,2,1,6)</f>
        <v>Ieņēmumi</v>
      </c>
      <c r="J7" s="121" t="str">
        <f ca="1">_xll.PALO.ENAME($B$2,$B$3,2,1,7)</f>
        <v>Nobraukums maršrutu tīklā</v>
      </c>
      <c r="K7" s="121" t="str">
        <f ca="1">_xll.PALO.ENAME($B$2,$B$3,2,1,8)</f>
        <v>Viena kilometra pašizmaksa (EUR)</v>
      </c>
      <c r="L7" s="121" t="str">
        <f ca="1">_xll.PALO.ENAME($B$2,$B$3,2,1,9)</f>
        <v>Ieņēmumi</v>
      </c>
      <c r="M7" s="121" t="str">
        <f ca="1">_xll.PALO.ENAME($B$2,$B$3,2,1,10)</f>
        <v>Nobraukums maršrutu tīklā</v>
      </c>
      <c r="N7" s="121" t="str">
        <f ca="1">_xll.PALO.ENAME($B$2,$B$3,2,1,11)</f>
        <v>Viena kilometra pašizmaksa (EUR)</v>
      </c>
      <c r="O7" s="121" t="str">
        <f ca="1">_xll.PALO.ENAME($B$2,$B$3,2,1,12)</f>
        <v>Ieņēmumi</v>
      </c>
      <c r="P7" s="121" t="str">
        <f ca="1">_xll.PALO.ENAME($B$2,$B$3,2,1,13)</f>
        <v>Nobraukums maršrutu tīklā</v>
      </c>
      <c r="Q7" s="121" t="str">
        <f ca="1">_xll.PALO.ENAME($B$2,$B$3,2,1,14)</f>
        <v>Viena kilometra pašizmaksa (EUR)</v>
      </c>
      <c r="R7" s="121" t="str">
        <f ca="1">_xll.PALO.ENAME($B$2,$B$3,2,1,15)</f>
        <v>Ieņēmumi</v>
      </c>
      <c r="S7" s="121" t="str">
        <f ca="1">_xll.PALO.ENAME($B$2,$B$3,2,1,16)</f>
        <v>Nobraukums maršrutu tīklā</v>
      </c>
      <c r="T7" s="121" t="str">
        <f ca="1">_xll.PALO.ENAME($B$2,$B$3,2,1,17)</f>
        <v>Viena kilometra pašizmaksa (EUR)</v>
      </c>
      <c r="U7" s="121" t="str">
        <f ca="1">_xll.PALO.ENAME($B$2,$B$3,2,1,18)</f>
        <v>Ieņēmumi</v>
      </c>
      <c r="V7" s="121" t="str">
        <f ca="1">_xll.PALO.ENAME($B$2,$B$3,2,1,19)</f>
        <v>Nobraukums maršrutu tīklā</v>
      </c>
      <c r="W7" s="121" t="str">
        <f ca="1">_xll.PALO.ENAME($B$2,$B$3,2,1,20)</f>
        <v>Viena kilometra pašizmaksa (EUR)</v>
      </c>
      <c r="X7" s="121" t="str">
        <f ca="1">_xll.PALO.ENAME($B$2,$B$3,2,1,21)</f>
        <v>Ieņēmumi</v>
      </c>
      <c r="Y7" s="121" t="str">
        <f ca="1">_xll.PALO.ENAME($B$2,$B$3,2,1,22)</f>
        <v>Nobraukums maršrutu tīklā</v>
      </c>
      <c r="Z7" s="121" t="str">
        <f ca="1">_xll.PALO.ENAME($B$2,$B$3,2,1,23)</f>
        <v>Viena kilometra pašizmaksa (EUR)</v>
      </c>
      <c r="AA7" s="121" t="str">
        <f ca="1">_xll.PALO.ENAME($B$2,$B$3,2,1,24)</f>
        <v>Ieņēmumi</v>
      </c>
      <c r="AB7" s="121" t="str">
        <f ca="1">_xll.PALO.ENAME($B$2,$B$3,2,1,25)</f>
        <v>Nobraukums maršrutu tīklā</v>
      </c>
      <c r="AC7" s="121" t="str">
        <f ca="1">_xll.PALO.ENAME($B$2,$B$3,2,1,26)</f>
        <v>Viena kilometra pašizmaksa (EUR)</v>
      </c>
      <c r="AD7" s="121" t="str">
        <f ca="1">_xll.PALO.ENAME($B$2,$B$3,2,1,27)</f>
        <v>Ieņēmumi</v>
      </c>
      <c r="AE7" s="121" t="str">
        <f ca="1">_xll.PALO.ENAME($B$2,$B$3,2,1,28)</f>
        <v>Nobraukums maršrutu tīklā</v>
      </c>
      <c r="AF7" s="121" t="str">
        <f ca="1">_xll.PALO.ENAME($B$2,$B$3,2,1,29)</f>
        <v>Viena kilometra pašizmaksa (EUR)</v>
      </c>
      <c r="AG7" s="121" t="str">
        <f ca="1">_xll.PALO.ENAME($B$2,$B$3,2,1,30)</f>
        <v>Ieņēmumi</v>
      </c>
      <c r="AH7" s="121" t="str">
        <f ca="1">_xll.PALO.ENAME($B$2,$B$3,2,1,31)</f>
        <v>Nobraukums maršrutu tīklā</v>
      </c>
      <c r="AI7" s="121" t="str">
        <f ca="1">_xll.PALO.ENAME($B$2,$B$3,2,1,32)</f>
        <v>Viena kilometra pašizmaksa (EUR)</v>
      </c>
      <c r="AJ7" s="121" t="str">
        <f ca="1">_xll.PALO.ENAME($B$2,$B$3,2,1,33)</f>
        <v>Ieņēmumi</v>
      </c>
      <c r="AK7" s="121" t="str">
        <f ca="1">_xll.PALO.ENAME($B$2,$B$3,2,1,34)</f>
        <v>Nobraukums maršrutu tīklā</v>
      </c>
      <c r="AL7" s="121" t="str">
        <f ca="1">_xll.PALO.ENAME($B$2,$B$3,2,1,35)</f>
        <v>Viena kilometra pašizmaksa (EUR)</v>
      </c>
    </row>
    <row r="8" spans="2:38" x14ac:dyDescent="0.25">
      <c r="B8" s="122" t="str">
        <f ca="1">_xll.PALO.ENAME($B$2,$B$3,1,0,0)</f>
        <v>Jēkabpils pilsētas pašvaldība</v>
      </c>
      <c r="C8" s="123">
        <f ca="1">_xll.PALO.DATA($B$2,$B$3,_xll.PALO.EL("Time",C$6),_xll.PALO.EL("Partner",$B8),_xll.PALO.EL($D$2,$D$3),_xll.PALO.EL($E$2,$E$3),_xll.PALO.EL($F$2,$F$3),_xll.PALO.EL($G$2,$G$3),_xll.PALO.EL($H$2,$H$3),_xll.PALO.EL($I$2,$I$3),_xll.PALO.EL($J$2,$J$3),_xll.PALO.EL("Position",C$7))</f>
        <v>52595.14</v>
      </c>
      <c r="D8" s="123">
        <f ca="1">_xll.PALO.DATA($B$2,$B$3,_xll.PALO.EL("Time",D$6),_xll.PALO.EL("Partner",$B8),_xll.PALO.EL($D$2,$D$3),_xll.PALO.EL($E$2,$E$3),_xll.PALO.EL($F$2,$F$3),_xll.PALO.EL($G$2,$G$3),_xll.PALO.EL($H$2,$H$3),_xll.PALO.EL($I$2,$I$3),_xll.PALO.EL($J$2,$J$3),_xll.PALO.EL("Position",D$7))</f>
        <v>49532.4</v>
      </c>
      <c r="E8" s="123">
        <f ca="1">_xll.PALO.DATA($B$2,$B$3,_xll.PALO.EL("Time",E$6),_xll.PALO.EL("Partner",$B8),_xll.PALO.EL($D$2,$D$3),_xll.PALO.EL($E$2,$E$3),_xll.PALO.EL($F$2,$F$3),_xll.PALO.EL($G$2,$G$3),_xll.PALO.EL($H$2,$H$3),_xll.PALO.EL($I$2,$I$3),_xll.PALO.EL($J$2,$J$3),_xll.PALO.EL("Position",E$7))</f>
        <v>1.07</v>
      </c>
      <c r="F8" s="123">
        <f ca="1">_xll.PALO.DATA($B$2,$B$3,_xll.PALO.EL("Time",F$6),_xll.PALO.EL("Partner",$B8),_xll.PALO.EL($D$2,$D$3),_xll.PALO.EL($E$2,$E$3),_xll.PALO.EL($F$2,$F$3),_xll.PALO.EL($G$2,$G$3),_xll.PALO.EL($H$2,$H$3),_xll.PALO.EL($I$2,$I$3),_xll.PALO.EL($J$2,$J$3),_xll.PALO.EL("Position",F$7))</f>
        <v>48542.61</v>
      </c>
      <c r="G8" s="123">
        <f ca="1">_xll.PALO.DATA($B$2,$B$3,_xll.PALO.EL("Time",G$6),_xll.PALO.EL("Partner",$B8),_xll.PALO.EL($D$2,$D$3),_xll.PALO.EL($E$2,$E$3),_xll.PALO.EL($F$2,$F$3),_xll.PALO.EL($G$2,$G$3),_xll.PALO.EL($H$2,$H$3),_xll.PALO.EL($I$2,$I$3),_xll.PALO.EL($J$2,$J$3),_xll.PALO.EL("Position",G$7))</f>
        <v>47290.65</v>
      </c>
      <c r="H8" s="123">
        <f ca="1">_xll.PALO.DATA($B$2,$B$3,_xll.PALO.EL("Time",H$6),_xll.PALO.EL("Partner",$B8),_xll.PALO.EL($D$2,$D$3),_xll.PALO.EL($E$2,$E$3),_xll.PALO.EL($F$2,$F$3),_xll.PALO.EL($G$2,$G$3),_xll.PALO.EL($H$2,$H$3),_xll.PALO.EL($I$2,$I$3),_xll.PALO.EL($J$2,$J$3),_xll.PALO.EL("Position",H$7))</f>
        <v>1.1597999999999999</v>
      </c>
      <c r="I8" s="123">
        <f ca="1">_xll.PALO.DATA($B$2,$B$3,_xll.PALO.EL("Time",I$6),_xll.PALO.EL("Partner",$B8),_xll.PALO.EL($D$2,$D$3),_xll.PALO.EL($E$2,$E$3),_xll.PALO.EL($F$2,$F$3),_xll.PALO.EL($G$2,$G$3),_xll.PALO.EL($H$2,$H$3),_xll.PALO.EL($I$2,$I$3),_xll.PALO.EL($J$2,$J$3),_xll.PALO.EL("Position",I$7))</f>
        <v>47597.57</v>
      </c>
      <c r="J8" s="123">
        <f ca="1">_xll.PALO.DATA($B$2,$B$3,_xll.PALO.EL("Time",J$6),_xll.PALO.EL("Partner",$B8),_xll.PALO.EL($D$2,$D$3),_xll.PALO.EL($E$2,$E$3),_xll.PALO.EL($F$2,$F$3),_xll.PALO.EL($G$2,$G$3),_xll.PALO.EL($H$2,$H$3),_xll.PALO.EL($I$2,$I$3),_xll.PALO.EL($J$2,$J$3),_xll.PALO.EL("Position",J$7))</f>
        <v>48994.95</v>
      </c>
      <c r="K8" s="123">
        <f ca="1">_xll.PALO.DATA($B$2,$B$3,_xll.PALO.EL("Time",K$6),_xll.PALO.EL("Partner",$B8),_xll.PALO.EL($D$2,$D$3),_xll.PALO.EL($E$2,$E$3),_xll.PALO.EL($F$2,$F$3),_xll.PALO.EL($G$2,$G$3),_xll.PALO.EL($H$2,$H$3),_xll.PALO.EL($I$2,$I$3),_xll.PALO.EL($J$2,$J$3),_xll.PALO.EL("Position",K$7))</f>
        <v>1.22</v>
      </c>
      <c r="L8" s="123">
        <f ca="1">_xll.PALO.DATA($B$2,$B$3,_xll.PALO.EL("Time",L$6),_xll.PALO.EL("Partner",$B8),_xll.PALO.EL($D$2,$D$3),_xll.PALO.EL($E$2,$E$3),_xll.PALO.EL($F$2,$F$3),_xll.PALO.EL($G$2,$G$3),_xll.PALO.EL($H$2,$H$3),_xll.PALO.EL($I$2,$I$3),_xll.PALO.EL($J$2,$J$3),_xll.PALO.EL("Position",L$7))</f>
        <v>36306.370000000003</v>
      </c>
      <c r="M8" s="123">
        <f ca="1">_xll.PALO.DATA($B$2,$B$3,_xll.PALO.EL("Time",M$6),_xll.PALO.EL("Partner",$B8),_xll.PALO.EL($D$2,$D$3),_xll.PALO.EL($E$2,$E$3),_xll.PALO.EL($F$2,$F$3),_xll.PALO.EL($G$2,$G$3),_xll.PALO.EL($H$2,$H$3),_xll.PALO.EL($I$2,$I$3),_xll.PALO.EL($J$2,$J$3),_xll.PALO.EL("Position",M$7))</f>
        <v>45028.56</v>
      </c>
      <c r="N8" s="123">
        <f ca="1">_xll.PALO.DATA($B$2,$B$3,_xll.PALO.EL("Time",N$6),_xll.PALO.EL("Partner",$B8),_xll.PALO.EL($D$2,$D$3),_xll.PALO.EL($E$2,$E$3),_xll.PALO.EL($F$2,$F$3),_xll.PALO.EL($G$2,$G$3),_xll.PALO.EL($H$2,$H$3),_xll.PALO.EL($I$2,$I$3),_xll.PALO.EL($J$2,$J$3),_xll.PALO.EL("Position",N$7))</f>
        <v>1.62</v>
      </c>
      <c r="O8" s="123">
        <f ca="1">_xll.PALO.DATA($B$2,$B$3,_xll.PALO.EL("Time",O$6),_xll.PALO.EL("Partner",$B8),_xll.PALO.EL($D$2,$D$3),_xll.PALO.EL($E$2,$E$3),_xll.PALO.EL($F$2,$F$3),_xll.PALO.EL($G$2,$G$3),_xll.PALO.EL($H$2,$H$3),_xll.PALO.EL($I$2,$I$3),_xll.PALO.EL($J$2,$J$3),_xll.PALO.EL("Position",O$7))</f>
        <v>33504.74</v>
      </c>
      <c r="P8" s="123">
        <f ca="1">_xll.PALO.DATA($B$2,$B$3,_xll.PALO.EL("Time",P$6),_xll.PALO.EL("Partner",$B8),_xll.PALO.EL($D$2,$D$3),_xll.PALO.EL($E$2,$E$3),_xll.PALO.EL($F$2,$F$3),_xll.PALO.EL($G$2,$G$3),_xll.PALO.EL($H$2,$H$3),_xll.PALO.EL($I$2,$I$3),_xll.PALO.EL($J$2,$J$3),_xll.PALO.EL("Position",P$7))</f>
        <v>43328.01</v>
      </c>
      <c r="Q8" s="123">
        <f ca="1">_xll.PALO.DATA($B$2,$B$3,_xll.PALO.EL("Time",Q$6),_xll.PALO.EL("Partner",$B8),_xll.PALO.EL($D$2,$D$3),_xll.PALO.EL($E$2,$E$3),_xll.PALO.EL($F$2,$F$3),_xll.PALO.EL($G$2,$G$3),_xll.PALO.EL($H$2,$H$3),_xll.PALO.EL($I$2,$I$3),_xll.PALO.EL($J$2,$J$3),_xll.PALO.EL("Position",Q$7))</f>
        <v>1.28</v>
      </c>
      <c r="R8" s="123">
        <f ca="1">_xll.PALO.DATA($B$2,$B$3,_xll.PALO.EL("Time",R$6),_xll.PALO.EL("Partner",$B8),_xll.PALO.EL($D$2,$D$3),_xll.PALO.EL($E$2,$E$3),_xll.PALO.EL($F$2,$F$3),_xll.PALO.EL($G$2,$G$3),_xll.PALO.EL($H$2,$H$3),_xll.PALO.EL($I$2,$I$3),_xll.PALO.EL($J$2,$J$3),_xll.PALO.EL("Position",R$7))</f>
        <v>15193.9</v>
      </c>
      <c r="S8" s="123">
        <f ca="1">_xll.PALO.DATA($B$2,$B$3,_xll.PALO.EL("Time",S$6),_xll.PALO.EL("Partner",$B8),_xll.PALO.EL($D$2,$D$3),_xll.PALO.EL($E$2,$E$3),_xll.PALO.EL($F$2,$F$3),_xll.PALO.EL($G$2,$G$3),_xll.PALO.EL($H$2,$H$3),_xll.PALO.EL($I$2,$I$3),_xll.PALO.EL($J$2,$J$3),_xll.PALO.EL("Position",S$7))</f>
        <v>36077.699999999997</v>
      </c>
      <c r="T8" s="123">
        <f ca="1">_xll.PALO.DATA($B$2,$B$3,_xll.PALO.EL("Time",T$6),_xll.PALO.EL("Partner",$B8),_xll.PALO.EL($D$2,$D$3),_xll.PALO.EL($E$2,$E$3),_xll.PALO.EL($F$2,$F$3),_xll.PALO.EL($G$2,$G$3),_xll.PALO.EL($H$2,$H$3),_xll.PALO.EL($I$2,$I$3),_xll.PALO.EL($J$2,$J$3),_xll.PALO.EL("Position",T$7))</f>
        <v>1.2850999999999999</v>
      </c>
      <c r="U8" s="123">
        <f ca="1">_xll.PALO.DATA($B$2,$B$3,_xll.PALO.EL("Time",U$6),_xll.PALO.EL("Partner",$B8),_xll.PALO.EL($D$2,$D$3),_xll.PALO.EL($E$2,$E$3),_xll.PALO.EL($F$2,$F$3),_xll.PALO.EL($G$2,$G$3),_xll.PALO.EL($H$2,$H$3),_xll.PALO.EL($I$2,$I$3),_xll.PALO.EL($J$2,$J$3),_xll.PALO.EL("Position",U$7))</f>
        <v>19749.21</v>
      </c>
      <c r="V8" s="123">
        <f ca="1">_xll.PALO.DATA($B$2,$B$3,_xll.PALO.EL("Time",V$6),_xll.PALO.EL("Partner",$B8),_xll.PALO.EL($D$2,$D$3),_xll.PALO.EL($E$2,$E$3),_xll.PALO.EL($F$2,$F$3),_xll.PALO.EL($G$2,$G$3),_xll.PALO.EL($H$2,$H$3),_xll.PALO.EL($I$2,$I$3),_xll.PALO.EL($J$2,$J$3),_xll.PALO.EL("Position",V$7))</f>
        <v>37271.17</v>
      </c>
      <c r="W8" s="123">
        <f ca="1">_xll.PALO.DATA($B$2,$B$3,_xll.PALO.EL("Time",W$6),_xll.PALO.EL("Partner",$B8),_xll.PALO.EL($D$2,$D$3),_xll.PALO.EL($E$2,$E$3),_xll.PALO.EL($F$2,$F$3),_xll.PALO.EL($G$2,$G$3),_xll.PALO.EL($H$2,$H$3),_xll.PALO.EL($I$2,$I$3),_xll.PALO.EL($J$2,$J$3),_xll.PALO.EL("Position",W$7))</f>
        <v>1.63</v>
      </c>
      <c r="X8" s="123">
        <f ca="1">_xll.PALO.DATA($B$2,$B$3,_xll.PALO.EL("Time",X$6),_xll.PALO.EL("Partner",$B8),_xll.PALO.EL($D$2,$D$3),_xll.PALO.EL($E$2,$E$3),_xll.PALO.EL($F$2,$F$3),_xll.PALO.EL($G$2,$G$3),_xll.PALO.EL($H$2,$H$3),_xll.PALO.EL($I$2,$I$3),_xll.PALO.EL($J$2,$J$3),_xll.PALO.EL("Position",X$7))</f>
        <v>23349.32</v>
      </c>
      <c r="Y8" s="123">
        <f ca="1">_xll.PALO.DATA($B$2,$B$3,_xll.PALO.EL("Time",Y$6),_xll.PALO.EL("Partner",$B8),_xll.PALO.EL($D$2,$D$3),_xll.PALO.EL($E$2,$E$3),_xll.PALO.EL($F$2,$F$3),_xll.PALO.EL($G$2,$G$3),_xll.PALO.EL($H$2,$H$3),_xll.PALO.EL($I$2,$I$3),_xll.PALO.EL($J$2,$J$3),_xll.PALO.EL("Position",Y$7))</f>
        <v>40736.629999999997</v>
      </c>
      <c r="Z8" s="123">
        <f ca="1">_xll.PALO.DATA($B$2,$B$3,_xll.PALO.EL("Time",Z$6),_xll.PALO.EL("Partner",$B8),_xll.PALO.EL($D$2,$D$3),_xll.PALO.EL($E$2,$E$3),_xll.PALO.EL($F$2,$F$3),_xll.PALO.EL($G$2,$G$3),_xll.PALO.EL($H$2,$H$3),_xll.PALO.EL($I$2,$I$3),_xll.PALO.EL($J$2,$J$3),_xll.PALO.EL("Position",Z$7))</f>
        <v>1.3900000000000001</v>
      </c>
      <c r="AA8" s="123">
        <f ca="1">_xll.PALO.DATA($B$2,$B$3,_xll.PALO.EL("Time",AA$6),_xll.PALO.EL("Partner",$B8),_xll.PALO.EL($D$2,$D$3),_xll.PALO.EL($E$2,$E$3),_xll.PALO.EL($F$2,$F$3),_xll.PALO.EL($G$2,$G$3),_xll.PALO.EL($H$2,$H$3),_xll.PALO.EL($I$2,$I$3),_xll.PALO.EL($J$2,$J$3),_xll.PALO.EL("Position",AA$7))</f>
        <v>28069.439999999999</v>
      </c>
      <c r="AB8" s="123">
        <f ca="1">_xll.PALO.DATA($B$2,$B$3,_xll.PALO.EL("Time",AB$6),_xll.PALO.EL("Partner",$B8),_xll.PALO.EL($D$2,$D$3),_xll.PALO.EL($E$2,$E$3),_xll.PALO.EL($F$2,$F$3),_xll.PALO.EL($G$2,$G$3),_xll.PALO.EL($H$2,$H$3),_xll.PALO.EL($I$2,$I$3),_xll.PALO.EL($J$2,$J$3),_xll.PALO.EL("Position",AB$7))</f>
        <v>49034.52</v>
      </c>
      <c r="AC8" s="123">
        <f ca="1">_xll.PALO.DATA($B$2,$B$3,_xll.PALO.EL("Time",AC$6),_xll.PALO.EL("Partner",$B8),_xll.PALO.EL($D$2,$D$3),_xll.PALO.EL($E$2,$E$3),_xll.PALO.EL($F$2,$F$3),_xll.PALO.EL($G$2,$G$3),_xll.PALO.EL($H$2,$H$3),_xll.PALO.EL($I$2,$I$3),_xll.PALO.EL($J$2,$J$3),_xll.PALO.EL("Position",AC$7))</f>
        <v>1.26</v>
      </c>
      <c r="AD8" s="123">
        <f ca="1">_xll.PALO.DATA($B$2,$B$3,_xll.PALO.EL("Time",AD$6),_xll.PALO.EL("Partner",$B8),_xll.PALO.EL($D$2,$D$3),_xll.PALO.EL($E$2,$E$3),_xll.PALO.EL($F$2,$F$3),_xll.PALO.EL($G$2,$G$3),_xll.PALO.EL($H$2,$H$3),_xll.PALO.EL($I$2,$I$3),_xll.PALO.EL($J$2,$J$3),_xll.PALO.EL("Position",AD$7))</f>
        <v>28761.8</v>
      </c>
      <c r="AE8" s="123">
        <f ca="1">_xll.PALO.DATA($B$2,$B$3,_xll.PALO.EL("Time",AE$6),_xll.PALO.EL("Partner",$B8),_xll.PALO.EL($D$2,$D$3),_xll.PALO.EL($E$2,$E$3),_xll.PALO.EL($F$2,$F$3),_xll.PALO.EL($G$2,$G$3),_xll.PALO.EL($H$2,$H$3),_xll.PALO.EL($I$2,$I$3),_xll.PALO.EL($J$2,$J$3),_xll.PALO.EL("Position",AE$7))</f>
        <v>47800.76</v>
      </c>
      <c r="AF8" s="123">
        <f ca="1">_xll.PALO.DATA($B$2,$B$3,_xll.PALO.EL("Time",AF$6),_xll.PALO.EL("Partner",$B8),_xll.PALO.EL($D$2,$D$3),_xll.PALO.EL($E$2,$E$3),_xll.PALO.EL($F$2,$F$3),_xll.PALO.EL($G$2,$G$3),_xll.PALO.EL($H$2,$H$3),_xll.PALO.EL($I$2,$I$3),_xll.PALO.EL($J$2,$J$3),_xll.PALO.EL("Position",AF$7))</f>
        <v>1.1491</v>
      </c>
      <c r="AG8" s="123">
        <f ca="1">_xll.PALO.DATA($B$2,$B$3,_xll.PALO.EL("Time",AG$6),_xll.PALO.EL("Partner",$B8),_xll.PALO.EL($D$2,$D$3),_xll.PALO.EL($E$2,$E$3),_xll.PALO.EL($F$2,$F$3),_xll.PALO.EL($G$2,$G$3),_xll.PALO.EL($H$2,$H$3),_xll.PALO.EL($I$2,$I$3),_xll.PALO.EL($J$2,$J$3),_xll.PALO.EL("Position",AG$7))</f>
        <v>29940.75</v>
      </c>
      <c r="AH8" s="123">
        <f ca="1">_xll.PALO.DATA($B$2,$B$3,_xll.PALO.EL("Time",AH$6),_xll.PALO.EL("Partner",$B8),_xll.PALO.EL($D$2,$D$3),_xll.PALO.EL($E$2,$E$3),_xll.PALO.EL($F$2,$F$3),_xll.PALO.EL($G$2,$G$3),_xll.PALO.EL($H$2,$H$3),_xll.PALO.EL($I$2,$I$3),_xll.PALO.EL($J$2,$J$3),_xll.PALO.EL("Position",AH$7))</f>
        <v>49186.19</v>
      </c>
      <c r="AI8" s="123">
        <f ca="1">_xll.PALO.DATA($B$2,$B$3,_xll.PALO.EL("Time",AI$6),_xll.PALO.EL("Partner",$B8),_xll.PALO.EL($D$2,$D$3),_xll.PALO.EL($E$2,$E$3),_xll.PALO.EL($F$2,$F$3),_xll.PALO.EL($G$2,$G$3),_xll.PALO.EL($H$2,$H$3),_xll.PALO.EL($I$2,$I$3),_xll.PALO.EL($J$2,$J$3),_xll.PALO.EL("Position",AI$7))</f>
        <v>1.1400000000000001</v>
      </c>
      <c r="AJ8" s="123">
        <f ca="1">_xll.PALO.DATA($B$2,$B$3,_xll.PALO.EL("Time",AJ$6),_xll.PALO.EL("Partner",$B8),_xll.PALO.EL($D$2,$D$3),_xll.PALO.EL($E$2,$E$3),_xll.PALO.EL($F$2,$F$3),_xll.PALO.EL($G$2,$G$3),_xll.PALO.EL($H$2,$H$3),_xll.PALO.EL($I$2,$I$3),_xll.PALO.EL($J$2,$J$3),_xll.PALO.EL("Position",AJ$7))</f>
        <v>26365.46</v>
      </c>
      <c r="AK8" s="123">
        <f ca="1">_xll.PALO.DATA($B$2,$B$3,_xll.PALO.EL("Time",AK$6),_xll.PALO.EL("Partner",$B8),_xll.PALO.EL($D$2,$D$3),_xll.PALO.EL($E$2,$E$3),_xll.PALO.EL($F$2,$F$3),_xll.PALO.EL($G$2,$G$3),_xll.PALO.EL($H$2,$H$3),_xll.PALO.EL($I$2,$I$3),_xll.PALO.EL($J$2,$J$3),_xll.PALO.EL("Position",AK$7))</f>
        <v>46130.33</v>
      </c>
      <c r="AL8" s="123">
        <f ca="1">_xll.PALO.DATA($B$2,$B$3,_xll.PALO.EL("Time",AL$6),_xll.PALO.EL("Partner",$B8),_xll.PALO.EL($D$2,$D$3),_xll.PALO.EL($E$2,$E$3),_xll.PALO.EL($F$2,$F$3),_xll.PALO.EL($G$2,$G$3),_xll.PALO.EL($H$2,$H$3),_xll.PALO.EL($I$2,$I$3),_xll.PALO.EL($J$2,$J$3),_xll.PALO.EL("Position",AL$7))</f>
        <v>1.48</v>
      </c>
    </row>
  </sheetData>
  <dataValidations count="1">
    <dataValidation type="custom" allowBlank="1" showInputMessage="1" error="81a9f68948df4e189857d9db30f404e9" sqref="B3" xr:uid="{9A51AE0F-4D4D-4B01-AF9A-09FC1330861F}">
      <formula1>TRUE</formula1>
    </dataValidation>
  </dataValidations>
  <pageMargins left="0.7" right="0.7" top="0.75" bottom="0.75" header="0.3" footer="0.3"/>
  <pageSetup orientation="portrait" r:id="rId1"/>
  <customProperties>
    <customPr name="jedoxview_81a9f68948df4e189857d9db30f404e9"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piemērs</vt:lpstr>
      <vt:lpstr>marts_pirm</vt:lpstr>
      <vt:lpstr>marts_koriģetais</vt:lpstr>
      <vt:lpstr>marts</vt:lpstr>
      <vt:lpstr>aprīlis</vt:lpstr>
      <vt:lpstr>maijs</vt:lpstr>
      <vt:lpstr>jūnijs</vt:lpstr>
      <vt:lpstr>PIVOT_atskaite</vt:lpstr>
      <vt:lpstr>PIVOT</vt:lpstr>
      <vt:lpstr>atskaites_jedox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Grīviņa</dc:creator>
  <cp:lastModifiedBy>Ilze Pence</cp:lastModifiedBy>
  <cp:lastPrinted>2021-08-06T10:52:10Z</cp:lastPrinted>
  <dcterms:created xsi:type="dcterms:W3CDTF">2021-03-26T09:43:50Z</dcterms:created>
  <dcterms:modified xsi:type="dcterms:W3CDTF">2021-08-20T07:48:39Z</dcterms:modified>
</cp:coreProperties>
</file>