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ide-my.sharepoint.com/personal/madara_busa_kem_gov_lv/Documents/Documents/DRN_lik_groz_Likmes/Aprekini/"/>
    </mc:Choice>
  </mc:AlternateContent>
  <xr:revisionPtr revIDLastSave="161" documentId="8_{91547C74-06DD-4852-9B63-4AFB348DADDD}" xr6:coauthVersionLast="47" xr6:coauthVersionMax="47" xr10:uidLastSave="{953F8561-CDA0-462C-9053-B38DF6262BDC}"/>
  <bookViews>
    <workbookView xWindow="-110" yWindow="-110" windowWidth="19420" windowHeight="10300" xr2:uid="{00000000-000D-0000-FFFF-FFFF00000000}"/>
  </bookViews>
  <sheets>
    <sheet name="DRN_likmes_2026-2028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7" l="1"/>
  <c r="G17" i="7"/>
  <c r="F17" i="7"/>
  <c r="G18" i="7"/>
  <c r="F18" i="7"/>
  <c r="G15" i="7"/>
  <c r="F15" i="7"/>
  <c r="G16" i="7"/>
  <c r="F16" i="7"/>
  <c r="I16" i="7" s="1"/>
  <c r="G34" i="7"/>
  <c r="F34" i="7"/>
  <c r="G32" i="7"/>
  <c r="F32" i="7"/>
  <c r="C17" i="7" l="1"/>
  <c r="C32" i="7"/>
  <c r="C33" i="7" s="1"/>
  <c r="C31" i="7"/>
  <c r="C19" i="7"/>
  <c r="C18" i="7"/>
  <c r="E18" i="7" s="1"/>
  <c r="E16" i="7"/>
  <c r="E15" i="7"/>
  <c r="E40" i="7"/>
  <c r="C34" i="7" l="1"/>
  <c r="C20" i="7"/>
  <c r="C21" i="7" s="1"/>
  <c r="E21" i="7" s="1"/>
  <c r="G21" i="7" s="1"/>
  <c r="E32" i="7"/>
  <c r="C23" i="7"/>
  <c r="E23" i="7" s="1"/>
  <c r="F23" i="7" s="1"/>
  <c r="E46" i="7"/>
  <c r="E38" i="7"/>
  <c r="E50" i="7"/>
  <c r="F50" i="7" s="1"/>
  <c r="E49" i="7"/>
  <c r="E48" i="7"/>
  <c r="G48" i="7" s="1"/>
  <c r="E47" i="7"/>
  <c r="E45" i="7"/>
  <c r="E42" i="7"/>
  <c r="E41" i="7"/>
  <c r="G40" i="7"/>
  <c r="E39" i="7"/>
  <c r="E37" i="7"/>
  <c r="E34" i="7"/>
  <c r="G33" i="7"/>
  <c r="F33" i="7"/>
  <c r="E31" i="7"/>
  <c r="G31" i="7" s="1"/>
  <c r="E30" i="7"/>
  <c r="G29" i="7"/>
  <c r="F29" i="7"/>
  <c r="E17" i="7"/>
  <c r="C24" i="7" l="1"/>
  <c r="E24" i="7" s="1"/>
  <c r="G24" i="7" s="1"/>
  <c r="C26" i="7"/>
  <c r="E26" i="7" s="1"/>
  <c r="G26" i="7" s="1"/>
  <c r="C22" i="7"/>
  <c r="E22" i="7" s="1"/>
  <c r="C25" i="7"/>
  <c r="E25" i="7" s="1"/>
  <c r="F25" i="7" s="1"/>
  <c r="G22" i="7"/>
  <c r="H38" i="7"/>
  <c r="I38" i="7" s="1"/>
  <c r="E6" i="7"/>
  <c r="F41" i="7"/>
  <c r="G41" i="7"/>
  <c r="G45" i="7"/>
  <c r="F45" i="7"/>
  <c r="G37" i="7"/>
  <c r="F37" i="7"/>
  <c r="G49" i="7"/>
  <c r="F49" i="7"/>
  <c r="F39" i="7"/>
  <c r="G39" i="7"/>
  <c r="G47" i="7"/>
  <c r="F47" i="7"/>
  <c r="H16" i="7"/>
  <c r="E11" i="7"/>
  <c r="E7" i="7"/>
  <c r="H30" i="7"/>
  <c r="E10" i="7"/>
  <c r="F21" i="7"/>
  <c r="G25" i="7"/>
  <c r="G23" i="7"/>
  <c r="E19" i="7"/>
  <c r="J38" i="7"/>
  <c r="H34" i="7"/>
  <c r="H48" i="7"/>
  <c r="G11" i="7"/>
  <c r="F38" i="7"/>
  <c r="H32" i="7"/>
  <c r="G38" i="7"/>
  <c r="H40" i="7"/>
  <c r="G50" i="7"/>
  <c r="H46" i="7"/>
  <c r="G46" i="7"/>
  <c r="F46" i="7"/>
  <c r="H42" i="7"/>
  <c r="G42" i="7"/>
  <c r="H50" i="7"/>
  <c r="F31" i="7"/>
  <c r="F42" i="7"/>
  <c r="H18" i="7"/>
  <c r="F40" i="7"/>
  <c r="G30" i="7"/>
  <c r="F30" i="7"/>
  <c r="F48" i="7"/>
  <c r="F26" i="7" l="1"/>
  <c r="H26" i="7"/>
  <c r="H10" i="7"/>
  <c r="I32" i="7"/>
  <c r="H11" i="7"/>
  <c r="H24" i="7"/>
  <c r="I24" i="7" s="1"/>
  <c r="F24" i="7"/>
  <c r="E20" i="7"/>
  <c r="G20" i="7" s="1"/>
  <c r="G12" i="7" s="1"/>
  <c r="F22" i="7"/>
  <c r="H22" i="7"/>
  <c r="I22" i="7" s="1"/>
  <c r="G7" i="7"/>
  <c r="F6" i="7"/>
  <c r="F7" i="7"/>
  <c r="G6" i="7"/>
  <c r="F11" i="7"/>
  <c r="E8" i="7"/>
  <c r="F10" i="7"/>
  <c r="G10" i="7"/>
  <c r="J40" i="7"/>
  <c r="G19" i="7"/>
  <c r="G8" i="7" s="1"/>
  <c r="F19" i="7"/>
  <c r="F8" i="7" s="1"/>
  <c r="I26" i="7"/>
  <c r="J26" i="7"/>
  <c r="I40" i="7"/>
  <c r="J32" i="7"/>
  <c r="I34" i="7"/>
  <c r="J34" i="7"/>
  <c r="I48" i="7"/>
  <c r="J48" i="7"/>
  <c r="I42" i="7"/>
  <c r="J42" i="7"/>
  <c r="J46" i="7"/>
  <c r="I46" i="7"/>
  <c r="J50" i="7"/>
  <c r="I50" i="7"/>
  <c r="I18" i="7"/>
  <c r="J18" i="7"/>
  <c r="J30" i="7"/>
  <c r="I30" i="7"/>
  <c r="J10" i="7" l="1"/>
  <c r="I10" i="7"/>
  <c r="J11" i="7"/>
  <c r="I11" i="7"/>
  <c r="J22" i="7"/>
  <c r="J24" i="7"/>
  <c r="H20" i="7"/>
  <c r="H12" i="7" s="1"/>
  <c r="F20" i="7"/>
  <c r="F12" i="7" s="1"/>
  <c r="E12" i="7"/>
  <c r="J20" i="7" l="1"/>
  <c r="J12" i="7" s="1"/>
  <c r="I20" i="7"/>
  <c r="I12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tc={BF4D60E9-C59F-4351-8201-139056F9E258}</author>
    <author>tc={ED8EAAC2-7A33-4A64-A94E-9B077B7A1C27}</author>
    <author>tc={08D11616-940F-48EB-981E-60D4BDBDF126}</author>
    <author>tc={18906636-F948-41A8-B725-000C6708817D}</author>
    <author>tc={14B943A2-E26B-4F60-9971-AEA84CF8EAC9}</author>
    <author>tc={08A0C953-5837-4195-8B5E-B202D5A3055E}</author>
    <author>tc={C136B586-316E-4799-A451-DB640808860B}</author>
    <author>tc={5FD16FFA-87F0-4986-9B72-89912BAFC420}</author>
  </authors>
  <commentList>
    <comment ref="E15" authorId="0" shapeId="0" xr:uid="{BF4D60E9-C59F-4351-8201-139056F9E258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2025.g. 0,70</t>
      </text>
    </comment>
    <comment ref="E16" authorId="1" shapeId="0" xr:uid="{ED8EAAC2-7A33-4A64-A94E-9B077B7A1C27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2025.g. 0,70</t>
      </text>
    </comment>
    <comment ref="E18" authorId="2" shapeId="0" xr:uid="{08D11616-940F-48EB-981E-60D4BDBDF126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2026.g. 0,71</t>
      </text>
    </comment>
    <comment ref="E22" authorId="3" shapeId="0" xr:uid="{18906636-F948-41A8-B725-000C6708817D}">
      <text>
        <t xml:space="preserve">[Komentārs ar pavedienu]
Jūsu Excel versija ļauj lasīt šo komentāru ar pavedienu, tomēr visi tā labojumi tiks noņemti, ja fails tiks atvērts jaunākā Excel versijā. Papildinformācija: https://go.microsoft.com/fwlink/?linkid=870924
Komentārs:
    3 mēn. ietekme rēķināta, par pamatu ņemot saražotās kūdras apjomu (25% no bāzes 2028.g.) un  DRN likmi 2027.g. 7,50 EUR/t
</t>
      </text>
    </comment>
    <comment ref="E24" authorId="4" shapeId="0" xr:uid="{14B943A2-E26B-4F60-9971-AEA84CF8EAC9}">
      <text>
        <t xml:space="preserve">[Komentārs ar pavedienu]
Jūsu Excel versija ļauj lasīt šo komentāru ar pavedienu, tomēr visi tā labojumi tiks noņemti, ja fails tiks atvērts jaunākā Excel versijā. Papildinformācija: https://go.microsoft.com/fwlink/?linkid=870924
Komentārs:
    3 mēn. ietekme rēķināta, par pamatu ņemot saražotās kūdras apjomu (60% no bāzes 2028.g.) un  DRN likmi 2027.g. 7,50 EUR/t
</t>
      </text>
    </comment>
    <comment ref="E26" authorId="5" shapeId="0" xr:uid="{08A0C953-5837-4195-8B5E-B202D5A3055E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3 mēn. ietekme nav paredzama, jo likme šai kūdrai nemainās</t>
      </text>
    </comment>
    <comment ref="E38" authorId="6" shapeId="0" xr:uid="{C136B586-316E-4799-A451-DB640808860B}">
      <text>
        <t xml:space="preserve">[Komentārs ar pavedienu]
Jūsu Excel versija ļauj lasīt šo komentāru ar pavedienu, tomēr visi tā labojumi tiks noņemti, ja fails tiks atvērts jaunākā Excel versijā. Papildinformācija: https://go.microsoft.com/fwlink/?linkid=870924
Komentārs:
    3 mēn. ietekme rēķināta, par pamatu ņemot 2022.g., 2023.g. un 2024.g. vidējo ieguves apjomu un DRN likmi 2025.g., t.i., 0,44 EUR/m3
</t>
      </text>
    </comment>
    <comment ref="E46" authorId="7" shapeId="0" xr:uid="{5FD16FFA-87F0-4986-9B72-89912BAFC420}">
      <text>
        <t xml:space="preserve">[Komentārs ar pavedienu]
Jūsu Excel versija ļauj lasīt šo komentāru ar pavedienu, tomēr visi tā labojumi tiks noņemti, ja fails tiks atvērts jaunākā Excel versijā. Papildinformācija: https://go.microsoft.com/fwlink/?linkid=870924
Komentārs:
    3 mēn. ietekme rēķināta, par pamatu ņemot 2022.g., 2023.g. un 2024.g. vidējo ieguves apjomu un DRN likmi 2025.g., t.i., 0,44 EUR/m3
</t>
      </text>
    </comment>
  </commentList>
</comments>
</file>

<file path=xl/sharedStrings.xml><?xml version="1.0" encoding="utf-8"?>
<sst xmlns="http://schemas.openxmlformats.org/spreadsheetml/2006/main" count="62" uniqueCount="41">
  <si>
    <t>Daudzums</t>
  </si>
  <si>
    <t>Likme</t>
  </si>
  <si>
    <t>Ieņēmumi</t>
  </si>
  <si>
    <t>VB</t>
  </si>
  <si>
    <t>PB</t>
  </si>
  <si>
    <t>Palielinājums</t>
  </si>
  <si>
    <t>Kopsavilkums</t>
  </si>
  <si>
    <t>Prognozētais bāzes pieaugums</t>
  </si>
  <si>
    <r>
      <t>Daudzums, t; m</t>
    </r>
    <r>
      <rPr>
        <b/>
        <vertAlign val="superscript"/>
        <sz val="11"/>
        <color theme="1"/>
        <rFont val="Calibri"/>
        <family val="2"/>
        <charset val="186"/>
        <scheme val="minor"/>
      </rPr>
      <t>3</t>
    </r>
  </si>
  <si>
    <r>
      <t>DRN likme, euro/t (m</t>
    </r>
    <r>
      <rPr>
        <b/>
        <vertAlign val="superscript"/>
        <sz val="11"/>
        <color indexed="8"/>
        <rFont val="Calibri"/>
        <family val="2"/>
        <charset val="186"/>
      </rPr>
      <t>3</t>
    </r>
    <r>
      <rPr>
        <b/>
        <sz val="11"/>
        <color rgb="FF000000"/>
        <rFont val="Calibri"/>
        <family val="2"/>
        <charset val="186"/>
      </rPr>
      <t>)</t>
    </r>
  </si>
  <si>
    <t>DRN ieņēmumi, euro</t>
  </si>
  <si>
    <t>Palielinājums pret bāzi, euro</t>
  </si>
  <si>
    <t>Ietekme pamatsummas sadalījumu maiņai starp valsts un pašvaldību budžetiem ???</t>
  </si>
  <si>
    <t>valsts</t>
  </si>
  <si>
    <t>pašvaldības</t>
  </si>
  <si>
    <t>Palielinājums valsts pamatbudžetā, euro</t>
  </si>
  <si>
    <t>Palielinājums pašvaldības budžetā, euro</t>
  </si>
  <si>
    <t>3=1x2</t>
  </si>
  <si>
    <t>Bāze 2026</t>
  </si>
  <si>
    <t>Bāze 2027</t>
  </si>
  <si>
    <t>Bāze 2028</t>
  </si>
  <si>
    <t>1. Kūdra (mitrums - 40%) (nodokļa palielinājums, likmes diferenciācija)</t>
  </si>
  <si>
    <t xml:space="preserve">Valsts un pašvaldību budžeta DRN sadalījums </t>
  </si>
  <si>
    <t>Bāze 2028 (a+b+c)</t>
  </si>
  <si>
    <t>2028 (a+b+c)</t>
  </si>
  <si>
    <t>25/12,5/7,5</t>
  </si>
  <si>
    <t>Bāze 2028 (a)</t>
  </si>
  <si>
    <t>2028 (a)</t>
  </si>
  <si>
    <t>Bāze 2028 (b)</t>
  </si>
  <si>
    <t>2028 (b)</t>
  </si>
  <si>
    <t>Bāze 2028 (c)</t>
  </si>
  <si>
    <t>2028 (c)</t>
  </si>
  <si>
    <t>2. Nepārstrādāts koks (jauns objekts)</t>
  </si>
  <si>
    <t>3. Smilts ieguve (nodokļa palielinājums)</t>
  </si>
  <si>
    <t>4. Smilts-grants ieguve (nodokļa palielinājums)</t>
  </si>
  <si>
    <t>VB - valsts budžets</t>
  </si>
  <si>
    <t>PB - pašvaldību budžets</t>
  </si>
  <si>
    <t>a - neapstrādāta kūdra (izejmateriāls/jēlmateriāls), kurināmā kūdra; apstrādāta kūdra (frakcionēta, fasēta)</t>
  </si>
  <si>
    <t>b - kūdras substrāti (frakcionēti, bagātināti, fasēti)</t>
  </si>
  <si>
    <t>c - ilgstoši oglekli uzglabājoši produkti</t>
  </si>
  <si>
    <t xml:space="preserve">Paredzama 3 mēnešu ietekme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</si>
</sst>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13" x14ac:knownFonts="1">
    <font>
      <sz val="11"/>
      <color theme="1"/>
      <name val="Calibri"/>
      <family val="2"/>
      <charset val="186"/>
      <scheme val="minor"/>
    </font>
    <font>
      <b/>
      <vertAlign val="superscript"/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vertAlign val="superscript"/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</font>
    <font>
      <i/>
      <sz val="11"/>
      <color theme="3" tint="-0.249977111117893"/>
      <name val="Calibri"/>
      <family val="2"/>
      <charset val="186"/>
      <scheme val="minor"/>
    </font>
    <font>
      <b/>
      <i/>
      <sz val="11"/>
      <color theme="3" tint="-0.249977111117893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Protection="0">
      <alignment horizontal="left" vertical="center" indent="1"/>
    </xf>
    <xf numFmtId="0" fontId="2" fillId="0" borderId="0" applyNumberFormat="0" applyProtection="0">
      <alignment horizontal="left" vertical="center" wrapText="1" indent="1" shrinkToFit="1"/>
    </xf>
  </cellStyleXfs>
  <cellXfs count="81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0" fillId="0" borderId="1" xfId="0" applyBorder="1"/>
    <xf numFmtId="3" fontId="0" fillId="0" borderId="1" xfId="0" applyNumberFormat="1" applyBorder="1"/>
    <xf numFmtId="0" fontId="3" fillId="0" borderId="1" xfId="0" applyFont="1" applyBorder="1"/>
    <xf numFmtId="3" fontId="3" fillId="0" borderId="1" xfId="0" applyNumberFormat="1" applyFont="1" applyBorder="1"/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3" fontId="3" fillId="2" borderId="1" xfId="0" applyNumberFormat="1" applyFont="1" applyFill="1" applyBorder="1"/>
    <xf numFmtId="3" fontId="0" fillId="2" borderId="1" xfId="0" applyNumberFormat="1" applyFill="1" applyBorder="1"/>
    <xf numFmtId="3" fontId="3" fillId="2" borderId="1" xfId="0" applyNumberFormat="1" applyFon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5" fillId="2" borderId="1" xfId="0" applyNumberFormat="1" applyFont="1" applyFill="1" applyBorder="1"/>
    <xf numFmtId="0" fontId="6" fillId="0" borderId="0" xfId="0" applyFont="1"/>
    <xf numFmtId="0" fontId="4" fillId="0" borderId="0" xfId="0" applyFont="1"/>
    <xf numFmtId="3" fontId="3" fillId="5" borderId="1" xfId="0" applyNumberFormat="1" applyFont="1" applyFill="1" applyBorder="1"/>
    <xf numFmtId="165" fontId="3" fillId="0" borderId="1" xfId="0" applyNumberFormat="1" applyFont="1" applyBorder="1" applyAlignment="1">
      <alignment horizontal="right"/>
    </xf>
    <xf numFmtId="1" fontId="0" fillId="0" borderId="1" xfId="0" applyNumberFormat="1" applyBorder="1" applyAlignment="1">
      <alignment horizontal="center"/>
    </xf>
    <xf numFmtId="2" fontId="3" fillId="0" borderId="1" xfId="0" applyNumberFormat="1" applyFont="1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5" fillId="0" borderId="1" xfId="0" applyNumberFormat="1" applyFont="1" applyBorder="1"/>
    <xf numFmtId="3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/>
    <xf numFmtId="9" fontId="0" fillId="2" borderId="1" xfId="0" applyNumberFormat="1" applyFill="1" applyBorder="1"/>
    <xf numFmtId="3" fontId="7" fillId="0" borderId="0" xfId="0" applyNumberFormat="1" applyFont="1"/>
    <xf numFmtId="0" fontId="0" fillId="5" borderId="0" xfId="0" applyFill="1"/>
    <xf numFmtId="3" fontId="0" fillId="5" borderId="1" xfId="0" applyNumberFormat="1" applyFill="1" applyBorder="1"/>
    <xf numFmtId="3" fontId="7" fillId="5" borderId="1" xfId="0" applyNumberFormat="1" applyFont="1" applyFill="1" applyBorder="1"/>
    <xf numFmtId="3" fontId="7" fillId="5" borderId="2" xfId="0" quotePrefix="1" applyNumberFormat="1" applyFont="1" applyFill="1" applyBorder="1" applyAlignment="1">
      <alignment horizontal="right"/>
    </xf>
    <xf numFmtId="0" fontId="0" fillId="6" borderId="1" xfId="0" applyFill="1" applyBorder="1"/>
    <xf numFmtId="0" fontId="6" fillId="0" borderId="1" xfId="0" applyFont="1" applyBorder="1"/>
    <xf numFmtId="0" fontId="6" fillId="2" borderId="1" xfId="0" applyFont="1" applyFill="1" applyBorder="1" applyAlignment="1">
      <alignment wrapText="1"/>
    </xf>
    <xf numFmtId="0" fontId="0" fillId="7" borderId="0" xfId="0" applyFill="1" applyAlignment="1">
      <alignment horizontal="left"/>
    </xf>
    <xf numFmtId="0" fontId="3" fillId="0" borderId="0" xfId="0" applyFont="1"/>
    <xf numFmtId="3" fontId="3" fillId="7" borderId="1" xfId="0" applyNumberFormat="1" applyFont="1" applyFill="1" applyBorder="1"/>
    <xf numFmtId="3" fontId="7" fillId="5" borderId="1" xfId="0" quotePrefix="1" applyNumberFormat="1" applyFont="1" applyFill="1" applyBorder="1" applyAlignment="1">
      <alignment horizontal="right"/>
    </xf>
    <xf numFmtId="3" fontId="3" fillId="5" borderId="0" xfId="0" applyNumberFormat="1" applyFont="1" applyFill="1"/>
    <xf numFmtId="3" fontId="0" fillId="0" borderId="0" xfId="0" quotePrefix="1" applyNumberFormat="1" applyAlignment="1">
      <alignment horizontal="right"/>
    </xf>
    <xf numFmtId="3" fontId="0" fillId="0" borderId="1" xfId="0" quotePrefix="1" applyNumberFormat="1" applyBorder="1" applyAlignment="1">
      <alignment horizontal="right"/>
    </xf>
    <xf numFmtId="3" fontId="0" fillId="0" borderId="1" xfId="0" applyNumberForma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0" fillId="0" borderId="1" xfId="0" applyFont="1" applyBorder="1"/>
    <xf numFmtId="3" fontId="10" fillId="0" borderId="1" xfId="0" applyNumberFormat="1" applyFont="1" applyBorder="1"/>
    <xf numFmtId="0" fontId="10" fillId="0" borderId="1" xfId="0" applyFont="1" applyBorder="1" applyAlignment="1">
      <alignment horizontal="center"/>
    </xf>
    <xf numFmtId="3" fontId="10" fillId="0" borderId="1" xfId="0" applyNumberFormat="1" applyFont="1" applyBorder="1" applyAlignment="1">
      <alignment horizontal="center"/>
    </xf>
    <xf numFmtId="3" fontId="10" fillId="4" borderId="1" xfId="0" applyNumberFormat="1" applyFont="1" applyFill="1" applyBorder="1" applyAlignment="1">
      <alignment horizontal="center"/>
    </xf>
    <xf numFmtId="2" fontId="11" fillId="0" borderId="1" xfId="0" applyNumberFormat="1" applyFont="1" applyBorder="1"/>
    <xf numFmtId="0" fontId="11" fillId="0" borderId="1" xfId="0" applyFont="1" applyBorder="1"/>
    <xf numFmtId="0" fontId="10" fillId="0" borderId="1" xfId="0" applyFont="1" applyBorder="1" applyAlignment="1">
      <alignment horizontal="right"/>
    </xf>
    <xf numFmtId="0" fontId="11" fillId="0" borderId="1" xfId="0" applyFont="1" applyBorder="1" applyAlignment="1">
      <alignment horizontal="right"/>
    </xf>
    <xf numFmtId="3" fontId="10" fillId="5" borderId="2" xfId="0" quotePrefix="1" applyNumberFormat="1" applyFont="1" applyFill="1" applyBorder="1" applyAlignment="1">
      <alignment horizontal="right"/>
    </xf>
    <xf numFmtId="3" fontId="10" fillId="0" borderId="1" xfId="0" quotePrefix="1" applyNumberFormat="1" applyFont="1" applyBorder="1" applyAlignment="1">
      <alignment horizontal="right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right"/>
    </xf>
    <xf numFmtId="3" fontId="5" fillId="7" borderId="1" xfId="0" applyNumberFormat="1" applyFont="1" applyFill="1" applyBorder="1" applyAlignment="1">
      <alignment horizontal="right"/>
    </xf>
    <xf numFmtId="3" fontId="11" fillId="7" borderId="1" xfId="0" applyNumberFormat="1" applyFont="1" applyFill="1" applyBorder="1"/>
    <xf numFmtId="165" fontId="3" fillId="0" borderId="1" xfId="0" applyNumberFormat="1" applyFont="1" applyBorder="1"/>
    <xf numFmtId="3" fontId="0" fillId="0" borderId="0" xfId="0" applyNumberFormat="1" applyAlignment="1">
      <alignment wrapText="1"/>
    </xf>
    <xf numFmtId="2" fontId="6" fillId="0" borderId="1" xfId="0" applyNumberFormat="1" applyFont="1" applyBorder="1"/>
    <xf numFmtId="2" fontId="5" fillId="0" borderId="1" xfId="0" applyNumberFormat="1" applyFont="1" applyBorder="1"/>
    <xf numFmtId="3" fontId="5" fillId="7" borderId="1" xfId="0" applyNumberFormat="1" applyFont="1" applyFill="1" applyBorder="1"/>
    <xf numFmtId="3" fontId="12" fillId="0" borderId="1" xfId="0" applyNumberFormat="1" applyFont="1" applyBorder="1"/>
    <xf numFmtId="3" fontId="0" fillId="7" borderId="1" xfId="0" applyNumberFormat="1" applyFill="1" applyBorder="1" applyAlignment="1">
      <alignment horizontal="center"/>
    </xf>
    <xf numFmtId="3" fontId="11" fillId="0" borderId="1" xfId="0" applyNumberFormat="1" applyFont="1" applyBorder="1"/>
    <xf numFmtId="0" fontId="3" fillId="3" borderId="1" xfId="0" applyFont="1" applyFill="1" applyBorder="1" applyAlignment="1">
      <alignment horizontal="center" wrapText="1"/>
    </xf>
    <xf numFmtId="3" fontId="4" fillId="2" borderId="1" xfId="0" applyNumberFormat="1" applyFont="1" applyFill="1" applyBorder="1"/>
    <xf numFmtId="165" fontId="6" fillId="0" borderId="1" xfId="0" applyNumberFormat="1" applyFont="1" applyBorder="1"/>
    <xf numFmtId="0" fontId="3" fillId="6" borderId="1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</cellXfs>
  <cellStyles count="3">
    <cellStyle name="Parasts" xfId="0" builtinId="0"/>
    <cellStyle name="SAPBEXHLevel1" xfId="1" xr:uid="{00000000-0005-0000-0000-000002000000}"/>
    <cellStyle name="SAPBEXHLevel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dara Buša" id="{F6965222-3D38-434E-B1D5-D35FF3792582}" userId="S::Madara.Busa@kem.gov.lv::6f150212-9df2-4970-ad08-46837ef6abd8" providerId="AD"/>
  <person displayName="Tatjana Alekse" id="{FCB45C7B-EC31-4650-A3B2-ABD08A3BDFDB}" userId="S::Tatjana.Alekse@kem.gov.lv::e514aa28-5bb6-4741-9d2f-ed2a6b14df6b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5" dT="2025-09-30T06:40:36.24" personId="{FCB45C7B-EC31-4650-A3B2-ABD08A3BDFDB}" id="{BF4D60E9-C59F-4351-8201-139056F9E258}">
    <text>DRN likme par 2025.g. 0,70</text>
  </threadedComment>
  <threadedComment ref="E16" dT="2025-09-30T06:42:32.36" personId="{FCB45C7B-EC31-4650-A3B2-ABD08A3BDFDB}" id="{ED8EAAC2-7A33-4A64-A94E-9B077B7A1C27}">
    <text>DRN likme par 2025.g. 0,70</text>
  </threadedComment>
  <threadedComment ref="E18" dT="2025-09-30T06:43:57.66" personId="{FCB45C7B-EC31-4650-A3B2-ABD08A3BDFDB}" id="{08D11616-940F-48EB-981E-60D4BDBDF126}">
    <text>DRN likme par 2026.g. 0,71</text>
  </threadedComment>
  <threadedComment ref="E22" dT="2025-09-30T07:10:51.43" personId="{FCB45C7B-EC31-4650-A3B2-ABD08A3BDFDB}" id="{18906636-F948-41A8-B725-000C6708817D}">
    <text xml:space="preserve">3 mēn. ietekme rēķināta, par pamatu ņemot saražotās kūdras apjomu (25% no bāzes 2028.g.) un  DRN likmi 2027.g. 7,50 EUR/t
</text>
  </threadedComment>
  <threadedComment ref="E24" dT="2025-09-30T07:16:29.61" personId="{FCB45C7B-EC31-4650-A3B2-ABD08A3BDFDB}" id="{14B943A2-E26B-4F60-9971-AEA84CF8EAC9}">
    <text xml:space="preserve">3 mēn. ietekme rēķināta, par pamatu ņemot saražotās kūdras apjomu (60% no bāzes 2028.g.) un  DRN likmi 2027.g. 7,50 EUR/t
</text>
  </threadedComment>
  <threadedComment ref="E26" dT="2025-09-17T07:28:38.60" personId="{F6965222-3D38-434E-B1D5-D35FF3792582}" id="{08A0C953-5837-4195-8B5E-B202D5A3055E}">
    <text>3 mēn. ietekme nav paredzama, jo likme šai kūdrai nemainās</text>
  </threadedComment>
  <threadedComment ref="E38" dT="2025-09-30T07:21:52.41" personId="{FCB45C7B-EC31-4650-A3B2-ABD08A3BDFDB}" id="{C136B586-316E-4799-A451-DB640808860B}">
    <text xml:space="preserve">3 mēn. ietekme rēķināta, par pamatu ņemot 2022.g., 2023.g. un 2024.g. vidējo ieguves apjomu un DRN likmi 2025.g., t.i., 0,44 EUR/m3
</text>
  </threadedComment>
  <threadedComment ref="E46" dT="2025-09-30T07:50:03.12" personId="{FCB45C7B-EC31-4650-A3B2-ABD08A3BDFDB}" id="{5FD16FFA-87F0-4986-9B72-89912BAFC420}">
    <text xml:space="preserve">3 mēn. ietekme rēķināta, par pamatu ņemot 2022.g., 2023.g. un 2024.g. vidējo ieguves apjomu un DRN likmi 2025.g., t.i., 0,44 EUR/m3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F2EFB-B695-40C9-BB56-85112369838B}">
  <dimension ref="A1:R115"/>
  <sheetViews>
    <sheetView tabSelected="1" zoomScale="85" zoomScaleNormal="85" workbookViewId="0">
      <pane ySplit="1" topLeftCell="A3" activePane="bottomLeft" state="frozen"/>
      <selection pane="bottomLeft" activeCell="J12" sqref="J12"/>
    </sheetView>
  </sheetViews>
  <sheetFormatPr defaultRowHeight="14.5" x14ac:dyDescent="0.35"/>
  <cols>
    <col min="1" max="1" width="17.7265625" customWidth="1"/>
    <col min="2" max="2" width="12.1796875" customWidth="1"/>
    <col min="3" max="4" width="12" customWidth="1"/>
    <col min="5" max="5" width="12.81640625" customWidth="1"/>
    <col min="6" max="7" width="13.54296875" customWidth="1"/>
    <col min="8" max="8" width="11.54296875" customWidth="1"/>
    <col min="9" max="9" width="12.54296875" customWidth="1"/>
    <col min="10" max="10" width="11.1796875" customWidth="1"/>
    <col min="11" max="11" width="18" hidden="1" customWidth="1"/>
    <col min="12" max="12" width="14.54296875" hidden="1" customWidth="1"/>
    <col min="13" max="13" width="9.54296875" customWidth="1"/>
    <col min="14" max="14" width="13.453125" customWidth="1"/>
    <col min="15" max="15" width="17" customWidth="1"/>
    <col min="16" max="16" width="13.1796875" customWidth="1"/>
    <col min="17" max="17" width="17.7265625" customWidth="1"/>
    <col min="18" max="18" width="11.453125" customWidth="1"/>
  </cols>
  <sheetData>
    <row r="1" spans="1:18" x14ac:dyDescent="0.35"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17" t="s">
        <v>5</v>
      </c>
      <c r="I1" s="17" t="s">
        <v>3</v>
      </c>
      <c r="J1" s="17" t="s">
        <v>4</v>
      </c>
      <c r="K1" s="17" t="s">
        <v>3</v>
      </c>
      <c r="L1" s="17" t="s">
        <v>4</v>
      </c>
    </row>
    <row r="2" spans="1:18" x14ac:dyDescent="0.35">
      <c r="A2" s="76" t="s">
        <v>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8" ht="62.25" customHeight="1" x14ac:dyDescent="0.35">
      <c r="A3" s="78"/>
      <c r="B3" s="78" t="s">
        <v>7</v>
      </c>
      <c r="C3" s="78" t="s">
        <v>8</v>
      </c>
      <c r="D3" s="78" t="s">
        <v>9</v>
      </c>
      <c r="E3" s="78" t="s">
        <v>10</v>
      </c>
      <c r="F3" s="8"/>
      <c r="G3" s="8"/>
      <c r="H3" s="78" t="s">
        <v>11</v>
      </c>
      <c r="I3" s="78"/>
      <c r="J3" s="78"/>
      <c r="K3" s="79" t="s">
        <v>12</v>
      </c>
      <c r="L3" s="80"/>
    </row>
    <row r="4" spans="1:18" s="1" customFormat="1" ht="42.75" customHeight="1" x14ac:dyDescent="0.35">
      <c r="A4" s="78"/>
      <c r="B4" s="78"/>
      <c r="C4" s="78"/>
      <c r="D4" s="78"/>
      <c r="E4" s="78"/>
      <c r="F4" s="69" t="s">
        <v>13</v>
      </c>
      <c r="G4" s="69" t="s">
        <v>14</v>
      </c>
      <c r="H4" s="8" t="s">
        <v>11</v>
      </c>
      <c r="I4" s="8" t="s">
        <v>15</v>
      </c>
      <c r="J4" s="8" t="s">
        <v>16</v>
      </c>
      <c r="K4" s="36" t="s">
        <v>3</v>
      </c>
      <c r="L4" s="36" t="s">
        <v>4</v>
      </c>
    </row>
    <row r="5" spans="1:18" ht="15" customHeight="1" x14ac:dyDescent="0.35">
      <c r="A5" s="9"/>
      <c r="B5" s="9"/>
      <c r="C5" s="10">
        <v>1</v>
      </c>
      <c r="D5" s="10">
        <v>2</v>
      </c>
      <c r="E5" s="10" t="s">
        <v>17</v>
      </c>
      <c r="F5" s="10">
        <v>4</v>
      </c>
      <c r="G5" s="10">
        <v>5</v>
      </c>
      <c r="H5" s="10">
        <v>6</v>
      </c>
      <c r="I5" s="10">
        <v>7</v>
      </c>
      <c r="J5" s="10">
        <v>8</v>
      </c>
      <c r="K5" s="9"/>
      <c r="L5" s="9"/>
    </row>
    <row r="6" spans="1:18" x14ac:dyDescent="0.35">
      <c r="A6" s="9" t="s">
        <v>18</v>
      </c>
      <c r="B6" s="9"/>
      <c r="C6" s="11"/>
      <c r="D6" s="26"/>
      <c r="E6" s="26">
        <f>E15+E29+E37+E45</f>
        <v>3903637.5</v>
      </c>
      <c r="F6" s="14">
        <f>F15+F29+F37+F45</f>
        <v>1561455</v>
      </c>
      <c r="G6" s="14">
        <f>G15+G29+G37+G45</f>
        <v>2342182.5</v>
      </c>
      <c r="H6" s="13"/>
      <c r="I6" s="12"/>
      <c r="J6" s="70"/>
      <c r="K6" s="9"/>
      <c r="L6" s="9"/>
    </row>
    <row r="7" spans="1:18" x14ac:dyDescent="0.35">
      <c r="A7" s="9" t="s">
        <v>19</v>
      </c>
      <c r="B7" s="27"/>
      <c r="C7" s="11"/>
      <c r="D7" s="26"/>
      <c r="E7" s="26">
        <f>E17+E31+E39+E47</f>
        <v>3907350</v>
      </c>
      <c r="F7" s="14">
        <f>F17+F31+F39+F47</f>
        <v>1668375</v>
      </c>
      <c r="G7" s="14">
        <f>G17+G31+G39+G47</f>
        <v>2238975</v>
      </c>
      <c r="H7" s="13"/>
      <c r="I7" s="12"/>
      <c r="J7" s="70"/>
      <c r="K7" s="9"/>
      <c r="L7" s="9"/>
      <c r="M7" s="2"/>
    </row>
    <row r="8" spans="1:18" x14ac:dyDescent="0.35">
      <c r="A8" s="9" t="s">
        <v>20</v>
      </c>
      <c r="B8" s="28"/>
      <c r="C8" s="11"/>
      <c r="D8" s="26"/>
      <c r="E8" s="26">
        <f>E19+E33+E41+E49</f>
        <v>3907350</v>
      </c>
      <c r="F8" s="14">
        <f>F19+F33+F41+F49</f>
        <v>1562940</v>
      </c>
      <c r="G8" s="14">
        <f>G19+G33+G41+G49</f>
        <v>2344410</v>
      </c>
      <c r="H8" s="13"/>
      <c r="I8" s="12"/>
      <c r="J8" s="70"/>
      <c r="K8" s="9"/>
      <c r="L8" s="9"/>
      <c r="N8" s="1"/>
      <c r="O8" s="1"/>
      <c r="P8" s="1"/>
      <c r="Q8" s="1"/>
      <c r="R8" s="1"/>
    </row>
    <row r="9" spans="1:18" x14ac:dyDescent="0.35">
      <c r="A9" s="9"/>
      <c r="B9" s="9"/>
      <c r="C9" s="11"/>
      <c r="D9" s="26"/>
      <c r="E9" s="26"/>
      <c r="F9" s="26"/>
      <c r="G9" s="26"/>
      <c r="H9" s="13"/>
      <c r="I9" s="12"/>
      <c r="J9" s="70"/>
      <c r="K9" s="9"/>
      <c r="L9" s="9"/>
      <c r="N9" s="1"/>
      <c r="O9" s="1"/>
      <c r="P9" s="1"/>
      <c r="Q9" s="1"/>
      <c r="R9" s="1"/>
    </row>
    <row r="10" spans="1:18" x14ac:dyDescent="0.35">
      <c r="A10" s="9">
        <v>2026</v>
      </c>
      <c r="B10" s="9"/>
      <c r="C10" s="16"/>
      <c r="D10" s="11"/>
      <c r="E10" s="11">
        <f>E16+E30+E38+E46</f>
        <v>4363287.5</v>
      </c>
      <c r="F10" s="11">
        <f t="shared" ref="F10:G10" si="0">F16+F30+F38+F46</f>
        <v>2181643.75</v>
      </c>
      <c r="G10" s="11">
        <f t="shared" si="0"/>
        <v>2181643.75</v>
      </c>
      <c r="H10" s="11">
        <f>H16+H30+H38+H46</f>
        <v>459650.00000000047</v>
      </c>
      <c r="I10" s="11">
        <f>I16+I30+I38+I46</f>
        <v>288923.75000000023</v>
      </c>
      <c r="J10" s="11">
        <f>J16+J30+J38+J46</f>
        <v>170726.25000000029</v>
      </c>
      <c r="K10" s="11"/>
      <c r="L10" s="11"/>
      <c r="N10" s="62"/>
      <c r="O10" s="62"/>
      <c r="P10" s="1"/>
      <c r="Q10" s="1"/>
      <c r="R10" s="1"/>
    </row>
    <row r="11" spans="1:18" x14ac:dyDescent="0.35">
      <c r="A11" s="9">
        <v>2027</v>
      </c>
      <c r="B11" s="9"/>
      <c r="C11" s="16"/>
      <c r="D11" s="11"/>
      <c r="E11" s="11">
        <f t="shared" ref="E11:G11" si="1">E18+E32+E40+E48</f>
        <v>24411212.5</v>
      </c>
      <c r="F11" s="11">
        <f t="shared" si="1"/>
        <v>17497685</v>
      </c>
      <c r="G11" s="11">
        <f t="shared" si="1"/>
        <v>6913527.5</v>
      </c>
      <c r="H11" s="11">
        <f>H18+H32+H40+H48</f>
        <v>20503862.5</v>
      </c>
      <c r="I11" s="11">
        <f>I18+I32+I40+I48</f>
        <v>15586045</v>
      </c>
      <c r="J11" s="11">
        <f>J18+J32+J40+J48</f>
        <v>4917817.5</v>
      </c>
      <c r="K11" s="11"/>
      <c r="L11" s="11"/>
      <c r="N11" s="62"/>
      <c r="O11" s="62"/>
      <c r="P11" s="1"/>
      <c r="Q11" s="1"/>
      <c r="R11" s="1"/>
    </row>
    <row r="12" spans="1:18" x14ac:dyDescent="0.35">
      <c r="A12" s="9">
        <v>2028</v>
      </c>
      <c r="B12" s="9"/>
      <c r="C12" s="11"/>
      <c r="D12" s="11"/>
      <c r="E12" s="11">
        <f t="shared" ref="E12:G12" si="2">E20+E34+E42+E50</f>
        <v>39485078.125</v>
      </c>
      <c r="F12" s="11">
        <f t="shared" si="2"/>
        <v>21065731.25</v>
      </c>
      <c r="G12" s="11">
        <f t="shared" si="2"/>
        <v>18419346.875</v>
      </c>
      <c r="H12" s="11">
        <f>H20+H34+H42+H50</f>
        <v>35577728.125</v>
      </c>
      <c r="I12" s="11">
        <f>I20+I34+I42+I50</f>
        <v>19154091.25</v>
      </c>
      <c r="J12" s="11">
        <f>J20+J34+J42+J50</f>
        <v>16423636.875</v>
      </c>
      <c r="K12" s="11"/>
      <c r="L12" s="11"/>
      <c r="N12" s="62"/>
      <c r="O12" s="1"/>
      <c r="P12" s="1"/>
      <c r="Q12" s="1"/>
      <c r="R12" s="1"/>
    </row>
    <row r="13" spans="1:18" x14ac:dyDescent="0.35">
      <c r="A13" s="74" t="s">
        <v>21</v>
      </c>
      <c r="B13" s="74"/>
      <c r="C13" s="74"/>
      <c r="D13" s="74"/>
      <c r="E13" s="74"/>
      <c r="F13" s="74"/>
      <c r="G13" s="74"/>
      <c r="H13" s="74"/>
      <c r="I13" s="74"/>
      <c r="J13" s="75"/>
      <c r="K13" s="34"/>
      <c r="L13" s="34"/>
    </row>
    <row r="14" spans="1:18" ht="27" customHeight="1" x14ac:dyDescent="0.35">
      <c r="A14" s="7" t="s">
        <v>22</v>
      </c>
      <c r="B14" s="7"/>
      <c r="C14" s="6"/>
      <c r="D14" s="24"/>
      <c r="E14" s="21"/>
      <c r="F14" s="20"/>
      <c r="G14" s="20"/>
      <c r="H14" s="15"/>
      <c r="I14" s="3"/>
      <c r="J14" s="3"/>
      <c r="K14" s="35"/>
      <c r="L14" s="35"/>
    </row>
    <row r="15" spans="1:18" x14ac:dyDescent="0.35">
      <c r="A15" s="7" t="s">
        <v>18</v>
      </c>
      <c r="B15" s="7"/>
      <c r="C15" s="4">
        <v>1485000</v>
      </c>
      <c r="D15" s="24">
        <v>0.71</v>
      </c>
      <c r="E15" s="67">
        <f>C15*D15/12*9+C15*0.7/12*3</f>
        <v>1050637.5</v>
      </c>
      <c r="F15" s="14">
        <f>E15*0.4</f>
        <v>420255</v>
      </c>
      <c r="G15" s="14">
        <f>E15*0.6</f>
        <v>630382.5</v>
      </c>
      <c r="H15" s="15"/>
      <c r="I15" s="63">
        <v>0.5</v>
      </c>
      <c r="J15" s="63">
        <v>0.5</v>
      </c>
      <c r="K15" s="35"/>
      <c r="L15" s="35"/>
    </row>
    <row r="16" spans="1:18" x14ac:dyDescent="0.35">
      <c r="A16" s="3">
        <v>2026</v>
      </c>
      <c r="B16" s="3"/>
      <c r="C16" s="4">
        <v>1485000</v>
      </c>
      <c r="D16" s="3">
        <v>0.71</v>
      </c>
      <c r="E16" s="67">
        <f>C16*D16/12*9+C16*0.7/12*3</f>
        <v>1050637.5</v>
      </c>
      <c r="F16" s="31">
        <f>E16*I15</f>
        <v>525318.75</v>
      </c>
      <c r="G16" s="31">
        <f>E16*J15</f>
        <v>525318.75</v>
      </c>
      <c r="H16" s="32">
        <f>E16-E15</f>
        <v>0</v>
      </c>
      <c r="I16" s="32">
        <f>F16-F15</f>
        <v>105063.75</v>
      </c>
      <c r="J16" s="40">
        <f>G16-G15</f>
        <v>-105063.75</v>
      </c>
      <c r="K16" s="33"/>
      <c r="L16" s="43"/>
    </row>
    <row r="17" spans="1:12" x14ac:dyDescent="0.35">
      <c r="A17" s="7" t="s">
        <v>19</v>
      </c>
      <c r="B17" s="7"/>
      <c r="C17" s="4">
        <f>C16</f>
        <v>1485000</v>
      </c>
      <c r="D17" s="24">
        <v>0.71</v>
      </c>
      <c r="E17" s="23">
        <f>D17*C17</f>
        <v>1054350</v>
      </c>
      <c r="F17" s="14">
        <f>E17*0.5</f>
        <v>527175</v>
      </c>
      <c r="G17" s="14">
        <f>E17*0.5</f>
        <v>527175</v>
      </c>
      <c r="H17" s="4"/>
      <c r="I17" s="64">
        <v>0.4</v>
      </c>
      <c r="J17" s="64">
        <v>0.6</v>
      </c>
      <c r="K17" s="35"/>
      <c r="L17" s="35"/>
    </row>
    <row r="18" spans="1:12" x14ac:dyDescent="0.35">
      <c r="A18" s="3">
        <v>2027</v>
      </c>
      <c r="B18" s="3"/>
      <c r="C18" s="4">
        <f>C16</f>
        <v>1485000</v>
      </c>
      <c r="D18" s="5">
        <v>7.5</v>
      </c>
      <c r="E18" s="65">
        <f>C18*D18/12*9+C16*D16/12*3</f>
        <v>8616712.5</v>
      </c>
      <c r="F18" s="4">
        <f>E18*I17</f>
        <v>3446685</v>
      </c>
      <c r="G18" s="4">
        <f>E18*J17</f>
        <v>5170027.5</v>
      </c>
      <c r="H18" s="4">
        <f>(E18-E17)</f>
        <v>7562362.5</v>
      </c>
      <c r="I18" s="4">
        <f>H18*I17</f>
        <v>3024945</v>
      </c>
      <c r="J18" s="43">
        <f>H18*J17</f>
        <v>4537417.5</v>
      </c>
      <c r="K18" s="33"/>
      <c r="L18" s="43"/>
    </row>
    <row r="19" spans="1:12" x14ac:dyDescent="0.35">
      <c r="A19" s="57" t="s">
        <v>23</v>
      </c>
      <c r="B19" s="7"/>
      <c r="C19" s="4">
        <f>C18</f>
        <v>1485000</v>
      </c>
      <c r="D19" s="24">
        <v>0.71</v>
      </c>
      <c r="E19" s="23">
        <f>D19*C19</f>
        <v>1054350</v>
      </c>
      <c r="F19" s="14">
        <f t="shared" ref="F19:F20" si="3">E19*0.4</f>
        <v>421740</v>
      </c>
      <c r="G19" s="14">
        <f t="shared" ref="G19:G20" si="4">E19*0.6</f>
        <v>632610</v>
      </c>
      <c r="H19" s="4"/>
      <c r="I19" s="22">
        <v>0.4</v>
      </c>
      <c r="J19" s="22">
        <v>0.6</v>
      </c>
      <c r="K19" s="35"/>
      <c r="L19" s="35"/>
    </row>
    <row r="20" spans="1:12" x14ac:dyDescent="0.35">
      <c r="A20" s="58" t="s">
        <v>24</v>
      </c>
      <c r="B20" s="3"/>
      <c r="C20" s="4">
        <f>C18</f>
        <v>1485000</v>
      </c>
      <c r="D20" s="45" t="s">
        <v>25</v>
      </c>
      <c r="E20" s="65">
        <f>E22+E24+E26</f>
        <v>19588078.125</v>
      </c>
      <c r="F20" s="4">
        <f t="shared" si="3"/>
        <v>7835231.25</v>
      </c>
      <c r="G20" s="4">
        <f t="shared" si="4"/>
        <v>11752846.875</v>
      </c>
      <c r="H20" s="4">
        <f>E20-E19</f>
        <v>18533728.125</v>
      </c>
      <c r="I20" s="4">
        <f>H20*I19</f>
        <v>7413491.25</v>
      </c>
      <c r="J20" s="43">
        <f>H20*J19</f>
        <v>11120236.875</v>
      </c>
      <c r="K20" s="33"/>
      <c r="L20" s="43"/>
    </row>
    <row r="21" spans="1:12" x14ac:dyDescent="0.35">
      <c r="A21" s="46" t="s">
        <v>26</v>
      </c>
      <c r="B21" s="46"/>
      <c r="C21" s="66">
        <f>C20*0.25</f>
        <v>371250</v>
      </c>
      <c r="D21" s="48">
        <v>0.71</v>
      </c>
      <c r="E21" s="49">
        <f>C21*D21</f>
        <v>263587.5</v>
      </c>
      <c r="F21" s="50">
        <f>E21*0.4</f>
        <v>105435</v>
      </c>
      <c r="G21" s="50">
        <f>E21*0.6</f>
        <v>158152.5</v>
      </c>
      <c r="H21" s="47"/>
      <c r="I21" s="51">
        <v>0.4</v>
      </c>
      <c r="J21" s="51">
        <v>0.6</v>
      </c>
      <c r="K21" s="52"/>
      <c r="L21" s="52"/>
    </row>
    <row r="22" spans="1:12" x14ac:dyDescent="0.35">
      <c r="A22" s="53" t="s">
        <v>27</v>
      </c>
      <c r="B22" s="46"/>
      <c r="C22" s="66">
        <f>C20*0.25</f>
        <v>371250</v>
      </c>
      <c r="D22" s="54">
        <v>25</v>
      </c>
      <c r="E22" s="60">
        <f>(C22*D22)/12*9+(C21*1.1*D18)/12*3</f>
        <v>7726640.625</v>
      </c>
      <c r="F22" s="47">
        <f t="shared" ref="F22:F26" si="5">E22*0.4</f>
        <v>3090656.25</v>
      </c>
      <c r="G22" s="47">
        <f t="shared" ref="G22:G26" si="6">E22*0.6</f>
        <v>4635984.375</v>
      </c>
      <c r="H22" s="47">
        <f>E22-E21</f>
        <v>7463053.125</v>
      </c>
      <c r="I22" s="47">
        <f>H22*I21</f>
        <v>2985221.25</v>
      </c>
      <c r="J22" s="56">
        <f>H22*J21</f>
        <v>4477831.875</v>
      </c>
      <c r="K22" s="55"/>
      <c r="L22" s="56"/>
    </row>
    <row r="23" spans="1:12" x14ac:dyDescent="0.35">
      <c r="A23" s="46" t="s">
        <v>28</v>
      </c>
      <c r="B23" s="46"/>
      <c r="C23" s="66">
        <f>C20*0.6</f>
        <v>891000</v>
      </c>
      <c r="D23" s="48">
        <v>0.71</v>
      </c>
      <c r="E23" s="49">
        <f t="shared" ref="E23:E26" si="7">C23*D23</f>
        <v>632610</v>
      </c>
      <c r="F23" s="50">
        <f t="shared" si="5"/>
        <v>253044</v>
      </c>
      <c r="G23" s="50">
        <f t="shared" si="6"/>
        <v>379566</v>
      </c>
      <c r="H23" s="47"/>
      <c r="I23" s="51">
        <v>0.4</v>
      </c>
      <c r="J23" s="51">
        <v>0.6</v>
      </c>
      <c r="K23" s="52"/>
      <c r="L23" s="52"/>
    </row>
    <row r="24" spans="1:12" x14ac:dyDescent="0.35">
      <c r="A24" s="53" t="s">
        <v>29</v>
      </c>
      <c r="B24" s="46"/>
      <c r="C24" s="66">
        <f>C20*0.6</f>
        <v>891000</v>
      </c>
      <c r="D24" s="52">
        <v>12.5</v>
      </c>
      <c r="E24" s="60">
        <f>(C24*D24)/12*9+(C23*1.1*D18)/12*3</f>
        <v>10190812.5</v>
      </c>
      <c r="F24" s="47">
        <f t="shared" si="5"/>
        <v>4076325</v>
      </c>
      <c r="G24" s="47">
        <f t="shared" si="6"/>
        <v>6114487.5</v>
      </c>
      <c r="H24" s="47">
        <f>E24-E23</f>
        <v>9558202.5</v>
      </c>
      <c r="I24" s="47">
        <f>H24*I23</f>
        <v>3823281</v>
      </c>
      <c r="J24" s="56">
        <f>H24*J23</f>
        <v>5734921.5</v>
      </c>
      <c r="K24" s="55"/>
      <c r="L24" s="56"/>
    </row>
    <row r="25" spans="1:12" x14ac:dyDescent="0.35">
      <c r="A25" s="46" t="s">
        <v>30</v>
      </c>
      <c r="B25" s="46"/>
      <c r="C25" s="66">
        <f>C20*0.15</f>
        <v>222750</v>
      </c>
      <c r="D25" s="48">
        <v>0.71</v>
      </c>
      <c r="E25" s="49">
        <f t="shared" si="7"/>
        <v>158152.5</v>
      </c>
      <c r="F25" s="50">
        <f t="shared" si="5"/>
        <v>63261</v>
      </c>
      <c r="G25" s="50">
        <f t="shared" si="6"/>
        <v>94891.5</v>
      </c>
      <c r="H25" s="47"/>
      <c r="I25" s="51">
        <v>0.4</v>
      </c>
      <c r="J25" s="51">
        <v>0.6</v>
      </c>
      <c r="K25" s="52"/>
      <c r="L25" s="52"/>
    </row>
    <row r="26" spans="1:12" x14ac:dyDescent="0.35">
      <c r="A26" s="53" t="s">
        <v>31</v>
      </c>
      <c r="B26" s="46"/>
      <c r="C26" s="66">
        <f>C20*0.15</f>
        <v>222750</v>
      </c>
      <c r="D26" s="52">
        <v>7.5</v>
      </c>
      <c r="E26" s="68">
        <f t="shared" si="7"/>
        <v>1670625</v>
      </c>
      <c r="F26" s="47">
        <f t="shared" si="5"/>
        <v>668250</v>
      </c>
      <c r="G26" s="47">
        <f t="shared" si="6"/>
        <v>1002375</v>
      </c>
      <c r="H26" s="47">
        <f>E26-E25</f>
        <v>1512472.5</v>
      </c>
      <c r="I26" s="47">
        <f>H26*I25</f>
        <v>604989</v>
      </c>
      <c r="J26" s="56">
        <f>H26*J25</f>
        <v>907483.5</v>
      </c>
      <c r="K26" s="55"/>
      <c r="L26" s="56"/>
    </row>
    <row r="27" spans="1:12" ht="14.5" customHeight="1" x14ac:dyDescent="0.35">
      <c r="A27" s="72" t="s">
        <v>32</v>
      </c>
      <c r="B27" s="72"/>
      <c r="C27" s="72"/>
      <c r="D27" s="72"/>
      <c r="E27" s="72"/>
      <c r="F27" s="72"/>
      <c r="G27" s="72"/>
      <c r="H27" s="72"/>
      <c r="I27" s="72"/>
      <c r="J27" s="73"/>
      <c r="K27" s="34"/>
      <c r="L27" s="34"/>
    </row>
    <row r="28" spans="1:12" ht="43.5" x14ac:dyDescent="0.35">
      <c r="A28" s="7" t="s">
        <v>22</v>
      </c>
      <c r="B28" s="7"/>
      <c r="C28" s="6"/>
      <c r="D28" s="24"/>
      <c r="E28" s="21"/>
      <c r="F28" s="20"/>
      <c r="G28" s="20"/>
      <c r="H28" s="15"/>
      <c r="I28" s="3"/>
      <c r="J28" s="3"/>
      <c r="K28" s="35"/>
      <c r="L28" s="35"/>
    </row>
    <row r="29" spans="1:12" x14ac:dyDescent="0.35">
      <c r="A29" s="7" t="s">
        <v>18</v>
      </c>
      <c r="B29" s="7"/>
      <c r="C29" s="6">
        <v>3282000</v>
      </c>
      <c r="D29" s="24">
        <v>0</v>
      </c>
      <c r="E29" s="23">
        <v>0</v>
      </c>
      <c r="F29" s="14">
        <f t="shared" ref="F29:F33" si="8">E29*0.6</f>
        <v>0</v>
      </c>
      <c r="G29" s="14">
        <f>E29*0.4</f>
        <v>0</v>
      </c>
      <c r="H29" s="15"/>
      <c r="I29" s="61"/>
      <c r="J29" s="61"/>
      <c r="K29" s="3"/>
      <c r="L29" s="3"/>
    </row>
    <row r="30" spans="1:12" x14ac:dyDescent="0.35">
      <c r="A30" s="3">
        <v>2026</v>
      </c>
      <c r="B30" s="3"/>
      <c r="C30" s="6">
        <v>3282000</v>
      </c>
      <c r="D30" s="5">
        <v>0</v>
      </c>
      <c r="E30" s="25">
        <f>C30*D30</f>
        <v>0</v>
      </c>
      <c r="F30" s="31">
        <f>E30*0.7</f>
        <v>0</v>
      </c>
      <c r="G30" s="31">
        <f>E30*0.3</f>
        <v>0</v>
      </c>
      <c r="H30" s="32">
        <f>E30-E29</f>
        <v>0</v>
      </c>
      <c r="I30" s="32">
        <f>H30*I29</f>
        <v>0</v>
      </c>
      <c r="J30" s="40">
        <f>H30*J29</f>
        <v>0</v>
      </c>
      <c r="K30" s="40"/>
      <c r="L30" s="43"/>
    </row>
    <row r="31" spans="1:12" x14ac:dyDescent="0.35">
      <c r="A31" s="7" t="s">
        <v>19</v>
      </c>
      <c r="B31" s="7"/>
      <c r="C31" s="6">
        <f>C30</f>
        <v>3282000</v>
      </c>
      <c r="D31" s="24">
        <v>0</v>
      </c>
      <c r="E31" s="4">
        <f>E29+E29*0.03</f>
        <v>0</v>
      </c>
      <c r="F31" s="14">
        <f t="shared" si="8"/>
        <v>0</v>
      </c>
      <c r="G31" s="14">
        <f t="shared" ref="G31:G33" si="9">E31*0.4</f>
        <v>0</v>
      </c>
      <c r="H31" s="4"/>
      <c r="I31" s="63">
        <v>1</v>
      </c>
      <c r="J31" s="71">
        <v>0</v>
      </c>
      <c r="K31" s="40"/>
      <c r="L31" s="3"/>
    </row>
    <row r="32" spans="1:12" x14ac:dyDescent="0.35">
      <c r="A32" s="3">
        <v>2027</v>
      </c>
      <c r="B32" s="3"/>
      <c r="C32" s="6">
        <f>C30</f>
        <v>3282000</v>
      </c>
      <c r="D32" s="5">
        <v>5</v>
      </c>
      <c r="E32" s="39">
        <f>C32*D32/12*9</f>
        <v>12307500</v>
      </c>
      <c r="F32" s="4">
        <f>E32*I31</f>
        <v>12307500</v>
      </c>
      <c r="G32" s="4">
        <f>E32*J31</f>
        <v>0</v>
      </c>
      <c r="H32" s="4">
        <f>(E32-E31)</f>
        <v>12307500</v>
      </c>
      <c r="I32" s="4">
        <f>H32*I31</f>
        <v>12307500</v>
      </c>
      <c r="J32" s="43">
        <f>H32*J31</f>
        <v>0</v>
      </c>
      <c r="K32" s="40"/>
      <c r="L32" s="43"/>
    </row>
    <row r="33" spans="1:12" x14ac:dyDescent="0.35">
      <c r="A33" s="7" t="s">
        <v>20</v>
      </c>
      <c r="B33" s="7"/>
      <c r="C33" s="6">
        <f>C32</f>
        <v>3282000</v>
      </c>
      <c r="D33" s="24">
        <v>0</v>
      </c>
      <c r="E33" s="4">
        <v>0</v>
      </c>
      <c r="F33" s="14">
        <f t="shared" si="8"/>
        <v>0</v>
      </c>
      <c r="G33" s="14">
        <f t="shared" si="9"/>
        <v>0</v>
      </c>
      <c r="H33" s="4"/>
      <c r="I33" s="61">
        <v>0.7</v>
      </c>
      <c r="J33" s="61">
        <v>0.3</v>
      </c>
      <c r="K33" s="40"/>
      <c r="L33" s="3"/>
    </row>
    <row r="34" spans="1:12" x14ac:dyDescent="0.35">
      <c r="A34" s="3">
        <v>2028</v>
      </c>
      <c r="B34" s="3"/>
      <c r="C34" s="6">
        <f>C32</f>
        <v>3282000</v>
      </c>
      <c r="D34" s="5">
        <v>5</v>
      </c>
      <c r="E34" s="19">
        <f>C34*D34</f>
        <v>16410000</v>
      </c>
      <c r="F34" s="4">
        <f>E34*I33</f>
        <v>11487000</v>
      </c>
      <c r="G34" s="4">
        <f>E34*J33</f>
        <v>4923000</v>
      </c>
      <c r="H34" s="4">
        <f>E34-E33</f>
        <v>16410000</v>
      </c>
      <c r="I34" s="4">
        <f>H34*I33</f>
        <v>11487000</v>
      </c>
      <c r="J34" s="43">
        <f>H34*J33</f>
        <v>4923000</v>
      </c>
      <c r="K34" s="40"/>
      <c r="L34" s="43"/>
    </row>
    <row r="35" spans="1:12" x14ac:dyDescent="0.35">
      <c r="A35" s="72" t="s">
        <v>33</v>
      </c>
      <c r="B35" s="72"/>
      <c r="C35" s="72"/>
      <c r="D35" s="72"/>
      <c r="E35" s="72"/>
      <c r="F35" s="72"/>
      <c r="G35" s="72"/>
      <c r="H35" s="72"/>
      <c r="I35" s="72"/>
      <c r="J35" s="73"/>
      <c r="K35" s="34"/>
      <c r="L35" s="34"/>
    </row>
    <row r="36" spans="1:12" ht="43.5" x14ac:dyDescent="0.35">
      <c r="A36" s="7" t="s">
        <v>22</v>
      </c>
      <c r="B36" s="7"/>
      <c r="C36" s="6"/>
      <c r="D36" s="24"/>
      <c r="E36" s="21"/>
      <c r="F36" s="20"/>
      <c r="G36" s="20"/>
      <c r="H36" s="15"/>
      <c r="I36" s="3"/>
      <c r="J36" s="3"/>
      <c r="K36" s="35"/>
      <c r="L36" s="35"/>
    </row>
    <row r="37" spans="1:12" x14ac:dyDescent="0.35">
      <c r="A37" s="7" t="s">
        <v>18</v>
      </c>
      <c r="B37" s="7"/>
      <c r="C37" s="6">
        <v>3660000</v>
      </c>
      <c r="D37" s="24">
        <v>0.45</v>
      </c>
      <c r="E37" s="44">
        <f t="shared" ref="E37:E42" si="10">C37*D37</f>
        <v>1647000</v>
      </c>
      <c r="F37" s="14">
        <f>E37*0.4</f>
        <v>658800</v>
      </c>
      <c r="G37" s="14">
        <f>E37*0.6</f>
        <v>988200</v>
      </c>
      <c r="H37" s="15"/>
      <c r="I37" s="64">
        <v>0.4</v>
      </c>
      <c r="J37" s="64">
        <v>0.6</v>
      </c>
      <c r="K37" s="63"/>
      <c r="L37" s="63"/>
    </row>
    <row r="38" spans="1:12" x14ac:dyDescent="0.35">
      <c r="A38" s="3">
        <v>2026</v>
      </c>
      <c r="B38" s="3"/>
      <c r="C38" s="6">
        <v>3660000</v>
      </c>
      <c r="D38" s="5">
        <v>0.55000000000000004</v>
      </c>
      <c r="E38" s="59">
        <f>(C38*D38)/12*9+(C37*0.44)/12*3</f>
        <v>1912350.0000000002</v>
      </c>
      <c r="F38" s="31">
        <f t="shared" ref="F38:F42" si="11">E38*0.5</f>
        <v>956175.00000000012</v>
      </c>
      <c r="G38" s="31">
        <f t="shared" ref="G38:G42" si="12">E38*0.5</f>
        <v>956175.00000000012</v>
      </c>
      <c r="H38" s="32">
        <f>E38-E37</f>
        <v>265350.00000000023</v>
      </c>
      <c r="I38" s="32">
        <f>H38*I37</f>
        <v>106140.0000000001</v>
      </c>
      <c r="J38" s="40">
        <f>H38*J37</f>
        <v>159210.00000000015</v>
      </c>
      <c r="K38" s="40"/>
      <c r="L38" s="43"/>
    </row>
    <row r="39" spans="1:12" x14ac:dyDescent="0.35">
      <c r="A39" s="7" t="s">
        <v>19</v>
      </c>
      <c r="B39" s="7"/>
      <c r="C39" s="6">
        <v>3660000</v>
      </c>
      <c r="D39" s="24">
        <v>0.45</v>
      </c>
      <c r="E39" s="44">
        <f t="shared" si="10"/>
        <v>1647000</v>
      </c>
      <c r="F39" s="14">
        <f>E39*0.4</f>
        <v>658800</v>
      </c>
      <c r="G39" s="14">
        <f>E39*0.6</f>
        <v>988200</v>
      </c>
      <c r="H39" s="4"/>
      <c r="I39" s="22">
        <v>0.4</v>
      </c>
      <c r="J39" s="22">
        <v>0.6</v>
      </c>
      <c r="K39" s="63"/>
      <c r="L39" s="63"/>
    </row>
    <row r="40" spans="1:12" x14ac:dyDescent="0.35">
      <c r="A40" s="3">
        <v>2027</v>
      </c>
      <c r="B40" s="3"/>
      <c r="C40" s="6">
        <v>3660000</v>
      </c>
      <c r="D40" s="5">
        <v>0.55000000000000004</v>
      </c>
      <c r="E40" s="6">
        <f>C40*D40</f>
        <v>2013000.0000000002</v>
      </c>
      <c r="F40" s="4">
        <f t="shared" si="11"/>
        <v>1006500.0000000001</v>
      </c>
      <c r="G40" s="4">
        <f t="shared" si="12"/>
        <v>1006500.0000000001</v>
      </c>
      <c r="H40" s="4">
        <f>(E40-E39)</f>
        <v>366000.00000000023</v>
      </c>
      <c r="I40" s="4">
        <f>H40*I39</f>
        <v>146400.00000000009</v>
      </c>
      <c r="J40" s="43">
        <f>H40*J39</f>
        <v>219600.00000000015</v>
      </c>
      <c r="K40" s="40"/>
      <c r="L40" s="43"/>
    </row>
    <row r="41" spans="1:12" x14ac:dyDescent="0.35">
      <c r="A41" s="7" t="s">
        <v>20</v>
      </c>
      <c r="B41" s="7"/>
      <c r="C41" s="6">
        <v>3660000</v>
      </c>
      <c r="D41" s="24">
        <v>0.45</v>
      </c>
      <c r="E41" s="44">
        <f t="shared" si="10"/>
        <v>1647000</v>
      </c>
      <c r="F41" s="14">
        <f>E41*0.4</f>
        <v>658800</v>
      </c>
      <c r="G41" s="14">
        <f>E41*0.6</f>
        <v>988200</v>
      </c>
      <c r="H41" s="4"/>
      <c r="I41" s="22">
        <v>0.4</v>
      </c>
      <c r="J41" s="22">
        <v>0.6</v>
      </c>
      <c r="K41" s="63"/>
      <c r="L41" s="63"/>
    </row>
    <row r="42" spans="1:12" x14ac:dyDescent="0.35">
      <c r="A42" s="3">
        <v>2028</v>
      </c>
      <c r="B42" s="3"/>
      <c r="C42" s="6">
        <v>3660000</v>
      </c>
      <c r="D42" s="5">
        <v>0.55000000000000004</v>
      </c>
      <c r="E42" s="19">
        <f t="shared" si="10"/>
        <v>2013000.0000000002</v>
      </c>
      <c r="F42" s="4">
        <f t="shared" si="11"/>
        <v>1006500.0000000001</v>
      </c>
      <c r="G42" s="4">
        <f t="shared" si="12"/>
        <v>1006500.0000000001</v>
      </c>
      <c r="H42" s="4">
        <f>E42-E41</f>
        <v>366000.00000000023</v>
      </c>
      <c r="I42" s="4">
        <f>H42*I41</f>
        <v>146400.00000000009</v>
      </c>
      <c r="J42" s="43">
        <f>H42*J41</f>
        <v>219600.00000000015</v>
      </c>
      <c r="K42" s="40"/>
      <c r="L42" s="43"/>
    </row>
    <row r="43" spans="1:12" x14ac:dyDescent="0.35">
      <c r="A43" s="72" t="s">
        <v>34</v>
      </c>
      <c r="B43" s="72"/>
      <c r="C43" s="72"/>
      <c r="D43" s="72"/>
      <c r="E43" s="72"/>
      <c r="F43" s="72"/>
      <c r="G43" s="72"/>
      <c r="H43" s="72"/>
      <c r="I43" s="72"/>
      <c r="J43" s="73"/>
      <c r="K43" s="34"/>
      <c r="L43" s="34"/>
    </row>
    <row r="44" spans="1:12" ht="43.5" x14ac:dyDescent="0.35">
      <c r="A44" s="7" t="s">
        <v>22</v>
      </c>
      <c r="B44" s="7"/>
      <c r="C44" s="6"/>
      <c r="D44" s="24"/>
      <c r="E44" s="21"/>
      <c r="F44" s="20"/>
      <c r="G44" s="20"/>
      <c r="H44" s="15"/>
      <c r="I44" s="3"/>
      <c r="J44" s="3"/>
      <c r="K44" s="35"/>
      <c r="L44" s="35"/>
    </row>
    <row r="45" spans="1:12" x14ac:dyDescent="0.35">
      <c r="A45" s="7" t="s">
        <v>18</v>
      </c>
      <c r="B45" s="7"/>
      <c r="C45" s="6">
        <v>2680000</v>
      </c>
      <c r="D45" s="24">
        <v>0.45</v>
      </c>
      <c r="E45" s="44">
        <f t="shared" ref="E45:E50" si="13">C45*D45</f>
        <v>1206000</v>
      </c>
      <c r="F45" s="14">
        <f>E45*0.4</f>
        <v>482400</v>
      </c>
      <c r="G45" s="14">
        <f>E45*0.6</f>
        <v>723600</v>
      </c>
      <c r="H45" s="15"/>
      <c r="I45" s="64">
        <v>0.4</v>
      </c>
      <c r="J45" s="64">
        <v>0.6</v>
      </c>
      <c r="K45" s="63"/>
      <c r="L45" s="63"/>
    </row>
    <row r="46" spans="1:12" x14ac:dyDescent="0.35">
      <c r="A46" s="3">
        <v>2026</v>
      </c>
      <c r="B46" s="3"/>
      <c r="C46" s="6">
        <v>2680000</v>
      </c>
      <c r="D46" s="5">
        <v>0.55000000000000004</v>
      </c>
      <c r="E46" s="59">
        <f>(C46*D46)/12*9+(C45*0.44)/12*3</f>
        <v>1400300.0000000002</v>
      </c>
      <c r="F46" s="31">
        <f t="shared" ref="F46:F50" si="14">E46*0.5</f>
        <v>700150.00000000012</v>
      </c>
      <c r="G46" s="31">
        <f t="shared" ref="G46:G50" si="15">E46*0.5</f>
        <v>700150.00000000012</v>
      </c>
      <c r="H46" s="32">
        <f>E46-E45</f>
        <v>194300.00000000023</v>
      </c>
      <c r="I46" s="32">
        <f>H46*I45</f>
        <v>77720.000000000102</v>
      </c>
      <c r="J46" s="40">
        <f>H46*J45</f>
        <v>116580.00000000013</v>
      </c>
      <c r="K46" s="40"/>
      <c r="L46" s="43"/>
    </row>
    <row r="47" spans="1:12" x14ac:dyDescent="0.35">
      <c r="A47" s="7" t="s">
        <v>19</v>
      </c>
      <c r="B47" s="7"/>
      <c r="C47" s="6">
        <v>2680000</v>
      </c>
      <c r="D47" s="24">
        <v>0.45</v>
      </c>
      <c r="E47" s="44">
        <f t="shared" si="13"/>
        <v>1206000</v>
      </c>
      <c r="F47" s="14">
        <f>E47*0.4</f>
        <v>482400</v>
      </c>
      <c r="G47" s="14">
        <f>E47*0.6</f>
        <v>723600</v>
      </c>
      <c r="H47" s="4"/>
      <c r="I47" s="22">
        <v>0.4</v>
      </c>
      <c r="J47" s="22">
        <v>0.6</v>
      </c>
      <c r="K47" s="63"/>
      <c r="L47" s="63"/>
    </row>
    <row r="48" spans="1:12" x14ac:dyDescent="0.35">
      <c r="A48" s="3">
        <v>2027</v>
      </c>
      <c r="B48" s="3"/>
      <c r="C48" s="6">
        <v>2680000</v>
      </c>
      <c r="D48" s="5">
        <v>0.55000000000000004</v>
      </c>
      <c r="E48" s="19">
        <f t="shared" si="13"/>
        <v>1474000.0000000002</v>
      </c>
      <c r="F48" s="4">
        <f t="shared" si="14"/>
        <v>737000.00000000012</v>
      </c>
      <c r="G48" s="4">
        <f t="shared" si="15"/>
        <v>737000.00000000012</v>
      </c>
      <c r="H48" s="4">
        <f>(E48-E47)</f>
        <v>268000.00000000023</v>
      </c>
      <c r="I48" s="4">
        <f>H48*I47</f>
        <v>107200.0000000001</v>
      </c>
      <c r="J48" s="43">
        <f>H48*J47</f>
        <v>160800.00000000015</v>
      </c>
      <c r="K48" s="40"/>
      <c r="L48" s="43"/>
    </row>
    <row r="49" spans="1:12" x14ac:dyDescent="0.35">
      <c r="A49" s="7" t="s">
        <v>20</v>
      </c>
      <c r="B49" s="7"/>
      <c r="C49" s="6">
        <v>2680000</v>
      </c>
      <c r="D49" s="24">
        <v>0.45</v>
      </c>
      <c r="E49" s="44">
        <f t="shared" si="13"/>
        <v>1206000</v>
      </c>
      <c r="F49" s="14">
        <f>E49*0.4</f>
        <v>482400</v>
      </c>
      <c r="G49" s="14">
        <f>E49*0.6</f>
        <v>723600</v>
      </c>
      <c r="H49" s="4"/>
      <c r="I49" s="22">
        <v>0.4</v>
      </c>
      <c r="J49" s="22">
        <v>0.6</v>
      </c>
      <c r="K49" s="63"/>
      <c r="L49" s="63"/>
    </row>
    <row r="50" spans="1:12" x14ac:dyDescent="0.35">
      <c r="A50" s="3">
        <v>2028</v>
      </c>
      <c r="B50" s="3"/>
      <c r="C50" s="6">
        <v>2680000</v>
      </c>
      <c r="D50" s="5">
        <v>0.55000000000000004</v>
      </c>
      <c r="E50" s="19">
        <f t="shared" si="13"/>
        <v>1474000.0000000002</v>
      </c>
      <c r="F50" s="4">
        <f t="shared" si="14"/>
        <v>737000.00000000012</v>
      </c>
      <c r="G50" s="4">
        <f t="shared" si="15"/>
        <v>737000.00000000012</v>
      </c>
      <c r="H50" s="4">
        <f>E50-E49</f>
        <v>268000.00000000023</v>
      </c>
      <c r="I50" s="4">
        <f>H50*I49</f>
        <v>107200.0000000001</v>
      </c>
      <c r="J50" s="43">
        <f>H50*J49</f>
        <v>160800.00000000015</v>
      </c>
      <c r="K50" s="40"/>
      <c r="L50" s="43"/>
    </row>
    <row r="51" spans="1:12" x14ac:dyDescent="0.35">
      <c r="C51" s="41"/>
      <c r="D51" s="38"/>
      <c r="E51" s="41"/>
      <c r="F51" s="2"/>
      <c r="G51" s="2"/>
      <c r="H51" s="2"/>
      <c r="I51" s="2"/>
      <c r="J51" s="42"/>
      <c r="K51" s="2"/>
      <c r="L51" s="2"/>
    </row>
    <row r="52" spans="1:12" x14ac:dyDescent="0.35">
      <c r="C52" s="29"/>
      <c r="E52" s="29"/>
      <c r="F52" s="2"/>
      <c r="H52" s="2"/>
      <c r="I52" s="2"/>
      <c r="J52" s="2"/>
    </row>
    <row r="53" spans="1:12" x14ac:dyDescent="0.35">
      <c r="A53" s="37" t="s">
        <v>40</v>
      </c>
      <c r="B53" s="37"/>
      <c r="C53" s="30"/>
      <c r="D53" s="30"/>
      <c r="E53" s="30"/>
      <c r="F53" s="30"/>
      <c r="G53" s="30"/>
      <c r="H53" s="30"/>
      <c r="I53" s="30"/>
      <c r="J53" s="30"/>
    </row>
    <row r="54" spans="1:12" x14ac:dyDescent="0.35">
      <c r="A54" s="17" t="s">
        <v>35</v>
      </c>
      <c r="J54" s="18"/>
    </row>
    <row r="55" spans="1:12" x14ac:dyDescent="0.35">
      <c r="A55" s="17" t="s">
        <v>36</v>
      </c>
    </row>
    <row r="56" spans="1:12" x14ac:dyDescent="0.35">
      <c r="A56" t="s">
        <v>37</v>
      </c>
    </row>
    <row r="57" spans="1:12" x14ac:dyDescent="0.35">
      <c r="A57" t="s">
        <v>38</v>
      </c>
    </row>
    <row r="58" spans="1:12" x14ac:dyDescent="0.35">
      <c r="A58" t="s">
        <v>39</v>
      </c>
    </row>
    <row r="59" spans="1:12" ht="15" customHeight="1" x14ac:dyDescent="0.35"/>
    <row r="91" ht="15" customHeight="1" x14ac:dyDescent="0.35"/>
    <row r="99" spans="11:12" x14ac:dyDescent="0.35">
      <c r="K99" s="18"/>
      <c r="L99" s="18"/>
    </row>
    <row r="107" spans="11:12" x14ac:dyDescent="0.35">
      <c r="K107" s="18"/>
      <c r="L107" s="18"/>
    </row>
    <row r="115" spans="11:12" x14ac:dyDescent="0.35">
      <c r="K115" s="18"/>
      <c r="L115" s="18"/>
    </row>
  </sheetData>
  <mergeCells count="12">
    <mergeCell ref="A27:J27"/>
    <mergeCell ref="A35:J35"/>
    <mergeCell ref="A43:J43"/>
    <mergeCell ref="A13:J13"/>
    <mergeCell ref="A2:L2"/>
    <mergeCell ref="A3:A4"/>
    <mergeCell ref="B3:B4"/>
    <mergeCell ref="C3:C4"/>
    <mergeCell ref="D3:D4"/>
    <mergeCell ref="E3:E4"/>
    <mergeCell ref="H3:J3"/>
    <mergeCell ref="K3:L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DRN_likmes_2026-2028</vt:lpstr>
    </vt:vector>
  </TitlesOfParts>
  <Manager/>
  <Company>VARAM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"Grozījumi Dabas resursu nodokļa likumā"</dc:title>
  <dc:subject>Anotācijas 1. pielikums</dc:subject>
  <dc:creator>Kristīne Gāga</dc:creator>
  <cp:keywords/>
  <dc:description>kristine.gaga@varam.gov.lv, 67026518</dc:description>
  <cp:lastModifiedBy>Madara Buša</cp:lastModifiedBy>
  <cp:revision/>
  <dcterms:created xsi:type="dcterms:W3CDTF">2016-08-19T07:31:39Z</dcterms:created>
  <dcterms:modified xsi:type="dcterms:W3CDTF">2025-10-01T11:45:02Z</dcterms:modified>
  <cp:category/>
  <cp:contentStatus/>
</cp:coreProperties>
</file>