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customProperty1.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228"/>
  <workbookPr defaultThemeVersion="166925"/>
  <mc:AlternateContent xmlns:mc="http://schemas.openxmlformats.org/markup-compatibility/2006">
    <mc:Choice Requires="x15">
      <x15ac:absPath xmlns:x15ac="http://schemas.microsoft.com/office/spreadsheetml/2010/11/ac" url="https://vide-my.sharepoint.com/personal/solvitavaivode_varam_gov_lv/Documents/Desktop/DARBS_2021/LNG_2021/SM_izevumi par transportu_LNG/IESNIEGTIE DOKUMENTI/"/>
    </mc:Choice>
  </mc:AlternateContent>
  <xr:revisionPtr revIDLastSave="3" documentId="13_ncr:1_{EB3D6E18-FA70-4B82-A5CA-748DE4DF2E4C}" xr6:coauthVersionLast="47" xr6:coauthVersionMax="47" xr10:uidLastSave="{C9F5F304-C398-494C-991D-F9B869A13E05}"/>
  <bookViews>
    <workbookView xWindow="-110" yWindow="-110" windowWidth="19420" windowHeight="10420" firstSheet="1" activeTab="2" xr2:uid="{7EC9B69B-BD36-4D60-B55F-35F41D639EF9}"/>
  </bookViews>
  <sheets>
    <sheet name="piemērs" sheetId="5" state="hidden" r:id="rId1"/>
    <sheet name="marts" sheetId="2" r:id="rId2"/>
    <sheet name="aprīlis" sheetId="3" r:id="rId3"/>
    <sheet name="maijs" sheetId="6" r:id="rId4"/>
    <sheet name="jūnijs" sheetId="7" r:id="rId5"/>
    <sheet name="PIVOT_apkopojums" sheetId="10" r:id="rId6"/>
    <sheet name="PIVOT" sheetId="9" r:id="rId7"/>
    <sheet name="atskaites_jedox" sheetId="8" state="hidden" r:id="rId8"/>
  </sheets>
  <definedNames>
    <definedName name="_palopasteviewstyle" hidden="1">"White"</definedName>
  </definedNames>
  <calcPr calcId="191029"/>
  <pivotCaches>
    <pivotCache cacheId="0" r:id="rId9"/>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4" i="2" l="1"/>
  <c r="D44" i="9"/>
  <c r="D37" i="9" s="1"/>
  <c r="D40" i="9"/>
  <c r="B3" i="8"/>
  <c r="V6" i="8"/>
  <c r="AG6" i="8"/>
  <c r="AJ7" i="8"/>
  <c r="E3" i="8"/>
  <c r="AE7" i="8"/>
  <c r="AI7" i="8"/>
  <c r="I7" i="8"/>
  <c r="D6" i="8"/>
  <c r="E2" i="8"/>
  <c r="Z6" i="8"/>
  <c r="G7" i="8"/>
  <c r="AI6" i="8"/>
  <c r="L7" i="8"/>
  <c r="I3" i="8"/>
  <c r="AH7" i="8"/>
  <c r="Q6" i="8"/>
  <c r="G6" i="8"/>
  <c r="AK7" i="8"/>
  <c r="L6" i="8"/>
  <c r="F7" i="8"/>
  <c r="AH6" i="8"/>
  <c r="F6" i="8"/>
  <c r="U7" i="8"/>
  <c r="G2" i="8"/>
  <c r="O6" i="8"/>
  <c r="T6" i="8"/>
  <c r="F2" i="8"/>
  <c r="H3" i="8"/>
  <c r="N6" i="8"/>
  <c r="W6" i="8"/>
  <c r="AB6" i="8"/>
  <c r="G3" i="8"/>
  <c r="Z7" i="8"/>
  <c r="AJ6" i="8"/>
  <c r="AA6" i="8"/>
  <c r="C7" i="8"/>
  <c r="H7" i="8"/>
  <c r="AD7" i="8"/>
  <c r="C6" i="8"/>
  <c r="H6" i="8"/>
  <c r="AD6" i="8"/>
  <c r="B8" i="8"/>
  <c r="M7" i="8"/>
  <c r="E6" i="8"/>
  <c r="AL7" i="8"/>
  <c r="P7" i="8"/>
  <c r="K7" i="8"/>
  <c r="J3" i="8"/>
  <c r="Y7" i="8"/>
  <c r="AC6" i="8"/>
  <c r="H2" i="8"/>
  <c r="AE6" i="8"/>
  <c r="D7" i="8"/>
  <c r="I2" i="8"/>
  <c r="V7" i="8"/>
  <c r="F3" i="8"/>
  <c r="E7" i="8"/>
  <c r="I6" i="8"/>
  <c r="AB7" i="8"/>
  <c r="W7" i="8"/>
  <c r="N7" i="8"/>
  <c r="Y6" i="8"/>
  <c r="O7" i="8"/>
  <c r="T7" i="8"/>
  <c r="AC7" i="8"/>
  <c r="D2" i="8"/>
  <c r="R6" i="8"/>
  <c r="U6" i="8"/>
  <c r="AF7" i="8"/>
  <c r="AF6" i="8"/>
  <c r="AA7" i="8"/>
  <c r="J2" i="8"/>
  <c r="R7" i="8"/>
  <c r="X6" i="8"/>
  <c r="AK6" i="8"/>
  <c r="S6" i="8"/>
  <c r="Q7" i="8"/>
  <c r="J6" i="8"/>
  <c r="AG7" i="8"/>
  <c r="X7" i="8"/>
  <c r="D3" i="8"/>
  <c r="S7" i="8"/>
  <c r="K6" i="8"/>
  <c r="M6" i="8"/>
  <c r="M8" i="8" s="1"/>
  <c r="P6" i="8"/>
  <c r="P8" i="8" s="1"/>
  <c r="J7" i="8"/>
  <c r="AL6" i="8"/>
  <c r="AL8" i="8" s="1"/>
  <c r="AD8" i="8"/>
  <c r="H8" i="8"/>
  <c r="AJ8" i="8"/>
  <c r="AH8" i="8"/>
  <c r="AB8" i="8"/>
  <c r="N8" i="8"/>
  <c r="T8" i="8"/>
  <c r="F8" i="8"/>
  <c r="AG8" i="8"/>
  <c r="Z8" i="8"/>
  <c r="Q8" i="8"/>
  <c r="L8" i="8"/>
  <c r="D8" i="8"/>
  <c r="V8" i="8"/>
  <c r="Y8" i="8"/>
  <c r="I8" i="8"/>
  <c r="AC8" i="8"/>
  <c r="E8" i="8"/>
  <c r="J8" i="8"/>
  <c r="AK8" i="8"/>
  <c r="X8" i="8"/>
  <c r="AF8" i="8"/>
  <c r="U8" i="8"/>
  <c r="R8" i="8"/>
  <c r="H31" i="7" l="1"/>
  <c r="H30" i="7"/>
  <c r="H10" i="7"/>
  <c r="H13" i="7"/>
  <c r="H33" i="7"/>
  <c r="H32" i="7"/>
  <c r="AI8" i="8"/>
  <c r="W8" i="8"/>
  <c r="K8" i="8"/>
  <c r="AE8" i="8"/>
  <c r="G8" i="8"/>
  <c r="AA8" i="8"/>
  <c r="S8" i="8"/>
  <c r="O8" i="8"/>
  <c r="C8" i="8"/>
  <c r="D29" i="7" l="1"/>
  <c r="G14" i="7"/>
  <c r="F14" i="7"/>
  <c r="E14" i="7"/>
  <c r="D14" i="7"/>
  <c r="G10" i="7"/>
  <c r="F10" i="7"/>
  <c r="E10" i="7"/>
  <c r="E3" i="7" s="1"/>
  <c r="D10" i="7"/>
  <c r="I31" i="7" s="1"/>
  <c r="G6" i="7"/>
  <c r="F6" i="7"/>
  <c r="E6" i="7"/>
  <c r="D6" i="7"/>
  <c r="G3" i="7"/>
  <c r="F3" i="7"/>
  <c r="D3" i="7"/>
  <c r="D29" i="6"/>
  <c r="G14" i="6"/>
  <c r="F14" i="6"/>
  <c r="E14" i="6"/>
  <c r="D14" i="6"/>
  <c r="G10" i="6"/>
  <c r="G3" i="6" s="1"/>
  <c r="F10" i="6"/>
  <c r="F3" i="6" s="1"/>
  <c r="E10" i="6"/>
  <c r="D10" i="6"/>
  <c r="I31" i="6" s="1"/>
  <c r="G6" i="6"/>
  <c r="F6" i="6"/>
  <c r="E6" i="6"/>
  <c r="D6" i="6"/>
  <c r="E3" i="6"/>
  <c r="D3" i="6"/>
  <c r="H33" i="6" l="1"/>
  <c r="H32" i="6"/>
  <c r="H31" i="6"/>
  <c r="H30" i="6"/>
  <c r="H10" i="6"/>
  <c r="H13" i="6"/>
  <c r="H33" i="3"/>
  <c r="H32" i="3"/>
  <c r="H31" i="3"/>
  <c r="H30" i="3"/>
  <c r="H10" i="3"/>
  <c r="H13" i="3"/>
  <c r="H33" i="2"/>
  <c r="H32" i="2"/>
  <c r="H31" i="2"/>
  <c r="H30" i="2"/>
  <c r="H10" i="2"/>
  <c r="H13" i="2"/>
  <c r="D6" i="2"/>
  <c r="D10" i="3"/>
  <c r="D3" i="3" s="1"/>
  <c r="D6" i="3"/>
  <c r="D29" i="2"/>
  <c r="G29" i="3" l="1"/>
  <c r="F29" i="3"/>
  <c r="E29" i="3"/>
  <c r="D29" i="3"/>
  <c r="G14" i="3"/>
  <c r="F14" i="3"/>
  <c r="E14" i="3"/>
  <c r="D14" i="3"/>
  <c r="G10" i="3"/>
  <c r="F10" i="3"/>
  <c r="E10" i="3"/>
  <c r="E3" i="3" s="1"/>
  <c r="G6" i="3"/>
  <c r="F6" i="3"/>
  <c r="E6" i="3"/>
  <c r="G3" i="3"/>
  <c r="F3" i="3"/>
  <c r="D10" i="2"/>
  <c r="I31" i="2" s="1"/>
  <c r="G29" i="2"/>
  <c r="F29" i="2"/>
  <c r="E29" i="2"/>
  <c r="E37" i="5"/>
  <c r="F37" i="5"/>
  <c r="G37" i="5"/>
  <c r="D37" i="5"/>
  <c r="E14" i="2"/>
  <c r="F14" i="2"/>
  <c r="G14" i="2"/>
  <c r="E14" i="5"/>
  <c r="F14" i="5"/>
  <c r="G14" i="5"/>
  <c r="D14" i="5"/>
  <c r="E10" i="2"/>
  <c r="E3" i="2" s="1"/>
  <c r="F10" i="2"/>
  <c r="F3" i="2" s="1"/>
  <c r="G10" i="2"/>
  <c r="G3" i="2" s="1"/>
  <c r="E6" i="2"/>
  <c r="F6" i="2"/>
  <c r="G6" i="2"/>
  <c r="G10" i="5"/>
  <c r="F10" i="5"/>
  <c r="F3" i="5" s="1"/>
  <c r="E10" i="5"/>
  <c r="E3" i="5" s="1"/>
  <c r="D10" i="5"/>
  <c r="D3" i="5" s="1"/>
  <c r="G6" i="5"/>
  <c r="F6" i="5"/>
  <c r="E6" i="5"/>
  <c r="D6" i="5"/>
  <c r="G3" i="5"/>
  <c r="D3" i="2" l="1"/>
</calcChain>
</file>

<file path=xl/sharedStrings.xml><?xml version="1.0" encoding="utf-8"?>
<sst xmlns="http://schemas.openxmlformats.org/spreadsheetml/2006/main" count="974" uniqueCount="114">
  <si>
    <t>Dezinfekcijas līdzekļi</t>
  </si>
  <si>
    <t>Autobusi</t>
  </si>
  <si>
    <t>Tramvaji</t>
  </si>
  <si>
    <t>Trolejbusi</t>
  </si>
  <si>
    <t xml:space="preserve">Periods </t>
  </si>
  <si>
    <t xml:space="preserve">Vienības </t>
  </si>
  <si>
    <t>skaits</t>
  </si>
  <si>
    <t>09.03.2021.- 31.03.2021.</t>
  </si>
  <si>
    <t>km</t>
  </si>
  <si>
    <t>EUR/km</t>
  </si>
  <si>
    <t>Informāciju aizpilda katra pašvaldība par pārvadājumu veidiem, kādi ir noteikti attiecīgā pilsētā</t>
  </si>
  <si>
    <t>Minibusi (ekspresbusi)</t>
  </si>
  <si>
    <t>Transportlīdzekļu dezinfekcija</t>
  </si>
  <si>
    <t xml:space="preserve">Iesaistīto transportlīdzekļu vienības </t>
  </si>
  <si>
    <t>Sejas maskas</t>
  </si>
  <si>
    <t>Citi izdevumi (norādīt kādi)</t>
  </si>
  <si>
    <t>01.03.2021.-31.03.2021.</t>
  </si>
  <si>
    <t>1.SADAĻA</t>
  </si>
  <si>
    <t>2.SADAĻA</t>
  </si>
  <si>
    <t>1.SADAĻĀ tiek aprēķināti faktiskie izdevumi, kas radušies saistībā ar atcelto reisu vai/un papildu reisu nodrošināšanu sakarā ar pakalpojuma apjoma ierobežošanu un 50% pasažieru piepildījuma noteikšanu</t>
  </si>
  <si>
    <t xml:space="preserve">Sociālā distancēšanās sabiedriskā transportā </t>
  </si>
  <si>
    <t>Paskaidrojumi</t>
  </si>
  <si>
    <t xml:space="preserve">2.SADAĻĀ nosakāmi kopējie izdevumi par Covid-19 infekcijas ierobežošanas pasākumiem, kas izpildāmi atbilstoši MK 09.06.2020. noteikumiem Nr.360; MK 06.11.2020. rīkojumam Nr.655 </t>
  </si>
  <si>
    <r>
      <rPr>
        <u/>
        <sz val="11"/>
        <rFont val="Times New Roman"/>
        <family val="1"/>
        <charset val="186"/>
      </rPr>
      <t>Dezinfekcijas līdzekļi</t>
    </r>
    <r>
      <rPr>
        <sz val="11"/>
        <rFont val="Times New Roman"/>
        <family val="1"/>
        <charset val="186"/>
      </rPr>
      <t xml:space="preserve"> - roku higiēnai  šķidrās ziepes un roku susināšanas līdzekļi vai spirtu saturoši roku dezinfekcijas līdzekļi (kas satur vismaz 70 % etanola) - MK noteikumu Nr.360 7.1.punkts</t>
    </r>
  </si>
  <si>
    <r>
      <rPr>
        <u/>
        <sz val="11"/>
        <rFont val="Times New Roman"/>
        <family val="1"/>
        <charset val="186"/>
      </rPr>
      <t>Transportlīdzekļu dezinfekcija</t>
    </r>
    <r>
      <rPr>
        <sz val="11"/>
        <rFont val="Times New Roman"/>
        <family val="1"/>
        <charset val="186"/>
      </rPr>
      <t xml:space="preserve"> -  regulāra saimnieciskā vai publiskā pakalpojuma nodrošināšanai izmantotā transportlīdzekļa salona un kabīnes virsmu dezinfekcija - MK noteikumu Nr.360 7.5.punkts</t>
    </r>
  </si>
  <si>
    <t>Transportlīdzekļu dezinfekcija, to starpā darba spēka izmaksas</t>
  </si>
  <si>
    <t>Transportlīdzekļu papildu mazgāšana</t>
  </si>
  <si>
    <t>Transportlīdzekļu papildu mazgāšana, to starpā darba spēka izmaksas</t>
  </si>
  <si>
    <r>
      <rPr>
        <u/>
        <sz val="11"/>
        <rFont val="Times New Roman"/>
        <family val="1"/>
        <charset val="186"/>
      </rPr>
      <t>Sejas maskas</t>
    </r>
    <r>
      <rPr>
        <sz val="11"/>
        <rFont val="Times New Roman"/>
        <family val="1"/>
        <charset val="186"/>
      </rPr>
      <t xml:space="preserve"> - sabiedriskajā transportlīdzeklī, ar kuru veic pasažieru komercpārvadājumus, transportlīdzekļa vadītāji, kuri nav atdalīti ar fizisku barjeru no pasažieriem, kā arī pasažieri, lieto mutes un deguna aizsegus - MK noteikumu Nr.360 6.3.</t>
    </r>
    <r>
      <rPr>
        <vertAlign val="superscript"/>
        <sz val="11"/>
        <rFont val="Times New Roman"/>
        <family val="1"/>
        <charset val="186"/>
      </rPr>
      <t>1</t>
    </r>
    <r>
      <rPr>
        <sz val="11"/>
        <rFont val="Times New Roman"/>
        <family val="1"/>
        <charset val="186"/>
      </rPr>
      <t>punkts</t>
    </r>
  </si>
  <si>
    <r>
      <rPr>
        <u/>
        <sz val="11"/>
        <rFont val="Times New Roman"/>
        <family val="1"/>
        <charset val="186"/>
      </rPr>
      <t xml:space="preserve">Transportlīdzekļu papildu mazgāšana </t>
    </r>
    <r>
      <rPr>
        <sz val="11"/>
        <rFont val="Times New Roman"/>
        <family val="1"/>
        <charset val="186"/>
      </rPr>
      <t>- veic regulāru telpu un virsmu, tai skaitā inventāra un darba aprīkojuma, tīrīšanu un dezinfekciju, īpašu uzmanību pievēršot virsmām un priekšmetiem, ar kuriem cilvēki bieži saskaras (piemēram, durvju rokturi, galdu virsmas, krēslu roku balsti, virsmas tualetēs, krāni) - MK noteikumu Nr.360 7.4.punkts.</t>
    </r>
  </si>
  <si>
    <t xml:space="preserve">skaits (jānorāda atbilstoša mērvienība gab., litri, reižu skaits, darba stundas u.c.) </t>
  </si>
  <si>
    <t xml:space="preserve">Pašvaldībai ir pienākums pārliecināties par izmaksu pamatotību, to apjomu vai attiecināto apmēru. </t>
  </si>
  <si>
    <t>Tabulā iekļauj norādītajā laika periodā radušās pamatotās izmaksas, kas attiecināmas uz sabiedriskā transporta pakalpojuma izpildē noteiktajiem drošības pasākumiem Covid-19 infekcijas izplatības ierobežošanai.</t>
  </si>
  <si>
    <t>reizes</t>
  </si>
  <si>
    <t>Informācijas atskaņošana reisos</t>
  </si>
  <si>
    <t>gab</t>
  </si>
  <si>
    <t>litri</t>
  </si>
  <si>
    <t>to starpā uzlīmes</t>
  </si>
  <si>
    <t>metri</t>
  </si>
  <si>
    <t>to starpā norobežojošā lenta</t>
  </si>
  <si>
    <t>to starpā ozonēšanas pakalpojumi</t>
  </si>
  <si>
    <t>to starpā apstrāde ar dezinfekcijas līdzekļiem</t>
  </si>
  <si>
    <t>audiāls ieraksts</t>
  </si>
  <si>
    <t>EUR/vien bez PVN</t>
  </si>
  <si>
    <t>3.SADAĻA</t>
  </si>
  <si>
    <t>09.03.2021.-31.03.2021.</t>
  </si>
  <si>
    <t>09.03.2019.-31.03.2019.</t>
  </si>
  <si>
    <t>EUR bez PVN</t>
  </si>
  <si>
    <t>3.SADAĻĀ nosakāma kopējā ietekme uz ieņēmumu apgrozījumu, ko radījusi Covid-19 infekcijas apkarošanā radītā iedzīvotāju mobilitātes ierobežošana, pakalpojuma apjoma ierobežošana, kā arī citi ārkārtējās situācijas laikā un pēc tās noteiktie ierobežojumi atsevišķām nozarēm</t>
  </si>
  <si>
    <r>
      <rPr>
        <u/>
        <sz val="11"/>
        <rFont val="Times New Roman"/>
        <family val="1"/>
        <charset val="186"/>
      </rPr>
      <t>1 km pašizmaksa</t>
    </r>
    <r>
      <rPr>
        <sz val="11"/>
        <rFont val="Times New Roman"/>
        <family val="1"/>
        <charset val="186"/>
      </rPr>
      <t xml:space="preserve"> - atbilstoši MK 28.07.2015. noteikumu Nr.435 3.pielikumā norādītās izmaksas, izņemot šajā tabulā 2.sadaļas izmaksas par Covid-19 pandēmijas ierobežošanas pasākumiem, dalītas ar faktisko nobraukumu</t>
    </r>
  </si>
  <si>
    <r>
      <rPr>
        <u/>
        <sz val="11"/>
        <rFont val="Times New Roman"/>
        <family val="1"/>
        <charset val="186"/>
      </rPr>
      <t>Sociālā distancēšanās sabiedriskā transportā</t>
    </r>
    <r>
      <rPr>
        <sz val="11"/>
        <rFont val="Times New Roman"/>
        <family val="1"/>
        <charset val="186"/>
      </rPr>
      <t xml:space="preserve"> - sabiedriskā transporta pārvadātājam organizēt iekāpšanu un izkāpšanu tā, lai pasažieru skaits transportīdzeklī nepārsniedz 50 % no tā ietilpības. Ja transportlīdzeklī tā specifikas dēļ nav iespējams kontrolēt pasažieru iekāpšanu un izkāpšanu, transportlīdzeklī tiek marķētas sēdvietas, nodrošinot distancēšanās prasību ievērošanu - MK rīkojuma Nr.655 5.42.punkts. Ar minētajām izmaksām saprot sēdvietu marķēšanu, dažādu tam nepieciešamo materiālu izmaksas, piktogrammu vai informācijas izvietošanu. </t>
    </r>
  </si>
  <si>
    <r>
      <rPr>
        <u/>
        <sz val="11"/>
        <rFont val="Times New Roman"/>
        <family val="1"/>
        <charset val="186"/>
      </rPr>
      <t>Citi izdevumi</t>
    </r>
    <r>
      <rPr>
        <sz val="11"/>
        <rFont val="Times New Roman"/>
        <family val="1"/>
        <charset val="186"/>
      </rPr>
      <t xml:space="preserve"> - minētajā rindā norādāmas pamatotās izmaksas, kas nepieciešamas Covid-19 infekcijas izplatības ierobežošanai, to starpā var būt citi materiāli, piemēram, cimdi, mitrās salvetes, atbilstoši MK noteikumu Nr.360 5.punktā noteiktās informācijas izplatīšanas izmaksas, u.c. izmaksas.</t>
    </r>
  </si>
  <si>
    <r>
      <rPr>
        <u/>
        <sz val="11"/>
        <rFont val="Times New Roman"/>
        <family val="1"/>
        <charset val="186"/>
      </rPr>
      <t>No pasažieriem, t.sk., personām, kurām noteikti pašvaldības noteiktie braukšanas maksas atvieglojumi, saņemtie ieņēmumi</t>
    </r>
    <r>
      <rPr>
        <sz val="11"/>
        <rFont val="Times New Roman"/>
        <family val="1"/>
        <charset val="186"/>
      </rPr>
      <t xml:space="preserve"> - norāda ieņēmumi no pārdotajām biļetēm un abonementa biļetēm, kurus pārvadātājs saņem no pasažiera. Norāda arī ieņēmumu daļu, ko maksā pasažieris, ja tam pašvaldība ir noteikusi braukšanas maksas atvieglojumus. </t>
    </r>
  </si>
  <si>
    <t xml:space="preserve">(A) No pasažieriem, t.sk., personām, kurām noteikti pašvaldības noteiktie braukšanas maksas atvieglojumi, saņemtie ieņēmumi par sniegto sabiedriskā transporta pakalpojumu </t>
  </si>
  <si>
    <t xml:space="preserve">(C) No pasažieriem, t.sk., personām, kurām noteikti pašvaldības noteiktie braukšanas maksas atvieglojumi, saņemtie ieņēmumi par sniegto sabiedriskā transporta pakalpojumu </t>
  </si>
  <si>
    <t xml:space="preserve">(D) Faktiskais nobraukums </t>
  </si>
  <si>
    <t xml:space="preserve">(Z) Pakalpojumi, pasākumi un materiāli Covid-19 pandēmijas ierobežošanai </t>
  </si>
  <si>
    <t xml:space="preserve">(K) Faktiskās izmaksas Covid-19 pandēmijas ierobežošanai, t.sk. </t>
  </si>
  <si>
    <t>KOPSUMMA (1 vienības cenas reizinājums ar preču/pakalpojumu skaitu; summa ( K x Z))</t>
  </si>
  <si>
    <t xml:space="preserve">(P) Plānotais nobraukums </t>
  </si>
  <si>
    <t xml:space="preserve">(Izm) 1 km pašizmaksa </t>
  </si>
  <si>
    <t>to starpā papildu reisi (RP)</t>
  </si>
  <si>
    <t>to starpā atceltie reisi (RA)</t>
  </si>
  <si>
    <t>to starpā papildu reisos veiktais nobraukums (NP)</t>
  </si>
  <si>
    <t>to starpā atcelto reisu nobraukums (NA)</t>
  </si>
  <si>
    <t>(S) Plānotais reisu skaits</t>
  </si>
  <si>
    <t xml:space="preserve">(R) Faktiskais reisu skaits (S + RP-RA) </t>
  </si>
  <si>
    <t>(N) Faktiskais nobraukums (P + NP-NA)</t>
  </si>
  <si>
    <t>KOPSUMMA ((N - P) x Izm)</t>
  </si>
  <si>
    <t xml:space="preserve">(N) Faktiskais nobraukums </t>
  </si>
  <si>
    <t>KOPSUMMA ((C/D-A/N) x N)</t>
  </si>
  <si>
    <t xml:space="preserve">Pārskats par sabiedriskā transporta pakalpojumos radītajiem izdevumiem un zaudējumiem
sakarā ar noteiktajiem ierobežojumiem </t>
  </si>
  <si>
    <r>
      <t xml:space="preserve">Pašvaldības atbildīgās personas vārds, uzvārds, kontaktinformācija un paraksts </t>
    </r>
    <r>
      <rPr>
        <sz val="11"/>
        <color theme="0" tint="-0.499984740745262"/>
        <rFont val="Times New Roman"/>
        <family val="1"/>
        <charset val="186"/>
      </rPr>
      <t>(ja dokuments nav parakstīts ar elektroniski)</t>
    </r>
  </si>
  <si>
    <t>01.04.2021.- 30.04.2021.</t>
  </si>
  <si>
    <t>01.04.2021.-30.04.2021.</t>
  </si>
  <si>
    <t>01.04.2019.-30.04.2019.</t>
  </si>
  <si>
    <t>Citi izdevumi ( vienreizlietojami cimdi)</t>
  </si>
  <si>
    <t>Citi izdevumi (vienreizlietojami cimdi)</t>
  </si>
  <si>
    <t>Citi izdevumi (( vienreizlietojami cimdi)</t>
  </si>
  <si>
    <t>servers_ATD/STIFSS</t>
  </si>
  <si>
    <t>[Edit View]</t>
  </si>
  <si>
    <t>[Swap]</t>
  </si>
  <si>
    <t>Rādītājs</t>
  </si>
  <si>
    <t>Vērtība</t>
  </si>
  <si>
    <t>Pārvadājumu veids</t>
  </si>
  <si>
    <t>Pilsēta</t>
  </si>
  <si>
    <t>1. Faktiskie izdevumi, kas radušies saistībā ar reisu atcelšanu vai papild reisu nodrošināšanu - KOPSUMMA ((N - P) x Izm)</t>
  </si>
  <si>
    <t>Autobuss</t>
  </si>
  <si>
    <t>2. Kopējie izdevumi par Covid-19 infekcijas ierobežošanas pasākumiem - KOPSUMMA (1 vienības cenas reizinājums ar preču/pakalpojumu skaitu; summa ( K x Z))</t>
  </si>
  <si>
    <t>3. Kopējā ietekme uz ieņēmumu apgrozījumu - KOPSUMMA ((C/D-A/N) x N)</t>
  </si>
  <si>
    <t>(A) No pasažieriem, t.sk., personām, kurām noteikti pašvaldības noteiktie braukšanas maksas atvieglojumi, saņemtie ieņēmumi par sniegto sabiedriskā transporta pakalpojumu - 09.03.2021.-31.03.2021.</t>
  </si>
  <si>
    <t>(N) Faktiskais nobraukums - 09.03.2021.-31.03.2021.</t>
  </si>
  <si>
    <t>(C) No pasažieriem, t.sk., personām, kurām noteikti pašvaldības noteiktie braukšanas maksas atvieglojumi, saņemtie ieņēmumi par sniegto sabiedriskā transporta pakalpojumu - 09.03.2019.-31.03.2019.</t>
  </si>
  <si>
    <t>(D) Faktiskais nobraukums - 09.03.2019.-31.03.2019.</t>
  </si>
  <si>
    <t>Aprīlis</t>
  </si>
  <si>
    <t>(A) No pasažieriem, t.sk., personām, kurām noteikti pašvaldības noteiktie braukšanas maksas atvieglojumi, saņemtie ieņēmumi par sniegto sabiedriskā transporta pakalpojumu - 01.04.2021.-30.04.2021.</t>
  </si>
  <si>
    <t>(N) Faktiskais nobraukums - 01.04.2021.-30.04.2021.</t>
  </si>
  <si>
    <t>(C) No pasažieriem, t.sk., personām, kurām noteikti pašvaldības noteiktie braukšanas maksas atvieglojumi, saņemtie ieņēmumi par sniegto sabiedriskā transporta pakalpojumu - 01.04.2019.-30.04.2019.</t>
  </si>
  <si>
    <t>(D) Faktiskais nobraukums - 01.04.2019.-30.04.2019.</t>
  </si>
  <si>
    <t>Maijs</t>
  </si>
  <si>
    <t>(A) No pasažieriem, t.sk., personām, kurām noteikti pašvaldības noteiktie braukšanas maksas atvieglojumi, saņemtie ieņēmumi par sniegto sabiedriskā transporta pakalpojumu - 01.05.2021.-31.05.2021.</t>
  </si>
  <si>
    <t>(N) Faktiskais nobraukums - 01.05.2021.-31.05.2021.</t>
  </si>
  <si>
    <t>(C) No pasažieriem, t.sk., personām, kurām noteikti pašvaldības noteiktie braukšanas maksas atvieglojumi, saņemtie ieņēmumi par sniegto sabiedriskā transporta pakalpojumu - 01.05.2019.-31.05.2019.</t>
  </si>
  <si>
    <t>(D) Faktiskais nobraukums - 01.05.2019.-31.05.2019.</t>
  </si>
  <si>
    <t>Jūnijs</t>
  </si>
  <si>
    <t>(A) No pasažieriem, t.sk., personām, kurām noteikti pašvaldības noteiktie braukšanas maksas atvieglojumi, saņemtie ieņēmumi par sniegto sabiedriskā transporta pakalpojumu - 01.06.2021.-30.06.2021.</t>
  </si>
  <si>
    <t>(N) Faktiskais nobraukums - 01.06.2021.-30.06.2021.</t>
  </si>
  <si>
    <t>(C) No pasažieriem, t.sk., personām, kurām noteikti pašvaldības noteiktie braukšanas maksas atvieglojumi, saņemtie ieņēmumi par sniegto sabiedriskā transporta pakalpojumu - 01.06.2019.-30.06.2019.</t>
  </si>
  <si>
    <t>(D) Faktiskais nobraukums - 01.06.2019.-30.06.2019.</t>
  </si>
  <si>
    <t>Rēzekne</t>
  </si>
  <si>
    <t>Row Labels</t>
  </si>
  <si>
    <t>Grand Total</t>
  </si>
  <si>
    <t>Sum of Vērtība</t>
  </si>
  <si>
    <t>Column Labels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</si>
</sst>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quot;DB: &quot;@"/>
    <numFmt numFmtId="165" formatCode="&quot;&quot;;;;&quot;Cube: PnL_&quot;"/>
    <numFmt numFmtId="166" formatCode=";;;"/>
  </numFmts>
  <fonts count="21" x14ac:knownFonts="1">
    <font>
      <sz val="11"/>
      <name val="Calibri"/>
      <family val="2"/>
    </font>
    <font>
      <sz val="11"/>
      <color theme="1"/>
      <name val="Times New Roman"/>
      <family val="1"/>
      <charset val="186"/>
    </font>
    <font>
      <b/>
      <sz val="11"/>
      <color theme="1"/>
      <name val="Times New Roman"/>
      <family val="1"/>
      <charset val="186"/>
    </font>
    <font>
      <b/>
      <sz val="11"/>
      <name val="Times New Roman"/>
      <family val="1"/>
      <charset val="186"/>
    </font>
    <font>
      <sz val="11"/>
      <name val="Times New Roman"/>
      <family val="1"/>
      <charset val="186"/>
    </font>
    <font>
      <vertAlign val="superscript"/>
      <sz val="11"/>
      <name val="Times New Roman"/>
      <family val="1"/>
      <charset val="186"/>
    </font>
    <font>
      <u/>
      <sz val="11"/>
      <name val="Times New Roman"/>
      <family val="1"/>
      <charset val="186"/>
    </font>
    <font>
      <i/>
      <sz val="11"/>
      <name val="Times New Roman"/>
      <family val="1"/>
      <charset val="186"/>
    </font>
    <font>
      <b/>
      <sz val="14"/>
      <color theme="1"/>
      <name val="Times New Roman"/>
      <family val="1"/>
      <charset val="186"/>
    </font>
    <font>
      <sz val="11"/>
      <color theme="0" tint="-0.499984740745262"/>
      <name val="Times New Roman"/>
      <family val="1"/>
      <charset val="186"/>
    </font>
    <font>
      <sz val="9"/>
      <color rgb="FF004C93"/>
      <name val="Segoe UI"/>
      <family val="2"/>
    </font>
    <font>
      <sz val="11"/>
      <name val="Calibri"/>
      <family val="2"/>
    </font>
    <font>
      <b/>
      <sz val="9"/>
      <color rgb="FF004C93"/>
      <name val="Segoe UI"/>
      <family val="2"/>
      <charset val="186"/>
    </font>
    <font>
      <sz val="9"/>
      <color rgb="FF004C93"/>
      <name val="Segoe UI"/>
      <family val="2"/>
      <charset val="186"/>
    </font>
    <font>
      <sz val="9"/>
      <color theme="0"/>
      <name val="Segoe UI"/>
      <family val="2"/>
    </font>
    <font>
      <sz val="9"/>
      <name val="Segoe UI"/>
      <family val="2"/>
    </font>
    <font>
      <b/>
      <sz val="10"/>
      <color indexed="9"/>
      <name val="Arial"/>
      <family val="2"/>
    </font>
    <font>
      <i/>
      <sz val="9"/>
      <name val="Segoe UI"/>
      <family val="2"/>
    </font>
    <font>
      <b/>
      <sz val="12"/>
      <name val="Calibri"/>
      <family val="2"/>
      <charset val="186"/>
    </font>
    <font>
      <b/>
      <sz val="12"/>
      <name val="Times New Roman"/>
      <family val="1"/>
      <charset val="186"/>
    </font>
    <font>
      <b/>
      <sz val="11"/>
      <name val="Calibri"/>
      <family val="2"/>
      <charset val="186"/>
    </font>
  </fonts>
  <fills count="8">
    <fill>
      <patternFill patternType="none"/>
    </fill>
    <fill>
      <patternFill patternType="gray125"/>
    </fill>
    <fill>
      <patternFill patternType="solid">
        <fgColor theme="9" tint="0.79998168889431442"/>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rgb="FF0072AB"/>
        <bgColor indexed="64"/>
      </patternFill>
    </fill>
    <fill>
      <patternFill patternType="solid">
        <fgColor indexed="9"/>
        <bgColor indexed="64"/>
      </patternFill>
    </fill>
    <fill>
      <patternFill patternType="solid">
        <fgColor rgb="FFD2D2D2"/>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bottom style="thin">
        <color indexed="64"/>
      </bottom>
      <diagonal/>
    </border>
    <border>
      <left/>
      <right/>
      <top/>
      <bottom style="double">
        <color indexed="64"/>
      </bottom>
      <diagonal/>
    </border>
    <border>
      <left/>
      <right/>
      <top/>
      <bottom style="thin">
        <color rgb="FFE8F7FE"/>
      </bottom>
      <diagonal/>
    </border>
    <border>
      <left/>
      <right/>
      <top style="thin">
        <color rgb="FFE8F7FE"/>
      </top>
      <bottom/>
      <diagonal/>
    </border>
    <border>
      <left style="thin">
        <color rgb="FFE8F7FE"/>
      </left>
      <right style="thin">
        <color rgb="FFE8F7FE"/>
      </right>
      <top style="thin">
        <color rgb="FFE8F7FE"/>
      </top>
      <bottom style="thin">
        <color rgb="FFE8F7FE"/>
      </bottom>
      <diagonal/>
    </border>
    <border>
      <left style="thin">
        <color theme="0"/>
      </left>
      <right style="thin">
        <color theme="0"/>
      </right>
      <top/>
      <bottom/>
      <diagonal/>
    </border>
    <border>
      <left/>
      <right/>
      <top/>
      <bottom style="hair">
        <color rgb="FF004C93"/>
      </bottom>
      <diagonal/>
    </border>
    <border>
      <left/>
      <right/>
      <top style="hair">
        <color rgb="FF004C93"/>
      </top>
      <bottom style="hair">
        <color rgb="FFE8F7FE"/>
      </bottom>
      <diagonal/>
    </border>
    <border>
      <left/>
      <right/>
      <top style="hair">
        <color rgb="FFD7F1FD"/>
      </top>
      <bottom/>
      <diagonal/>
    </border>
    <border>
      <left/>
      <right style="thin">
        <color theme="0"/>
      </right>
      <top style="hair">
        <color rgb="FFD7F1FD"/>
      </top>
      <bottom/>
      <diagonal/>
    </border>
    <border>
      <left/>
      <right/>
      <top style="thin">
        <color theme="0"/>
      </top>
      <bottom style="thin">
        <color theme="0"/>
      </bottom>
      <diagonal/>
    </border>
    <border>
      <left/>
      <right style="thin">
        <color theme="0"/>
      </right>
      <top style="thin">
        <color theme="0"/>
      </top>
      <bottom/>
      <diagonal/>
    </border>
  </borders>
  <cellStyleXfs count="26">
    <xf numFmtId="0" fontId="0" fillId="0" borderId="0"/>
    <xf numFmtId="0" fontId="10" fillId="0" borderId="0">
      <alignment horizontal="center"/>
    </xf>
    <xf numFmtId="0" fontId="11" fillId="0" borderId="0"/>
    <xf numFmtId="0" fontId="10" fillId="0" borderId="26">
      <alignment horizontal="center"/>
    </xf>
    <xf numFmtId="0" fontId="10" fillId="0" borderId="27">
      <alignment horizontal="center"/>
    </xf>
    <xf numFmtId="0" fontId="14" fillId="5" borderId="28">
      <alignment horizontal="center" vertical="center"/>
    </xf>
    <xf numFmtId="0" fontId="10" fillId="0" borderId="0">
      <alignment horizontal="right"/>
    </xf>
    <xf numFmtId="166" fontId="10" fillId="0" borderId="29">
      <alignment horizontal="left"/>
    </xf>
    <xf numFmtId="0" fontId="10" fillId="0" borderId="30">
      <alignment horizontal="right"/>
    </xf>
    <xf numFmtId="0" fontId="10" fillId="0" borderId="31">
      <alignment horizontal="left"/>
    </xf>
    <xf numFmtId="3" fontId="15" fillId="6" borderId="32"/>
    <xf numFmtId="0" fontId="10" fillId="0" borderId="0">
      <alignment horizontal="right"/>
    </xf>
    <xf numFmtId="0" fontId="10" fillId="0" borderId="0">
      <alignment horizontal="right"/>
    </xf>
    <xf numFmtId="0" fontId="10" fillId="0" borderId="26">
      <alignment horizontal="left"/>
    </xf>
    <xf numFmtId="0" fontId="10" fillId="0" borderId="33">
      <alignment horizontal="left"/>
    </xf>
    <xf numFmtId="0" fontId="10" fillId="0" borderId="33">
      <alignment horizontal="left"/>
    </xf>
    <xf numFmtId="166" fontId="10" fillId="0" borderId="29">
      <alignment horizontal="left"/>
    </xf>
    <xf numFmtId="166" fontId="16" fillId="0" borderId="29">
      <alignment horizontal="left"/>
    </xf>
    <xf numFmtId="166" fontId="10" fillId="0" borderId="34"/>
    <xf numFmtId="166" fontId="10" fillId="0" borderId="35"/>
    <xf numFmtId="166" fontId="10" fillId="0" borderId="35"/>
    <xf numFmtId="0" fontId="10" fillId="0" borderId="0">
      <alignment horizontal="right"/>
    </xf>
    <xf numFmtId="0" fontId="10" fillId="0" borderId="0">
      <alignment horizontal="right"/>
    </xf>
    <xf numFmtId="3" fontId="17" fillId="7" borderId="0"/>
    <xf numFmtId="0" fontId="10" fillId="0" borderId="31">
      <alignment horizontal="left"/>
    </xf>
    <xf numFmtId="0" fontId="10" fillId="0" borderId="31">
      <alignment horizontal="left"/>
    </xf>
  </cellStyleXfs>
  <cellXfs count="253">
    <xf numFmtId="0" fontId="0" fillId="0" borderId="0" xfId="0"/>
    <xf numFmtId="0" fontId="1" fillId="0" borderId="0" xfId="0" applyFont="1"/>
    <xf numFmtId="0" fontId="1" fillId="2" borderId="1" xfId="0" applyFont="1" applyFill="1" applyBorder="1" applyAlignment="1">
      <alignment wrapText="1"/>
    </xf>
    <xf numFmtId="0" fontId="1" fillId="2" borderId="1" xfId="0" applyFont="1" applyFill="1" applyBorder="1" applyAlignment="1">
      <alignment horizontal="center"/>
    </xf>
    <xf numFmtId="0" fontId="1" fillId="2" borderId="1" xfId="0" applyFont="1" applyFill="1" applyBorder="1"/>
    <xf numFmtId="0" fontId="1" fillId="2" borderId="1" xfId="0" applyFont="1" applyFill="1" applyBorder="1" applyAlignment="1">
      <alignment horizontal="right"/>
    </xf>
    <xf numFmtId="0" fontId="1" fillId="2" borderId="1" xfId="0" applyFont="1" applyFill="1" applyBorder="1" applyAlignment="1">
      <alignment horizontal="right" wrapText="1"/>
    </xf>
    <xf numFmtId="0" fontId="4" fillId="3" borderId="1" xfId="0" applyFont="1" applyFill="1" applyBorder="1" applyAlignment="1">
      <alignment wrapText="1"/>
    </xf>
    <xf numFmtId="0" fontId="4" fillId="3" borderId="1" xfId="0" applyFont="1" applyFill="1" applyBorder="1" applyAlignment="1">
      <alignment horizontal="right"/>
    </xf>
    <xf numFmtId="0" fontId="4" fillId="3" borderId="1" xfId="0" applyFont="1" applyFill="1" applyBorder="1" applyAlignment="1">
      <alignment horizontal="right" wrapText="1"/>
    </xf>
    <xf numFmtId="0" fontId="2" fillId="2" borderId="1" xfId="0" applyFont="1" applyFill="1" applyBorder="1" applyAlignment="1">
      <alignment vertical="center"/>
    </xf>
    <xf numFmtId="0" fontId="2" fillId="0" borderId="0" xfId="0" applyFont="1"/>
    <xf numFmtId="0" fontId="2" fillId="0" borderId="1" xfId="0" applyFont="1" applyBorder="1" applyAlignment="1">
      <alignment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4" fillId="0" borderId="0" xfId="0" applyFont="1"/>
    <xf numFmtId="4" fontId="1" fillId="2" borderId="1" xfId="0" applyNumberFormat="1" applyFont="1" applyFill="1" applyBorder="1" applyAlignment="1">
      <alignment horizontal="center"/>
    </xf>
    <xf numFmtId="4" fontId="1" fillId="2" borderId="1" xfId="0" applyNumberFormat="1" applyFont="1" applyFill="1" applyBorder="1" applyAlignment="1">
      <alignment horizontal="center" wrapText="1"/>
    </xf>
    <xf numFmtId="4" fontId="4" fillId="3" borderId="1" xfId="0" applyNumberFormat="1" applyFont="1" applyFill="1" applyBorder="1" applyAlignment="1">
      <alignment horizontal="center"/>
    </xf>
    <xf numFmtId="2" fontId="1" fillId="2" borderId="1" xfId="0" applyNumberFormat="1" applyFont="1" applyFill="1" applyBorder="1" applyAlignment="1">
      <alignment horizontal="center"/>
    </xf>
    <xf numFmtId="2" fontId="4" fillId="3" borderId="1" xfId="0" applyNumberFormat="1" applyFont="1" applyFill="1" applyBorder="1" applyAlignment="1">
      <alignment horizontal="center"/>
    </xf>
    <xf numFmtId="0" fontId="4" fillId="3" borderId="1" xfId="0" applyFont="1" applyFill="1" applyBorder="1" applyAlignment="1">
      <alignment horizontal="center" vertical="center" wrapText="1"/>
    </xf>
    <xf numFmtId="0" fontId="7" fillId="3" borderId="1" xfId="0" applyFont="1" applyFill="1" applyBorder="1" applyAlignment="1">
      <alignment horizontal="right"/>
    </xf>
    <xf numFmtId="0" fontId="7" fillId="3" borderId="1" xfId="0" applyFont="1" applyFill="1" applyBorder="1" applyAlignment="1">
      <alignment horizontal="right" wrapText="1"/>
    </xf>
    <xf numFmtId="0" fontId="4" fillId="3" borderId="1" xfId="0" applyFont="1" applyFill="1" applyBorder="1" applyAlignment="1">
      <alignment horizontal="center" vertical="center"/>
    </xf>
    <xf numFmtId="4" fontId="2" fillId="2" borderId="1" xfId="0" applyNumberFormat="1" applyFont="1" applyFill="1" applyBorder="1" applyAlignment="1">
      <alignment horizontal="center" vertical="center"/>
    </xf>
    <xf numFmtId="4" fontId="3" fillId="3" borderId="1" xfId="0" applyNumberFormat="1" applyFont="1" applyFill="1" applyBorder="1" applyAlignment="1">
      <alignment horizontal="center"/>
    </xf>
    <xf numFmtId="0" fontId="4" fillId="0" borderId="0" xfId="0" applyFont="1" applyAlignment="1">
      <alignment horizontal="left" wrapText="1"/>
    </xf>
    <xf numFmtId="0" fontId="1" fillId="4" borderId="1" xfId="0" applyFont="1" applyFill="1" applyBorder="1"/>
    <xf numFmtId="0" fontId="1" fillId="4" borderId="1" xfId="0" applyFont="1" applyFill="1" applyBorder="1" applyAlignment="1">
      <alignment wrapText="1"/>
    </xf>
    <xf numFmtId="0" fontId="1" fillId="4" borderId="1" xfId="0" applyFont="1" applyFill="1" applyBorder="1" applyAlignment="1">
      <alignment horizontal="center" wrapText="1"/>
    </xf>
    <xf numFmtId="0" fontId="2" fillId="4" borderId="1" xfId="0" applyFont="1" applyFill="1" applyBorder="1"/>
    <xf numFmtId="3" fontId="1" fillId="4" borderId="1" xfId="0" applyNumberFormat="1" applyFont="1" applyFill="1" applyBorder="1" applyAlignment="1">
      <alignment horizontal="center"/>
    </xf>
    <xf numFmtId="0" fontId="3" fillId="0" borderId="0" xfId="0" applyFont="1"/>
    <xf numFmtId="0" fontId="3" fillId="3" borderId="1" xfId="0" applyFont="1" applyFill="1" applyBorder="1" applyAlignment="1">
      <alignment wrapText="1"/>
    </xf>
    <xf numFmtId="0" fontId="4" fillId="3" borderId="7" xfId="0" applyFont="1" applyFill="1" applyBorder="1" applyAlignment="1">
      <alignment wrapText="1"/>
    </xf>
    <xf numFmtId="2" fontId="4" fillId="3" borderId="9" xfId="0" applyNumberFormat="1" applyFont="1" applyFill="1" applyBorder="1" applyAlignment="1">
      <alignment horizontal="center"/>
    </xf>
    <xf numFmtId="2" fontId="4" fillId="3" borderId="10" xfId="0" applyNumberFormat="1" applyFont="1" applyFill="1" applyBorder="1" applyAlignment="1">
      <alignment horizontal="center"/>
    </xf>
    <xf numFmtId="0" fontId="4" fillId="3" borderId="11" xfId="0" applyFont="1" applyFill="1" applyBorder="1" applyAlignment="1">
      <alignment horizontal="right"/>
    </xf>
    <xf numFmtId="2" fontId="4" fillId="3" borderId="12" xfId="0" applyNumberFormat="1" applyFont="1" applyFill="1" applyBorder="1" applyAlignment="1">
      <alignment horizontal="center"/>
    </xf>
    <xf numFmtId="0" fontId="4" fillId="3" borderId="11" xfId="0" applyFont="1" applyFill="1" applyBorder="1" applyAlignment="1">
      <alignment horizontal="right" wrapText="1"/>
    </xf>
    <xf numFmtId="0" fontId="4" fillId="3" borderId="13" xfId="0" applyFont="1" applyFill="1" applyBorder="1" applyAlignment="1">
      <alignment horizontal="right"/>
    </xf>
    <xf numFmtId="2" fontId="4" fillId="3" borderId="15" xfId="0" applyNumberFormat="1" applyFont="1" applyFill="1" applyBorder="1" applyAlignment="1">
      <alignment horizontal="center"/>
    </xf>
    <xf numFmtId="2" fontId="4" fillId="3" borderId="16" xfId="0" applyNumberFormat="1" applyFont="1" applyFill="1" applyBorder="1" applyAlignment="1">
      <alignment horizontal="center"/>
    </xf>
    <xf numFmtId="0" fontId="3" fillId="3" borderId="17" xfId="0" applyFont="1" applyFill="1" applyBorder="1"/>
    <xf numFmtId="0" fontId="4" fillId="3" borderId="18" xfId="0" applyFont="1" applyFill="1" applyBorder="1" applyAlignment="1">
      <alignment wrapText="1"/>
    </xf>
    <xf numFmtId="2" fontId="4" fillId="3" borderId="4" xfId="0" applyNumberFormat="1" applyFont="1" applyFill="1" applyBorder="1" applyAlignment="1">
      <alignment horizontal="center"/>
    </xf>
    <xf numFmtId="2" fontId="4" fillId="3" borderId="19" xfId="0" applyNumberFormat="1" applyFont="1" applyFill="1" applyBorder="1" applyAlignment="1">
      <alignment horizontal="center"/>
    </xf>
    <xf numFmtId="0" fontId="3" fillId="3" borderId="20" xfId="0" applyFont="1" applyFill="1" applyBorder="1" applyAlignment="1">
      <alignment wrapText="1"/>
    </xf>
    <xf numFmtId="0" fontId="3" fillId="3" borderId="21" xfId="0" applyFont="1" applyFill="1" applyBorder="1" applyAlignment="1">
      <alignment horizontal="center"/>
    </xf>
    <xf numFmtId="2" fontId="3" fillId="3" borderId="21" xfId="0" applyNumberFormat="1" applyFont="1" applyFill="1" applyBorder="1" applyAlignment="1">
      <alignment horizontal="center"/>
    </xf>
    <xf numFmtId="2" fontId="3" fillId="3" borderId="22" xfId="0" applyNumberFormat="1" applyFont="1" applyFill="1" applyBorder="1" applyAlignment="1">
      <alignment horizontal="center"/>
    </xf>
    <xf numFmtId="0" fontId="2" fillId="2" borderId="17" xfId="0" applyFont="1" applyFill="1" applyBorder="1" applyAlignment="1">
      <alignment vertical="center"/>
    </xf>
    <xf numFmtId="0" fontId="2" fillId="0" borderId="2" xfId="0" applyFont="1" applyBorder="1" applyAlignment="1">
      <alignment vertical="center"/>
    </xf>
    <xf numFmtId="0" fontId="2" fillId="0" borderId="2" xfId="0" applyFont="1" applyBorder="1" applyAlignment="1">
      <alignment horizontal="center" vertical="center"/>
    </xf>
    <xf numFmtId="0" fontId="2" fillId="0" borderId="2" xfId="0" applyFont="1" applyBorder="1" applyAlignment="1">
      <alignment horizontal="center" vertical="center" wrapText="1"/>
    </xf>
    <xf numFmtId="2" fontId="1" fillId="2" borderId="12" xfId="0" applyNumberFormat="1" applyFont="1" applyFill="1" applyBorder="1" applyAlignment="1">
      <alignment horizontal="center"/>
    </xf>
    <xf numFmtId="0" fontId="1" fillId="2" borderId="11" xfId="0" applyFont="1" applyFill="1" applyBorder="1"/>
    <xf numFmtId="0" fontId="1" fillId="2" borderId="11" xfId="0" applyFont="1" applyFill="1" applyBorder="1" applyAlignment="1">
      <alignment horizontal="right"/>
    </xf>
    <xf numFmtId="0" fontId="1" fillId="2" borderId="11" xfId="0" applyFont="1" applyFill="1" applyBorder="1" applyAlignment="1">
      <alignment horizontal="right" wrapText="1"/>
    </xf>
    <xf numFmtId="0" fontId="1" fillId="2" borderId="13" xfId="0" applyFont="1" applyFill="1" applyBorder="1"/>
    <xf numFmtId="0" fontId="1" fillId="2" borderId="15" xfId="0" applyFont="1" applyFill="1" applyBorder="1" applyAlignment="1">
      <alignment horizontal="center"/>
    </xf>
    <xf numFmtId="2" fontId="1" fillId="2" borderId="15" xfId="0" applyNumberFormat="1" applyFont="1" applyFill="1" applyBorder="1" applyAlignment="1">
      <alignment horizontal="center"/>
    </xf>
    <xf numFmtId="2" fontId="1" fillId="2" borderId="16" xfId="0" applyNumberFormat="1" applyFont="1" applyFill="1" applyBorder="1" applyAlignment="1">
      <alignment horizontal="center"/>
    </xf>
    <xf numFmtId="0" fontId="2" fillId="4" borderId="23" xfId="0" applyFont="1" applyFill="1" applyBorder="1"/>
    <xf numFmtId="0" fontId="1" fillId="4" borderId="15" xfId="0" applyFont="1" applyFill="1" applyBorder="1"/>
    <xf numFmtId="0" fontId="1" fillId="4" borderId="16" xfId="0" applyFont="1" applyFill="1" applyBorder="1"/>
    <xf numFmtId="0" fontId="1" fillId="2" borderId="18" xfId="0" applyFont="1" applyFill="1" applyBorder="1" applyAlignment="1">
      <alignment wrapText="1"/>
    </xf>
    <xf numFmtId="2" fontId="1" fillId="2" borderId="4" xfId="0" applyNumberFormat="1" applyFont="1" applyFill="1" applyBorder="1" applyAlignment="1">
      <alignment horizontal="center"/>
    </xf>
    <xf numFmtId="2" fontId="1" fillId="2" borderId="4" xfId="0" applyNumberFormat="1" applyFont="1" applyFill="1" applyBorder="1" applyAlignment="1">
      <alignment horizontal="center" wrapText="1"/>
    </xf>
    <xf numFmtId="2" fontId="1" fillId="2" borderId="19" xfId="0" applyNumberFormat="1" applyFont="1" applyFill="1" applyBorder="1" applyAlignment="1">
      <alignment horizontal="center"/>
    </xf>
    <xf numFmtId="0" fontId="2" fillId="2" borderId="20" xfId="0" applyFont="1" applyFill="1" applyBorder="1" applyAlignment="1">
      <alignment vertical="center"/>
    </xf>
    <xf numFmtId="0" fontId="2" fillId="2" borderId="21" xfId="0" applyFont="1" applyFill="1" applyBorder="1" applyAlignment="1">
      <alignment horizontal="center" vertical="center"/>
    </xf>
    <xf numFmtId="2" fontId="2" fillId="2" borderId="21" xfId="0" applyNumberFormat="1" applyFont="1" applyFill="1" applyBorder="1" applyAlignment="1">
      <alignment horizontal="center" vertical="center"/>
    </xf>
    <xf numFmtId="2" fontId="2" fillId="2" borderId="22" xfId="0" applyNumberFormat="1" applyFont="1" applyFill="1" applyBorder="1" applyAlignment="1">
      <alignment horizontal="center" vertical="center"/>
    </xf>
    <xf numFmtId="0" fontId="1" fillId="4" borderId="15" xfId="0" applyFont="1" applyFill="1" applyBorder="1" applyAlignment="1">
      <alignment horizontal="center" vertical="center" wrapText="1"/>
    </xf>
    <xf numFmtId="0" fontId="1" fillId="4" borderId="0" xfId="0" applyFont="1" applyFill="1" applyBorder="1"/>
    <xf numFmtId="4" fontId="2" fillId="4" borderId="1" xfId="0" applyNumberFormat="1" applyFont="1" applyFill="1" applyBorder="1" applyAlignment="1">
      <alignment horizontal="center"/>
    </xf>
    <xf numFmtId="0" fontId="1" fillId="4" borderId="1" xfId="0" applyFont="1" applyFill="1" applyBorder="1" applyAlignment="1">
      <alignment horizontal="center" vertical="center" wrapText="1"/>
    </xf>
    <xf numFmtId="0" fontId="1" fillId="2" borderId="23" xfId="0" applyFont="1" applyFill="1" applyBorder="1" applyAlignment="1">
      <alignment horizontal="center" wrapText="1"/>
    </xf>
    <xf numFmtId="0" fontId="2" fillId="4" borderId="7" xfId="0" applyFont="1" applyFill="1" applyBorder="1"/>
    <xf numFmtId="0" fontId="2" fillId="4" borderId="9" xfId="0" applyFont="1" applyFill="1" applyBorder="1"/>
    <xf numFmtId="4" fontId="2" fillId="4" borderId="9" xfId="0" applyNumberFormat="1" applyFont="1" applyFill="1" applyBorder="1" applyAlignment="1">
      <alignment horizontal="center"/>
    </xf>
    <xf numFmtId="4" fontId="2" fillId="4" borderId="10" xfId="0" applyNumberFormat="1" applyFont="1" applyFill="1" applyBorder="1" applyAlignment="1">
      <alignment horizontal="center"/>
    </xf>
    <xf numFmtId="0" fontId="1" fillId="4" borderId="11" xfId="0" applyFont="1" applyFill="1" applyBorder="1" applyAlignment="1">
      <alignment wrapText="1"/>
    </xf>
    <xf numFmtId="0" fontId="1" fillId="4" borderId="12" xfId="0" applyFont="1" applyFill="1" applyBorder="1"/>
    <xf numFmtId="0" fontId="1" fillId="4" borderId="13" xfId="0" applyFont="1" applyFill="1" applyBorder="1" applyAlignment="1">
      <alignment wrapText="1"/>
    </xf>
    <xf numFmtId="3" fontId="1" fillId="4" borderId="15" xfId="0" applyNumberFormat="1" applyFont="1" applyFill="1" applyBorder="1" applyAlignment="1">
      <alignment horizontal="center"/>
    </xf>
    <xf numFmtId="0" fontId="2" fillId="2" borderId="1" xfId="0" applyFont="1" applyFill="1" applyBorder="1" applyAlignment="1">
      <alignment horizontal="center" vertical="center"/>
    </xf>
    <xf numFmtId="0" fontId="3" fillId="3" borderId="1" xfId="0" applyFont="1" applyFill="1" applyBorder="1"/>
    <xf numFmtId="0" fontId="3" fillId="3" borderId="1" xfId="0" applyFont="1" applyFill="1" applyBorder="1" applyAlignment="1">
      <alignment horizontal="center"/>
    </xf>
    <xf numFmtId="0" fontId="4" fillId="3" borderId="1" xfId="0" applyFont="1" applyFill="1" applyBorder="1" applyAlignment="1">
      <alignment vertical="center"/>
    </xf>
    <xf numFmtId="0" fontId="4" fillId="3" borderId="1" xfId="0" applyFont="1" applyFill="1" applyBorder="1"/>
    <xf numFmtId="0" fontId="1" fillId="4" borderId="1" xfId="0" applyFont="1" applyFill="1" applyBorder="1" applyAlignment="1">
      <alignment horizontal="center" vertical="center" wrapText="1"/>
    </xf>
    <xf numFmtId="0" fontId="1" fillId="0" borderId="25" xfId="0" applyFont="1" applyBorder="1"/>
    <xf numFmtId="0" fontId="2" fillId="0" borderId="25" xfId="0" applyFont="1" applyBorder="1"/>
    <xf numFmtId="0" fontId="1" fillId="4" borderId="1" xfId="0" applyFont="1" applyFill="1" applyBorder="1" applyAlignment="1">
      <alignment horizontal="center" vertical="center" wrapText="1"/>
    </xf>
    <xf numFmtId="0" fontId="1" fillId="4" borderId="0" xfId="0" applyFont="1" applyFill="1"/>
    <xf numFmtId="0" fontId="2" fillId="0" borderId="1" xfId="0" applyFont="1" applyBorder="1" applyAlignment="1">
      <alignment horizontal="center" vertical="top"/>
    </xf>
    <xf numFmtId="0" fontId="2" fillId="0" borderId="2" xfId="0" applyFont="1" applyBorder="1" applyAlignment="1">
      <alignment horizontal="center" vertical="top"/>
    </xf>
    <xf numFmtId="0" fontId="2" fillId="0" borderId="2" xfId="0" applyFont="1" applyBorder="1" applyAlignment="1">
      <alignment horizontal="center" vertical="top" wrapText="1"/>
    </xf>
    <xf numFmtId="0" fontId="0" fillId="0" borderId="0" xfId="0" applyAlignment="1">
      <alignment horizontal="center" vertical="top"/>
    </xf>
    <xf numFmtId="0" fontId="2" fillId="2" borderId="17" xfId="0" applyFont="1" applyFill="1" applyBorder="1" applyAlignment="1">
      <alignment horizontal="center" vertical="top"/>
    </xf>
    <xf numFmtId="0" fontId="2" fillId="2" borderId="20" xfId="0" applyFont="1" applyFill="1" applyBorder="1" applyAlignment="1">
      <alignment horizontal="center" vertical="top"/>
    </xf>
    <xf numFmtId="0" fontId="2" fillId="2" borderId="21" xfId="0" applyFont="1" applyFill="1" applyBorder="1" applyAlignment="1">
      <alignment horizontal="center" vertical="top"/>
    </xf>
    <xf numFmtId="2" fontId="2" fillId="2" borderId="21" xfId="0" applyNumberFormat="1" applyFont="1" applyFill="1" applyBorder="1" applyAlignment="1">
      <alignment horizontal="center" vertical="top"/>
    </xf>
    <xf numFmtId="2" fontId="2" fillId="2" borderId="22" xfId="0" applyNumberFormat="1" applyFont="1" applyFill="1" applyBorder="1" applyAlignment="1">
      <alignment horizontal="center" vertical="top"/>
    </xf>
    <xf numFmtId="0" fontId="1" fillId="2" borderId="18" xfId="0" applyFont="1" applyFill="1" applyBorder="1" applyAlignment="1">
      <alignment horizontal="center" vertical="top" wrapText="1"/>
    </xf>
    <xf numFmtId="2" fontId="1" fillId="2" borderId="4" xfId="0" applyNumberFormat="1" applyFont="1" applyFill="1" applyBorder="1" applyAlignment="1">
      <alignment horizontal="center" vertical="top"/>
    </xf>
    <xf numFmtId="2" fontId="1" fillId="2" borderId="4" xfId="0" applyNumberFormat="1" applyFont="1" applyFill="1" applyBorder="1" applyAlignment="1">
      <alignment horizontal="center" vertical="top" wrapText="1"/>
    </xf>
    <xf numFmtId="2" fontId="1" fillId="2" borderId="19" xfId="0" applyNumberFormat="1" applyFont="1" applyFill="1" applyBorder="1" applyAlignment="1">
      <alignment horizontal="center" vertical="top"/>
    </xf>
    <xf numFmtId="0" fontId="1" fillId="2" borderId="11" xfId="0" applyFont="1" applyFill="1" applyBorder="1" applyAlignment="1">
      <alignment horizontal="center" vertical="top"/>
    </xf>
    <xf numFmtId="2" fontId="1" fillId="2" borderId="1" xfId="0" applyNumberFormat="1" applyFont="1" applyFill="1" applyBorder="1" applyAlignment="1">
      <alignment horizontal="center" vertical="top"/>
    </xf>
    <xf numFmtId="2" fontId="1" fillId="2" borderId="12" xfId="0" applyNumberFormat="1" applyFont="1" applyFill="1" applyBorder="1" applyAlignment="1">
      <alignment horizontal="center" vertical="top"/>
    </xf>
    <xf numFmtId="0" fontId="1" fillId="2" borderId="11" xfId="0" applyFont="1" applyFill="1" applyBorder="1" applyAlignment="1">
      <alignment horizontal="center" vertical="top" wrapText="1"/>
    </xf>
    <xf numFmtId="0" fontId="1" fillId="2" borderId="23" xfId="0" applyFont="1" applyFill="1" applyBorder="1" applyAlignment="1">
      <alignment horizontal="center" vertical="top" wrapText="1"/>
    </xf>
    <xf numFmtId="0" fontId="1" fillId="2" borderId="13" xfId="0" applyFont="1" applyFill="1" applyBorder="1" applyAlignment="1">
      <alignment horizontal="center" vertical="top"/>
    </xf>
    <xf numFmtId="0" fontId="1" fillId="2" borderId="15" xfId="0" applyFont="1" applyFill="1" applyBorder="1" applyAlignment="1">
      <alignment horizontal="center" vertical="top"/>
    </xf>
    <xf numFmtId="2" fontId="1" fillId="2" borderId="15" xfId="0" applyNumberFormat="1" applyFont="1" applyFill="1" applyBorder="1" applyAlignment="1">
      <alignment horizontal="center" vertical="top"/>
    </xf>
    <xf numFmtId="2" fontId="1" fillId="2" borderId="16" xfId="0" applyNumberFormat="1" applyFont="1" applyFill="1" applyBorder="1" applyAlignment="1">
      <alignment horizontal="center" vertical="top"/>
    </xf>
    <xf numFmtId="0" fontId="3" fillId="3" borderId="17" xfId="0" applyFont="1" applyFill="1" applyBorder="1" applyAlignment="1">
      <alignment horizontal="center" vertical="top"/>
    </xf>
    <xf numFmtId="0" fontId="3" fillId="3" borderId="20" xfId="0" applyFont="1" applyFill="1" applyBorder="1" applyAlignment="1">
      <alignment horizontal="center" vertical="top" wrapText="1"/>
    </xf>
    <xf numFmtId="0" fontId="3" fillId="3" borderId="21" xfId="0" applyFont="1" applyFill="1" applyBorder="1" applyAlignment="1">
      <alignment horizontal="center" vertical="top"/>
    </xf>
    <xf numFmtId="2" fontId="3" fillId="3" borderId="21" xfId="0" applyNumberFormat="1" applyFont="1" applyFill="1" applyBorder="1" applyAlignment="1">
      <alignment horizontal="center" vertical="top"/>
    </xf>
    <xf numFmtId="2" fontId="3" fillId="3" borderId="22" xfId="0" applyNumberFormat="1" applyFont="1" applyFill="1" applyBorder="1" applyAlignment="1">
      <alignment horizontal="center" vertical="top"/>
    </xf>
    <xf numFmtId="0" fontId="4" fillId="3" borderId="18" xfId="0" applyFont="1" applyFill="1" applyBorder="1" applyAlignment="1">
      <alignment horizontal="center" vertical="top" wrapText="1"/>
    </xf>
    <xf numFmtId="2" fontId="4" fillId="3" borderId="4" xfId="0" applyNumberFormat="1" applyFont="1" applyFill="1" applyBorder="1" applyAlignment="1">
      <alignment horizontal="center" vertical="top"/>
    </xf>
    <xf numFmtId="2" fontId="4" fillId="3" borderId="19" xfId="0" applyNumberFormat="1" applyFont="1" applyFill="1" applyBorder="1" applyAlignment="1">
      <alignment horizontal="center" vertical="top"/>
    </xf>
    <xf numFmtId="0" fontId="4" fillId="3" borderId="11" xfId="0" applyFont="1" applyFill="1" applyBorder="1" applyAlignment="1">
      <alignment horizontal="center" vertical="top"/>
    </xf>
    <xf numFmtId="2" fontId="4" fillId="3" borderId="1" xfId="0" applyNumberFormat="1" applyFont="1" applyFill="1" applyBorder="1" applyAlignment="1">
      <alignment horizontal="center" vertical="top"/>
    </xf>
    <xf numFmtId="2" fontId="4" fillId="3" borderId="12" xfId="0" applyNumberFormat="1" applyFont="1" applyFill="1" applyBorder="1" applyAlignment="1">
      <alignment horizontal="center" vertical="top"/>
    </xf>
    <xf numFmtId="0" fontId="4" fillId="3" borderId="11" xfId="0" applyFont="1" applyFill="1" applyBorder="1" applyAlignment="1">
      <alignment horizontal="center" vertical="top" wrapText="1"/>
    </xf>
    <xf numFmtId="0" fontId="4" fillId="3" borderId="13" xfId="0" applyFont="1" applyFill="1" applyBorder="1" applyAlignment="1">
      <alignment horizontal="center" vertical="top"/>
    </xf>
    <xf numFmtId="2" fontId="4" fillId="3" borderId="15" xfId="0" applyNumberFormat="1" applyFont="1" applyFill="1" applyBorder="1" applyAlignment="1">
      <alignment horizontal="center" vertical="top"/>
    </xf>
    <xf numFmtId="2" fontId="4" fillId="3" borderId="16" xfId="0" applyNumberFormat="1" applyFont="1" applyFill="1" applyBorder="1" applyAlignment="1">
      <alignment horizontal="center" vertical="top"/>
    </xf>
    <xf numFmtId="0" fontId="4" fillId="3" borderId="7" xfId="0" applyFont="1" applyFill="1" applyBorder="1" applyAlignment="1">
      <alignment horizontal="center" vertical="top" wrapText="1"/>
    </xf>
    <xf numFmtId="2" fontId="4" fillId="3" borderId="9" xfId="0" applyNumberFormat="1" applyFont="1" applyFill="1" applyBorder="1" applyAlignment="1">
      <alignment horizontal="center" vertical="top"/>
    </xf>
    <xf numFmtId="2" fontId="4" fillId="3" borderId="10" xfId="0" applyNumberFormat="1" applyFont="1" applyFill="1" applyBorder="1" applyAlignment="1">
      <alignment horizontal="center" vertical="top"/>
    </xf>
    <xf numFmtId="0" fontId="2" fillId="4" borderId="23" xfId="0" applyFont="1" applyFill="1" applyBorder="1" applyAlignment="1">
      <alignment horizontal="center" vertical="top"/>
    </xf>
    <xf numFmtId="0" fontId="2" fillId="4" borderId="7" xfId="0" applyFont="1" applyFill="1" applyBorder="1" applyAlignment="1">
      <alignment horizontal="center" vertical="top"/>
    </xf>
    <xf numFmtId="0" fontId="2" fillId="4" borderId="9" xfId="0" applyFont="1" applyFill="1" applyBorder="1" applyAlignment="1">
      <alignment horizontal="center" vertical="top"/>
    </xf>
    <xf numFmtId="4" fontId="2" fillId="4" borderId="9" xfId="0" applyNumberFormat="1" applyFont="1" applyFill="1" applyBorder="1" applyAlignment="1">
      <alignment horizontal="center" vertical="top"/>
    </xf>
    <xf numFmtId="4" fontId="2" fillId="4" borderId="10" xfId="0" applyNumberFormat="1" applyFont="1" applyFill="1" applyBorder="1" applyAlignment="1">
      <alignment horizontal="center" vertical="top"/>
    </xf>
    <xf numFmtId="0" fontId="1" fillId="4" borderId="11" xfId="0" applyFont="1" applyFill="1" applyBorder="1" applyAlignment="1">
      <alignment horizontal="center" vertical="top" wrapText="1"/>
    </xf>
    <xf numFmtId="0" fontId="1" fillId="4" borderId="1" xfId="0" applyFont="1" applyFill="1" applyBorder="1" applyAlignment="1">
      <alignment horizontal="center" vertical="top" wrapText="1"/>
    </xf>
    <xf numFmtId="3" fontId="1" fillId="4" borderId="1" xfId="0" applyNumberFormat="1" applyFont="1" applyFill="1" applyBorder="1" applyAlignment="1">
      <alignment horizontal="center" vertical="top"/>
    </xf>
    <xf numFmtId="0" fontId="1" fillId="4" borderId="0" xfId="0" applyFont="1" applyFill="1" applyAlignment="1">
      <alignment horizontal="center" vertical="top"/>
    </xf>
    <xf numFmtId="0" fontId="1" fillId="4" borderId="1" xfId="0" applyFont="1" applyFill="1" applyBorder="1" applyAlignment="1">
      <alignment horizontal="center" vertical="top"/>
    </xf>
    <xf numFmtId="0" fontId="1" fillId="4" borderId="12" xfId="0" applyFont="1" applyFill="1" applyBorder="1" applyAlignment="1">
      <alignment horizontal="center" vertical="top"/>
    </xf>
    <xf numFmtId="0" fontId="1" fillId="4" borderId="13" xfId="0" applyFont="1" applyFill="1" applyBorder="1" applyAlignment="1">
      <alignment horizontal="center" vertical="top" wrapText="1"/>
    </xf>
    <xf numFmtId="0" fontId="1" fillId="4" borderId="15" xfId="0" applyFont="1" applyFill="1" applyBorder="1" applyAlignment="1">
      <alignment horizontal="center" vertical="top" wrapText="1"/>
    </xf>
    <xf numFmtId="3" fontId="1" fillId="4" borderId="15" xfId="0" applyNumberFormat="1" applyFont="1" applyFill="1" applyBorder="1" applyAlignment="1">
      <alignment horizontal="center" vertical="top"/>
    </xf>
    <xf numFmtId="0" fontId="1" fillId="4" borderId="15" xfId="0" applyFont="1" applyFill="1" applyBorder="1" applyAlignment="1">
      <alignment horizontal="center" vertical="top"/>
    </xf>
    <xf numFmtId="0" fontId="1" fillId="4" borderId="16" xfId="0" applyFont="1" applyFill="1" applyBorder="1" applyAlignment="1">
      <alignment horizontal="center" vertical="top"/>
    </xf>
    <xf numFmtId="0" fontId="1" fillId="0" borderId="0" xfId="0" applyFont="1" applyAlignment="1">
      <alignment horizontal="center" vertical="top"/>
    </xf>
    <xf numFmtId="0" fontId="2" fillId="0" borderId="25" xfId="0" applyFont="1" applyBorder="1" applyAlignment="1">
      <alignment horizontal="center" vertical="top"/>
    </xf>
    <xf numFmtId="0" fontId="1" fillId="0" borderId="25" xfId="0" applyFont="1" applyBorder="1" applyAlignment="1">
      <alignment horizontal="center" vertical="top"/>
    </xf>
    <xf numFmtId="0" fontId="4" fillId="0" borderId="0" xfId="0" applyFont="1" applyAlignment="1">
      <alignment horizontal="center" vertical="top"/>
    </xf>
    <xf numFmtId="0" fontId="3" fillId="0" borderId="0" xfId="0" applyFont="1" applyAlignment="1">
      <alignment horizontal="center" vertical="top"/>
    </xf>
    <xf numFmtId="0" fontId="1" fillId="4" borderId="1" xfId="0" applyFont="1" applyFill="1" applyBorder="1" applyAlignment="1">
      <alignment horizontal="center" vertical="center" wrapText="1"/>
    </xf>
    <xf numFmtId="164" fontId="10" fillId="0" borderId="0" xfId="1" applyNumberFormat="1">
      <alignment horizontal="center"/>
    </xf>
    <xf numFmtId="0" fontId="11" fillId="0" borderId="0" xfId="2"/>
    <xf numFmtId="0" fontId="10" fillId="0" borderId="26" xfId="3">
      <alignment horizontal="center"/>
    </xf>
    <xf numFmtId="165" fontId="10" fillId="0" borderId="0" xfId="1" applyNumberFormat="1">
      <alignment horizontal="center"/>
    </xf>
    <xf numFmtId="0" fontId="12" fillId="0" borderId="27" xfId="4" applyFont="1" applyAlignment="1">
      <alignment horizontal="center" wrapText="1" shrinkToFit="1"/>
    </xf>
    <xf numFmtId="0" fontId="13" fillId="0" borderId="27" xfId="4" applyFont="1" applyAlignment="1">
      <alignment horizontal="center" wrapText="1" shrinkToFit="1"/>
    </xf>
    <xf numFmtId="0" fontId="14" fillId="5" borderId="28" xfId="5">
      <alignment horizontal="center" vertical="center"/>
    </xf>
    <xf numFmtId="0" fontId="10" fillId="0" borderId="0" xfId="1">
      <alignment horizontal="center"/>
    </xf>
    <xf numFmtId="0" fontId="13" fillId="0" borderId="0" xfId="6" applyFont="1" applyAlignment="1">
      <alignment horizontal="right" wrapText="1" shrinkToFit="1"/>
    </xf>
    <xf numFmtId="166" fontId="13" fillId="0" borderId="29" xfId="7" applyFont="1" applyAlignment="1">
      <alignment horizontal="left" wrapText="1" shrinkToFit="1"/>
    </xf>
    <xf numFmtId="0" fontId="13" fillId="0" borderId="30" xfId="8" applyFont="1" applyAlignment="1">
      <alignment horizontal="right" wrapText="1" shrinkToFit="1"/>
    </xf>
    <xf numFmtId="0" fontId="13" fillId="0" borderId="31" xfId="9" applyFont="1" applyAlignment="1">
      <alignment horizontal="left" indent="1"/>
    </xf>
    <xf numFmtId="3" fontId="15" fillId="6" borderId="32" xfId="10"/>
    <xf numFmtId="3" fontId="1" fillId="0" borderId="0" xfId="0" applyNumberFormat="1" applyFont="1"/>
    <xf numFmtId="4" fontId="1" fillId="0" borderId="0" xfId="0" applyNumberFormat="1" applyFont="1"/>
    <xf numFmtId="0" fontId="1" fillId="2" borderId="1" xfId="0" applyFont="1" applyFill="1" applyBorder="1" applyAlignment="1">
      <alignment vertical="center" wrapText="1"/>
    </xf>
    <xf numFmtId="0" fontId="1" fillId="2" borderId="1" xfId="0" applyFont="1" applyFill="1" applyBorder="1" applyAlignment="1">
      <alignment vertical="center"/>
    </xf>
    <xf numFmtId="0" fontId="4" fillId="3" borderId="1" xfId="0" applyFont="1" applyFill="1" applyBorder="1" applyAlignment="1">
      <alignment vertical="center" wrapText="1"/>
    </xf>
    <xf numFmtId="3" fontId="0" fillId="0" borderId="0" xfId="0" applyNumberFormat="1"/>
    <xf numFmtId="4" fontId="0" fillId="0" borderId="0" xfId="0" applyNumberFormat="1"/>
    <xf numFmtId="3" fontId="0" fillId="0" borderId="0" xfId="0" applyNumberFormat="1" applyAlignment="1">
      <alignment horizontal="center" vertical="top"/>
    </xf>
    <xf numFmtId="0" fontId="4" fillId="3" borderId="1" xfId="0" applyFont="1" applyFill="1" applyBorder="1" applyAlignment="1">
      <alignment horizontal="center" vertical="top" wrapText="1"/>
    </xf>
    <xf numFmtId="0" fontId="4" fillId="3" borderId="1" xfId="0" applyFont="1" applyFill="1" applyBorder="1" applyAlignment="1">
      <alignment vertical="top" wrapText="1"/>
    </xf>
    <xf numFmtId="0" fontId="4" fillId="3" borderId="1" xfId="0" applyFont="1" applyFill="1" applyBorder="1" applyAlignment="1">
      <alignment horizontal="center" vertical="top"/>
    </xf>
    <xf numFmtId="0" fontId="0" fillId="0" borderId="0" xfId="0" pivotButton="1"/>
    <xf numFmtId="0" fontId="0" fillId="0" borderId="0" xfId="0" applyAlignment="1">
      <alignment horizontal="left"/>
    </xf>
    <xf numFmtId="0" fontId="18" fillId="0" borderId="1" xfId="0" applyFont="1" applyBorder="1" applyAlignment="1">
      <alignment horizontal="center"/>
    </xf>
    <xf numFmtId="0" fontId="2" fillId="2" borderId="1" xfId="0" applyFont="1" applyFill="1" applyBorder="1" applyAlignment="1">
      <alignment vertical="center" wrapText="1"/>
    </xf>
    <xf numFmtId="0" fontId="2" fillId="4" borderId="1" xfId="0" applyFont="1" applyFill="1" applyBorder="1" applyAlignment="1">
      <alignment wrapText="1"/>
    </xf>
    <xf numFmtId="4" fontId="4" fillId="0" borderId="0" xfId="0" applyNumberFormat="1" applyFont="1" applyFill="1"/>
    <xf numFmtId="0" fontId="0" fillId="0" borderId="0" xfId="0" applyFill="1"/>
    <xf numFmtId="4" fontId="19" fillId="0" borderId="1" xfId="0" applyNumberFormat="1" applyFont="1" applyFill="1" applyBorder="1" applyAlignment="1">
      <alignment horizontal="center"/>
    </xf>
    <xf numFmtId="0" fontId="18" fillId="0" borderId="1" xfId="0" applyFont="1" applyFill="1" applyBorder="1" applyAlignment="1">
      <alignment horizontal="center"/>
    </xf>
    <xf numFmtId="4" fontId="2" fillId="0" borderId="1" xfId="0" applyNumberFormat="1" applyFont="1" applyFill="1" applyBorder="1" applyAlignment="1">
      <alignment horizontal="center" vertical="center"/>
    </xf>
    <xf numFmtId="0" fontId="0" fillId="0" borderId="1" xfId="0" applyFill="1" applyBorder="1"/>
    <xf numFmtId="4" fontId="4" fillId="0" borderId="1" xfId="0" applyNumberFormat="1" applyFont="1" applyFill="1" applyBorder="1" applyAlignment="1">
      <alignment horizontal="center"/>
    </xf>
    <xf numFmtId="4" fontId="3" fillId="0" borderId="1" xfId="0" applyNumberFormat="1" applyFont="1" applyFill="1" applyBorder="1" applyAlignment="1">
      <alignment horizontal="center"/>
    </xf>
    <xf numFmtId="2" fontId="2" fillId="0" borderId="1" xfId="0" applyNumberFormat="1" applyFont="1" applyFill="1" applyBorder="1" applyAlignment="1">
      <alignment horizontal="center" vertical="center"/>
    </xf>
    <xf numFmtId="2" fontId="1" fillId="0" borderId="1" xfId="0" applyNumberFormat="1" applyFont="1" applyFill="1" applyBorder="1" applyAlignment="1">
      <alignment horizontal="center"/>
    </xf>
    <xf numFmtId="4" fontId="3" fillId="0" borderId="1" xfId="0" applyNumberFormat="1" applyFont="1" applyFill="1" applyBorder="1"/>
    <xf numFmtId="4" fontId="4" fillId="0" borderId="1" xfId="0" applyNumberFormat="1" applyFont="1" applyFill="1" applyBorder="1"/>
    <xf numFmtId="0" fontId="0" fillId="0" borderId="1" xfId="0" applyBorder="1" applyAlignment="1">
      <alignment horizontal="left" wrapText="1"/>
    </xf>
    <xf numFmtId="4" fontId="0" fillId="0" borderId="1" xfId="0" applyNumberFormat="1" applyBorder="1"/>
    <xf numFmtId="0" fontId="0" fillId="0" borderId="1" xfId="0" applyBorder="1" applyAlignment="1">
      <alignment horizontal="left"/>
    </xf>
    <xf numFmtId="4" fontId="20" fillId="0" borderId="1" xfId="0" applyNumberFormat="1" applyFont="1" applyBorder="1"/>
    <xf numFmtId="4" fontId="0" fillId="0" borderId="0" xfId="0" applyNumberFormat="1" applyAlignment="1">
      <alignment horizontal="center" vertical="top"/>
    </xf>
    <xf numFmtId="0" fontId="0" fillId="0" borderId="0" xfId="0" applyAlignment="1">
      <alignment wrapText="1"/>
    </xf>
    <xf numFmtId="0" fontId="8" fillId="0" borderId="24" xfId="0" applyFont="1" applyBorder="1" applyAlignment="1">
      <alignment horizontal="center" wrapText="1"/>
    </xf>
    <xf numFmtId="0" fontId="1" fillId="4"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17"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4" fillId="0" borderId="0" xfId="0" applyFont="1" applyFill="1" applyBorder="1" applyAlignment="1">
      <alignment horizontal="left" vertical="center" wrapText="1"/>
    </xf>
    <xf numFmtId="0" fontId="4" fillId="0" borderId="0" xfId="0" applyFont="1" applyFill="1" applyBorder="1" applyAlignment="1">
      <alignment horizontal="left" wrapText="1"/>
    </xf>
    <xf numFmtId="0" fontId="1" fillId="0" borderId="0" xfId="0" applyFont="1" applyAlignment="1">
      <alignment horizontal="left" wrapText="1"/>
    </xf>
    <xf numFmtId="0" fontId="4" fillId="0" borderId="0" xfId="0" applyFont="1" applyAlignment="1">
      <alignment horizontal="left" wrapText="1"/>
    </xf>
    <xf numFmtId="0" fontId="4" fillId="3" borderId="8"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14" xfId="0" applyFont="1" applyFill="1" applyBorder="1" applyAlignment="1">
      <alignment horizontal="center" vertical="center" wrapText="1"/>
    </xf>
    <xf numFmtId="0" fontId="4" fillId="3" borderId="17"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1" fillId="4" borderId="17" xfId="0" applyFont="1" applyFill="1" applyBorder="1" applyAlignment="1">
      <alignment horizontal="center" vertical="center" wrapText="1"/>
    </xf>
    <xf numFmtId="0" fontId="1" fillId="4" borderId="6" xfId="0" applyFont="1" applyFill="1" applyBorder="1" applyAlignment="1">
      <alignment horizontal="center" vertical="center" wrapText="1"/>
    </xf>
    <xf numFmtId="0" fontId="4" fillId="0" borderId="0" xfId="0" applyFont="1" applyAlignment="1">
      <alignment horizontal="left" vertical="center" wrapText="1"/>
    </xf>
    <xf numFmtId="0" fontId="4" fillId="0" borderId="0" xfId="0" applyFont="1" applyAlignment="1">
      <alignment horizontal="center" vertical="top" wrapText="1"/>
    </xf>
    <xf numFmtId="0" fontId="1" fillId="2" borderId="17" xfId="0" applyFont="1" applyFill="1" applyBorder="1" applyAlignment="1">
      <alignment horizontal="center" vertical="top" wrapText="1"/>
    </xf>
    <xf numFmtId="0" fontId="1" fillId="2" borderId="5" xfId="0" applyFont="1" applyFill="1" applyBorder="1" applyAlignment="1">
      <alignment horizontal="center" vertical="top" wrapText="1"/>
    </xf>
    <xf numFmtId="0" fontId="1" fillId="2" borderId="6" xfId="0" applyFont="1" applyFill="1" applyBorder="1" applyAlignment="1">
      <alignment horizontal="center" vertical="top" wrapText="1"/>
    </xf>
    <xf numFmtId="0" fontId="1" fillId="2" borderId="3" xfId="0" applyFont="1" applyFill="1" applyBorder="1" applyAlignment="1">
      <alignment horizontal="center" vertical="top" wrapText="1"/>
    </xf>
    <xf numFmtId="0" fontId="1" fillId="2" borderId="4" xfId="0" applyFont="1" applyFill="1" applyBorder="1" applyAlignment="1">
      <alignment horizontal="center" vertical="top" wrapText="1"/>
    </xf>
    <xf numFmtId="0" fontId="1" fillId="2" borderId="2" xfId="0" applyFont="1" applyFill="1" applyBorder="1" applyAlignment="1">
      <alignment horizontal="center" vertical="top"/>
    </xf>
    <xf numFmtId="0" fontId="1" fillId="2" borderId="3" xfId="0" applyFont="1" applyFill="1" applyBorder="1" applyAlignment="1">
      <alignment horizontal="center" vertical="top"/>
    </xf>
    <xf numFmtId="0" fontId="1" fillId="2" borderId="4" xfId="0" applyFont="1" applyFill="1" applyBorder="1" applyAlignment="1">
      <alignment horizontal="center" vertical="top"/>
    </xf>
    <xf numFmtId="0" fontId="4" fillId="3" borderId="17" xfId="0" applyFont="1" applyFill="1" applyBorder="1" applyAlignment="1">
      <alignment horizontal="center" vertical="top" wrapText="1"/>
    </xf>
    <xf numFmtId="0" fontId="4" fillId="3" borderId="5" xfId="0" applyFont="1" applyFill="1" applyBorder="1" applyAlignment="1">
      <alignment horizontal="center" vertical="top" wrapText="1"/>
    </xf>
    <xf numFmtId="0" fontId="4" fillId="3" borderId="6" xfId="0" applyFont="1" applyFill="1" applyBorder="1" applyAlignment="1">
      <alignment horizontal="center" vertical="top" wrapText="1"/>
    </xf>
    <xf numFmtId="0" fontId="4" fillId="3" borderId="3" xfId="0" applyFont="1" applyFill="1" applyBorder="1" applyAlignment="1">
      <alignment horizontal="center" vertical="top" wrapText="1"/>
    </xf>
    <xf numFmtId="0" fontId="4" fillId="3" borderId="14" xfId="0" applyFont="1" applyFill="1" applyBorder="1" applyAlignment="1">
      <alignment horizontal="center" vertical="top" wrapText="1"/>
    </xf>
    <xf numFmtId="0" fontId="4" fillId="3" borderId="8" xfId="0" applyFont="1" applyFill="1" applyBorder="1" applyAlignment="1">
      <alignment horizontal="center" vertical="top" wrapText="1"/>
    </xf>
    <xf numFmtId="0" fontId="1" fillId="4" borderId="17" xfId="0" applyFont="1" applyFill="1" applyBorder="1" applyAlignment="1">
      <alignment horizontal="center" vertical="top" wrapText="1"/>
    </xf>
    <xf numFmtId="0" fontId="1" fillId="4" borderId="6" xfId="0" applyFont="1" applyFill="1" applyBorder="1" applyAlignment="1">
      <alignment horizontal="center" vertical="top" wrapText="1"/>
    </xf>
    <xf numFmtId="0" fontId="1" fillId="0" borderId="0" xfId="0" applyFont="1" applyAlignment="1">
      <alignment horizontal="center" vertical="top" wrapText="1"/>
    </xf>
    <xf numFmtId="0" fontId="18" fillId="0" borderId="0" xfId="0" applyFont="1" applyAlignment="1">
      <alignment horizontal="center" wrapText="1"/>
    </xf>
    <xf numFmtId="2" fontId="2" fillId="0" borderId="0" xfId="0" applyNumberFormat="1" applyFont="1"/>
  </cellXfs>
  <cellStyles count="26">
    <cellStyle name="____page" xfId="5" xr:uid="{74D77B7C-42DA-420E-B848-739344F85662}"/>
    <cellStyle name="___col1" xfId="11" xr:uid="{3466AB15-08CE-4027-AD25-65786391FAF7}"/>
    <cellStyle name="___col2" xfId="6" xr:uid="{3BAC40AE-CC6A-43A4-A612-2E81F2CA0C44}"/>
    <cellStyle name="___col3" xfId="12" xr:uid="{B2B783A9-AF4A-4121-A05F-2D3C3B3CC1BF}"/>
    <cellStyle name="___page" xfId="3" xr:uid="{B3D363F1-1646-4D27-A86D-63C493D41095}"/>
    <cellStyle name="___row1" xfId="13" xr:uid="{303CA20D-6C1A-4645-B1EF-D8ECB5B4928E}"/>
    <cellStyle name="___row2" xfId="14" xr:uid="{9E238941-A2D7-44BE-87B9-6ABBC603C492}"/>
    <cellStyle name="___row3" xfId="15" xr:uid="{D8172D28-6477-4A79-9414-4302C3E2ED9E}"/>
    <cellStyle name="__col1" xfId="16" xr:uid="{725794C4-E011-4597-B8B7-8C1DF642A212}"/>
    <cellStyle name="__col2" xfId="7" xr:uid="{1D02B0C6-71BC-4D8D-A7C1-72AAF3354E1D}"/>
    <cellStyle name="__col3" xfId="17" xr:uid="{F5066648-F7F1-487B-8C17-D96A3E99112F}"/>
    <cellStyle name="__page" xfId="1" xr:uid="{B60E4D8A-B59C-44F0-AAA8-851A1C4D83EB}"/>
    <cellStyle name="__row1" xfId="18" xr:uid="{85DF8917-1F75-4DAD-8776-A32E6B77038A}"/>
    <cellStyle name="__row2" xfId="19" xr:uid="{68ECB45E-DAA2-4E60-AF48-2727E1BB00E5}"/>
    <cellStyle name="__row3" xfId="20" xr:uid="{DB18D2E2-60DF-4904-A668-D26E59A3AF03}"/>
    <cellStyle name="_col1" xfId="8" xr:uid="{1BDCBE33-D09E-4452-95FF-AFAAF6C6BD10}"/>
    <cellStyle name="_col2" xfId="21" xr:uid="{8CA989D1-551D-4E1A-9348-1AAF7B5F256D}"/>
    <cellStyle name="_col3" xfId="22" xr:uid="{8CE0BD8B-7DE7-4583-A06C-546BC7D330F6}"/>
    <cellStyle name="_data" xfId="10" xr:uid="{E3A6EB95-0D68-469A-806B-A3EEE9F300B5}"/>
    <cellStyle name="_freeze" xfId="23" xr:uid="{53E75D0C-C31D-427A-8A61-46E5BD6C66D7}"/>
    <cellStyle name="_page" xfId="4" xr:uid="{604080F9-9EB4-4006-B462-5099CE5EFF47}"/>
    <cellStyle name="_row1" xfId="9" xr:uid="{B2C9CF7D-84A5-468D-81C8-AB5AF8849EC5}"/>
    <cellStyle name="_row2" xfId="24" xr:uid="{BC5779A9-5665-4FC8-8881-95AA6CAEF9BA}"/>
    <cellStyle name="_row3" xfId="25" xr:uid="{4403DFD7-4530-45EC-B40C-8832F23C4632}"/>
    <cellStyle name="Normal" xfId="0" builtinId="0" customBuiltin="1"/>
    <cellStyle name="Normal 2" xfId="2" xr:uid="{0FFC2B5C-B882-4E29-9892-435AA8CAF55B}"/>
  </cellStyles>
  <dxfs count="7">
    <dxf>
      <alignment wrapText="1"/>
    </dxf>
    <dxf>
      <font>
        <b/>
        <charset val="186"/>
      </font>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numFmt numFmtId="4" formatCode="#,##0.00"/>
    </dxf>
    <dxf>
      <alignment wrapText="1"/>
    </dxf>
    <dxf>
      <alignment wrapText="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pivotCacheDefinition" Target="pivotCache/pivotCacheDefinition1.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Ilze Pence" refreshedDate="44397.408141087966" createdVersion="7" refreshedVersion="7" minRefreshableVersion="3" recordCount="124" xr:uid="{E2EFD5FD-7226-43B3-809A-FA19F5CCF630}">
  <cacheSource type="worksheet">
    <worksheetSource ref="B5:G129" sheet="PIVOT"/>
  </cacheSource>
  <cacheFields count="6">
    <cacheField name="Rādītājs" numFmtId="0">
      <sharedItems count="42">
        <s v="1. Faktiskie izdevumi, kas radušies saistībā ar reisu atcelšanu vai papild reisu nodrošināšanu - KOPSUMMA ((N - P) x Izm)"/>
        <s v="Iesaistīto transportlīdzekļu vienības "/>
        <s v="(S) Plānotais reisu skaits"/>
        <s v="(R) Faktiskais reisu skaits (S + RP-RA) "/>
        <s v="to starpā papildu reisi (RP)"/>
        <s v="to starpā atceltie reisi (RA)"/>
        <s v="(P) Plānotais nobraukums "/>
        <s v="(N) Faktiskais nobraukums (P + NP-NA)"/>
        <s v="to starpā papildu reisos veiktais nobraukums (NP)"/>
        <s v="to starpā atcelto reisu nobraukums (NA)"/>
        <s v="(Izm) 1 km pašizmaksa "/>
        <s v="2. Kopējie izdevumi par Covid-19 infekcijas ierobežošanas pasākumiem - KOPSUMMA (1 vienības cenas reizinājums ar preču/pakalpojumu skaitu; summa ( K x Z))"/>
        <s v="(Z) Pakalpojumi, pasākumi un materiāli Covid-19 pandēmijas ierobežošanai "/>
        <s v="Dezinfekcijas līdzekļi"/>
        <s v="Sejas maskas"/>
        <s v="Sociālā distancēšanās sabiedriskā transportā "/>
        <s v="Transportlīdzekļu dezinfekcija"/>
        <s v="Transportlīdzekļu papildu mazgāšana"/>
        <s v="Citi izdevumi ( vienreizlietojami cimdi)"/>
        <s v="(K) Faktiskās izmaksas Covid-19 pandēmijas ierobežošanai, t.sk. "/>
        <s v="Transportlīdzekļu dezinfekcija, to starpā darba spēka izmaksas"/>
        <s v="Transportlīdzekļu papildu mazgāšana, to starpā darba spēka izmaksas"/>
        <s v="Citi izdevumi (vienreizlietojami cimdi)"/>
        <s v="3. Kopējā ietekme uz ieņēmumu apgrozījumu - KOPSUMMA ((C/D-A/N) x N)"/>
        <s v="(A) No pasažieriem, t.sk., personām, kurām noteikti pašvaldības noteiktie braukšanas maksas atvieglojumi, saņemtie ieņēmumi par sniegto sabiedriskā transporta pakalpojumu - 09.03.2021.-31.03.2021."/>
        <s v="(N) Faktiskais nobraukums - 09.03.2021.-31.03.2021."/>
        <s v="(C) No pasažieriem, t.sk., personām, kurām noteikti pašvaldības noteiktie braukšanas maksas atvieglojumi, saņemtie ieņēmumi par sniegto sabiedriskā transporta pakalpojumu - 09.03.2019.-31.03.2019."/>
        <s v="(D) Faktiskais nobraukums - 09.03.2019.-31.03.2019."/>
        <s v="Citi izdevumi (( vienreizlietojami cimdi)"/>
        <s v="Citi izdevumi (norādīt kādi)"/>
        <s v="(A) No pasažieriem, t.sk., personām, kurām noteikti pašvaldības noteiktie braukšanas maksas atvieglojumi, saņemtie ieņēmumi par sniegto sabiedriskā transporta pakalpojumu - 01.04.2021.-30.04.2021."/>
        <s v="(N) Faktiskais nobraukums - 01.04.2021.-30.04.2021."/>
        <s v="(C) No pasažieriem, t.sk., personām, kurām noteikti pašvaldības noteiktie braukšanas maksas atvieglojumi, saņemtie ieņēmumi par sniegto sabiedriskā transporta pakalpojumu - 01.04.2019.-30.04.2019."/>
        <s v="(D) Faktiskais nobraukums - 01.04.2019.-30.04.2019."/>
        <s v="(A) No pasažieriem, t.sk., personām, kurām noteikti pašvaldības noteiktie braukšanas maksas atvieglojumi, saņemtie ieņēmumi par sniegto sabiedriskā transporta pakalpojumu - 01.05.2021.-31.05.2021."/>
        <s v="(N) Faktiskais nobraukums - 01.05.2021.-31.05.2021."/>
        <s v="(C) No pasažieriem, t.sk., personām, kurām noteikti pašvaldības noteiktie braukšanas maksas atvieglojumi, saņemtie ieņēmumi par sniegto sabiedriskā transporta pakalpojumu - 01.05.2019.-31.05.2019."/>
        <s v="(D) Faktiskais nobraukums - 01.05.2019.-31.05.2019."/>
        <s v="(A) No pasažieriem, t.sk., personām, kurām noteikti pašvaldības noteiktie braukšanas maksas atvieglojumi, saņemtie ieņēmumi par sniegto sabiedriskā transporta pakalpojumu - 01.06.2021.-30.06.2021."/>
        <s v="(N) Faktiskais nobraukums - 01.06.2021.-30.06.2021."/>
        <s v="(C) No pasažieriem, t.sk., personām, kurām noteikti pašvaldības noteiktie braukšanas maksas atvieglojumi, saņemtie ieņēmumi par sniegto sabiedriskā transporta pakalpojumu - 01.06.2019.-30.06.2019."/>
        <s v="(D) Faktiskais nobraukums - 01.06.2019.-30.06.2019."/>
      </sharedItems>
    </cacheField>
    <cacheField name="Vienības " numFmtId="0">
      <sharedItems containsBlank="1"/>
    </cacheField>
    <cacheField name="Vērtība" numFmtId="0">
      <sharedItems containsString="0" containsBlank="1" containsNumber="1" minValue="0" maxValue="106127.5"/>
    </cacheField>
    <cacheField name="Pārvadājumu veids" numFmtId="0">
      <sharedItems/>
    </cacheField>
    <cacheField name="Pilsēta" numFmtId="0">
      <sharedItems/>
    </cacheField>
    <cacheField name="Periods " numFmtId="0">
      <sharedItems count="4">
        <s v="09.03.2021.- 31.03.2021."/>
        <s v="Aprīlis"/>
        <s v="Maijs"/>
        <s v="Jūnijs"/>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24">
  <r>
    <x v="0"/>
    <m/>
    <n v="0"/>
    <s v="Autobuss"/>
    <s v="Rēzekne"/>
    <x v="0"/>
  </r>
  <r>
    <x v="1"/>
    <s v="skaits"/>
    <n v="29"/>
    <s v="Autobuss"/>
    <s v="Rēzekne"/>
    <x v="0"/>
  </r>
  <r>
    <x v="2"/>
    <s v="skaits"/>
    <n v="8635"/>
    <s v="Autobuss"/>
    <s v="Rēzekne"/>
    <x v="0"/>
  </r>
  <r>
    <x v="3"/>
    <s v="skaits"/>
    <n v="8635"/>
    <s v="Autobuss"/>
    <s v="Rēzekne"/>
    <x v="0"/>
  </r>
  <r>
    <x v="4"/>
    <s v="skaits"/>
    <m/>
    <s v="Autobuss"/>
    <s v="Rēzekne"/>
    <x v="0"/>
  </r>
  <r>
    <x v="5"/>
    <s v="skaits"/>
    <m/>
    <s v="Autobuss"/>
    <s v="Rēzekne"/>
    <x v="0"/>
  </r>
  <r>
    <x v="6"/>
    <s v="km"/>
    <n v="77873.7"/>
    <s v="Autobuss"/>
    <s v="Rēzekne"/>
    <x v="0"/>
  </r>
  <r>
    <x v="7"/>
    <s v="km"/>
    <n v="77873.7"/>
    <s v="Autobuss"/>
    <s v="Rēzekne"/>
    <x v="0"/>
  </r>
  <r>
    <x v="8"/>
    <s v="km"/>
    <m/>
    <s v="Autobuss"/>
    <s v="Rēzekne"/>
    <x v="0"/>
  </r>
  <r>
    <x v="9"/>
    <s v="km"/>
    <m/>
    <s v="Autobuss"/>
    <s v="Rēzekne"/>
    <x v="0"/>
  </r>
  <r>
    <x v="10"/>
    <s v="EUR/km"/>
    <n v="1.5318000000000001"/>
    <s v="Autobuss"/>
    <s v="Rēzekne"/>
    <x v="0"/>
  </r>
  <r>
    <x v="11"/>
    <m/>
    <n v="165.40604000000002"/>
    <s v="Autobuss"/>
    <s v="Rēzekne"/>
    <x v="0"/>
  </r>
  <r>
    <x v="12"/>
    <s v="skaits (jānorāda atbilstoša mērvienība gab., litri, reižu skaits, darba stundas u.c.) "/>
    <m/>
    <s v="Autobuss"/>
    <s v="Rēzekne"/>
    <x v="0"/>
  </r>
  <r>
    <x v="13"/>
    <s v="skaits (jānorāda atbilstoša mērvienība gab., litri, reižu skaits, darba stundas u.c.) "/>
    <n v="17.8"/>
    <s v="Autobuss"/>
    <s v="Rēzekne"/>
    <x v="0"/>
  </r>
  <r>
    <x v="14"/>
    <s v="skaits (jānorāda atbilstoša mērvienība gab., litri, reižu skaits, darba stundas u.c.) "/>
    <n v="370"/>
    <s v="Autobuss"/>
    <s v="Rēzekne"/>
    <x v="0"/>
  </r>
  <r>
    <x v="15"/>
    <s v="skaits (jānorāda atbilstoša mērvienība gab., litri, reižu skaits, darba stundas u.c.) "/>
    <m/>
    <s v="Autobuss"/>
    <s v="Rēzekne"/>
    <x v="0"/>
  </r>
  <r>
    <x v="16"/>
    <s v="skaits (jānorāda atbilstoša mērvienība gab., litri, reižu skaits, darba stundas u.c.) "/>
    <n v="17.420000000000002"/>
    <s v="Autobuss"/>
    <s v="Rēzekne"/>
    <x v="0"/>
  </r>
  <r>
    <x v="17"/>
    <s v="skaits (jānorāda atbilstoša mērvienība gab., litri, reižu skaits, darba stundas u.c.) "/>
    <m/>
    <s v="Autobuss"/>
    <s v="Rēzekne"/>
    <x v="0"/>
  </r>
  <r>
    <x v="18"/>
    <s v="skaits (jānorāda atbilstoša mērvienība gab., litri, reižu skaits, darba stundas u.c.) "/>
    <n v="150"/>
    <s v="Autobuss"/>
    <s v="Rēzekne"/>
    <x v="0"/>
  </r>
  <r>
    <x v="19"/>
    <s v="EUR/vien bez PVN"/>
    <m/>
    <s v="Autobuss"/>
    <s v="Rēzekne"/>
    <x v="0"/>
  </r>
  <r>
    <x v="13"/>
    <s v="EUR/vien bez PVN"/>
    <n v="3.0908000000000002"/>
    <s v="Autobuss"/>
    <s v="Rēzekne"/>
    <x v="0"/>
  </r>
  <r>
    <x v="14"/>
    <s v="EUR/vien bez PVN"/>
    <n v="7.0000000000000007E-2"/>
    <s v="Autobuss"/>
    <s v="Rēzekne"/>
    <x v="0"/>
  </r>
  <r>
    <x v="15"/>
    <s v="EUR/vien bez PVN"/>
    <m/>
    <s v="Autobuss"/>
    <s v="Rēzekne"/>
    <x v="0"/>
  </r>
  <r>
    <x v="20"/>
    <s v="EUR/vien bez PVN"/>
    <n v="1.69"/>
    <s v="Autobuss"/>
    <s v="Rēzekne"/>
    <x v="0"/>
  </r>
  <r>
    <x v="21"/>
    <s v="EUR/vien bez PVN"/>
    <m/>
    <s v="Autobuss"/>
    <s v="Rēzekne"/>
    <x v="0"/>
  </r>
  <r>
    <x v="22"/>
    <s v="EUR/vien bez PVN"/>
    <n v="0.36699999999999999"/>
    <s v="Autobuss"/>
    <s v="Rēzekne"/>
    <x v="0"/>
  </r>
  <r>
    <x v="23"/>
    <m/>
    <n v="7052.9323668353491"/>
    <s v="Autobuss"/>
    <s v="Rēzekne"/>
    <x v="0"/>
  </r>
  <r>
    <x v="24"/>
    <s v="EUR bez PVN"/>
    <n v="8685.16"/>
    <s v="Autobuss"/>
    <s v="Rēzekne"/>
    <x v="0"/>
  </r>
  <r>
    <x v="25"/>
    <s v="km"/>
    <n v="77873.7"/>
    <s v="Autobuss"/>
    <s v="Rēzekne"/>
    <x v="0"/>
  </r>
  <r>
    <x v="26"/>
    <s v="EUR bez PVN"/>
    <n v="15787"/>
    <s v="Autobuss"/>
    <s v="Rēzekne"/>
    <x v="0"/>
  </r>
  <r>
    <x v="27"/>
    <s v="km"/>
    <n v="78115.7"/>
    <s v="Autobuss"/>
    <s v="Rēzekne"/>
    <x v="0"/>
  </r>
  <r>
    <x v="0"/>
    <m/>
    <n v="122.232"/>
    <s v="Autobuss"/>
    <s v="Rēzekne"/>
    <x v="1"/>
  </r>
  <r>
    <x v="1"/>
    <s v="skaits"/>
    <n v="29"/>
    <s v="Autobuss"/>
    <s v="Rēzekne"/>
    <x v="1"/>
  </r>
  <r>
    <x v="2"/>
    <s v="skaits"/>
    <n v="11304"/>
    <s v="Autobuss"/>
    <s v="Rēzekne"/>
    <x v="1"/>
  </r>
  <r>
    <x v="3"/>
    <s v="skaits"/>
    <n v="11324"/>
    <s v="Autobuss"/>
    <s v="Rēzekne"/>
    <x v="1"/>
  </r>
  <r>
    <x v="4"/>
    <s v="skaits"/>
    <n v="20"/>
    <s v="Autobuss"/>
    <s v="Rēzekne"/>
    <x v="1"/>
  </r>
  <r>
    <x v="5"/>
    <s v="skaits"/>
    <m/>
    <s v="Autobuss"/>
    <s v="Rēzekne"/>
    <x v="1"/>
  </r>
  <r>
    <x v="6"/>
    <s v="km"/>
    <n v="102031.5"/>
    <s v="Autobuss"/>
    <s v="Rēzekne"/>
    <x v="1"/>
  </r>
  <r>
    <x v="7"/>
    <s v="km"/>
    <n v="102111.5"/>
    <s v="Autobuss"/>
    <s v="Rēzekne"/>
    <x v="1"/>
  </r>
  <r>
    <x v="8"/>
    <s v="km"/>
    <n v="80"/>
    <s v="Autobuss"/>
    <s v="Rēzekne"/>
    <x v="1"/>
  </r>
  <r>
    <x v="9"/>
    <s v="km"/>
    <m/>
    <s v="Autobuss"/>
    <s v="Rēzekne"/>
    <x v="1"/>
  </r>
  <r>
    <x v="10"/>
    <s v="EUR/km"/>
    <n v="1.5279"/>
    <s v="Autobuss"/>
    <s v="Rēzekne"/>
    <x v="1"/>
  </r>
  <r>
    <x v="11"/>
    <m/>
    <n v="166.25"/>
    <s v="Autobuss"/>
    <s v="Rēzekne"/>
    <x v="1"/>
  </r>
  <r>
    <x v="12"/>
    <s v="skaits (jānorāda atbilstoša mērvienība gab., litri, reižu skaits, darba stundas u.c.) "/>
    <m/>
    <s v="Autobuss"/>
    <s v="Rēzekne"/>
    <x v="1"/>
  </r>
  <r>
    <x v="13"/>
    <s v="skaits (jānorāda atbilstoša mērvienība gab., litri, reižu skaits, darba stundas u.c.) "/>
    <n v="8"/>
    <s v="Autobuss"/>
    <s v="Rēzekne"/>
    <x v="1"/>
  </r>
  <r>
    <x v="14"/>
    <s v="skaits (jānorāda atbilstoša mērvienība gab., litri, reižu skaits, darba stundas u.c.) "/>
    <n v="500"/>
    <s v="Autobuss"/>
    <s v="Rēzekne"/>
    <x v="1"/>
  </r>
  <r>
    <x v="15"/>
    <s v="skaits (jānorāda atbilstoša mērvienība gab., litri, reižu skaits, darba stundas u.c.) "/>
    <m/>
    <s v="Autobuss"/>
    <s v="Rēzekne"/>
    <x v="1"/>
  </r>
  <r>
    <x v="16"/>
    <s v="skaits (jānorāda atbilstoša mērvienība gab., litri, reižu skaits, darba stundas u.c.) "/>
    <n v="33"/>
    <s v="Autobuss"/>
    <s v="Rēzekne"/>
    <x v="1"/>
  </r>
  <r>
    <x v="17"/>
    <s v="skaits (jānorāda atbilstoša mērvienība gab., litri, reižu skaits, darba stundas u.c.) "/>
    <m/>
    <s v="Autobuss"/>
    <s v="Rēzekne"/>
    <x v="1"/>
  </r>
  <r>
    <x v="28"/>
    <s v="skaits (jānorāda atbilstoša mērvienība gab., litri, reižu skaits, darba stundas u.c.) "/>
    <n v="300"/>
    <s v="Autobuss"/>
    <s v="Rēzekne"/>
    <x v="1"/>
  </r>
  <r>
    <x v="19"/>
    <s v="EUR/vien bez PVN"/>
    <m/>
    <s v="Autobuss"/>
    <s v="Rēzekne"/>
    <x v="1"/>
  </r>
  <r>
    <x v="13"/>
    <s v="EUR/vien bez PVN"/>
    <n v="3.0975000000000001"/>
    <s v="Autobuss"/>
    <s v="Rēzekne"/>
    <x v="1"/>
  </r>
  <r>
    <x v="14"/>
    <s v="EUR/vien bez PVN"/>
    <n v="7.0000000000000007E-2"/>
    <s v="Autobuss"/>
    <s v="Rēzekne"/>
    <x v="1"/>
  </r>
  <r>
    <x v="15"/>
    <s v="EUR/vien bez PVN"/>
    <m/>
    <s v="Autobuss"/>
    <s v="Rēzekne"/>
    <x v="1"/>
  </r>
  <r>
    <x v="20"/>
    <s v="EUR/vien bez PVN"/>
    <n v="1.59"/>
    <s v="Autobuss"/>
    <s v="Rēzekne"/>
    <x v="1"/>
  </r>
  <r>
    <x v="21"/>
    <s v="EUR/vien bez PVN"/>
    <m/>
    <s v="Autobuss"/>
    <s v="Rēzekne"/>
    <x v="1"/>
  </r>
  <r>
    <x v="29"/>
    <s v="EUR/vien bez PVN"/>
    <n v="0.18"/>
    <s v="Autobuss"/>
    <s v="Rēzekne"/>
    <x v="1"/>
  </r>
  <r>
    <x v="23"/>
    <m/>
    <n v="9627.463548704498"/>
    <s v="Autobuss"/>
    <s v="Rēzekne"/>
    <x v="1"/>
  </r>
  <r>
    <x v="30"/>
    <s v="EUR bez PVN"/>
    <n v="11282.35"/>
    <s v="Autobuss"/>
    <s v="Rēzekne"/>
    <x v="1"/>
  </r>
  <r>
    <x v="31"/>
    <s v="km"/>
    <n v="102111.5"/>
    <s v="Autobuss"/>
    <s v="Rēzekne"/>
    <x v="1"/>
  </r>
  <r>
    <x v="32"/>
    <s v="EUR bez PVN"/>
    <n v="20749.25"/>
    <s v="Autobuss"/>
    <s v="Rēzekne"/>
    <x v="1"/>
  </r>
  <r>
    <x v="33"/>
    <s v="km"/>
    <n v="101327.4"/>
    <s v="Autobuss"/>
    <s v="Rēzekne"/>
    <x v="1"/>
  </r>
  <r>
    <x v="0"/>
    <m/>
    <n v="126.67999999999999"/>
    <s v="Autobuss"/>
    <s v="Rēzekne"/>
    <x v="2"/>
  </r>
  <r>
    <x v="1"/>
    <s v="skaits"/>
    <n v="29"/>
    <s v="Autobuss"/>
    <s v="Rēzekne"/>
    <x v="2"/>
  </r>
  <r>
    <x v="2"/>
    <s v="skaits"/>
    <n v="11736"/>
    <s v="Autobuss"/>
    <s v="Rēzekne"/>
    <x v="2"/>
  </r>
  <r>
    <x v="3"/>
    <s v="skaits"/>
    <n v="11756"/>
    <s v="Autobuss"/>
    <s v="Rēzekne"/>
    <x v="2"/>
  </r>
  <r>
    <x v="4"/>
    <s v="skaits"/>
    <n v="20"/>
    <s v="Autobuss"/>
    <s v="Rēzekne"/>
    <x v="2"/>
  </r>
  <r>
    <x v="5"/>
    <s v="skaits"/>
    <m/>
    <s v="Autobuss"/>
    <s v="Rēzekne"/>
    <x v="2"/>
  </r>
  <r>
    <x v="6"/>
    <s v="km"/>
    <n v="106047.5"/>
    <s v="Autobuss"/>
    <s v="Rēzekne"/>
    <x v="2"/>
  </r>
  <r>
    <x v="7"/>
    <s v="km"/>
    <n v="106127.5"/>
    <s v="Autobuss"/>
    <s v="Rēzekne"/>
    <x v="2"/>
  </r>
  <r>
    <x v="8"/>
    <s v="km"/>
    <n v="80"/>
    <s v="Autobuss"/>
    <s v="Rēzekne"/>
    <x v="2"/>
  </r>
  <r>
    <x v="9"/>
    <s v="km"/>
    <m/>
    <s v="Autobuss"/>
    <s v="Rēzekne"/>
    <x v="2"/>
  </r>
  <r>
    <x v="10"/>
    <s v="EUR/km"/>
    <n v="1.5834999999999999"/>
    <s v="Autobuss"/>
    <s v="Rēzekne"/>
    <x v="2"/>
  </r>
  <r>
    <x v="11"/>
    <m/>
    <n v="148.85000000000002"/>
    <s v="Autobuss"/>
    <s v="Rēzekne"/>
    <x v="2"/>
  </r>
  <r>
    <x v="12"/>
    <s v="skaits (jānorāda atbilstoša mērvienība gab., litri, reižu skaits, darba stundas u.c.) "/>
    <m/>
    <s v="Autobuss"/>
    <s v="Rēzekne"/>
    <x v="2"/>
  </r>
  <r>
    <x v="13"/>
    <s v="skaits (jānorāda atbilstoša mērvienība gab., litri, reižu skaits, darba stundas u.c.) "/>
    <n v="4"/>
    <s v="Autobuss"/>
    <s v="Rēzekne"/>
    <x v="2"/>
  </r>
  <r>
    <x v="14"/>
    <s v="skaits (jānorāda atbilstoša mērvienība gab., litri, reižu skaits, darba stundas u.c.) "/>
    <n v="500"/>
    <s v="Autobuss"/>
    <s v="Rēzekne"/>
    <x v="2"/>
  </r>
  <r>
    <x v="15"/>
    <s v="skaits (jānorāda atbilstoša mērvienība gab., litri, reižu skaits, darba stundas u.c.) "/>
    <n v="66"/>
    <s v="Autobuss"/>
    <s v="Rēzekne"/>
    <x v="2"/>
  </r>
  <r>
    <x v="16"/>
    <s v="skaits (jānorāda atbilstoša mērvienība gab., litri, reižu skaits, darba stundas u.c.) "/>
    <n v="46"/>
    <s v="Autobuss"/>
    <s v="Rēzekne"/>
    <x v="2"/>
  </r>
  <r>
    <x v="17"/>
    <s v="skaits (jānorāda atbilstoša mērvienība gab., litri, reižu skaits, darba stundas u.c.) "/>
    <m/>
    <s v="Autobuss"/>
    <s v="Rēzekne"/>
    <x v="2"/>
  </r>
  <r>
    <x v="29"/>
    <s v="skaits (jānorāda atbilstoša mērvienība gab., litri, reižu skaits, darba stundas u.c.) "/>
    <n v="300"/>
    <s v="Autobuss"/>
    <s v="Rēzekne"/>
    <x v="2"/>
  </r>
  <r>
    <x v="19"/>
    <s v="EUR/vien bez PVN"/>
    <m/>
    <s v="Autobuss"/>
    <s v="Rēzekne"/>
    <x v="2"/>
  </r>
  <r>
    <x v="13"/>
    <s v="EUR/vien bez PVN"/>
    <n v="3.0975000000000001"/>
    <s v="Autobuss"/>
    <s v="Rēzekne"/>
    <x v="2"/>
  </r>
  <r>
    <x v="14"/>
    <s v="EUR/vien bez PVN"/>
    <n v="7.0000000000000007E-2"/>
    <s v="Autobuss"/>
    <s v="Rēzekne"/>
    <x v="2"/>
  </r>
  <r>
    <x v="15"/>
    <s v="EUR/vien bez PVN"/>
    <n v="0.1"/>
    <s v="Autobuss"/>
    <s v="Rēzekne"/>
    <x v="2"/>
  </r>
  <r>
    <x v="20"/>
    <s v="EUR/vien bez PVN"/>
    <n v="1.47"/>
    <s v="Autobuss"/>
    <s v="Rēzekne"/>
    <x v="2"/>
  </r>
  <r>
    <x v="21"/>
    <s v="EUR/vien bez PVN"/>
    <m/>
    <s v="Autobuss"/>
    <s v="Rēzekne"/>
    <x v="2"/>
  </r>
  <r>
    <x v="29"/>
    <s v="EUR/vien bez PVN"/>
    <n v="9.0800000000000006E-2"/>
    <s v="Autobuss"/>
    <s v="Rēzekne"/>
    <x v="2"/>
  </r>
  <r>
    <x v="23"/>
    <m/>
    <n v="9136.5284757449426"/>
    <s v="Autobuss"/>
    <s v="Rēzekne"/>
    <x v="2"/>
  </r>
  <r>
    <x v="34"/>
    <s v="EUR bez PVN"/>
    <n v="12286.47"/>
    <s v="Autobuss"/>
    <s v="Rēzekne"/>
    <x v="2"/>
  </r>
  <r>
    <x v="35"/>
    <s v="km"/>
    <n v="106127.5"/>
    <s v="Autobuss"/>
    <s v="Rēzekne"/>
    <x v="2"/>
  </r>
  <r>
    <x v="36"/>
    <s v="EUR bez PVN"/>
    <n v="21169.34"/>
    <s v="Autobuss"/>
    <s v="Rēzekne"/>
    <x v="2"/>
  </r>
  <r>
    <x v="37"/>
    <s v="km"/>
    <n v="104870.9"/>
    <s v="Autobuss"/>
    <s v="Rēzekne"/>
    <x v="2"/>
  </r>
  <r>
    <x v="0"/>
    <m/>
    <n v="2668.6559999999999"/>
    <s v="Autobuss"/>
    <s v="Rēzekne"/>
    <x v="3"/>
  </r>
  <r>
    <x v="1"/>
    <s v="skaits"/>
    <n v="29"/>
    <s v="Autobuss"/>
    <s v="Rēzekne"/>
    <x v="3"/>
  </r>
  <r>
    <x v="2"/>
    <s v="skaits"/>
    <n v="11260"/>
    <s v="Autobuss"/>
    <s v="Rēzekne"/>
    <x v="3"/>
  </r>
  <r>
    <x v="3"/>
    <s v="skaits"/>
    <n v="11560"/>
    <s v="Autobuss"/>
    <s v="Rēzekne"/>
    <x v="3"/>
  </r>
  <r>
    <x v="4"/>
    <s v="skaits"/>
    <n v="300"/>
    <s v="Autobuss"/>
    <s v="Rēzekne"/>
    <x v="3"/>
  </r>
  <r>
    <x v="5"/>
    <s v="skaits"/>
    <m/>
    <s v="Autobuss"/>
    <s v="Rēzekne"/>
    <x v="3"/>
  </r>
  <r>
    <x v="6"/>
    <s v="km"/>
    <n v="102273"/>
    <s v="Autobuss"/>
    <s v="Rēzekne"/>
    <x v="3"/>
  </r>
  <r>
    <x v="7"/>
    <s v="km"/>
    <n v="103969"/>
    <s v="Autobuss"/>
    <s v="Rēzekne"/>
    <x v="3"/>
  </r>
  <r>
    <x v="8"/>
    <s v="km"/>
    <n v="1696"/>
    <s v="Autobuss"/>
    <s v="Rēzekne"/>
    <x v="3"/>
  </r>
  <r>
    <x v="9"/>
    <s v="km"/>
    <m/>
    <s v="Autobuss"/>
    <s v="Rēzekne"/>
    <x v="3"/>
  </r>
  <r>
    <x v="10"/>
    <s v="EUR/km"/>
    <n v="1.5734999999999999"/>
    <s v="Autobuss"/>
    <s v="Rēzekne"/>
    <x v="3"/>
  </r>
  <r>
    <x v="11"/>
    <m/>
    <n v="255.56900000000002"/>
    <s v="Autobuss"/>
    <s v="Rēzekne"/>
    <x v="3"/>
  </r>
  <r>
    <x v="12"/>
    <s v="skaits (jānorāda atbilstoša mērvienība gab., litri, reižu skaits, darba stundas u.c.) "/>
    <m/>
    <s v="Autobuss"/>
    <s v="Rēzekne"/>
    <x v="3"/>
  </r>
  <r>
    <x v="13"/>
    <s v="skaits (jānorāda atbilstoša mērvienība gab., litri, reižu skaits, darba stundas u.c.) "/>
    <n v="32"/>
    <s v="Autobuss"/>
    <s v="Rēzekne"/>
    <x v="3"/>
  </r>
  <r>
    <x v="14"/>
    <s v="skaits (jānorāda atbilstoša mērvienība gab., litri, reižu skaits, darba stundas u.c.) "/>
    <n v="750"/>
    <s v="Autobuss"/>
    <s v="Rēzekne"/>
    <x v="3"/>
  </r>
  <r>
    <x v="15"/>
    <s v="skaits (jānorāda atbilstoša mērvienība gab., litri, reižu skaits, darba stundas u.c.) "/>
    <n v="400"/>
    <s v="Autobuss"/>
    <s v="Rēzekne"/>
    <x v="3"/>
  </r>
  <r>
    <x v="16"/>
    <s v="skaits (jānorāda atbilstoša mērvienība gab., litri, reižu skaits, darba stundas u.c.) "/>
    <n v="53"/>
    <s v="Autobuss"/>
    <s v="Rēzekne"/>
    <x v="3"/>
  </r>
  <r>
    <x v="17"/>
    <s v="skaits (jānorāda atbilstoša mērvienība gab., litri, reižu skaits, darba stundas u.c.) "/>
    <m/>
    <s v="Autobuss"/>
    <s v="Rēzekne"/>
    <x v="3"/>
  </r>
  <r>
    <x v="29"/>
    <s v="skaits (jānorāda atbilstoša mērvienība gab., litri, reižu skaits, darba stundas u.c.) "/>
    <n v="300"/>
    <s v="Autobuss"/>
    <s v="Rēzekne"/>
    <x v="3"/>
  </r>
  <r>
    <x v="19"/>
    <s v="EUR/vien bez PVN"/>
    <m/>
    <s v="Autobuss"/>
    <s v="Rēzekne"/>
    <x v="3"/>
  </r>
  <r>
    <x v="13"/>
    <s v="EUR/vien bez PVN"/>
    <n v="2.86"/>
    <s v="Autobuss"/>
    <s v="Rēzekne"/>
    <x v="3"/>
  </r>
  <r>
    <x v="14"/>
    <s v="EUR/vien bez PVN"/>
    <n v="7.0000000000000007E-2"/>
    <s v="Autobuss"/>
    <s v="Rēzekne"/>
    <x v="3"/>
  </r>
  <r>
    <x v="15"/>
    <s v="EUR/vien bez PVN"/>
    <n v="1.38E-2"/>
    <s v="Autobuss"/>
    <s v="Rēzekne"/>
    <x v="3"/>
  </r>
  <r>
    <x v="20"/>
    <s v="EUR/vien bez PVN"/>
    <n v="1.5329999999999999"/>
    <s v="Autobuss"/>
    <s v="Rēzekne"/>
    <x v="3"/>
  </r>
  <r>
    <x v="21"/>
    <s v="EUR/vien bez PVN"/>
    <m/>
    <s v="Autobuss"/>
    <s v="Rēzekne"/>
    <x v="3"/>
  </r>
  <r>
    <x v="29"/>
    <s v="EUR/vien bez PVN"/>
    <n v="8.2600000000000007E-2"/>
    <s v="Autobuss"/>
    <s v="Rēzekne"/>
    <x v="3"/>
  </r>
  <r>
    <x v="23"/>
    <m/>
    <n v="7585.4254326086939"/>
    <s v="Autobuss"/>
    <s v="Rēzekne"/>
    <x v="3"/>
  </r>
  <r>
    <x v="38"/>
    <s v="EUR bez PVN"/>
    <n v="13201.82"/>
    <s v="Autobuss"/>
    <s v="Rēzekne"/>
    <x v="3"/>
  </r>
  <r>
    <x v="39"/>
    <s v="km"/>
    <n v="103969"/>
    <s v="Autobuss"/>
    <s v="Rēzekne"/>
    <x v="3"/>
  </r>
  <r>
    <x v="40"/>
    <s v="EUR bez PVN"/>
    <n v="20233.62"/>
    <s v="Autobuss"/>
    <s v="Rēzekne"/>
    <x v="3"/>
  </r>
  <r>
    <x v="41"/>
    <s v="km"/>
    <n v="101200"/>
    <s v="Autobuss"/>
    <s v="Rēzekne"/>
    <x v="3"/>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9BC9CBDA-F08C-45C8-B3F3-DC253540DEDE}" name="PivotTable1" cacheId="0" applyNumberFormats="0" applyBorderFormats="0" applyFontFormats="0" applyPatternFormats="0" applyAlignmentFormats="0" applyWidthHeightFormats="1" dataCaption="Values" updatedVersion="7" minRefreshableVersion="3" useAutoFormatting="1" itemPrintTitles="1" createdVersion="7" indent="0" outline="1" outlineData="1" multipleFieldFilters="0">
  <location ref="A3:F8" firstHeaderRow="1" firstDataRow="2" firstDataCol="1"/>
  <pivotFields count="6">
    <pivotField axis="axisRow" showAll="0">
      <items count="43">
        <item h="1" x="30"/>
        <item h="1" x="34"/>
        <item h="1" x="38"/>
        <item h="1" x="24"/>
        <item h="1" x="32"/>
        <item h="1" x="36"/>
        <item h="1" x="40"/>
        <item h="1" x="26"/>
        <item h="1" x="33"/>
        <item h="1" x="37"/>
        <item h="1" x="41"/>
        <item h="1" x="27"/>
        <item h="1" x="10"/>
        <item h="1" x="19"/>
        <item h="1" x="31"/>
        <item h="1" x="35"/>
        <item h="1" x="39"/>
        <item h="1" x="25"/>
        <item h="1" x="7"/>
        <item h="1" x="6"/>
        <item h="1" x="3"/>
        <item h="1" x="2"/>
        <item h="1" x="12"/>
        <item x="0"/>
        <item x="11"/>
        <item x="23"/>
        <item h="1" x="18"/>
        <item h="1" x="28"/>
        <item h="1" x="29"/>
        <item h="1" x="22"/>
        <item h="1" x="13"/>
        <item h="1" x="1"/>
        <item h="1" x="14"/>
        <item h="1" x="15"/>
        <item h="1" x="5"/>
        <item h="1" x="9"/>
        <item h="1" x="4"/>
        <item h="1" x="8"/>
        <item h="1" x="16"/>
        <item h="1" x="20"/>
        <item h="1" x="17"/>
        <item h="1" x="21"/>
        <item t="default"/>
      </items>
    </pivotField>
    <pivotField showAll="0"/>
    <pivotField dataField="1" showAll="0"/>
    <pivotField showAll="0"/>
    <pivotField showAll="0"/>
    <pivotField axis="axisCol" showAll="0">
      <items count="5">
        <item x="0"/>
        <item x="1"/>
        <item x="2"/>
        <item x="3"/>
        <item t="default"/>
      </items>
    </pivotField>
  </pivotFields>
  <rowFields count="1">
    <field x="0"/>
  </rowFields>
  <rowItems count="4">
    <i>
      <x v="23"/>
    </i>
    <i>
      <x v="24"/>
    </i>
    <i>
      <x v="25"/>
    </i>
    <i t="grand">
      <x/>
    </i>
  </rowItems>
  <colFields count="1">
    <field x="5"/>
  </colFields>
  <colItems count="5">
    <i>
      <x/>
    </i>
    <i>
      <x v="1"/>
    </i>
    <i>
      <x v="2"/>
    </i>
    <i>
      <x v="3"/>
    </i>
    <i t="grand">
      <x/>
    </i>
  </colItems>
  <dataFields count="1">
    <dataField name="Sum of Vērtība" fld="2" baseField="0" baseItem="0" numFmtId="4"/>
  </dataFields>
  <formats count="7">
    <format dxfId="6">
      <pivotArea dataOnly="0" labelOnly="1" fieldPosition="0">
        <references count="1">
          <reference field="0" count="1">
            <x v="24"/>
          </reference>
        </references>
      </pivotArea>
    </format>
    <format dxfId="5">
      <pivotArea dataOnly="0" labelOnly="1" fieldPosition="0">
        <references count="1">
          <reference field="0" count="1">
            <x v="23"/>
          </reference>
        </references>
      </pivotArea>
    </format>
    <format dxfId="4">
      <pivotArea outline="0" collapsedLevelsAreSubtotals="1" fieldPosition="0"/>
    </format>
    <format dxfId="3">
      <pivotArea collapsedLevelsAreSubtotals="1" fieldPosition="0">
        <references count="1">
          <reference field="0" count="0"/>
        </references>
      </pivotArea>
    </format>
    <format dxfId="2">
      <pivotArea dataOnly="0" labelOnly="1" fieldPosition="0">
        <references count="1">
          <reference field="0" count="0"/>
        </references>
      </pivotArea>
    </format>
    <format dxfId="1">
      <pivotArea field="0" grandCol="1" collapsedLevelsAreSubtotals="1" axis="axisRow" fieldPosition="0">
        <references count="1">
          <reference field="0" count="0"/>
        </references>
      </pivotArea>
    </format>
    <format dxfId="0">
      <pivotArea dataOnly="0" labelOnly="1" fieldPosition="0">
        <references count="1">
          <reference field="5" count="1">
            <x v="0"/>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pivotTable" Target="../pivotTables/pivotTable1.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DC79E7-D15E-4488-85C0-17937660FD0F}">
  <dimension ref="A1:G45"/>
  <sheetViews>
    <sheetView workbookViewId="0">
      <selection activeCell="I4" sqref="I4"/>
    </sheetView>
  </sheetViews>
  <sheetFormatPr defaultColWidth="9.1796875" defaultRowHeight="14" x14ac:dyDescent="0.3"/>
  <cols>
    <col min="1" max="1" width="12.54296875" style="1" customWidth="1"/>
    <col min="2" max="2" width="46.1796875" style="1" customWidth="1"/>
    <col min="3" max="3" width="11.453125" style="1" customWidth="1"/>
    <col min="4" max="5" width="17" style="1" customWidth="1"/>
    <col min="6" max="6" width="14.26953125" style="1" customWidth="1"/>
    <col min="7" max="7" width="16.7265625" style="1" customWidth="1"/>
    <col min="8" max="16384" width="9.1796875" style="1"/>
  </cols>
  <sheetData>
    <row r="1" spans="1:7" ht="36.75" customHeight="1" x14ac:dyDescent="0.35">
      <c r="A1" s="207" t="s">
        <v>71</v>
      </c>
      <c r="B1" s="207"/>
      <c r="C1" s="207"/>
      <c r="D1" s="207"/>
      <c r="E1" s="207"/>
      <c r="F1" s="207"/>
      <c r="G1" s="207"/>
    </row>
    <row r="2" spans="1:7" s="11" customFormat="1" ht="28" x14ac:dyDescent="0.3">
      <c r="A2" s="12" t="s">
        <v>4</v>
      </c>
      <c r="B2" s="12"/>
      <c r="C2" s="13" t="s">
        <v>5</v>
      </c>
      <c r="D2" s="13" t="s">
        <v>1</v>
      </c>
      <c r="E2" s="14" t="s">
        <v>11</v>
      </c>
      <c r="F2" s="13" t="s">
        <v>2</v>
      </c>
      <c r="G2" s="13" t="s">
        <v>3</v>
      </c>
    </row>
    <row r="3" spans="1:7" s="11" customFormat="1" x14ac:dyDescent="0.3">
      <c r="A3" s="10" t="s">
        <v>17</v>
      </c>
      <c r="B3" s="10" t="s">
        <v>68</v>
      </c>
      <c r="C3" s="88"/>
      <c r="D3" s="25">
        <f>(D10-D9)*D13</f>
        <v>1884.96</v>
      </c>
      <c r="E3" s="25">
        <f>(E9-E10)*E13</f>
        <v>0</v>
      </c>
      <c r="F3" s="25">
        <f>(F9-F10)*F13</f>
        <v>0</v>
      </c>
      <c r="G3" s="25">
        <f>(G9-G10)*G13</f>
        <v>0</v>
      </c>
    </row>
    <row r="4" spans="1:7" x14ac:dyDescent="0.3">
      <c r="A4" s="210" t="s">
        <v>7</v>
      </c>
      <c r="B4" s="2" t="s">
        <v>13</v>
      </c>
      <c r="C4" s="210" t="s">
        <v>6</v>
      </c>
      <c r="D4" s="16">
        <v>20</v>
      </c>
      <c r="E4" s="17"/>
      <c r="F4" s="16"/>
      <c r="G4" s="16"/>
    </row>
    <row r="5" spans="1:7" ht="15" customHeight="1" x14ac:dyDescent="0.3">
      <c r="A5" s="210"/>
      <c r="B5" s="4" t="s">
        <v>65</v>
      </c>
      <c r="C5" s="210"/>
      <c r="D5" s="16">
        <v>5479</v>
      </c>
      <c r="E5" s="16"/>
      <c r="F5" s="16"/>
      <c r="G5" s="16"/>
    </row>
    <row r="6" spans="1:7" x14ac:dyDescent="0.3">
      <c r="A6" s="210"/>
      <c r="B6" s="4" t="s">
        <v>66</v>
      </c>
      <c r="C6" s="210"/>
      <c r="D6" s="16">
        <f>D5+D7-D8</f>
        <v>5567</v>
      </c>
      <c r="E6" s="16">
        <f>E5+E7-E8</f>
        <v>0</v>
      </c>
      <c r="F6" s="16">
        <f>F5+F7-F8</f>
        <v>0</v>
      </c>
      <c r="G6" s="16">
        <f>G5+G7-G8</f>
        <v>0</v>
      </c>
    </row>
    <row r="7" spans="1:7" x14ac:dyDescent="0.3">
      <c r="A7" s="210"/>
      <c r="B7" s="5" t="s">
        <v>61</v>
      </c>
      <c r="C7" s="210"/>
      <c r="D7" s="16">
        <v>830</v>
      </c>
      <c r="E7" s="16"/>
      <c r="F7" s="16"/>
      <c r="G7" s="16"/>
    </row>
    <row r="8" spans="1:7" x14ac:dyDescent="0.3">
      <c r="A8" s="210"/>
      <c r="B8" s="5" t="s">
        <v>62</v>
      </c>
      <c r="C8" s="210"/>
      <c r="D8" s="16">
        <v>742</v>
      </c>
      <c r="E8" s="16"/>
      <c r="F8" s="16"/>
      <c r="G8" s="16"/>
    </row>
    <row r="9" spans="1:7" x14ac:dyDescent="0.3">
      <c r="A9" s="210"/>
      <c r="B9" s="4" t="s">
        <v>59</v>
      </c>
      <c r="C9" s="211" t="s">
        <v>8</v>
      </c>
      <c r="D9" s="16">
        <v>57529</v>
      </c>
      <c r="E9" s="16"/>
      <c r="F9" s="16"/>
      <c r="G9" s="16"/>
    </row>
    <row r="10" spans="1:7" x14ac:dyDescent="0.3">
      <c r="A10" s="210"/>
      <c r="B10" s="4" t="s">
        <v>67</v>
      </c>
      <c r="C10" s="211"/>
      <c r="D10" s="16">
        <f>D9+D11-D12</f>
        <v>58453</v>
      </c>
      <c r="E10" s="16">
        <f>E9+E11-E12</f>
        <v>0</v>
      </c>
      <c r="F10" s="16">
        <f>F9+F11-F12</f>
        <v>0</v>
      </c>
      <c r="G10" s="16">
        <f>G9+G11-G12</f>
        <v>0</v>
      </c>
    </row>
    <row r="11" spans="1:7" ht="16.5" customHeight="1" x14ac:dyDescent="0.3">
      <c r="A11" s="210"/>
      <c r="B11" s="6" t="s">
        <v>63</v>
      </c>
      <c r="C11" s="211"/>
      <c r="D11" s="16">
        <v>8715</v>
      </c>
      <c r="E11" s="16"/>
      <c r="F11" s="16"/>
      <c r="G11" s="16"/>
    </row>
    <row r="12" spans="1:7" ht="16.5" customHeight="1" x14ac:dyDescent="0.3">
      <c r="A12" s="210"/>
      <c r="B12" s="6" t="s">
        <v>64</v>
      </c>
      <c r="C12" s="211"/>
      <c r="D12" s="16">
        <v>7791</v>
      </c>
      <c r="E12" s="16"/>
      <c r="F12" s="16"/>
      <c r="G12" s="16"/>
    </row>
    <row r="13" spans="1:7" ht="28" x14ac:dyDescent="0.3">
      <c r="A13" s="2" t="s">
        <v>16</v>
      </c>
      <c r="B13" s="4" t="s">
        <v>60</v>
      </c>
      <c r="C13" s="3" t="s">
        <v>9</v>
      </c>
      <c r="D13" s="16">
        <v>2.04</v>
      </c>
      <c r="E13" s="16"/>
      <c r="F13" s="16"/>
      <c r="G13" s="16"/>
    </row>
    <row r="14" spans="1:7" s="11" customFormat="1" ht="28" x14ac:dyDescent="0.3">
      <c r="A14" s="89" t="s">
        <v>18</v>
      </c>
      <c r="B14" s="34" t="s">
        <v>58</v>
      </c>
      <c r="C14" s="90"/>
      <c r="D14" s="26">
        <f>SUM(D25*D36,D24*D35,D23*D34,D22*D33,D20*D31,D19*D30,D17*D28,D16*D27)</f>
        <v>16414.940000000002</v>
      </c>
      <c r="E14" s="26">
        <f>SUM(E25*E36,E24*E35,E23*E34,E22*E33,E20*E31,E19*E30,E17*E28,E16*E27)</f>
        <v>0</v>
      </c>
      <c r="F14" s="26">
        <f>SUM(F25*F36,F24*F35,F23*F34,F22*F33,F20*F31,F19*F30,F17*F28,F16*F27)</f>
        <v>0</v>
      </c>
      <c r="G14" s="26">
        <f>SUM(G25*G36,G24*G35,G23*G34,G22*G33,G20*G31,G19*G30,G17*G28,G16*G27)</f>
        <v>0</v>
      </c>
    </row>
    <row r="15" spans="1:7" s="15" customFormat="1" ht="37.5" customHeight="1" x14ac:dyDescent="0.3">
      <c r="A15" s="209" t="s">
        <v>7</v>
      </c>
      <c r="B15" s="7" t="s">
        <v>56</v>
      </c>
      <c r="C15" s="21"/>
      <c r="D15" s="18"/>
      <c r="E15" s="18"/>
      <c r="F15" s="18"/>
      <c r="G15" s="18"/>
    </row>
    <row r="16" spans="1:7" s="15" customFormat="1" x14ac:dyDescent="0.3">
      <c r="A16" s="209"/>
      <c r="B16" s="8" t="s">
        <v>0</v>
      </c>
      <c r="C16" s="21" t="s">
        <v>36</v>
      </c>
      <c r="D16" s="18">
        <v>15</v>
      </c>
      <c r="E16" s="18"/>
      <c r="F16" s="18"/>
      <c r="G16" s="18"/>
    </row>
    <row r="17" spans="1:7" s="15" customFormat="1" x14ac:dyDescent="0.3">
      <c r="A17" s="209"/>
      <c r="B17" s="8" t="s">
        <v>14</v>
      </c>
      <c r="C17" s="21" t="s">
        <v>35</v>
      </c>
      <c r="D17" s="18">
        <v>200</v>
      </c>
      <c r="E17" s="18"/>
      <c r="F17" s="18"/>
      <c r="G17" s="18"/>
    </row>
    <row r="18" spans="1:7" s="15" customFormat="1" ht="18.75" customHeight="1" x14ac:dyDescent="0.3">
      <c r="A18" s="209"/>
      <c r="B18" s="9" t="s">
        <v>20</v>
      </c>
      <c r="C18" s="91"/>
      <c r="D18" s="18"/>
      <c r="E18" s="18"/>
      <c r="F18" s="18"/>
      <c r="G18" s="18"/>
    </row>
    <row r="19" spans="1:7" s="15" customFormat="1" ht="18.75" customHeight="1" x14ac:dyDescent="0.3">
      <c r="A19" s="209"/>
      <c r="B19" s="23" t="s">
        <v>37</v>
      </c>
      <c r="C19" s="24" t="s">
        <v>35</v>
      </c>
      <c r="D19" s="18">
        <v>105</v>
      </c>
      <c r="E19" s="18"/>
      <c r="F19" s="18"/>
      <c r="G19" s="18"/>
    </row>
    <row r="20" spans="1:7" s="15" customFormat="1" ht="18.75" customHeight="1" x14ac:dyDescent="0.3">
      <c r="A20" s="209"/>
      <c r="B20" s="23" t="s">
        <v>39</v>
      </c>
      <c r="C20" s="24" t="s">
        <v>38</v>
      </c>
      <c r="D20" s="18">
        <v>28</v>
      </c>
      <c r="E20" s="18"/>
      <c r="F20" s="18"/>
      <c r="G20" s="18"/>
    </row>
    <row r="21" spans="1:7" s="15" customFormat="1" x14ac:dyDescent="0.3">
      <c r="A21" s="209"/>
      <c r="B21" s="8" t="s">
        <v>12</v>
      </c>
      <c r="C21" s="209" t="s">
        <v>33</v>
      </c>
      <c r="D21" s="18"/>
      <c r="E21" s="18"/>
      <c r="F21" s="18"/>
      <c r="G21" s="18"/>
    </row>
    <row r="22" spans="1:7" s="15" customFormat="1" x14ac:dyDescent="0.3">
      <c r="A22" s="209"/>
      <c r="B22" s="22" t="s">
        <v>40</v>
      </c>
      <c r="C22" s="209"/>
      <c r="D22" s="18">
        <v>84</v>
      </c>
      <c r="E22" s="18"/>
      <c r="F22" s="18"/>
      <c r="G22" s="18"/>
    </row>
    <row r="23" spans="1:7" s="15" customFormat="1" x14ac:dyDescent="0.3">
      <c r="A23" s="209"/>
      <c r="B23" s="22" t="s">
        <v>41</v>
      </c>
      <c r="C23" s="209"/>
      <c r="D23" s="18">
        <v>3658</v>
      </c>
      <c r="E23" s="18"/>
      <c r="F23" s="18"/>
      <c r="G23" s="18"/>
    </row>
    <row r="24" spans="1:7" s="15" customFormat="1" ht="17.25" customHeight="1" x14ac:dyDescent="0.3">
      <c r="A24" s="209"/>
      <c r="B24" s="9" t="s">
        <v>26</v>
      </c>
      <c r="C24" s="21" t="s">
        <v>33</v>
      </c>
      <c r="D24" s="18">
        <v>1783</v>
      </c>
      <c r="E24" s="18"/>
      <c r="F24" s="18"/>
      <c r="G24" s="18"/>
    </row>
    <row r="25" spans="1:7" s="15" customFormat="1" ht="28" x14ac:dyDescent="0.3">
      <c r="A25" s="209"/>
      <c r="B25" s="22" t="s">
        <v>34</v>
      </c>
      <c r="C25" s="21" t="s">
        <v>42</v>
      </c>
      <c r="D25" s="18">
        <v>1</v>
      </c>
      <c r="E25" s="18"/>
      <c r="F25" s="18"/>
      <c r="G25" s="18"/>
    </row>
    <row r="26" spans="1:7" s="15" customFormat="1" ht="28" x14ac:dyDescent="0.3">
      <c r="A26" s="209"/>
      <c r="B26" s="7" t="s">
        <v>57</v>
      </c>
      <c r="C26" s="209" t="s">
        <v>43</v>
      </c>
      <c r="D26" s="92"/>
      <c r="E26" s="18"/>
      <c r="F26" s="18"/>
      <c r="G26" s="18"/>
    </row>
    <row r="27" spans="1:7" s="15" customFormat="1" x14ac:dyDescent="0.3">
      <c r="A27" s="209"/>
      <c r="B27" s="8" t="s">
        <v>0</v>
      </c>
      <c r="C27" s="209"/>
      <c r="D27" s="18">
        <v>3</v>
      </c>
      <c r="E27" s="18"/>
      <c r="F27" s="18"/>
      <c r="G27" s="18"/>
    </row>
    <row r="28" spans="1:7" s="15" customFormat="1" x14ac:dyDescent="0.3">
      <c r="A28" s="209"/>
      <c r="B28" s="8" t="s">
        <v>14</v>
      </c>
      <c r="C28" s="209"/>
      <c r="D28" s="18">
        <v>0.55000000000000004</v>
      </c>
      <c r="E28" s="18"/>
      <c r="F28" s="18"/>
      <c r="G28" s="18"/>
    </row>
    <row r="29" spans="1:7" s="15" customFormat="1" ht="18.75" customHeight="1" x14ac:dyDescent="0.3">
      <c r="A29" s="209"/>
      <c r="B29" s="9" t="s">
        <v>20</v>
      </c>
      <c r="C29" s="209"/>
      <c r="D29" s="18"/>
      <c r="E29" s="18"/>
      <c r="F29" s="18"/>
      <c r="G29" s="18"/>
    </row>
    <row r="30" spans="1:7" s="15" customFormat="1" ht="18.75" customHeight="1" x14ac:dyDescent="0.3">
      <c r="A30" s="209"/>
      <c r="B30" s="23" t="s">
        <v>37</v>
      </c>
      <c r="C30" s="209"/>
      <c r="D30" s="18">
        <v>0.53</v>
      </c>
      <c r="E30" s="18"/>
      <c r="F30" s="18"/>
      <c r="G30" s="18"/>
    </row>
    <row r="31" spans="1:7" s="15" customFormat="1" ht="15.75" customHeight="1" x14ac:dyDescent="0.3">
      <c r="A31" s="209"/>
      <c r="B31" s="23" t="s">
        <v>39</v>
      </c>
      <c r="C31" s="209"/>
      <c r="D31" s="18">
        <v>4.87</v>
      </c>
      <c r="E31" s="18"/>
      <c r="F31" s="18"/>
      <c r="G31" s="18"/>
    </row>
    <row r="32" spans="1:7" s="15" customFormat="1" x14ac:dyDescent="0.3">
      <c r="A32" s="209"/>
      <c r="B32" s="8" t="s">
        <v>12</v>
      </c>
      <c r="C32" s="209"/>
      <c r="D32" s="18"/>
      <c r="E32" s="18"/>
      <c r="F32" s="18"/>
      <c r="G32" s="18"/>
    </row>
    <row r="33" spans="1:7" s="15" customFormat="1" x14ac:dyDescent="0.3">
      <c r="A33" s="209"/>
      <c r="B33" s="22" t="s">
        <v>40</v>
      </c>
      <c r="C33" s="209"/>
      <c r="D33" s="18">
        <v>5.54</v>
      </c>
      <c r="E33" s="18"/>
      <c r="F33" s="18"/>
      <c r="G33" s="18"/>
    </row>
    <row r="34" spans="1:7" s="15" customFormat="1" x14ac:dyDescent="0.3">
      <c r="A34" s="209"/>
      <c r="B34" s="22" t="s">
        <v>41</v>
      </c>
      <c r="C34" s="209"/>
      <c r="D34" s="18">
        <v>2.2599999999999998</v>
      </c>
      <c r="E34" s="18"/>
      <c r="F34" s="18"/>
      <c r="G34" s="18"/>
    </row>
    <row r="35" spans="1:7" s="15" customFormat="1" ht="17.25" customHeight="1" x14ac:dyDescent="0.3">
      <c r="A35" s="209"/>
      <c r="B35" s="9" t="s">
        <v>26</v>
      </c>
      <c r="C35" s="209"/>
      <c r="D35" s="18">
        <v>4.03</v>
      </c>
      <c r="E35" s="18"/>
      <c r="F35" s="18"/>
      <c r="G35" s="18"/>
    </row>
    <row r="36" spans="1:7" s="15" customFormat="1" x14ac:dyDescent="0.3">
      <c r="A36" s="209"/>
      <c r="B36" s="22" t="s">
        <v>34</v>
      </c>
      <c r="C36" s="209"/>
      <c r="D36" s="18">
        <v>150</v>
      </c>
      <c r="E36" s="18"/>
      <c r="F36" s="18"/>
      <c r="G36" s="18"/>
    </row>
    <row r="37" spans="1:7" s="11" customFormat="1" x14ac:dyDescent="0.3">
      <c r="A37" s="31" t="s">
        <v>44</v>
      </c>
      <c r="B37" s="31" t="s">
        <v>70</v>
      </c>
      <c r="C37" s="31"/>
      <c r="D37" s="77">
        <f>((D40/D41)-(D38/D39))*D39</f>
        <v>4716.5993557374186</v>
      </c>
      <c r="E37" s="77" t="e">
        <f>((E40/E41)-(E38/E39))*E39</f>
        <v>#DIV/0!</v>
      </c>
      <c r="F37" s="77" t="e">
        <f>((F40/F41)-(F38/F39))*F39</f>
        <v>#DIV/0!</v>
      </c>
      <c r="G37" s="77" t="e">
        <f>((G40/G41)-(G38/G39))*G39</f>
        <v>#DIV/0!</v>
      </c>
    </row>
    <row r="38" spans="1:7" ht="56" x14ac:dyDescent="0.3">
      <c r="A38" s="208" t="s">
        <v>45</v>
      </c>
      <c r="B38" s="29" t="s">
        <v>53</v>
      </c>
      <c r="C38" s="30" t="s">
        <v>47</v>
      </c>
      <c r="D38" s="32">
        <v>20573</v>
      </c>
      <c r="E38" s="28"/>
      <c r="F38" s="28"/>
      <c r="G38" s="28"/>
    </row>
    <row r="39" spans="1:7" x14ac:dyDescent="0.3">
      <c r="A39" s="208"/>
      <c r="B39" s="29" t="s">
        <v>69</v>
      </c>
      <c r="C39" s="30" t="s">
        <v>8</v>
      </c>
      <c r="D39" s="32">
        <v>58453</v>
      </c>
      <c r="E39" s="28"/>
      <c r="F39" s="28"/>
      <c r="G39" s="28"/>
    </row>
    <row r="40" spans="1:7" ht="56" x14ac:dyDescent="0.3">
      <c r="A40" s="208" t="s">
        <v>46</v>
      </c>
      <c r="B40" s="29" t="s">
        <v>54</v>
      </c>
      <c r="C40" s="30" t="s">
        <v>47</v>
      </c>
      <c r="D40" s="32">
        <v>24847</v>
      </c>
      <c r="E40" s="28"/>
      <c r="F40" s="28"/>
      <c r="G40" s="28"/>
    </row>
    <row r="41" spans="1:7" x14ac:dyDescent="0.3">
      <c r="A41" s="208"/>
      <c r="B41" s="29" t="s">
        <v>55</v>
      </c>
      <c r="C41" s="30" t="s">
        <v>8</v>
      </c>
      <c r="D41" s="32">
        <v>57430</v>
      </c>
      <c r="E41" s="28"/>
      <c r="F41" s="28"/>
      <c r="G41" s="28"/>
    </row>
    <row r="44" spans="1:7" ht="14.5" thickBot="1" x14ac:dyDescent="0.35">
      <c r="B44" s="95" t="s">
        <v>72</v>
      </c>
      <c r="C44" s="94"/>
      <c r="D44" s="94"/>
      <c r="E44" s="94"/>
      <c r="F44" s="94"/>
      <c r="G44" s="94"/>
    </row>
    <row r="45" spans="1:7" ht="14.5" thickTop="1" x14ac:dyDescent="0.3"/>
  </sheetData>
  <mergeCells count="9">
    <mergeCell ref="A1:G1"/>
    <mergeCell ref="A38:A39"/>
    <mergeCell ref="A40:A41"/>
    <mergeCell ref="C21:C23"/>
    <mergeCell ref="A15:A36"/>
    <mergeCell ref="C26:C36"/>
    <mergeCell ref="A4:A12"/>
    <mergeCell ref="C4:C8"/>
    <mergeCell ref="C9:C1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7FDCCB-D681-4EEB-83EA-E116793AC980}">
  <sheetPr>
    <pageSetUpPr fitToPage="1"/>
  </sheetPr>
  <dimension ref="A1:J57"/>
  <sheetViews>
    <sheetView topLeftCell="A7" workbookViewId="0">
      <selection activeCell="D29" sqref="D29"/>
    </sheetView>
  </sheetViews>
  <sheetFormatPr defaultColWidth="9.1796875" defaultRowHeight="14" x14ac:dyDescent="0.3"/>
  <cols>
    <col min="1" max="1" width="12.54296875" style="1" customWidth="1"/>
    <col min="2" max="2" width="46.1796875" style="1" customWidth="1"/>
    <col min="3" max="3" width="11.453125" style="1" customWidth="1"/>
    <col min="4" max="5" width="17" style="1" customWidth="1"/>
    <col min="6" max="6" width="14.26953125" style="1" customWidth="1"/>
    <col min="7" max="7" width="16.7265625" style="1" customWidth="1"/>
    <col min="8" max="9" width="0" style="1" hidden="1" customWidth="1"/>
    <col min="10" max="16384" width="9.1796875" style="1"/>
  </cols>
  <sheetData>
    <row r="1" spans="1:10" ht="42" customHeight="1" x14ac:dyDescent="0.35">
      <c r="A1" s="207" t="s">
        <v>71</v>
      </c>
      <c r="B1" s="207"/>
      <c r="C1" s="207"/>
      <c r="D1" s="207"/>
      <c r="E1" s="207"/>
      <c r="F1" s="207"/>
      <c r="G1" s="207"/>
    </row>
    <row r="2" spans="1:10" s="11" customFormat="1" ht="28.5" thickBot="1" x14ac:dyDescent="0.35">
      <c r="A2" s="12" t="s">
        <v>4</v>
      </c>
      <c r="B2" s="53"/>
      <c r="C2" s="54" t="s">
        <v>5</v>
      </c>
      <c r="D2" s="54" t="s">
        <v>1</v>
      </c>
      <c r="E2" s="55" t="s">
        <v>11</v>
      </c>
      <c r="F2" s="54" t="s">
        <v>2</v>
      </c>
      <c r="G2" s="54" t="s">
        <v>3</v>
      </c>
    </row>
    <row r="3" spans="1:10" s="11" customFormat="1" ht="14.5" thickBot="1" x14ac:dyDescent="0.35">
      <c r="A3" s="52" t="s">
        <v>17</v>
      </c>
      <c r="B3" s="71" t="s">
        <v>68</v>
      </c>
      <c r="C3" s="72"/>
      <c r="D3" s="73">
        <f>(D10-D9)*D13</f>
        <v>0</v>
      </c>
      <c r="E3" s="73">
        <f>(E10-E9)*E13</f>
        <v>0</v>
      </c>
      <c r="F3" s="73">
        <f>(F10-F9)*F13</f>
        <v>0</v>
      </c>
      <c r="G3" s="74">
        <f>(G10-G9)*G13</f>
        <v>0</v>
      </c>
    </row>
    <row r="4" spans="1:10" x14ac:dyDescent="0.3">
      <c r="A4" s="217" t="s">
        <v>7</v>
      </c>
      <c r="B4" s="67" t="s">
        <v>13</v>
      </c>
      <c r="C4" s="215" t="s">
        <v>6</v>
      </c>
      <c r="D4" s="68">
        <v>29</v>
      </c>
      <c r="E4" s="69"/>
      <c r="F4" s="68"/>
      <c r="G4" s="70"/>
    </row>
    <row r="5" spans="1:10" ht="15" customHeight="1" x14ac:dyDescent="0.3">
      <c r="A5" s="218"/>
      <c r="B5" s="57" t="s">
        <v>65</v>
      </c>
      <c r="C5" s="215"/>
      <c r="D5" s="19">
        <v>8635</v>
      </c>
      <c r="E5" s="19"/>
      <c r="F5" s="19"/>
      <c r="G5" s="56"/>
    </row>
    <row r="6" spans="1:10" x14ac:dyDescent="0.3">
      <c r="A6" s="218"/>
      <c r="B6" s="57" t="s">
        <v>66</v>
      </c>
      <c r="C6" s="215"/>
      <c r="D6" s="19">
        <f>D5+D7-D8</f>
        <v>8635</v>
      </c>
      <c r="E6" s="19">
        <f>E5+E7-E8</f>
        <v>0</v>
      </c>
      <c r="F6" s="19">
        <f>F5+F7-F8</f>
        <v>0</v>
      </c>
      <c r="G6" s="56">
        <f>G5+G7-G8</f>
        <v>0</v>
      </c>
    </row>
    <row r="7" spans="1:10" x14ac:dyDescent="0.3">
      <c r="A7" s="218"/>
      <c r="B7" s="58" t="s">
        <v>61</v>
      </c>
      <c r="C7" s="215"/>
      <c r="D7" s="19"/>
      <c r="E7" s="19"/>
      <c r="F7" s="19"/>
      <c r="G7" s="56"/>
    </row>
    <row r="8" spans="1:10" x14ac:dyDescent="0.3">
      <c r="A8" s="218"/>
      <c r="B8" s="58" t="s">
        <v>62</v>
      </c>
      <c r="C8" s="216"/>
      <c r="D8" s="19"/>
      <c r="E8" s="19"/>
      <c r="F8" s="19"/>
      <c r="G8" s="56"/>
    </row>
    <row r="9" spans="1:10" x14ac:dyDescent="0.3">
      <c r="A9" s="218"/>
      <c r="B9" s="57" t="s">
        <v>59</v>
      </c>
      <c r="C9" s="212" t="s">
        <v>8</v>
      </c>
      <c r="D9" s="19">
        <v>77873.7</v>
      </c>
      <c r="E9" s="19"/>
      <c r="F9" s="19"/>
      <c r="G9" s="56"/>
    </row>
    <row r="10" spans="1:10" x14ac:dyDescent="0.3">
      <c r="A10" s="218"/>
      <c r="B10" s="57" t="s">
        <v>67</v>
      </c>
      <c r="C10" s="213"/>
      <c r="D10" s="19">
        <f>D9+D12-D11</f>
        <v>77873.7</v>
      </c>
      <c r="E10" s="19">
        <f>E9+E11-E12</f>
        <v>0</v>
      </c>
      <c r="F10" s="19">
        <f>F9+F11-F12</f>
        <v>0</v>
      </c>
      <c r="G10" s="56">
        <f>G9+G11-G12</f>
        <v>0</v>
      </c>
      <c r="H10" s="173" t="e">
        <f ca="1">atskaites_jedox!V8</f>
        <v>#NAME?</v>
      </c>
    </row>
    <row r="11" spans="1:10" ht="16.5" customHeight="1" x14ac:dyDescent="0.3">
      <c r="A11" s="218"/>
      <c r="B11" s="59" t="s">
        <v>63</v>
      </c>
      <c r="C11" s="213"/>
      <c r="D11" s="19"/>
      <c r="E11" s="19"/>
      <c r="F11" s="19"/>
      <c r="G11" s="56"/>
    </row>
    <row r="12" spans="1:10" ht="16.5" customHeight="1" x14ac:dyDescent="0.3">
      <c r="A12" s="219"/>
      <c r="B12" s="59" t="s">
        <v>64</v>
      </c>
      <c r="C12" s="214"/>
      <c r="D12" s="19"/>
      <c r="E12" s="19"/>
      <c r="F12" s="19"/>
      <c r="G12" s="56"/>
    </row>
    <row r="13" spans="1:10" ht="28.5" thickBot="1" x14ac:dyDescent="0.35">
      <c r="A13" s="79" t="s">
        <v>16</v>
      </c>
      <c r="B13" s="60" t="s">
        <v>60</v>
      </c>
      <c r="C13" s="61" t="s">
        <v>9</v>
      </c>
      <c r="D13" s="62">
        <v>1.5318000000000001</v>
      </c>
      <c r="E13" s="62"/>
      <c r="F13" s="62"/>
      <c r="G13" s="63"/>
      <c r="H13" s="174" t="e">
        <f ca="1">atskaites_jedox!W8</f>
        <v>#NAME?</v>
      </c>
    </row>
    <row r="14" spans="1:10" s="11" customFormat="1" ht="28.5" thickBot="1" x14ac:dyDescent="0.35">
      <c r="A14" s="44" t="s">
        <v>18</v>
      </c>
      <c r="B14" s="48" t="s">
        <v>58</v>
      </c>
      <c r="C14" s="49"/>
      <c r="D14" s="50">
        <f>SUM(D16*D23,D17*D24,D18*D25,D19*D26,D20*D27,D21*D28)</f>
        <v>165.40604000000002</v>
      </c>
      <c r="E14" s="50">
        <f>SUM(E16*E23,E17*E24,E18*E25,E19*E26,E20*E27,E21*E28)</f>
        <v>0</v>
      </c>
      <c r="F14" s="50">
        <f>SUM(F16*F23,F17*F24,F18*F25,F19*F26,F20*F27,F21*F28)</f>
        <v>0</v>
      </c>
      <c r="G14" s="51">
        <f>SUM(G16*G23,G17*G24,G18*G25,G19*G26,G20*G27,G21*G28)</f>
        <v>0</v>
      </c>
      <c r="J14" s="252"/>
    </row>
    <row r="15" spans="1:10" s="15" customFormat="1" ht="48.75" customHeight="1" x14ac:dyDescent="0.3">
      <c r="A15" s="227" t="s">
        <v>7</v>
      </c>
      <c r="B15" s="45" t="s">
        <v>56</v>
      </c>
      <c r="C15" s="225" t="s">
        <v>30</v>
      </c>
      <c r="D15" s="46"/>
      <c r="E15" s="46"/>
      <c r="F15" s="46"/>
      <c r="G15" s="47"/>
    </row>
    <row r="16" spans="1:10" s="15" customFormat="1" x14ac:dyDescent="0.3">
      <c r="A16" s="228"/>
      <c r="B16" s="38" t="s">
        <v>0</v>
      </c>
      <c r="C16" s="225"/>
      <c r="D16" s="20">
        <v>17.8</v>
      </c>
      <c r="E16" s="20"/>
      <c r="F16" s="20"/>
      <c r="G16" s="39"/>
    </row>
    <row r="17" spans="1:9" s="15" customFormat="1" x14ac:dyDescent="0.3">
      <c r="A17" s="228"/>
      <c r="B17" s="38" t="s">
        <v>14</v>
      </c>
      <c r="C17" s="225"/>
      <c r="D17" s="20">
        <v>370</v>
      </c>
      <c r="E17" s="20"/>
      <c r="F17" s="20"/>
      <c r="G17" s="39"/>
    </row>
    <row r="18" spans="1:9" s="15" customFormat="1" ht="18.75" customHeight="1" x14ac:dyDescent="0.3">
      <c r="A18" s="228"/>
      <c r="B18" s="40" t="s">
        <v>20</v>
      </c>
      <c r="C18" s="225"/>
      <c r="D18" s="20"/>
      <c r="E18" s="20"/>
      <c r="F18" s="20"/>
      <c r="G18" s="39"/>
    </row>
    <row r="19" spans="1:9" s="15" customFormat="1" x14ac:dyDescent="0.3">
      <c r="A19" s="228"/>
      <c r="B19" s="38" t="s">
        <v>12</v>
      </c>
      <c r="C19" s="225"/>
      <c r="D19" s="20">
        <v>17.420000000000002</v>
      </c>
      <c r="E19" s="20"/>
      <c r="F19" s="20"/>
      <c r="G19" s="39"/>
    </row>
    <row r="20" spans="1:9" s="15" customFormat="1" ht="17.25" customHeight="1" x14ac:dyDescent="0.3">
      <c r="A20" s="228"/>
      <c r="B20" s="40" t="s">
        <v>26</v>
      </c>
      <c r="C20" s="225"/>
      <c r="D20" s="20"/>
      <c r="E20" s="20"/>
      <c r="F20" s="20"/>
      <c r="G20" s="39"/>
    </row>
    <row r="21" spans="1:9" s="15" customFormat="1" ht="14.5" thickBot="1" x14ac:dyDescent="0.35">
      <c r="A21" s="228"/>
      <c r="B21" s="41" t="s">
        <v>76</v>
      </c>
      <c r="C21" s="226"/>
      <c r="D21" s="42">
        <v>150</v>
      </c>
      <c r="E21" s="42"/>
      <c r="F21" s="42"/>
      <c r="G21" s="43"/>
    </row>
    <row r="22" spans="1:9" s="15" customFormat="1" ht="28" x14ac:dyDescent="0.3">
      <c r="A22" s="228"/>
      <c r="B22" s="35" t="s">
        <v>57</v>
      </c>
      <c r="C22" s="224" t="s">
        <v>43</v>
      </c>
      <c r="D22" s="36"/>
      <c r="E22" s="36"/>
      <c r="F22" s="36"/>
      <c r="G22" s="37"/>
    </row>
    <row r="23" spans="1:9" s="15" customFormat="1" x14ac:dyDescent="0.3">
      <c r="A23" s="228"/>
      <c r="B23" s="38" t="s">
        <v>0</v>
      </c>
      <c r="C23" s="225"/>
      <c r="D23" s="20">
        <v>3.0908000000000002</v>
      </c>
      <c r="E23" s="20"/>
      <c r="F23" s="20"/>
      <c r="G23" s="39"/>
    </row>
    <row r="24" spans="1:9" s="15" customFormat="1" x14ac:dyDescent="0.3">
      <c r="A24" s="228"/>
      <c r="B24" s="38" t="s">
        <v>14</v>
      </c>
      <c r="C24" s="225"/>
      <c r="D24" s="20">
        <v>7.0000000000000007E-2</v>
      </c>
      <c r="E24" s="20"/>
      <c r="F24" s="20"/>
      <c r="G24" s="39"/>
    </row>
    <row r="25" spans="1:9" s="15" customFormat="1" ht="15" customHeight="1" x14ac:dyDescent="0.3">
      <c r="A25" s="228"/>
      <c r="B25" s="40" t="s">
        <v>20</v>
      </c>
      <c r="C25" s="225"/>
      <c r="D25" s="20"/>
      <c r="E25" s="20"/>
      <c r="F25" s="20"/>
      <c r="G25" s="39"/>
    </row>
    <row r="26" spans="1:9" s="15" customFormat="1" ht="31.5" customHeight="1" x14ac:dyDescent="0.3">
      <c r="A26" s="228"/>
      <c r="B26" s="40" t="s">
        <v>25</v>
      </c>
      <c r="C26" s="225"/>
      <c r="D26" s="20">
        <v>1.69</v>
      </c>
      <c r="E26" s="20"/>
      <c r="F26" s="20"/>
      <c r="G26" s="39"/>
    </row>
    <row r="27" spans="1:9" s="15" customFormat="1" ht="33" customHeight="1" x14ac:dyDescent="0.3">
      <c r="A27" s="228"/>
      <c r="B27" s="40" t="s">
        <v>27</v>
      </c>
      <c r="C27" s="225"/>
      <c r="D27" s="20"/>
      <c r="E27" s="20"/>
      <c r="F27" s="20"/>
      <c r="G27" s="39"/>
    </row>
    <row r="28" spans="1:9" ht="14.5" thickBot="1" x14ac:dyDescent="0.35">
      <c r="A28" s="229"/>
      <c r="B28" s="41" t="s">
        <v>77</v>
      </c>
      <c r="C28" s="226"/>
      <c r="D28" s="42">
        <v>0.36699999999999999</v>
      </c>
      <c r="E28" s="42"/>
      <c r="F28" s="42"/>
      <c r="G28" s="43"/>
    </row>
    <row r="29" spans="1:9" s="11" customFormat="1" x14ac:dyDescent="0.3">
      <c r="A29" s="64" t="s">
        <v>44</v>
      </c>
      <c r="B29" s="80" t="s">
        <v>70</v>
      </c>
      <c r="C29" s="81"/>
      <c r="D29" s="82">
        <f>((D32/D33)-(D30/D31))*D31</f>
        <v>7052.9323668353491</v>
      </c>
      <c r="E29" s="82" t="e">
        <f>((E32/E33)-(E31/#REF!))*#REF!</f>
        <v>#DIV/0!</v>
      </c>
      <c r="F29" s="82" t="e">
        <f>((F32/F33)-(F30/F31))*F31</f>
        <v>#DIV/0!</v>
      </c>
      <c r="G29" s="83" t="e">
        <f>((G32/G33)-(G30/G31))*G31</f>
        <v>#DIV/0!</v>
      </c>
    </row>
    <row r="30" spans="1:9" ht="56" x14ac:dyDescent="0.3">
      <c r="A30" s="230" t="s">
        <v>45</v>
      </c>
      <c r="B30" s="84" t="s">
        <v>53</v>
      </c>
      <c r="C30" s="78" t="s">
        <v>47</v>
      </c>
      <c r="D30" s="32">
        <v>8685.16</v>
      </c>
      <c r="E30" s="76"/>
      <c r="F30" s="28"/>
      <c r="G30" s="85"/>
      <c r="H30" s="173" t="e">
        <f ca="1">atskaites_jedox!U8</f>
        <v>#NAME?</v>
      </c>
    </row>
    <row r="31" spans="1:9" x14ac:dyDescent="0.3">
      <c r="A31" s="231"/>
      <c r="B31" s="84" t="s">
        <v>69</v>
      </c>
      <c r="C31" s="78" t="s">
        <v>8</v>
      </c>
      <c r="D31" s="32">
        <v>77873.7</v>
      </c>
      <c r="E31" s="28"/>
      <c r="F31" s="28"/>
      <c r="G31" s="85"/>
      <c r="H31" s="173" t="e">
        <f ca="1">atskaites_jedox!V8</f>
        <v>#NAME?</v>
      </c>
      <c r="I31" s="1" t="b">
        <f>D31=D10</f>
        <v>1</v>
      </c>
    </row>
    <row r="32" spans="1:9" ht="56" x14ac:dyDescent="0.3">
      <c r="A32" s="230" t="s">
        <v>46</v>
      </c>
      <c r="B32" s="84" t="s">
        <v>54</v>
      </c>
      <c r="C32" s="78" t="s">
        <v>47</v>
      </c>
      <c r="D32" s="32">
        <v>15787</v>
      </c>
      <c r="E32" s="28"/>
      <c r="F32" s="28"/>
      <c r="G32" s="85"/>
      <c r="H32" s="173" t="e">
        <f ca="1">atskaites_jedox!C8</f>
        <v>#NAME?</v>
      </c>
    </row>
    <row r="33" spans="1:8" ht="14.5" thickBot="1" x14ac:dyDescent="0.35">
      <c r="A33" s="231"/>
      <c r="B33" s="86" t="s">
        <v>55</v>
      </c>
      <c r="C33" s="75" t="s">
        <v>8</v>
      </c>
      <c r="D33" s="87">
        <v>78115.7</v>
      </c>
      <c r="E33" s="65"/>
      <c r="F33" s="65"/>
      <c r="G33" s="66"/>
      <c r="H33" s="173" t="e">
        <f ca="1">atskaites_jedox!D8</f>
        <v>#NAME?</v>
      </c>
    </row>
    <row r="36" spans="1:8" ht="14.5" thickBot="1" x14ac:dyDescent="0.35">
      <c r="B36" s="95" t="s">
        <v>72</v>
      </c>
      <c r="C36" s="94"/>
      <c r="D36" s="94"/>
      <c r="E36" s="94"/>
      <c r="F36" s="94"/>
      <c r="G36" s="94"/>
    </row>
    <row r="37" spans="1:8" ht="14.5" thickTop="1" x14ac:dyDescent="0.3"/>
    <row r="39" spans="1:8" x14ac:dyDescent="0.3">
      <c r="A39" s="1" t="s">
        <v>10</v>
      </c>
    </row>
    <row r="40" spans="1:8" ht="33" customHeight="1" x14ac:dyDescent="0.3">
      <c r="A40" s="223" t="s">
        <v>32</v>
      </c>
      <c r="B40" s="223"/>
      <c r="C40" s="223"/>
      <c r="D40" s="223"/>
      <c r="E40" s="223"/>
      <c r="F40" s="223"/>
      <c r="G40" s="223"/>
    </row>
    <row r="41" spans="1:8" x14ac:dyDescent="0.3">
      <c r="A41" s="15" t="s">
        <v>31</v>
      </c>
      <c r="B41" s="15"/>
      <c r="C41" s="15"/>
      <c r="D41" s="15"/>
      <c r="E41" s="15"/>
      <c r="F41" s="15"/>
      <c r="G41" s="15"/>
    </row>
    <row r="42" spans="1:8" ht="28.5" customHeight="1" x14ac:dyDescent="0.3">
      <c r="A42" s="222" t="s">
        <v>19</v>
      </c>
      <c r="B42" s="222"/>
      <c r="C42" s="222"/>
      <c r="D42" s="222"/>
      <c r="E42" s="222"/>
      <c r="F42" s="222"/>
      <c r="G42" s="222"/>
    </row>
    <row r="43" spans="1:8" ht="33" customHeight="1" x14ac:dyDescent="0.3">
      <c r="A43" s="223" t="s">
        <v>22</v>
      </c>
      <c r="B43" s="223"/>
      <c r="C43" s="223"/>
      <c r="D43" s="223"/>
      <c r="E43" s="223"/>
      <c r="F43" s="223"/>
      <c r="G43" s="223"/>
    </row>
    <row r="44" spans="1:8" ht="33" customHeight="1" x14ac:dyDescent="0.3">
      <c r="A44" s="223" t="s">
        <v>48</v>
      </c>
      <c r="B44" s="223"/>
      <c r="C44" s="223"/>
      <c r="D44" s="223"/>
      <c r="E44" s="223"/>
      <c r="F44" s="223"/>
      <c r="G44" s="223"/>
    </row>
    <row r="45" spans="1:8" x14ac:dyDescent="0.3">
      <c r="A45" s="15"/>
      <c r="B45" s="15"/>
      <c r="C45" s="15"/>
      <c r="D45" s="15"/>
      <c r="E45" s="15"/>
      <c r="F45" s="15"/>
      <c r="G45" s="15"/>
    </row>
    <row r="46" spans="1:8" x14ac:dyDescent="0.3">
      <c r="A46" s="33" t="s">
        <v>21</v>
      </c>
      <c r="B46" s="15"/>
      <c r="C46" s="15"/>
      <c r="D46" s="15"/>
      <c r="E46" s="15"/>
      <c r="F46" s="15"/>
      <c r="G46" s="15"/>
    </row>
    <row r="47" spans="1:8" ht="30" customHeight="1" x14ac:dyDescent="0.3">
      <c r="A47" s="223" t="s">
        <v>49</v>
      </c>
      <c r="B47" s="223"/>
      <c r="C47" s="223"/>
      <c r="D47" s="223"/>
      <c r="E47" s="223"/>
      <c r="F47" s="223"/>
      <c r="G47" s="223"/>
    </row>
    <row r="48" spans="1:8" ht="33" customHeight="1" x14ac:dyDescent="0.3">
      <c r="A48" s="221" t="s">
        <v>23</v>
      </c>
      <c r="B48" s="221"/>
      <c r="C48" s="221"/>
      <c r="D48" s="221"/>
      <c r="E48" s="221"/>
      <c r="F48" s="221"/>
      <c r="G48" s="221"/>
    </row>
    <row r="49" spans="1:7" ht="34.5" customHeight="1" x14ac:dyDescent="0.3">
      <c r="A49" s="221" t="s">
        <v>28</v>
      </c>
      <c r="B49" s="221"/>
      <c r="C49" s="221"/>
      <c r="D49" s="221"/>
      <c r="E49" s="221"/>
      <c r="F49" s="221"/>
      <c r="G49" s="221"/>
    </row>
    <row r="50" spans="1:7" ht="63" customHeight="1" x14ac:dyDescent="0.3">
      <c r="A50" s="221" t="s">
        <v>50</v>
      </c>
      <c r="B50" s="221"/>
      <c r="C50" s="221"/>
      <c r="D50" s="221"/>
      <c r="E50" s="221"/>
      <c r="F50" s="221"/>
      <c r="G50" s="221"/>
    </row>
    <row r="51" spans="1:7" ht="30.75" customHeight="1" x14ac:dyDescent="0.3">
      <c r="A51" s="221" t="s">
        <v>24</v>
      </c>
      <c r="B51" s="221"/>
      <c r="C51" s="221"/>
      <c r="D51" s="221"/>
      <c r="E51" s="221"/>
      <c r="F51" s="221"/>
      <c r="G51" s="221"/>
    </row>
    <row r="52" spans="1:7" ht="43.5" customHeight="1" x14ac:dyDescent="0.3">
      <c r="A52" s="220" t="s">
        <v>29</v>
      </c>
      <c r="B52" s="220"/>
      <c r="C52" s="220"/>
      <c r="D52" s="220"/>
      <c r="E52" s="220"/>
      <c r="F52" s="220"/>
      <c r="G52" s="220"/>
    </row>
    <row r="53" spans="1:7" ht="30" customHeight="1" x14ac:dyDescent="0.3">
      <c r="A53" s="223" t="s">
        <v>51</v>
      </c>
      <c r="B53" s="223"/>
      <c r="C53" s="223"/>
      <c r="D53" s="223"/>
      <c r="E53" s="223"/>
      <c r="F53" s="223"/>
      <c r="G53" s="223"/>
    </row>
    <row r="54" spans="1:7" ht="45" customHeight="1" x14ac:dyDescent="0.3">
      <c r="A54" s="223" t="s">
        <v>52</v>
      </c>
      <c r="B54" s="223"/>
      <c r="C54" s="223"/>
      <c r="D54" s="223"/>
      <c r="E54" s="223"/>
      <c r="F54" s="223"/>
      <c r="G54" s="223"/>
    </row>
    <row r="55" spans="1:7" ht="16.5" customHeight="1" x14ac:dyDescent="0.3">
      <c r="A55" s="27"/>
      <c r="B55" s="27"/>
      <c r="C55" s="27"/>
      <c r="D55" s="27"/>
      <c r="E55" s="27"/>
      <c r="F55" s="27"/>
      <c r="G55" s="27"/>
    </row>
    <row r="56" spans="1:7" x14ac:dyDescent="0.3">
      <c r="A56" s="15"/>
      <c r="B56" s="15"/>
      <c r="C56" s="15"/>
      <c r="D56" s="15"/>
      <c r="E56" s="15"/>
      <c r="F56" s="15"/>
      <c r="G56" s="15"/>
    </row>
    <row r="57" spans="1:7" x14ac:dyDescent="0.3">
      <c r="A57" s="15"/>
      <c r="B57" s="15"/>
      <c r="C57" s="15"/>
      <c r="D57" s="15"/>
      <c r="E57" s="15"/>
      <c r="F57" s="15"/>
      <c r="G57" s="15"/>
    </row>
  </sheetData>
  <mergeCells count="21">
    <mergeCell ref="A40:G40"/>
    <mergeCell ref="A30:A31"/>
    <mergeCell ref="A32:A33"/>
    <mergeCell ref="A54:G54"/>
    <mergeCell ref="A53:G53"/>
    <mergeCell ref="A1:G1"/>
    <mergeCell ref="C9:C12"/>
    <mergeCell ref="C4:C8"/>
    <mergeCell ref="A4:A12"/>
    <mergeCell ref="A52:G52"/>
    <mergeCell ref="A51:G51"/>
    <mergeCell ref="A48:G48"/>
    <mergeCell ref="A42:G42"/>
    <mergeCell ref="A43:G43"/>
    <mergeCell ref="A49:G49"/>
    <mergeCell ref="A50:G50"/>
    <mergeCell ref="A44:G44"/>
    <mergeCell ref="A47:G47"/>
    <mergeCell ref="C22:C28"/>
    <mergeCell ref="C15:C21"/>
    <mergeCell ref="A15:A28"/>
  </mergeCells>
  <pageMargins left="0.7" right="0.7" top="0.75" bottom="0.75" header="0.3" footer="0.3"/>
  <pageSetup paperSize="9" scale="64"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841BC5-F61D-401B-BE0F-6FA04375D657}">
  <sheetPr>
    <pageSetUpPr fitToPage="1"/>
  </sheetPr>
  <dimension ref="A1:H54"/>
  <sheetViews>
    <sheetView tabSelected="1" topLeftCell="A22" workbookViewId="0">
      <selection activeCell="D29" sqref="D29"/>
    </sheetView>
  </sheetViews>
  <sheetFormatPr defaultRowHeight="14.5" x14ac:dyDescent="0.35"/>
  <cols>
    <col min="1" max="1" width="15.1796875" customWidth="1"/>
    <col min="2" max="2" width="51.26953125" customWidth="1"/>
    <col min="3" max="3" width="13" customWidth="1"/>
    <col min="4" max="4" width="14.1796875" customWidth="1"/>
    <col min="5" max="5" width="14.54296875" customWidth="1"/>
    <col min="6" max="6" width="12.453125" customWidth="1"/>
    <col min="7" max="7" width="13.1796875" customWidth="1"/>
    <col min="8" max="9" width="0" hidden="1" customWidth="1"/>
  </cols>
  <sheetData>
    <row r="1" spans="1:8" ht="42" customHeight="1" x14ac:dyDescent="0.35">
      <c r="A1" s="207" t="s">
        <v>71</v>
      </c>
      <c r="B1" s="207"/>
      <c r="C1" s="207"/>
      <c r="D1" s="207"/>
      <c r="E1" s="207"/>
      <c r="F1" s="207"/>
      <c r="G1" s="207"/>
    </row>
    <row r="2" spans="1:8" ht="28.5" thickBot="1" x14ac:dyDescent="0.4">
      <c r="A2" s="12" t="s">
        <v>4</v>
      </c>
      <c r="B2" s="53"/>
      <c r="C2" s="54" t="s">
        <v>5</v>
      </c>
      <c r="D2" s="54" t="s">
        <v>1</v>
      </c>
      <c r="E2" s="55" t="s">
        <v>11</v>
      </c>
      <c r="F2" s="54" t="s">
        <v>2</v>
      </c>
      <c r="G2" s="54" t="s">
        <v>3</v>
      </c>
    </row>
    <row r="3" spans="1:8" ht="15" thickBot="1" x14ac:dyDescent="0.4">
      <c r="A3" s="52" t="s">
        <v>17</v>
      </c>
      <c r="B3" s="71" t="s">
        <v>68</v>
      </c>
      <c r="C3" s="72"/>
      <c r="D3" s="73">
        <f>(D10-D9)*D13</f>
        <v>122.232</v>
      </c>
      <c r="E3" s="73">
        <f>(E10-E9)*E13</f>
        <v>0</v>
      </c>
      <c r="F3" s="73">
        <f>(F10-F9)*F13</f>
        <v>0</v>
      </c>
      <c r="G3" s="74">
        <f>(G10-G9)*G13</f>
        <v>0</v>
      </c>
    </row>
    <row r="4" spans="1:8" ht="17.25" customHeight="1" x14ac:dyDescent="0.35">
      <c r="A4" s="217" t="s">
        <v>73</v>
      </c>
      <c r="B4" s="67" t="s">
        <v>13</v>
      </c>
      <c r="C4" s="215" t="s">
        <v>6</v>
      </c>
      <c r="D4" s="68">
        <v>29</v>
      </c>
      <c r="E4" s="69"/>
      <c r="F4" s="68"/>
      <c r="G4" s="70"/>
    </row>
    <row r="5" spans="1:8" x14ac:dyDescent="0.35">
      <c r="A5" s="218"/>
      <c r="B5" s="57" t="s">
        <v>65</v>
      </c>
      <c r="C5" s="215"/>
      <c r="D5" s="19">
        <v>11304</v>
      </c>
      <c r="E5" s="19"/>
      <c r="F5" s="19"/>
      <c r="G5" s="56"/>
    </row>
    <row r="6" spans="1:8" x14ac:dyDescent="0.35">
      <c r="A6" s="218"/>
      <c r="B6" s="57" t="s">
        <v>66</v>
      </c>
      <c r="C6" s="215"/>
      <c r="D6" s="19">
        <f>D5+D7-D8</f>
        <v>11324</v>
      </c>
      <c r="E6" s="19">
        <f>E5+E7-E8</f>
        <v>0</v>
      </c>
      <c r="F6" s="19">
        <f>F5+F7-F8</f>
        <v>0</v>
      </c>
      <c r="G6" s="56">
        <f>G5+G7-G8</f>
        <v>0</v>
      </c>
    </row>
    <row r="7" spans="1:8" ht="16.5" customHeight="1" x14ac:dyDescent="0.35">
      <c r="A7" s="218"/>
      <c r="B7" s="58" t="s">
        <v>61</v>
      </c>
      <c r="C7" s="215"/>
      <c r="D7" s="19">
        <v>20</v>
      </c>
      <c r="E7" s="19"/>
      <c r="F7" s="19"/>
      <c r="G7" s="56"/>
    </row>
    <row r="8" spans="1:8" ht="14.25" customHeight="1" x14ac:dyDescent="0.35">
      <c r="A8" s="218"/>
      <c r="B8" s="58" t="s">
        <v>62</v>
      </c>
      <c r="C8" s="216"/>
      <c r="D8" s="19"/>
      <c r="E8" s="19"/>
      <c r="F8" s="19"/>
      <c r="G8" s="56"/>
    </row>
    <row r="9" spans="1:8" ht="16.5" customHeight="1" x14ac:dyDescent="0.35">
      <c r="A9" s="218"/>
      <c r="B9" s="57" t="s">
        <v>59</v>
      </c>
      <c r="C9" s="212" t="s">
        <v>8</v>
      </c>
      <c r="D9" s="19">
        <v>102031.5</v>
      </c>
      <c r="E9" s="19"/>
      <c r="F9" s="19"/>
      <c r="G9" s="56"/>
    </row>
    <row r="10" spans="1:8" ht="19.5" customHeight="1" x14ac:dyDescent="0.35">
      <c r="A10" s="218"/>
      <c r="B10" s="57" t="s">
        <v>67</v>
      </c>
      <c r="C10" s="213"/>
      <c r="D10" s="19">
        <f>D9+D11-D12</f>
        <v>102111.5</v>
      </c>
      <c r="E10" s="19">
        <f>E9+E11-E12</f>
        <v>0</v>
      </c>
      <c r="F10" s="19">
        <f>F9+F11-F12</f>
        <v>0</v>
      </c>
      <c r="G10" s="56">
        <f>G9+G11-G12</f>
        <v>0</v>
      </c>
      <c r="H10" s="178" t="e">
        <f ca="1">atskaites_jedox!Y8</f>
        <v>#NAME?</v>
      </c>
    </row>
    <row r="11" spans="1:8" ht="17.25" customHeight="1" x14ac:dyDescent="0.35">
      <c r="A11" s="218"/>
      <c r="B11" s="59" t="s">
        <v>63</v>
      </c>
      <c r="C11" s="213"/>
      <c r="D11" s="19">
        <v>80</v>
      </c>
      <c r="E11" s="19"/>
      <c r="F11" s="19"/>
      <c r="G11" s="56"/>
    </row>
    <row r="12" spans="1:8" ht="17.25" customHeight="1" x14ac:dyDescent="0.35">
      <c r="A12" s="219"/>
      <c r="B12" s="59" t="s">
        <v>64</v>
      </c>
      <c r="C12" s="214"/>
      <c r="D12" s="19"/>
      <c r="E12" s="19"/>
      <c r="F12" s="19"/>
      <c r="G12" s="56"/>
    </row>
    <row r="13" spans="1:8" ht="30" customHeight="1" thickBot="1" x14ac:dyDescent="0.4">
      <c r="A13" s="79" t="s">
        <v>74</v>
      </c>
      <c r="B13" s="60" t="s">
        <v>60</v>
      </c>
      <c r="C13" s="61" t="s">
        <v>9</v>
      </c>
      <c r="D13" s="62">
        <v>1.5279</v>
      </c>
      <c r="E13" s="62"/>
      <c r="F13" s="62"/>
      <c r="G13" s="63"/>
      <c r="H13" s="179" t="e">
        <f ca="1">atskaites_jedox!Z8</f>
        <v>#NAME?</v>
      </c>
    </row>
    <row r="14" spans="1:8" ht="36" customHeight="1" thickBot="1" x14ac:dyDescent="0.4">
      <c r="A14" s="44" t="s">
        <v>18</v>
      </c>
      <c r="B14" s="48" t="s">
        <v>58</v>
      </c>
      <c r="C14" s="49"/>
      <c r="D14" s="50">
        <f>SUM(D16*D23,D17*D24,D18*D25,D19*D26,D20*D27,D21*D28)</f>
        <v>166.25</v>
      </c>
      <c r="E14" s="50">
        <f>SUM(E16*E23,E17*E24,E18*E25,E19*E26,E20*E27,E21*E28)</f>
        <v>0</v>
      </c>
      <c r="F14" s="50">
        <f>SUM(F16*F23,F17*F24,F18*F25,F19*F26,F20*F27,F21*F28)</f>
        <v>0</v>
      </c>
      <c r="G14" s="51">
        <f>SUM(G16*G23,G17*G24,G18*G25,G19*G26,G20*G27,G21*G28)</f>
        <v>0</v>
      </c>
    </row>
    <row r="15" spans="1:8" ht="28.5" x14ac:dyDescent="0.35">
      <c r="A15" s="227" t="s">
        <v>73</v>
      </c>
      <c r="B15" s="45" t="s">
        <v>56</v>
      </c>
      <c r="C15" s="225" t="s">
        <v>30</v>
      </c>
      <c r="D15" s="46"/>
      <c r="E15" s="46"/>
      <c r="F15" s="46"/>
      <c r="G15" s="47"/>
    </row>
    <row r="16" spans="1:8" x14ac:dyDescent="0.35">
      <c r="A16" s="228"/>
      <c r="B16" s="38" t="s">
        <v>0</v>
      </c>
      <c r="C16" s="225"/>
      <c r="D16" s="20">
        <v>8</v>
      </c>
      <c r="E16" s="20"/>
      <c r="F16" s="20"/>
      <c r="G16" s="39"/>
    </row>
    <row r="17" spans="1:8" x14ac:dyDescent="0.35">
      <c r="A17" s="228"/>
      <c r="B17" s="38" t="s">
        <v>14</v>
      </c>
      <c r="C17" s="225"/>
      <c r="D17" s="20">
        <v>500</v>
      </c>
      <c r="E17" s="20"/>
      <c r="F17" s="20"/>
      <c r="G17" s="39"/>
    </row>
    <row r="18" spans="1:8" ht="16.5" customHeight="1" x14ac:dyDescent="0.35">
      <c r="A18" s="228"/>
      <c r="B18" s="40" t="s">
        <v>20</v>
      </c>
      <c r="C18" s="225"/>
      <c r="D18" s="20"/>
      <c r="E18" s="20"/>
      <c r="F18" s="20"/>
      <c r="G18" s="39"/>
    </row>
    <row r="19" spans="1:8" x14ac:dyDescent="0.35">
      <c r="A19" s="228"/>
      <c r="B19" s="38" t="s">
        <v>12</v>
      </c>
      <c r="C19" s="225"/>
      <c r="D19" s="20">
        <v>33</v>
      </c>
      <c r="E19" s="20"/>
      <c r="F19" s="20"/>
      <c r="G19" s="39"/>
    </row>
    <row r="20" spans="1:8" ht="15.75" customHeight="1" x14ac:dyDescent="0.35">
      <c r="A20" s="228"/>
      <c r="B20" s="40" t="s">
        <v>26</v>
      </c>
      <c r="C20" s="225"/>
      <c r="D20" s="20"/>
      <c r="E20" s="20"/>
      <c r="F20" s="20"/>
      <c r="G20" s="39"/>
    </row>
    <row r="21" spans="1:8" ht="15" thickBot="1" x14ac:dyDescent="0.4">
      <c r="A21" s="228"/>
      <c r="B21" s="41" t="s">
        <v>78</v>
      </c>
      <c r="C21" s="226"/>
      <c r="D21" s="42">
        <v>300</v>
      </c>
      <c r="E21" s="42"/>
      <c r="F21" s="42"/>
      <c r="G21" s="43"/>
    </row>
    <row r="22" spans="1:8" ht="33.75" customHeight="1" x14ac:dyDescent="0.35">
      <c r="A22" s="228"/>
      <c r="B22" s="35" t="s">
        <v>57</v>
      </c>
      <c r="C22" s="224" t="s">
        <v>43</v>
      </c>
      <c r="D22" s="36"/>
      <c r="E22" s="36"/>
      <c r="F22" s="36"/>
      <c r="G22" s="37"/>
    </row>
    <row r="23" spans="1:8" x14ac:dyDescent="0.35">
      <c r="A23" s="228"/>
      <c r="B23" s="38" t="s">
        <v>0</v>
      </c>
      <c r="C23" s="225"/>
      <c r="D23" s="20">
        <v>3.0975000000000001</v>
      </c>
      <c r="E23" s="20"/>
      <c r="F23" s="20"/>
      <c r="G23" s="39"/>
    </row>
    <row r="24" spans="1:8" x14ac:dyDescent="0.35">
      <c r="A24" s="228"/>
      <c r="B24" s="38" t="s">
        <v>14</v>
      </c>
      <c r="C24" s="225"/>
      <c r="D24" s="20">
        <v>7.0000000000000007E-2</v>
      </c>
      <c r="E24" s="20"/>
      <c r="F24" s="20"/>
      <c r="G24" s="39"/>
    </row>
    <row r="25" spans="1:8" ht="18.75" customHeight="1" x14ac:dyDescent="0.35">
      <c r="A25" s="228"/>
      <c r="B25" s="40" t="s">
        <v>20</v>
      </c>
      <c r="C25" s="225"/>
      <c r="D25" s="20"/>
      <c r="E25" s="20"/>
      <c r="F25" s="20"/>
      <c r="G25" s="39"/>
    </row>
    <row r="26" spans="1:8" ht="35.25" customHeight="1" x14ac:dyDescent="0.35">
      <c r="A26" s="228"/>
      <c r="B26" s="40" t="s">
        <v>25</v>
      </c>
      <c r="C26" s="225"/>
      <c r="D26" s="20">
        <v>1.59</v>
      </c>
      <c r="E26" s="20"/>
      <c r="F26" s="20"/>
      <c r="G26" s="39"/>
    </row>
    <row r="27" spans="1:8" ht="33.75" customHeight="1" x14ac:dyDescent="0.35">
      <c r="A27" s="228"/>
      <c r="B27" s="40" t="s">
        <v>27</v>
      </c>
      <c r="C27" s="225"/>
      <c r="D27" s="20"/>
      <c r="E27" s="20"/>
      <c r="F27" s="20"/>
      <c r="G27" s="39"/>
    </row>
    <row r="28" spans="1:8" ht="15" thickBot="1" x14ac:dyDescent="0.4">
      <c r="A28" s="229"/>
      <c r="B28" s="41" t="s">
        <v>15</v>
      </c>
      <c r="C28" s="226"/>
      <c r="D28" s="42">
        <v>0.18</v>
      </c>
      <c r="E28" s="42"/>
      <c r="F28" s="42"/>
      <c r="G28" s="43"/>
    </row>
    <row r="29" spans="1:8" x14ac:dyDescent="0.35">
      <c r="A29" s="64" t="s">
        <v>44</v>
      </c>
      <c r="B29" s="80" t="s">
        <v>70</v>
      </c>
      <c r="C29" s="81"/>
      <c r="D29" s="82">
        <f>((D32/D33)-(D30/D31))*D31</f>
        <v>9627.463548704498</v>
      </c>
      <c r="E29" s="82" t="e">
        <f>((E32/E33)-(E31/#REF!))*#REF!</f>
        <v>#DIV/0!</v>
      </c>
      <c r="F29" s="82" t="e">
        <f>((F32/F33)-(F30/F31))*F31</f>
        <v>#DIV/0!</v>
      </c>
      <c r="G29" s="83" t="e">
        <f>((G32/G33)-(G30/G31))*G31</f>
        <v>#DIV/0!</v>
      </c>
    </row>
    <row r="30" spans="1:8" ht="65.25" customHeight="1" x14ac:dyDescent="0.35">
      <c r="A30" s="230" t="s">
        <v>74</v>
      </c>
      <c r="B30" s="84" t="s">
        <v>53</v>
      </c>
      <c r="C30" s="93" t="s">
        <v>47</v>
      </c>
      <c r="D30" s="32">
        <v>11282.35</v>
      </c>
      <c r="E30" s="76"/>
      <c r="F30" s="28"/>
      <c r="G30" s="85"/>
      <c r="H30" s="178" t="e">
        <f ca="1">atskaites_jedox!X8</f>
        <v>#NAME?</v>
      </c>
    </row>
    <row r="31" spans="1:8" ht="15.75" customHeight="1" x14ac:dyDescent="0.35">
      <c r="A31" s="231"/>
      <c r="B31" s="84" t="s">
        <v>69</v>
      </c>
      <c r="C31" s="93" t="s">
        <v>8</v>
      </c>
      <c r="D31" s="32">
        <v>102111.5</v>
      </c>
      <c r="E31" s="28"/>
      <c r="F31" s="28"/>
      <c r="G31" s="85"/>
      <c r="H31" s="178" t="e">
        <f ca="1">atskaites_jedox!Y8</f>
        <v>#NAME?</v>
      </c>
    </row>
    <row r="32" spans="1:8" ht="56.5" x14ac:dyDescent="0.35">
      <c r="A32" s="230" t="s">
        <v>75</v>
      </c>
      <c r="B32" s="84" t="s">
        <v>54</v>
      </c>
      <c r="C32" s="93" t="s">
        <v>47</v>
      </c>
      <c r="D32" s="32">
        <v>20749.25</v>
      </c>
      <c r="E32" s="28"/>
      <c r="F32" s="28"/>
      <c r="G32" s="85"/>
      <c r="H32" s="178" t="e">
        <f ca="1">atskaites_jedox!F8</f>
        <v>#NAME?</v>
      </c>
    </row>
    <row r="33" spans="1:8" ht="15" thickBot="1" x14ac:dyDescent="0.4">
      <c r="A33" s="231"/>
      <c r="B33" s="86" t="s">
        <v>55</v>
      </c>
      <c r="C33" s="75" t="s">
        <v>8</v>
      </c>
      <c r="D33" s="87">
        <v>101327.4</v>
      </c>
      <c r="E33" s="65"/>
      <c r="F33" s="65"/>
      <c r="G33" s="66"/>
      <c r="H33" s="178" t="e">
        <f ca="1">atskaites_jedox!G8</f>
        <v>#NAME?</v>
      </c>
    </row>
    <row r="34" spans="1:8" x14ac:dyDescent="0.35">
      <c r="A34" s="1"/>
      <c r="B34" s="1"/>
      <c r="C34" s="1"/>
      <c r="D34" s="1"/>
      <c r="E34" s="1"/>
      <c r="F34" s="1"/>
      <c r="G34" s="1"/>
    </row>
    <row r="35" spans="1:8" x14ac:dyDescent="0.35">
      <c r="A35" s="1"/>
      <c r="B35" s="1"/>
      <c r="C35" s="1"/>
      <c r="D35" s="1"/>
      <c r="E35" s="1"/>
      <c r="F35" s="1"/>
      <c r="G35" s="1"/>
    </row>
    <row r="36" spans="1:8" ht="15" thickBot="1" x14ac:dyDescent="0.4">
      <c r="A36" s="1"/>
      <c r="B36" s="95" t="s">
        <v>72</v>
      </c>
      <c r="C36" s="94"/>
      <c r="D36" s="94"/>
      <c r="E36" s="94"/>
      <c r="F36" s="94"/>
      <c r="G36" s="94"/>
    </row>
    <row r="37" spans="1:8" ht="15" thickTop="1" x14ac:dyDescent="0.35">
      <c r="A37" s="1"/>
      <c r="B37" s="1"/>
      <c r="C37" s="1"/>
      <c r="D37" s="1"/>
      <c r="E37" s="1"/>
      <c r="F37" s="1"/>
      <c r="G37" s="1"/>
    </row>
    <row r="38" spans="1:8" x14ac:dyDescent="0.35">
      <c r="A38" s="1"/>
      <c r="B38" s="1"/>
      <c r="C38" s="1"/>
      <c r="D38" s="1"/>
      <c r="E38" s="1"/>
      <c r="F38" s="1"/>
      <c r="G38" s="1"/>
    </row>
    <row r="39" spans="1:8" x14ac:dyDescent="0.35">
      <c r="A39" s="1" t="s">
        <v>10</v>
      </c>
      <c r="B39" s="1"/>
      <c r="C39" s="1"/>
      <c r="D39" s="1"/>
      <c r="E39" s="1"/>
      <c r="F39" s="1"/>
      <c r="G39" s="1"/>
    </row>
    <row r="40" spans="1:8" ht="32.25" customHeight="1" x14ac:dyDescent="0.35">
      <c r="A40" s="223" t="s">
        <v>32</v>
      </c>
      <c r="B40" s="223"/>
      <c r="C40" s="223"/>
      <c r="D40" s="223"/>
      <c r="E40" s="223"/>
      <c r="F40" s="223"/>
      <c r="G40" s="223"/>
    </row>
    <row r="41" spans="1:8" x14ac:dyDescent="0.35">
      <c r="A41" s="15" t="s">
        <v>31</v>
      </c>
      <c r="B41" s="15"/>
      <c r="C41" s="15"/>
      <c r="D41" s="15"/>
      <c r="E41" s="15"/>
      <c r="F41" s="15"/>
      <c r="G41" s="15"/>
    </row>
    <row r="42" spans="1:8" ht="33.75" customHeight="1" x14ac:dyDescent="0.35">
      <c r="A42" s="222" t="s">
        <v>19</v>
      </c>
      <c r="B42" s="222"/>
      <c r="C42" s="222"/>
      <c r="D42" s="222"/>
      <c r="E42" s="222"/>
      <c r="F42" s="222"/>
      <c r="G42" s="222"/>
    </row>
    <row r="43" spans="1:8" ht="30.75" customHeight="1" x14ac:dyDescent="0.35">
      <c r="A43" s="223" t="s">
        <v>22</v>
      </c>
      <c r="B43" s="223"/>
      <c r="C43" s="223"/>
      <c r="D43" s="223"/>
      <c r="E43" s="223"/>
      <c r="F43" s="223"/>
      <c r="G43" s="223"/>
    </row>
    <row r="44" spans="1:8" ht="34.5" customHeight="1" x14ac:dyDescent="0.35">
      <c r="A44" s="223" t="s">
        <v>48</v>
      </c>
      <c r="B44" s="223"/>
      <c r="C44" s="223"/>
      <c r="D44" s="223"/>
      <c r="E44" s="223"/>
      <c r="F44" s="223"/>
      <c r="G44" s="223"/>
    </row>
    <row r="45" spans="1:8" x14ac:dyDescent="0.35">
      <c r="A45" s="15"/>
      <c r="B45" s="15"/>
      <c r="C45" s="15"/>
      <c r="D45" s="15"/>
      <c r="E45" s="15"/>
      <c r="F45" s="15"/>
      <c r="G45" s="15"/>
    </row>
    <row r="46" spans="1:8" x14ac:dyDescent="0.35">
      <c r="A46" s="33" t="s">
        <v>21</v>
      </c>
      <c r="B46" s="15"/>
      <c r="C46" s="15"/>
      <c r="D46" s="15"/>
      <c r="E46" s="15"/>
      <c r="F46" s="15"/>
      <c r="G46" s="15"/>
    </row>
    <row r="47" spans="1:8" ht="36" customHeight="1" x14ac:dyDescent="0.35">
      <c r="A47" s="223" t="s">
        <v>49</v>
      </c>
      <c r="B47" s="223"/>
      <c r="C47" s="223"/>
      <c r="D47" s="223"/>
      <c r="E47" s="223"/>
      <c r="F47" s="223"/>
      <c r="G47" s="223"/>
    </row>
    <row r="48" spans="1:8" ht="33" customHeight="1" x14ac:dyDescent="0.35">
      <c r="A48" s="221" t="s">
        <v>23</v>
      </c>
      <c r="B48" s="221"/>
      <c r="C48" s="221"/>
      <c r="D48" s="221"/>
      <c r="E48" s="221"/>
      <c r="F48" s="221"/>
      <c r="G48" s="221"/>
    </row>
    <row r="49" spans="1:7" ht="33" customHeight="1" x14ac:dyDescent="0.35">
      <c r="A49" s="221" t="s">
        <v>28</v>
      </c>
      <c r="B49" s="221"/>
      <c r="C49" s="221"/>
      <c r="D49" s="221"/>
      <c r="E49" s="221"/>
      <c r="F49" s="221"/>
      <c r="G49" s="221"/>
    </row>
    <row r="50" spans="1:7" ht="66" customHeight="1" x14ac:dyDescent="0.35">
      <c r="A50" s="221" t="s">
        <v>50</v>
      </c>
      <c r="B50" s="221"/>
      <c r="C50" s="221"/>
      <c r="D50" s="221"/>
      <c r="E50" s="221"/>
      <c r="F50" s="221"/>
      <c r="G50" s="221"/>
    </row>
    <row r="51" spans="1:7" ht="36" customHeight="1" x14ac:dyDescent="0.35">
      <c r="A51" s="221" t="s">
        <v>24</v>
      </c>
      <c r="B51" s="221"/>
      <c r="C51" s="221"/>
      <c r="D51" s="221"/>
      <c r="E51" s="221"/>
      <c r="F51" s="221"/>
      <c r="G51" s="221"/>
    </row>
    <row r="52" spans="1:7" ht="48.75" customHeight="1" x14ac:dyDescent="0.35">
      <c r="A52" s="220" t="s">
        <v>29</v>
      </c>
      <c r="B52" s="220"/>
      <c r="C52" s="220"/>
      <c r="D52" s="220"/>
      <c r="E52" s="220"/>
      <c r="F52" s="220"/>
      <c r="G52" s="220"/>
    </row>
    <row r="53" spans="1:7" ht="35.25" customHeight="1" x14ac:dyDescent="0.35">
      <c r="A53" s="223" t="s">
        <v>51</v>
      </c>
      <c r="B53" s="223"/>
      <c r="C53" s="223"/>
      <c r="D53" s="223"/>
      <c r="E53" s="223"/>
      <c r="F53" s="223"/>
      <c r="G53" s="223"/>
    </row>
    <row r="54" spans="1:7" ht="45.75" customHeight="1" x14ac:dyDescent="0.35">
      <c r="A54" s="223" t="s">
        <v>52</v>
      </c>
      <c r="B54" s="223"/>
      <c r="C54" s="223"/>
      <c r="D54" s="223"/>
      <c r="E54" s="223"/>
      <c r="F54" s="223"/>
      <c r="G54" s="223"/>
    </row>
  </sheetData>
  <mergeCells count="21">
    <mergeCell ref="A44:G44"/>
    <mergeCell ref="A1:G1"/>
    <mergeCell ref="A4:A12"/>
    <mergeCell ref="C4:C8"/>
    <mergeCell ref="C9:C12"/>
    <mergeCell ref="A15:A28"/>
    <mergeCell ref="C15:C21"/>
    <mergeCell ref="C22:C28"/>
    <mergeCell ref="A30:A31"/>
    <mergeCell ref="A32:A33"/>
    <mergeCell ref="A40:G40"/>
    <mergeCell ref="A42:G42"/>
    <mergeCell ref="A43:G43"/>
    <mergeCell ref="A53:G53"/>
    <mergeCell ref="A54:G54"/>
    <mergeCell ref="A47:G47"/>
    <mergeCell ref="A48:G48"/>
    <mergeCell ref="A49:G49"/>
    <mergeCell ref="A50:G50"/>
    <mergeCell ref="A51:G51"/>
    <mergeCell ref="A52:G52"/>
  </mergeCells>
  <pageMargins left="0.7" right="0.7" top="0.75" bottom="0.75" header="0.3" footer="0.3"/>
  <pageSetup paperSize="9" scale="65"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12FD4D-BF6D-492A-9399-4B279833B299}">
  <sheetPr>
    <pageSetUpPr fitToPage="1"/>
  </sheetPr>
  <dimension ref="A1:I54"/>
  <sheetViews>
    <sheetView workbookViewId="0">
      <selection activeCell="L2" sqref="L2"/>
    </sheetView>
  </sheetViews>
  <sheetFormatPr defaultRowHeight="14.5" x14ac:dyDescent="0.35"/>
  <cols>
    <col min="1" max="1" width="15.1796875" customWidth="1"/>
    <col min="2" max="2" width="51.26953125" customWidth="1"/>
    <col min="3" max="3" width="13" customWidth="1"/>
    <col min="4" max="4" width="14.1796875" customWidth="1"/>
    <col min="5" max="5" width="14.54296875" customWidth="1"/>
    <col min="6" max="6" width="12.453125" customWidth="1"/>
    <col min="7" max="7" width="13.1796875" customWidth="1"/>
    <col min="8" max="9" width="0" hidden="1" customWidth="1"/>
  </cols>
  <sheetData>
    <row r="1" spans="1:8" ht="42" customHeight="1" x14ac:dyDescent="0.35">
      <c r="A1" s="207" t="s">
        <v>71</v>
      </c>
      <c r="B1" s="207"/>
      <c r="C1" s="207"/>
      <c r="D1" s="207"/>
      <c r="E1" s="207"/>
      <c r="F1" s="207"/>
      <c r="G1" s="207"/>
    </row>
    <row r="2" spans="1:8" ht="28.5" thickBot="1" x14ac:dyDescent="0.4">
      <c r="A2" s="12" t="s">
        <v>4</v>
      </c>
      <c r="B2" s="53"/>
      <c r="C2" s="54" t="s">
        <v>5</v>
      </c>
      <c r="D2" s="54" t="s">
        <v>1</v>
      </c>
      <c r="E2" s="55" t="s">
        <v>11</v>
      </c>
      <c r="F2" s="54" t="s">
        <v>2</v>
      </c>
      <c r="G2" s="54" t="s">
        <v>3</v>
      </c>
    </row>
    <row r="3" spans="1:8" ht="15" thickBot="1" x14ac:dyDescent="0.4">
      <c r="A3" s="52" t="s">
        <v>17</v>
      </c>
      <c r="B3" s="71" t="s">
        <v>68</v>
      </c>
      <c r="C3" s="72"/>
      <c r="D3" s="73">
        <f>(D10-D9)*D13</f>
        <v>126.67999999999999</v>
      </c>
      <c r="E3" s="73">
        <f>(E10-E9)*E13</f>
        <v>0</v>
      </c>
      <c r="F3" s="73">
        <f>(F10-F9)*F13</f>
        <v>0</v>
      </c>
      <c r="G3" s="74">
        <f>(G10-G9)*G13</f>
        <v>0</v>
      </c>
    </row>
    <row r="4" spans="1:8" ht="17.25" customHeight="1" x14ac:dyDescent="0.35">
      <c r="A4" s="217"/>
      <c r="B4" s="67" t="s">
        <v>13</v>
      </c>
      <c r="C4" s="215" t="s">
        <v>6</v>
      </c>
      <c r="D4" s="68">
        <v>29</v>
      </c>
      <c r="E4" s="69"/>
      <c r="F4" s="68"/>
      <c r="G4" s="70"/>
    </row>
    <row r="5" spans="1:8" x14ac:dyDescent="0.35">
      <c r="A5" s="218"/>
      <c r="B5" s="57" t="s">
        <v>65</v>
      </c>
      <c r="C5" s="215"/>
      <c r="D5" s="19">
        <v>11736</v>
      </c>
      <c r="E5" s="19"/>
      <c r="F5" s="19"/>
      <c r="G5" s="56"/>
    </row>
    <row r="6" spans="1:8" x14ac:dyDescent="0.35">
      <c r="A6" s="218"/>
      <c r="B6" s="57" t="s">
        <v>66</v>
      </c>
      <c r="C6" s="215"/>
      <c r="D6" s="19">
        <f>D5+D7-D8</f>
        <v>11756</v>
      </c>
      <c r="E6" s="19">
        <f>E5+E7-E8</f>
        <v>0</v>
      </c>
      <c r="F6" s="19">
        <f>F5+F7-F8</f>
        <v>0</v>
      </c>
      <c r="G6" s="56">
        <f>G5+G7-G8</f>
        <v>0</v>
      </c>
    </row>
    <row r="7" spans="1:8" ht="16.5" customHeight="1" x14ac:dyDescent="0.35">
      <c r="A7" s="218"/>
      <c r="B7" s="58" t="s">
        <v>61</v>
      </c>
      <c r="C7" s="215"/>
      <c r="D7" s="19">
        <v>20</v>
      </c>
      <c r="E7" s="19"/>
      <c r="F7" s="19"/>
      <c r="G7" s="56"/>
    </row>
    <row r="8" spans="1:8" ht="14.25" customHeight="1" x14ac:dyDescent="0.35">
      <c r="A8" s="218"/>
      <c r="B8" s="58" t="s">
        <v>62</v>
      </c>
      <c r="C8" s="216"/>
      <c r="D8" s="19"/>
      <c r="E8" s="19"/>
      <c r="F8" s="19"/>
      <c r="G8" s="56"/>
    </row>
    <row r="9" spans="1:8" ht="16.5" customHeight="1" x14ac:dyDescent="0.35">
      <c r="A9" s="218"/>
      <c r="B9" s="57" t="s">
        <v>59</v>
      </c>
      <c r="C9" s="212" t="s">
        <v>8</v>
      </c>
      <c r="D9" s="19">
        <v>106047.5</v>
      </c>
      <c r="E9" s="19"/>
      <c r="F9" s="19"/>
      <c r="G9" s="56"/>
    </row>
    <row r="10" spans="1:8" ht="19.5" customHeight="1" x14ac:dyDescent="0.35">
      <c r="A10" s="218"/>
      <c r="B10" s="57" t="s">
        <v>67</v>
      </c>
      <c r="C10" s="213"/>
      <c r="D10" s="19">
        <f>D9+D11-D12</f>
        <v>106127.5</v>
      </c>
      <c r="E10" s="19">
        <f>E9+E11-E12</f>
        <v>0</v>
      </c>
      <c r="F10" s="19">
        <f>F9+F11-F12</f>
        <v>0</v>
      </c>
      <c r="G10" s="56">
        <f>G9+G11-G12</f>
        <v>0</v>
      </c>
      <c r="H10" s="178" t="e">
        <f ca="1">atskaites_jedox!AB8</f>
        <v>#NAME?</v>
      </c>
    </row>
    <row r="11" spans="1:8" ht="17.25" customHeight="1" x14ac:dyDescent="0.35">
      <c r="A11" s="218"/>
      <c r="B11" s="59" t="s">
        <v>63</v>
      </c>
      <c r="C11" s="213"/>
      <c r="D11" s="19">
        <v>80</v>
      </c>
      <c r="E11" s="19"/>
      <c r="F11" s="19"/>
      <c r="G11" s="56"/>
    </row>
    <row r="12" spans="1:8" ht="17.25" customHeight="1" x14ac:dyDescent="0.35">
      <c r="A12" s="219"/>
      <c r="B12" s="59" t="s">
        <v>64</v>
      </c>
      <c r="C12" s="214"/>
      <c r="D12" s="19"/>
      <c r="E12" s="19"/>
      <c r="F12" s="19"/>
      <c r="G12" s="56"/>
    </row>
    <row r="13" spans="1:8" ht="30" customHeight="1" thickBot="1" x14ac:dyDescent="0.4">
      <c r="A13" s="79"/>
      <c r="B13" s="60" t="s">
        <v>60</v>
      </c>
      <c r="C13" s="61" t="s">
        <v>9</v>
      </c>
      <c r="D13" s="62">
        <v>1.5834999999999999</v>
      </c>
      <c r="E13" s="62"/>
      <c r="F13" s="62"/>
      <c r="G13" s="63"/>
      <c r="H13" s="179" t="e">
        <f ca="1">atskaites_jedox!AC8</f>
        <v>#NAME?</v>
      </c>
    </row>
    <row r="14" spans="1:8" ht="36" customHeight="1" thickBot="1" x14ac:dyDescent="0.4">
      <c r="A14" s="44" t="s">
        <v>18</v>
      </c>
      <c r="B14" s="48" t="s">
        <v>58</v>
      </c>
      <c r="C14" s="49"/>
      <c r="D14" s="50">
        <f>SUM(D16*D23,D17*D24,D18*D25,D19*D26,D20*D27,D21*D28)</f>
        <v>148.85000000000002</v>
      </c>
      <c r="E14" s="50">
        <f>SUM(E16*E23,E17*E24,E18*E25,E19*E26,E20*E27,E21*E28)</f>
        <v>0</v>
      </c>
      <c r="F14" s="50">
        <f>SUM(F16*F23,F17*F24,F18*F25,F19*F26,F20*F27,F21*F28)</f>
        <v>0</v>
      </c>
      <c r="G14" s="51">
        <f>SUM(G16*G23,G17*G24,G18*G25,G19*G26,G20*G27,G21*G28)</f>
        <v>0</v>
      </c>
    </row>
    <row r="15" spans="1:8" ht="28.5" x14ac:dyDescent="0.35">
      <c r="A15" s="227"/>
      <c r="B15" s="45" t="s">
        <v>56</v>
      </c>
      <c r="C15" s="225" t="s">
        <v>30</v>
      </c>
      <c r="D15" s="46"/>
      <c r="E15" s="46"/>
      <c r="F15" s="46"/>
      <c r="G15" s="47"/>
    </row>
    <row r="16" spans="1:8" x14ac:dyDescent="0.35">
      <c r="A16" s="228"/>
      <c r="B16" s="38" t="s">
        <v>0</v>
      </c>
      <c r="C16" s="225"/>
      <c r="D16" s="20">
        <v>4</v>
      </c>
      <c r="E16" s="20"/>
      <c r="F16" s="20"/>
      <c r="G16" s="39"/>
    </row>
    <row r="17" spans="1:9" x14ac:dyDescent="0.35">
      <c r="A17" s="228"/>
      <c r="B17" s="38" t="s">
        <v>14</v>
      </c>
      <c r="C17" s="225"/>
      <c r="D17" s="20">
        <v>500</v>
      </c>
      <c r="E17" s="20"/>
      <c r="F17" s="20"/>
      <c r="G17" s="39"/>
    </row>
    <row r="18" spans="1:9" ht="16.5" customHeight="1" x14ac:dyDescent="0.35">
      <c r="A18" s="228"/>
      <c r="B18" s="40" t="s">
        <v>20</v>
      </c>
      <c r="C18" s="225"/>
      <c r="D18" s="20">
        <v>66</v>
      </c>
      <c r="E18" s="20"/>
      <c r="F18" s="20"/>
      <c r="G18" s="39"/>
    </row>
    <row r="19" spans="1:9" x14ac:dyDescent="0.35">
      <c r="A19" s="228"/>
      <c r="B19" s="38" t="s">
        <v>12</v>
      </c>
      <c r="C19" s="225"/>
      <c r="D19" s="20">
        <v>46</v>
      </c>
      <c r="E19" s="20"/>
      <c r="F19" s="20"/>
      <c r="G19" s="39"/>
    </row>
    <row r="20" spans="1:9" ht="15.75" customHeight="1" x14ac:dyDescent="0.35">
      <c r="A20" s="228"/>
      <c r="B20" s="40" t="s">
        <v>26</v>
      </c>
      <c r="C20" s="225"/>
      <c r="D20" s="20"/>
      <c r="E20" s="20"/>
      <c r="F20" s="20"/>
      <c r="G20" s="39"/>
    </row>
    <row r="21" spans="1:9" ht="15" thickBot="1" x14ac:dyDescent="0.4">
      <c r="A21" s="228"/>
      <c r="B21" s="41" t="s">
        <v>15</v>
      </c>
      <c r="C21" s="226"/>
      <c r="D21" s="42">
        <v>300</v>
      </c>
      <c r="E21" s="42"/>
      <c r="F21" s="42"/>
      <c r="G21" s="43"/>
    </row>
    <row r="22" spans="1:9" ht="33.75" customHeight="1" x14ac:dyDescent="0.35">
      <c r="A22" s="228"/>
      <c r="B22" s="35" t="s">
        <v>57</v>
      </c>
      <c r="C22" s="224" t="s">
        <v>43</v>
      </c>
      <c r="D22" s="36"/>
      <c r="E22" s="36"/>
      <c r="F22" s="36"/>
      <c r="G22" s="37"/>
    </row>
    <row r="23" spans="1:9" x14ac:dyDescent="0.35">
      <c r="A23" s="228"/>
      <c r="B23" s="38" t="s">
        <v>0</v>
      </c>
      <c r="C23" s="225"/>
      <c r="D23" s="20">
        <v>3.0975000000000001</v>
      </c>
      <c r="E23" s="20"/>
      <c r="F23" s="20"/>
      <c r="G23" s="39"/>
    </row>
    <row r="24" spans="1:9" x14ac:dyDescent="0.35">
      <c r="A24" s="228"/>
      <c r="B24" s="38" t="s">
        <v>14</v>
      </c>
      <c r="C24" s="225"/>
      <c r="D24" s="20">
        <v>7.0000000000000007E-2</v>
      </c>
      <c r="E24" s="20"/>
      <c r="F24" s="20"/>
      <c r="G24" s="39"/>
    </row>
    <row r="25" spans="1:9" ht="18.75" customHeight="1" x14ac:dyDescent="0.35">
      <c r="A25" s="228"/>
      <c r="B25" s="40" t="s">
        <v>20</v>
      </c>
      <c r="C25" s="225"/>
      <c r="D25" s="20">
        <v>0.1</v>
      </c>
      <c r="E25" s="20"/>
      <c r="F25" s="20"/>
      <c r="G25" s="39"/>
    </row>
    <row r="26" spans="1:9" ht="35.25" customHeight="1" x14ac:dyDescent="0.35">
      <c r="A26" s="228"/>
      <c r="B26" s="40" t="s">
        <v>25</v>
      </c>
      <c r="C26" s="225"/>
      <c r="D26" s="20">
        <v>1.47</v>
      </c>
      <c r="E26" s="20"/>
      <c r="F26" s="20"/>
      <c r="G26" s="39"/>
    </row>
    <row r="27" spans="1:9" ht="33.75" customHeight="1" x14ac:dyDescent="0.35">
      <c r="A27" s="228"/>
      <c r="B27" s="40" t="s">
        <v>27</v>
      </c>
      <c r="C27" s="225"/>
      <c r="D27" s="20"/>
      <c r="E27" s="20"/>
      <c r="F27" s="20"/>
      <c r="G27" s="39"/>
    </row>
    <row r="28" spans="1:9" ht="15" thickBot="1" x14ac:dyDescent="0.4">
      <c r="A28" s="229"/>
      <c r="B28" s="41" t="s">
        <v>15</v>
      </c>
      <c r="C28" s="226"/>
      <c r="D28" s="42">
        <v>9.0800000000000006E-2</v>
      </c>
      <c r="E28" s="42"/>
      <c r="F28" s="42"/>
      <c r="G28" s="43"/>
    </row>
    <row r="29" spans="1:9" x14ac:dyDescent="0.35">
      <c r="A29" s="64" t="s">
        <v>44</v>
      </c>
      <c r="B29" s="80" t="s">
        <v>70</v>
      </c>
      <c r="C29" s="81"/>
      <c r="D29" s="82">
        <f>((D32/D33)-(D30/D31))*D31</f>
        <v>9136.5284757449426</v>
      </c>
      <c r="E29" s="82"/>
      <c r="F29" s="82"/>
      <c r="G29" s="83"/>
    </row>
    <row r="30" spans="1:9" ht="65.25" customHeight="1" x14ac:dyDescent="0.35">
      <c r="A30" s="230"/>
      <c r="B30" s="84" t="s">
        <v>53</v>
      </c>
      <c r="C30" s="96" t="s">
        <v>47</v>
      </c>
      <c r="D30" s="32">
        <v>12286.47</v>
      </c>
      <c r="E30" s="97"/>
      <c r="F30" s="28"/>
      <c r="G30" s="85"/>
      <c r="H30" s="178" t="e">
        <f ca="1">atskaites_jedox!AA8</f>
        <v>#NAME?</v>
      </c>
    </row>
    <row r="31" spans="1:9" ht="15.75" customHeight="1" x14ac:dyDescent="0.35">
      <c r="A31" s="231"/>
      <c r="B31" s="84" t="s">
        <v>69</v>
      </c>
      <c r="C31" s="96" t="s">
        <v>8</v>
      </c>
      <c r="D31" s="32">
        <v>106127.5</v>
      </c>
      <c r="E31" s="28"/>
      <c r="F31" s="28"/>
      <c r="G31" s="85"/>
      <c r="H31" s="178" t="e">
        <f ca="1">atskaites_jedox!AB8</f>
        <v>#NAME?</v>
      </c>
      <c r="I31" t="b">
        <f>D31=D10</f>
        <v>1</v>
      </c>
    </row>
    <row r="32" spans="1:9" ht="56.5" x14ac:dyDescent="0.35">
      <c r="A32" s="230"/>
      <c r="B32" s="84" t="s">
        <v>54</v>
      </c>
      <c r="C32" s="96" t="s">
        <v>47</v>
      </c>
      <c r="D32" s="32">
        <v>21169.34</v>
      </c>
      <c r="E32" s="28"/>
      <c r="F32" s="28"/>
      <c r="G32" s="85"/>
      <c r="H32" s="178" t="e">
        <f ca="1">atskaites_jedox!I8</f>
        <v>#NAME?</v>
      </c>
    </row>
    <row r="33" spans="1:8" ht="15" thickBot="1" x14ac:dyDescent="0.4">
      <c r="A33" s="231"/>
      <c r="B33" s="86" t="s">
        <v>55</v>
      </c>
      <c r="C33" s="75" t="s">
        <v>8</v>
      </c>
      <c r="D33" s="87">
        <v>104870.9</v>
      </c>
      <c r="E33" s="65"/>
      <c r="F33" s="65"/>
      <c r="G33" s="66"/>
      <c r="H33" s="178" t="e">
        <f ca="1">atskaites_jedox!J8</f>
        <v>#NAME?</v>
      </c>
    </row>
    <row r="34" spans="1:8" x14ac:dyDescent="0.35">
      <c r="A34" s="1"/>
      <c r="B34" s="1"/>
      <c r="C34" s="1"/>
      <c r="D34" s="1"/>
      <c r="E34" s="1"/>
      <c r="F34" s="1"/>
      <c r="G34" s="1"/>
    </row>
    <row r="35" spans="1:8" x14ac:dyDescent="0.35">
      <c r="A35" s="1"/>
      <c r="B35" s="1"/>
      <c r="C35" s="1"/>
      <c r="D35" s="1"/>
      <c r="E35" s="1"/>
      <c r="F35" s="1"/>
      <c r="G35" s="1"/>
    </row>
    <row r="36" spans="1:8" ht="15" thickBot="1" x14ac:dyDescent="0.4">
      <c r="A36" s="1"/>
      <c r="B36" s="95" t="s">
        <v>72</v>
      </c>
      <c r="C36" s="94"/>
      <c r="D36" s="94"/>
      <c r="E36" s="94"/>
      <c r="F36" s="94"/>
      <c r="G36" s="94"/>
    </row>
    <row r="37" spans="1:8" ht="15" thickTop="1" x14ac:dyDescent="0.35">
      <c r="A37" s="1"/>
      <c r="B37" s="1"/>
      <c r="C37" s="1"/>
      <c r="D37" s="1"/>
      <c r="E37" s="1"/>
      <c r="F37" s="1"/>
      <c r="G37" s="1"/>
    </row>
    <row r="38" spans="1:8" x14ac:dyDescent="0.35">
      <c r="A38" s="1"/>
      <c r="B38" s="1"/>
      <c r="C38" s="1"/>
      <c r="D38" s="1"/>
      <c r="E38" s="1"/>
      <c r="F38" s="1"/>
      <c r="G38" s="1"/>
    </row>
    <row r="39" spans="1:8" x14ac:dyDescent="0.35">
      <c r="A39" s="1" t="s">
        <v>10</v>
      </c>
      <c r="B39" s="1"/>
      <c r="C39" s="1"/>
      <c r="D39" s="1"/>
      <c r="E39" s="1"/>
      <c r="F39" s="1"/>
      <c r="G39" s="1"/>
    </row>
    <row r="40" spans="1:8" ht="32.25" customHeight="1" x14ac:dyDescent="0.35">
      <c r="A40" s="223" t="s">
        <v>32</v>
      </c>
      <c r="B40" s="223"/>
      <c r="C40" s="223"/>
      <c r="D40" s="223"/>
      <c r="E40" s="223"/>
      <c r="F40" s="223"/>
      <c r="G40" s="223"/>
    </row>
    <row r="41" spans="1:8" x14ac:dyDescent="0.35">
      <c r="A41" s="15" t="s">
        <v>31</v>
      </c>
      <c r="B41" s="15"/>
      <c r="C41" s="15"/>
      <c r="D41" s="15"/>
      <c r="E41" s="15"/>
      <c r="F41" s="15"/>
      <c r="G41" s="15"/>
    </row>
    <row r="42" spans="1:8" ht="33.75" customHeight="1" x14ac:dyDescent="0.35">
      <c r="A42" s="222" t="s">
        <v>19</v>
      </c>
      <c r="B42" s="222"/>
      <c r="C42" s="222"/>
      <c r="D42" s="222"/>
      <c r="E42" s="222"/>
      <c r="F42" s="222"/>
      <c r="G42" s="222"/>
    </row>
    <row r="43" spans="1:8" ht="30.75" customHeight="1" x14ac:dyDescent="0.35">
      <c r="A43" s="223" t="s">
        <v>22</v>
      </c>
      <c r="B43" s="223"/>
      <c r="C43" s="223"/>
      <c r="D43" s="223"/>
      <c r="E43" s="223"/>
      <c r="F43" s="223"/>
      <c r="G43" s="223"/>
    </row>
    <row r="44" spans="1:8" ht="34.5" customHeight="1" x14ac:dyDescent="0.35">
      <c r="A44" s="223" t="s">
        <v>48</v>
      </c>
      <c r="B44" s="223"/>
      <c r="C44" s="223"/>
      <c r="D44" s="223"/>
      <c r="E44" s="223"/>
      <c r="F44" s="223"/>
      <c r="G44" s="223"/>
    </row>
    <row r="45" spans="1:8" x14ac:dyDescent="0.35">
      <c r="A45" s="15"/>
      <c r="B45" s="15"/>
      <c r="C45" s="15"/>
      <c r="D45" s="15"/>
      <c r="E45" s="15"/>
      <c r="F45" s="15"/>
      <c r="G45" s="15"/>
    </row>
    <row r="46" spans="1:8" x14ac:dyDescent="0.35">
      <c r="A46" s="33" t="s">
        <v>21</v>
      </c>
      <c r="B46" s="15"/>
      <c r="C46" s="15"/>
      <c r="D46" s="15"/>
      <c r="E46" s="15"/>
      <c r="F46" s="15"/>
      <c r="G46" s="15"/>
    </row>
    <row r="47" spans="1:8" ht="36" customHeight="1" x14ac:dyDescent="0.35">
      <c r="A47" s="223" t="s">
        <v>49</v>
      </c>
      <c r="B47" s="223"/>
      <c r="C47" s="223"/>
      <c r="D47" s="223"/>
      <c r="E47" s="223"/>
      <c r="F47" s="223"/>
      <c r="G47" s="223"/>
    </row>
    <row r="48" spans="1:8" ht="33" customHeight="1" x14ac:dyDescent="0.35">
      <c r="A48" s="223" t="s">
        <v>23</v>
      </c>
      <c r="B48" s="223"/>
      <c r="C48" s="223"/>
      <c r="D48" s="223"/>
      <c r="E48" s="223"/>
      <c r="F48" s="223"/>
      <c r="G48" s="223"/>
    </row>
    <row r="49" spans="1:7" ht="33" customHeight="1" x14ac:dyDescent="0.35">
      <c r="A49" s="223" t="s">
        <v>28</v>
      </c>
      <c r="B49" s="223"/>
      <c r="C49" s="223"/>
      <c r="D49" s="223"/>
      <c r="E49" s="223"/>
      <c r="F49" s="223"/>
      <c r="G49" s="223"/>
    </row>
    <row r="50" spans="1:7" ht="66" customHeight="1" x14ac:dyDescent="0.35">
      <c r="A50" s="223" t="s">
        <v>50</v>
      </c>
      <c r="B50" s="223"/>
      <c r="C50" s="223"/>
      <c r="D50" s="223"/>
      <c r="E50" s="223"/>
      <c r="F50" s="223"/>
      <c r="G50" s="223"/>
    </row>
    <row r="51" spans="1:7" ht="36" customHeight="1" x14ac:dyDescent="0.35">
      <c r="A51" s="223" t="s">
        <v>24</v>
      </c>
      <c r="B51" s="223"/>
      <c r="C51" s="223"/>
      <c r="D51" s="223"/>
      <c r="E51" s="223"/>
      <c r="F51" s="223"/>
      <c r="G51" s="223"/>
    </row>
    <row r="52" spans="1:7" ht="48.75" customHeight="1" x14ac:dyDescent="0.35">
      <c r="A52" s="232" t="s">
        <v>29</v>
      </c>
      <c r="B52" s="232"/>
      <c r="C52" s="232"/>
      <c r="D52" s="232"/>
      <c r="E52" s="232"/>
      <c r="F52" s="232"/>
      <c r="G52" s="232"/>
    </row>
    <row r="53" spans="1:7" ht="35.25" customHeight="1" x14ac:dyDescent="0.35">
      <c r="A53" s="223" t="s">
        <v>51</v>
      </c>
      <c r="B53" s="223"/>
      <c r="C53" s="223"/>
      <c r="D53" s="223"/>
      <c r="E53" s="223"/>
      <c r="F53" s="223"/>
      <c r="G53" s="223"/>
    </row>
    <row r="54" spans="1:7" ht="45.75" customHeight="1" x14ac:dyDescent="0.35">
      <c r="A54" s="223" t="s">
        <v>52</v>
      </c>
      <c r="B54" s="223"/>
      <c r="C54" s="223"/>
      <c r="D54" s="223"/>
      <c r="E54" s="223"/>
      <c r="F54" s="223"/>
      <c r="G54" s="223"/>
    </row>
  </sheetData>
  <mergeCells count="21">
    <mergeCell ref="A53:G53"/>
    <mergeCell ref="A54:G54"/>
    <mergeCell ref="A47:G47"/>
    <mergeCell ref="A48:G48"/>
    <mergeCell ref="A49:G49"/>
    <mergeCell ref="A50:G50"/>
    <mergeCell ref="A51:G51"/>
    <mergeCell ref="A52:G52"/>
    <mergeCell ref="A44:G44"/>
    <mergeCell ref="A1:G1"/>
    <mergeCell ref="A4:A12"/>
    <mergeCell ref="C4:C8"/>
    <mergeCell ref="C9:C12"/>
    <mergeCell ref="A15:A28"/>
    <mergeCell ref="C15:C21"/>
    <mergeCell ref="C22:C28"/>
    <mergeCell ref="A30:A31"/>
    <mergeCell ref="A32:A33"/>
    <mergeCell ref="A40:G40"/>
    <mergeCell ref="A42:G42"/>
    <mergeCell ref="A43:G43"/>
  </mergeCells>
  <pageMargins left="0.7" right="0.7" top="0.75" bottom="0.75" header="0.3" footer="0.3"/>
  <pageSetup paperSize="9" scale="65"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613044-103F-44F2-ACFF-CAC3F2241EE0}">
  <dimension ref="A1:K79"/>
  <sheetViews>
    <sheetView workbookViewId="0">
      <selection activeCell="K2" sqref="K2"/>
    </sheetView>
  </sheetViews>
  <sheetFormatPr defaultRowHeight="14.5" x14ac:dyDescent="0.35"/>
  <cols>
    <col min="1" max="1" width="19" customWidth="1"/>
    <col min="2" max="2" width="29.54296875" customWidth="1"/>
    <col min="3" max="3" width="20.54296875" customWidth="1"/>
    <col min="4" max="4" width="15.1796875" customWidth="1"/>
    <col min="5" max="5" width="13.81640625" customWidth="1"/>
    <col min="6" max="6" width="11.453125" customWidth="1"/>
    <col min="7" max="7" width="11.54296875" customWidth="1"/>
    <col min="8" max="8" width="0" hidden="1" customWidth="1"/>
  </cols>
  <sheetData>
    <row r="1" spans="1:11" ht="17.5" x14ac:dyDescent="0.35">
      <c r="A1" s="207" t="s">
        <v>71</v>
      </c>
      <c r="B1" s="207"/>
      <c r="C1" s="207"/>
      <c r="D1" s="207"/>
      <c r="E1" s="207"/>
      <c r="F1" s="207"/>
      <c r="G1" s="207"/>
    </row>
    <row r="2" spans="1:11" ht="28.5" thickBot="1" x14ac:dyDescent="0.4">
      <c r="A2" s="98" t="s">
        <v>4</v>
      </c>
      <c r="B2" s="99"/>
      <c r="C2" s="99" t="s">
        <v>5</v>
      </c>
      <c r="D2" s="99" t="s">
        <v>1</v>
      </c>
      <c r="E2" s="100" t="s">
        <v>11</v>
      </c>
      <c r="F2" s="99" t="s">
        <v>2</v>
      </c>
      <c r="G2" s="99" t="s">
        <v>3</v>
      </c>
      <c r="H2" s="101"/>
      <c r="I2" s="101"/>
      <c r="J2" s="101"/>
      <c r="K2" s="101"/>
    </row>
    <row r="3" spans="1:11" ht="15" thickBot="1" x14ac:dyDescent="0.4">
      <c r="A3" s="102" t="s">
        <v>17</v>
      </c>
      <c r="B3" s="103" t="s">
        <v>68</v>
      </c>
      <c r="C3" s="104"/>
      <c r="D3" s="105">
        <f>(D10-D9)*D13</f>
        <v>2668.6559999999999</v>
      </c>
      <c r="E3" s="105">
        <f>(E10-E9)*E13</f>
        <v>0</v>
      </c>
      <c r="F3" s="105">
        <f>(F10-F9)*F13</f>
        <v>0</v>
      </c>
      <c r="G3" s="106">
        <f>(G10-G9)*G13</f>
        <v>0</v>
      </c>
      <c r="H3" s="101"/>
      <c r="I3" s="101"/>
      <c r="J3" s="101"/>
      <c r="K3" s="101"/>
    </row>
    <row r="4" spans="1:11" x14ac:dyDescent="0.35">
      <c r="A4" s="234"/>
      <c r="B4" s="107" t="s">
        <v>13</v>
      </c>
      <c r="C4" s="237" t="s">
        <v>6</v>
      </c>
      <c r="D4" s="108">
        <v>29</v>
      </c>
      <c r="E4" s="109"/>
      <c r="F4" s="108"/>
      <c r="G4" s="110"/>
      <c r="H4" s="101"/>
      <c r="I4" s="101"/>
      <c r="J4" s="101"/>
      <c r="K4" s="101"/>
    </row>
    <row r="5" spans="1:11" x14ac:dyDescent="0.35">
      <c r="A5" s="235"/>
      <c r="B5" s="111" t="s">
        <v>65</v>
      </c>
      <c r="C5" s="237"/>
      <c r="D5" s="112">
        <v>11260</v>
      </c>
      <c r="E5" s="112"/>
      <c r="F5" s="112"/>
      <c r="G5" s="113"/>
      <c r="H5" s="101"/>
      <c r="I5" s="101"/>
      <c r="J5" s="101"/>
      <c r="K5" s="101"/>
    </row>
    <row r="6" spans="1:11" x14ac:dyDescent="0.35">
      <c r="A6" s="235"/>
      <c r="B6" s="111" t="s">
        <v>66</v>
      </c>
      <c r="C6" s="237"/>
      <c r="D6" s="112">
        <f>D5+D7-D8</f>
        <v>11560</v>
      </c>
      <c r="E6" s="112">
        <f>E5+E7-E8</f>
        <v>0</v>
      </c>
      <c r="F6" s="112">
        <f>F5+F7-F8</f>
        <v>0</v>
      </c>
      <c r="G6" s="113">
        <f>G5+G7-G8</f>
        <v>0</v>
      </c>
      <c r="H6" s="101"/>
      <c r="I6" s="101"/>
      <c r="J6" s="101"/>
      <c r="K6" s="101"/>
    </row>
    <row r="7" spans="1:11" x14ac:dyDescent="0.35">
      <c r="A7" s="235"/>
      <c r="B7" s="111" t="s">
        <v>61</v>
      </c>
      <c r="C7" s="237"/>
      <c r="D7" s="112">
        <v>300</v>
      </c>
      <c r="E7" s="112"/>
      <c r="F7" s="112"/>
      <c r="G7" s="113"/>
      <c r="H7" s="101"/>
      <c r="I7" s="101"/>
      <c r="J7" s="101"/>
      <c r="K7" s="101"/>
    </row>
    <row r="8" spans="1:11" x14ac:dyDescent="0.35">
      <c r="A8" s="235"/>
      <c r="B8" s="111" t="s">
        <v>62</v>
      </c>
      <c r="C8" s="238"/>
      <c r="D8" s="112"/>
      <c r="E8" s="112"/>
      <c r="F8" s="112"/>
      <c r="G8" s="113"/>
      <c r="H8" s="101"/>
      <c r="I8" s="101"/>
      <c r="J8" s="101"/>
      <c r="K8" s="101"/>
    </row>
    <row r="9" spans="1:11" x14ac:dyDescent="0.35">
      <c r="A9" s="235"/>
      <c r="B9" s="111" t="s">
        <v>59</v>
      </c>
      <c r="C9" s="239" t="s">
        <v>8</v>
      </c>
      <c r="D9" s="112">
        <v>102273</v>
      </c>
      <c r="E9" s="112"/>
      <c r="F9" s="112"/>
      <c r="G9" s="113"/>
      <c r="H9" s="101"/>
      <c r="I9" s="101"/>
      <c r="J9" s="101"/>
      <c r="K9" s="101"/>
    </row>
    <row r="10" spans="1:11" x14ac:dyDescent="0.35">
      <c r="A10" s="235"/>
      <c r="B10" s="111" t="s">
        <v>67</v>
      </c>
      <c r="C10" s="240"/>
      <c r="D10" s="112">
        <f>D9+D11-D12</f>
        <v>103969</v>
      </c>
      <c r="E10" s="112">
        <f>E9+E11-E12</f>
        <v>0</v>
      </c>
      <c r="F10" s="112">
        <f>F9+F11-F12</f>
        <v>0</v>
      </c>
      <c r="G10" s="113">
        <f>G9+G11-G12</f>
        <v>0</v>
      </c>
      <c r="H10" s="180" t="e">
        <f ca="1">atskaites_jedox!AK8</f>
        <v>#NAME?</v>
      </c>
      <c r="I10" s="101"/>
      <c r="J10" s="101"/>
      <c r="K10" s="101"/>
    </row>
    <row r="11" spans="1:11" ht="28" x14ac:dyDescent="0.35">
      <c r="A11" s="235"/>
      <c r="B11" s="114" t="s">
        <v>63</v>
      </c>
      <c r="C11" s="240"/>
      <c r="D11" s="112">
        <v>1696</v>
      </c>
      <c r="E11" s="112"/>
      <c r="F11" s="112"/>
      <c r="G11" s="113"/>
      <c r="H11" s="101"/>
      <c r="I11" s="101"/>
      <c r="J11" s="101"/>
      <c r="K11" s="101"/>
    </row>
    <row r="12" spans="1:11" ht="28" x14ac:dyDescent="0.35">
      <c r="A12" s="236"/>
      <c r="B12" s="114" t="s">
        <v>64</v>
      </c>
      <c r="C12" s="241"/>
      <c r="D12" s="112"/>
      <c r="E12" s="112"/>
      <c r="F12" s="112"/>
      <c r="G12" s="113"/>
      <c r="H12" s="101"/>
      <c r="I12" s="101"/>
      <c r="J12" s="101"/>
      <c r="K12" s="101"/>
    </row>
    <row r="13" spans="1:11" ht="15" thickBot="1" x14ac:dyDescent="0.4">
      <c r="A13" s="115"/>
      <c r="B13" s="116" t="s">
        <v>60</v>
      </c>
      <c r="C13" s="117" t="s">
        <v>9</v>
      </c>
      <c r="D13" s="118">
        <v>1.5734999999999999</v>
      </c>
      <c r="E13" s="118"/>
      <c r="F13" s="118"/>
      <c r="G13" s="119"/>
      <c r="H13" s="205" t="e">
        <f ca="1">atskaites_jedox!AL8</f>
        <v>#NAME?</v>
      </c>
      <c r="I13" s="101"/>
      <c r="J13" s="101"/>
      <c r="K13" s="101"/>
    </row>
    <row r="14" spans="1:11" ht="56.5" thickBot="1" x14ac:dyDescent="0.4">
      <c r="A14" s="120" t="s">
        <v>18</v>
      </c>
      <c r="B14" s="121" t="s">
        <v>58</v>
      </c>
      <c r="C14" s="122"/>
      <c r="D14" s="123">
        <f>SUM(D16*D23,D17*D24,D18*D25,D19*D26,D20*D27,D21*D28)</f>
        <v>255.56900000000002</v>
      </c>
      <c r="E14" s="123">
        <f>SUM(E16*E23,E17*E24,E18*E25,E19*E26,E20*E27,E21*E28)</f>
        <v>0</v>
      </c>
      <c r="F14" s="123">
        <f>SUM(F16*F23,F17*F24,F18*F25,F19*F26,F20*F27,F21*F28)</f>
        <v>0</v>
      </c>
      <c r="G14" s="124">
        <f>SUM(G16*G23,G17*G24,G18*G25,G19*G26,G20*G27,G21*G28)</f>
        <v>0</v>
      </c>
      <c r="H14" s="101"/>
      <c r="I14" s="101"/>
      <c r="J14" s="101"/>
      <c r="K14" s="101"/>
    </row>
    <row r="15" spans="1:11" ht="42" x14ac:dyDescent="0.35">
      <c r="A15" s="242"/>
      <c r="B15" s="125" t="s">
        <v>56</v>
      </c>
      <c r="C15" s="245" t="s">
        <v>30</v>
      </c>
      <c r="D15" s="126"/>
      <c r="E15" s="126"/>
      <c r="F15" s="126"/>
      <c r="G15" s="127"/>
      <c r="H15" s="101"/>
      <c r="I15" s="101"/>
      <c r="J15" s="101"/>
      <c r="K15" s="101"/>
    </row>
    <row r="16" spans="1:11" x14ac:dyDescent="0.35">
      <c r="A16" s="243"/>
      <c r="B16" s="128" t="s">
        <v>0</v>
      </c>
      <c r="C16" s="245"/>
      <c r="D16" s="129">
        <v>32</v>
      </c>
      <c r="E16" s="129"/>
      <c r="F16" s="129"/>
      <c r="G16" s="130"/>
      <c r="H16" s="101"/>
      <c r="I16" s="101"/>
      <c r="J16" s="101"/>
      <c r="K16" s="101"/>
    </row>
    <row r="17" spans="1:11" x14ac:dyDescent="0.35">
      <c r="A17" s="243"/>
      <c r="B17" s="128" t="s">
        <v>14</v>
      </c>
      <c r="C17" s="245"/>
      <c r="D17" s="129">
        <v>750</v>
      </c>
      <c r="E17" s="129"/>
      <c r="F17" s="129"/>
      <c r="G17" s="130"/>
      <c r="H17" s="101"/>
      <c r="I17" s="101"/>
      <c r="J17" s="101"/>
      <c r="K17" s="101"/>
    </row>
    <row r="18" spans="1:11" ht="28" x14ac:dyDescent="0.35">
      <c r="A18" s="243"/>
      <c r="B18" s="131" t="s">
        <v>20</v>
      </c>
      <c r="C18" s="245"/>
      <c r="D18" s="129">
        <v>400</v>
      </c>
      <c r="E18" s="129"/>
      <c r="F18" s="129"/>
      <c r="G18" s="130"/>
      <c r="H18" s="101"/>
      <c r="I18" s="101"/>
      <c r="J18" s="101"/>
      <c r="K18" s="101"/>
    </row>
    <row r="19" spans="1:11" x14ac:dyDescent="0.35">
      <c r="A19" s="243"/>
      <c r="B19" s="128" t="s">
        <v>12</v>
      </c>
      <c r="C19" s="245"/>
      <c r="D19" s="129">
        <v>53</v>
      </c>
      <c r="E19" s="129"/>
      <c r="F19" s="129"/>
      <c r="G19" s="130"/>
      <c r="H19" s="101"/>
      <c r="I19" s="101"/>
      <c r="J19" s="101"/>
      <c r="K19" s="101"/>
    </row>
    <row r="20" spans="1:11" ht="28" x14ac:dyDescent="0.35">
      <c r="A20" s="243"/>
      <c r="B20" s="131" t="s">
        <v>26</v>
      </c>
      <c r="C20" s="245"/>
      <c r="D20" s="129"/>
      <c r="E20" s="129"/>
      <c r="F20" s="129"/>
      <c r="G20" s="130"/>
      <c r="H20" s="101"/>
      <c r="I20" s="101"/>
      <c r="J20" s="101"/>
      <c r="K20" s="101"/>
    </row>
    <row r="21" spans="1:11" ht="15" thickBot="1" x14ac:dyDescent="0.4">
      <c r="A21" s="243"/>
      <c r="B21" s="132" t="s">
        <v>15</v>
      </c>
      <c r="C21" s="246"/>
      <c r="D21" s="133">
        <v>300</v>
      </c>
      <c r="E21" s="133"/>
      <c r="F21" s="133"/>
      <c r="G21" s="134"/>
      <c r="H21" s="101"/>
      <c r="I21" s="101"/>
      <c r="J21" s="101"/>
      <c r="K21" s="101"/>
    </row>
    <row r="22" spans="1:11" ht="28" x14ac:dyDescent="0.35">
      <c r="A22" s="243"/>
      <c r="B22" s="135" t="s">
        <v>57</v>
      </c>
      <c r="C22" s="247" t="s">
        <v>43</v>
      </c>
      <c r="D22" s="136"/>
      <c r="E22" s="136"/>
      <c r="F22" s="136"/>
      <c r="G22" s="137"/>
      <c r="H22" s="101"/>
      <c r="I22" s="101"/>
      <c r="J22" s="101"/>
      <c r="K22" s="101"/>
    </row>
    <row r="23" spans="1:11" x14ac:dyDescent="0.35">
      <c r="A23" s="243"/>
      <c r="B23" s="128" t="s">
        <v>0</v>
      </c>
      <c r="C23" s="245"/>
      <c r="D23" s="129">
        <v>2.86</v>
      </c>
      <c r="E23" s="129"/>
      <c r="F23" s="129"/>
      <c r="G23" s="130"/>
      <c r="H23" s="101"/>
      <c r="I23" s="101"/>
      <c r="J23" s="101"/>
      <c r="K23" s="101"/>
    </row>
    <row r="24" spans="1:11" x14ac:dyDescent="0.35">
      <c r="A24" s="243"/>
      <c r="B24" s="128" t="s">
        <v>14</v>
      </c>
      <c r="C24" s="245"/>
      <c r="D24" s="129">
        <v>7.0000000000000007E-2</v>
      </c>
      <c r="E24" s="129"/>
      <c r="F24" s="129"/>
      <c r="G24" s="130"/>
      <c r="H24" s="101"/>
      <c r="I24" s="101"/>
      <c r="J24" s="101"/>
      <c r="K24" s="101"/>
    </row>
    <row r="25" spans="1:11" ht="28" x14ac:dyDescent="0.35">
      <c r="A25" s="243"/>
      <c r="B25" s="131" t="s">
        <v>20</v>
      </c>
      <c r="C25" s="245"/>
      <c r="D25" s="129">
        <v>1.38E-2</v>
      </c>
      <c r="E25" s="129"/>
      <c r="F25" s="129"/>
      <c r="G25" s="130"/>
      <c r="H25" s="101"/>
      <c r="I25" s="101"/>
      <c r="J25" s="101"/>
      <c r="K25" s="101"/>
    </row>
    <row r="26" spans="1:11" ht="28" x14ac:dyDescent="0.35">
      <c r="A26" s="243"/>
      <c r="B26" s="131" t="s">
        <v>25</v>
      </c>
      <c r="C26" s="245"/>
      <c r="D26" s="129">
        <v>1.5329999999999999</v>
      </c>
      <c r="E26" s="129"/>
      <c r="F26" s="129"/>
      <c r="G26" s="130"/>
      <c r="H26" s="101"/>
      <c r="I26" s="101"/>
      <c r="J26" s="101"/>
      <c r="K26" s="101"/>
    </row>
    <row r="27" spans="1:11" ht="42" x14ac:dyDescent="0.35">
      <c r="A27" s="243"/>
      <c r="B27" s="131" t="s">
        <v>27</v>
      </c>
      <c r="C27" s="245"/>
      <c r="D27" s="129"/>
      <c r="E27" s="129"/>
      <c r="F27" s="129"/>
      <c r="G27" s="130"/>
      <c r="H27" s="101"/>
      <c r="I27" s="101"/>
      <c r="J27" s="101"/>
      <c r="K27" s="101"/>
    </row>
    <row r="28" spans="1:11" ht="15" thickBot="1" x14ac:dyDescent="0.4">
      <c r="A28" s="244"/>
      <c r="B28" s="132" t="s">
        <v>15</v>
      </c>
      <c r="C28" s="246"/>
      <c r="D28" s="133">
        <v>8.2600000000000007E-2</v>
      </c>
      <c r="E28" s="133"/>
      <c r="F28" s="133"/>
      <c r="G28" s="134"/>
      <c r="H28" s="101"/>
      <c r="I28" s="101"/>
      <c r="J28" s="101"/>
      <c r="K28" s="101"/>
    </row>
    <row r="29" spans="1:11" x14ac:dyDescent="0.35">
      <c r="A29" s="138" t="s">
        <v>44</v>
      </c>
      <c r="B29" s="139" t="s">
        <v>70</v>
      </c>
      <c r="C29" s="140"/>
      <c r="D29" s="141">
        <f>((D32/D33)-(D30/D31))*D31</f>
        <v>7585.4254326086939</v>
      </c>
      <c r="E29" s="141"/>
      <c r="F29" s="141"/>
      <c r="G29" s="142"/>
      <c r="H29" s="101"/>
      <c r="I29" s="101"/>
      <c r="J29" s="101"/>
      <c r="K29" s="101"/>
    </row>
    <row r="30" spans="1:11" ht="84" x14ac:dyDescent="0.35">
      <c r="A30" s="248"/>
      <c r="B30" s="143" t="s">
        <v>53</v>
      </c>
      <c r="C30" s="144" t="s">
        <v>47</v>
      </c>
      <c r="D30" s="145">
        <v>13201.82</v>
      </c>
      <c r="E30" s="146"/>
      <c r="F30" s="147"/>
      <c r="G30" s="148"/>
      <c r="H30" s="180" t="e">
        <f ca="1">atskaites_jedox!AJ8</f>
        <v>#NAME?</v>
      </c>
      <c r="I30" s="101"/>
      <c r="J30" s="101"/>
      <c r="K30" s="101"/>
    </row>
    <row r="31" spans="1:11" x14ac:dyDescent="0.35">
      <c r="A31" s="249"/>
      <c r="B31" s="143" t="s">
        <v>69</v>
      </c>
      <c r="C31" s="144" t="s">
        <v>8</v>
      </c>
      <c r="D31" s="145">
        <v>103969</v>
      </c>
      <c r="E31" s="147"/>
      <c r="F31" s="147"/>
      <c r="G31" s="148"/>
      <c r="H31" s="180" t="e">
        <f ca="1">atskaites_jedox!AK8</f>
        <v>#NAME?</v>
      </c>
      <c r="I31" s="101" t="b">
        <f>D31=D10</f>
        <v>1</v>
      </c>
      <c r="J31" s="101"/>
      <c r="K31" s="101"/>
    </row>
    <row r="32" spans="1:11" ht="84" x14ac:dyDescent="0.35">
      <c r="A32" s="248"/>
      <c r="B32" s="143" t="s">
        <v>54</v>
      </c>
      <c r="C32" s="144" t="s">
        <v>47</v>
      </c>
      <c r="D32" s="145">
        <v>20233.62</v>
      </c>
      <c r="E32" s="147"/>
      <c r="F32" s="147"/>
      <c r="G32" s="148"/>
      <c r="H32" s="180" t="e">
        <f ca="1">atskaites_jedox!L8</f>
        <v>#NAME?</v>
      </c>
      <c r="I32" s="101"/>
      <c r="J32" s="101"/>
      <c r="K32" s="101"/>
    </row>
    <row r="33" spans="1:11" ht="15" thickBot="1" x14ac:dyDescent="0.4">
      <c r="A33" s="249"/>
      <c r="B33" s="149" t="s">
        <v>55</v>
      </c>
      <c r="C33" s="150" t="s">
        <v>8</v>
      </c>
      <c r="D33" s="151">
        <v>101200</v>
      </c>
      <c r="E33" s="152"/>
      <c r="F33" s="152"/>
      <c r="G33" s="153"/>
      <c r="H33" s="180" t="e">
        <f ca="1">atskaites_jedox!M8</f>
        <v>#NAME?</v>
      </c>
      <c r="I33" s="101"/>
      <c r="J33" s="101"/>
      <c r="K33" s="101"/>
    </row>
    <row r="34" spans="1:11" x14ac:dyDescent="0.35">
      <c r="A34" s="154"/>
      <c r="B34" s="154"/>
      <c r="C34" s="154"/>
      <c r="D34" s="154"/>
      <c r="E34" s="154"/>
      <c r="F34" s="154"/>
      <c r="G34" s="154"/>
      <c r="H34" s="101"/>
      <c r="I34" s="101"/>
      <c r="J34" s="101"/>
      <c r="K34" s="101"/>
    </row>
    <row r="35" spans="1:11" x14ac:dyDescent="0.35">
      <c r="A35" s="154"/>
      <c r="B35" s="154"/>
      <c r="C35" s="154"/>
      <c r="D35" s="154"/>
      <c r="E35" s="154"/>
      <c r="F35" s="154"/>
      <c r="G35" s="154"/>
      <c r="H35" s="101"/>
      <c r="I35" s="101"/>
      <c r="J35" s="101"/>
      <c r="K35" s="101"/>
    </row>
    <row r="36" spans="1:11" ht="15" thickBot="1" x14ac:dyDescent="0.4">
      <c r="A36" s="154"/>
      <c r="B36" s="155" t="s">
        <v>72</v>
      </c>
      <c r="C36" s="156"/>
      <c r="D36" s="156"/>
      <c r="E36" s="156"/>
      <c r="F36" s="156"/>
      <c r="G36" s="156"/>
      <c r="H36" s="101"/>
      <c r="I36" s="101"/>
      <c r="J36" s="101"/>
      <c r="K36" s="101"/>
    </row>
    <row r="37" spans="1:11" ht="15" thickTop="1" x14ac:dyDescent="0.35">
      <c r="A37" s="154"/>
      <c r="B37" s="154"/>
      <c r="C37" s="154"/>
      <c r="D37" s="154"/>
      <c r="E37" s="154"/>
      <c r="F37" s="154"/>
      <c r="G37" s="154"/>
      <c r="H37" s="101"/>
      <c r="I37" s="101"/>
      <c r="J37" s="101"/>
      <c r="K37" s="101"/>
    </row>
    <row r="38" spans="1:11" x14ac:dyDescent="0.35">
      <c r="A38" s="154"/>
      <c r="B38" s="154"/>
      <c r="C38" s="154"/>
      <c r="D38" s="154"/>
      <c r="E38" s="154"/>
      <c r="F38" s="154"/>
      <c r="G38" s="154"/>
      <c r="H38" s="101"/>
      <c r="I38" s="101"/>
      <c r="J38" s="101"/>
      <c r="K38" s="101"/>
    </row>
    <row r="39" spans="1:11" x14ac:dyDescent="0.35">
      <c r="A39" s="154" t="s">
        <v>10</v>
      </c>
      <c r="B39" s="154"/>
      <c r="C39" s="154"/>
      <c r="D39" s="154"/>
      <c r="E39" s="154"/>
      <c r="F39" s="154"/>
      <c r="G39" s="154"/>
      <c r="H39" s="101"/>
      <c r="I39" s="101"/>
      <c r="J39" s="101"/>
      <c r="K39" s="101"/>
    </row>
    <row r="40" spans="1:11" x14ac:dyDescent="0.35">
      <c r="A40" s="233" t="s">
        <v>32</v>
      </c>
      <c r="B40" s="233"/>
      <c r="C40" s="233"/>
      <c r="D40" s="233"/>
      <c r="E40" s="233"/>
      <c r="F40" s="233"/>
      <c r="G40" s="233"/>
      <c r="H40" s="101"/>
      <c r="I40" s="101"/>
      <c r="J40" s="101"/>
      <c r="K40" s="101"/>
    </row>
    <row r="41" spans="1:11" x14ac:dyDescent="0.35">
      <c r="A41" s="157" t="s">
        <v>31</v>
      </c>
      <c r="B41" s="157"/>
      <c r="C41" s="157"/>
      <c r="D41" s="157"/>
      <c r="E41" s="157"/>
      <c r="F41" s="157"/>
      <c r="G41" s="157"/>
      <c r="H41" s="101"/>
      <c r="I41" s="101"/>
      <c r="J41" s="101"/>
      <c r="K41" s="101"/>
    </row>
    <row r="42" spans="1:11" x14ac:dyDescent="0.35">
      <c r="A42" s="250" t="s">
        <v>19</v>
      </c>
      <c r="B42" s="250"/>
      <c r="C42" s="250"/>
      <c r="D42" s="250"/>
      <c r="E42" s="250"/>
      <c r="F42" s="250"/>
      <c r="G42" s="250"/>
      <c r="H42" s="101"/>
      <c r="I42" s="101"/>
      <c r="J42" s="101"/>
      <c r="K42" s="101"/>
    </row>
    <row r="43" spans="1:11" x14ac:dyDescent="0.35">
      <c r="A43" s="233" t="s">
        <v>22</v>
      </c>
      <c r="B43" s="233"/>
      <c r="C43" s="233"/>
      <c r="D43" s="233"/>
      <c r="E43" s="233"/>
      <c r="F43" s="233"/>
      <c r="G43" s="233"/>
      <c r="H43" s="101"/>
      <c r="I43" s="101"/>
      <c r="J43" s="101"/>
      <c r="K43" s="101"/>
    </row>
    <row r="44" spans="1:11" x14ac:dyDescent="0.35">
      <c r="A44" s="233" t="s">
        <v>48</v>
      </c>
      <c r="B44" s="233"/>
      <c r="C44" s="233"/>
      <c r="D44" s="233"/>
      <c r="E44" s="233"/>
      <c r="F44" s="233"/>
      <c r="G44" s="233"/>
      <c r="H44" s="101"/>
      <c r="I44" s="101"/>
      <c r="J44" s="101"/>
      <c r="K44" s="101"/>
    </row>
    <row r="45" spans="1:11" x14ac:dyDescent="0.35">
      <c r="A45" s="157"/>
      <c r="B45" s="157"/>
      <c r="C45" s="157"/>
      <c r="D45" s="157"/>
      <c r="E45" s="157"/>
      <c r="F45" s="157"/>
      <c r="G45" s="157"/>
      <c r="H45" s="101"/>
      <c r="I45" s="101"/>
      <c r="J45" s="101"/>
      <c r="K45" s="101"/>
    </row>
    <row r="46" spans="1:11" x14ac:dyDescent="0.35">
      <c r="A46" s="158" t="s">
        <v>21</v>
      </c>
      <c r="B46" s="157"/>
      <c r="C46" s="157"/>
      <c r="D46" s="157"/>
      <c r="E46" s="157"/>
      <c r="F46" s="157"/>
      <c r="G46" s="157"/>
      <c r="H46" s="101"/>
      <c r="I46" s="101"/>
      <c r="J46" s="101"/>
      <c r="K46" s="101"/>
    </row>
    <row r="47" spans="1:11" x14ac:dyDescent="0.35">
      <c r="A47" s="233" t="s">
        <v>49</v>
      </c>
      <c r="B47" s="233"/>
      <c r="C47" s="233"/>
      <c r="D47" s="233"/>
      <c r="E47" s="233"/>
      <c r="F47" s="233"/>
      <c r="G47" s="233"/>
      <c r="H47" s="101"/>
      <c r="I47" s="101"/>
      <c r="J47" s="101"/>
      <c r="K47" s="101"/>
    </row>
    <row r="48" spans="1:11" x14ac:dyDescent="0.35">
      <c r="A48" s="233" t="s">
        <v>23</v>
      </c>
      <c r="B48" s="233"/>
      <c r="C48" s="233"/>
      <c r="D48" s="233"/>
      <c r="E48" s="233"/>
      <c r="F48" s="233"/>
      <c r="G48" s="233"/>
      <c r="H48" s="101"/>
      <c r="I48" s="101"/>
      <c r="J48" s="101"/>
      <c r="K48" s="101"/>
    </row>
    <row r="49" spans="1:11" x14ac:dyDescent="0.35">
      <c r="A49" s="233" t="s">
        <v>28</v>
      </c>
      <c r="B49" s="233"/>
      <c r="C49" s="233"/>
      <c r="D49" s="233"/>
      <c r="E49" s="233"/>
      <c r="F49" s="233"/>
      <c r="G49" s="233"/>
      <c r="H49" s="101"/>
      <c r="I49" s="101"/>
      <c r="J49" s="101"/>
      <c r="K49" s="101"/>
    </row>
    <row r="50" spans="1:11" x14ac:dyDescent="0.35">
      <c r="A50" s="233" t="s">
        <v>50</v>
      </c>
      <c r="B50" s="233"/>
      <c r="C50" s="233"/>
      <c r="D50" s="233"/>
      <c r="E50" s="233"/>
      <c r="F50" s="233"/>
      <c r="G50" s="233"/>
      <c r="H50" s="101"/>
      <c r="I50" s="101"/>
      <c r="J50" s="101"/>
      <c r="K50" s="101"/>
    </row>
    <row r="51" spans="1:11" x14ac:dyDescent="0.35">
      <c r="A51" s="233" t="s">
        <v>24</v>
      </c>
      <c r="B51" s="233"/>
      <c r="C51" s="233"/>
      <c r="D51" s="233"/>
      <c r="E51" s="233"/>
      <c r="F51" s="233"/>
      <c r="G51" s="233"/>
      <c r="H51" s="101"/>
      <c r="I51" s="101"/>
      <c r="J51" s="101"/>
      <c r="K51" s="101"/>
    </row>
    <row r="52" spans="1:11" x14ac:dyDescent="0.35">
      <c r="A52" s="233" t="s">
        <v>29</v>
      </c>
      <c r="B52" s="233"/>
      <c r="C52" s="233"/>
      <c r="D52" s="233"/>
      <c r="E52" s="233"/>
      <c r="F52" s="233"/>
      <c r="G52" s="233"/>
      <c r="H52" s="101"/>
      <c r="I52" s="101"/>
      <c r="J52" s="101"/>
      <c r="K52" s="101"/>
    </row>
    <row r="53" spans="1:11" x14ac:dyDescent="0.35">
      <c r="A53" s="233" t="s">
        <v>51</v>
      </c>
      <c r="B53" s="233"/>
      <c r="C53" s="233"/>
      <c r="D53" s="233"/>
      <c r="E53" s="233"/>
      <c r="F53" s="233"/>
      <c r="G53" s="233"/>
      <c r="H53" s="101"/>
      <c r="I53" s="101"/>
      <c r="J53" s="101"/>
      <c r="K53" s="101"/>
    </row>
    <row r="54" spans="1:11" x14ac:dyDescent="0.35">
      <c r="A54" s="233" t="s">
        <v>52</v>
      </c>
      <c r="B54" s="233"/>
      <c r="C54" s="233"/>
      <c r="D54" s="233"/>
      <c r="E54" s="233"/>
      <c r="F54" s="233"/>
      <c r="G54" s="233"/>
      <c r="H54" s="101"/>
      <c r="I54" s="101"/>
      <c r="J54" s="101"/>
      <c r="K54" s="101"/>
    </row>
    <row r="55" spans="1:11" x14ac:dyDescent="0.35">
      <c r="A55" s="101"/>
      <c r="B55" s="101"/>
      <c r="C55" s="101"/>
      <c r="D55" s="101"/>
      <c r="E55" s="101"/>
      <c r="F55" s="101"/>
      <c r="G55" s="101"/>
      <c r="H55" s="101"/>
      <c r="I55" s="101"/>
      <c r="J55" s="101"/>
      <c r="K55" s="101"/>
    </row>
    <row r="56" spans="1:11" x14ac:dyDescent="0.35">
      <c r="A56" s="101"/>
      <c r="B56" s="101"/>
      <c r="C56" s="101"/>
      <c r="D56" s="101"/>
      <c r="E56" s="101"/>
      <c r="F56" s="101"/>
      <c r="G56" s="101"/>
      <c r="H56" s="101"/>
      <c r="I56" s="101"/>
      <c r="J56" s="101"/>
      <c r="K56" s="101"/>
    </row>
    <row r="57" spans="1:11" x14ac:dyDescent="0.35">
      <c r="A57" s="101"/>
      <c r="B57" s="101"/>
      <c r="C57" s="101"/>
      <c r="D57" s="101"/>
      <c r="E57" s="101"/>
      <c r="F57" s="101"/>
      <c r="G57" s="101"/>
      <c r="H57" s="101"/>
      <c r="I57" s="101"/>
      <c r="J57" s="101"/>
      <c r="K57" s="101"/>
    </row>
    <row r="58" spans="1:11" x14ac:dyDescent="0.35">
      <c r="A58" s="101"/>
      <c r="B58" s="101"/>
      <c r="C58" s="101"/>
      <c r="D58" s="101"/>
      <c r="E58" s="101"/>
      <c r="F58" s="101"/>
      <c r="G58" s="101"/>
      <c r="H58" s="101"/>
      <c r="I58" s="101"/>
      <c r="J58" s="101"/>
      <c r="K58" s="101"/>
    </row>
    <row r="59" spans="1:11" x14ac:dyDescent="0.35">
      <c r="A59" s="101"/>
      <c r="B59" s="101"/>
      <c r="C59" s="101"/>
      <c r="D59" s="101"/>
      <c r="E59" s="101"/>
      <c r="F59" s="101"/>
      <c r="G59" s="101"/>
      <c r="H59" s="101"/>
      <c r="I59" s="101"/>
      <c r="J59" s="101"/>
      <c r="K59" s="101"/>
    </row>
    <row r="60" spans="1:11" x14ac:dyDescent="0.35">
      <c r="A60" s="101"/>
      <c r="B60" s="101"/>
      <c r="C60" s="101"/>
      <c r="D60" s="101"/>
      <c r="E60" s="101"/>
      <c r="F60" s="101"/>
      <c r="G60" s="101"/>
      <c r="H60" s="101"/>
      <c r="I60" s="101"/>
      <c r="J60" s="101"/>
      <c r="K60" s="101"/>
    </row>
    <row r="61" spans="1:11" x14ac:dyDescent="0.35">
      <c r="A61" s="101"/>
      <c r="B61" s="101"/>
      <c r="C61" s="101"/>
      <c r="D61" s="101"/>
      <c r="E61" s="101"/>
      <c r="F61" s="101"/>
      <c r="G61" s="101"/>
      <c r="H61" s="101"/>
      <c r="I61" s="101"/>
      <c r="J61" s="101"/>
      <c r="K61" s="101"/>
    </row>
    <row r="62" spans="1:11" x14ac:dyDescent="0.35">
      <c r="A62" s="101"/>
      <c r="B62" s="101"/>
      <c r="C62" s="101"/>
      <c r="D62" s="101"/>
      <c r="E62" s="101"/>
      <c r="F62" s="101"/>
      <c r="G62" s="101"/>
      <c r="H62" s="101"/>
      <c r="I62" s="101"/>
      <c r="J62" s="101"/>
      <c r="K62" s="101"/>
    </row>
    <row r="63" spans="1:11" x14ac:dyDescent="0.35">
      <c r="A63" s="101"/>
      <c r="B63" s="101"/>
      <c r="C63" s="101"/>
      <c r="D63" s="101"/>
      <c r="E63" s="101"/>
      <c r="F63" s="101"/>
      <c r="G63" s="101"/>
      <c r="H63" s="101"/>
      <c r="I63" s="101"/>
      <c r="J63" s="101"/>
      <c r="K63" s="101"/>
    </row>
    <row r="64" spans="1:11" x14ac:dyDescent="0.35">
      <c r="A64" s="101"/>
      <c r="B64" s="101"/>
      <c r="C64" s="101"/>
      <c r="D64" s="101"/>
      <c r="E64" s="101"/>
      <c r="F64" s="101"/>
      <c r="G64" s="101"/>
      <c r="H64" s="101"/>
      <c r="I64" s="101"/>
      <c r="J64" s="101"/>
      <c r="K64" s="101"/>
    </row>
    <row r="65" spans="1:11" x14ac:dyDescent="0.35">
      <c r="A65" s="101"/>
      <c r="B65" s="101"/>
      <c r="C65" s="101"/>
      <c r="D65" s="101"/>
      <c r="E65" s="101"/>
      <c r="F65" s="101"/>
      <c r="G65" s="101"/>
      <c r="H65" s="101"/>
      <c r="I65" s="101"/>
      <c r="J65" s="101"/>
      <c r="K65" s="101"/>
    </row>
    <row r="66" spans="1:11" x14ac:dyDescent="0.35">
      <c r="A66" s="101"/>
      <c r="B66" s="101"/>
      <c r="C66" s="101"/>
      <c r="D66" s="101"/>
      <c r="E66" s="101"/>
      <c r="F66" s="101"/>
      <c r="G66" s="101"/>
      <c r="H66" s="101"/>
      <c r="I66" s="101"/>
      <c r="J66" s="101"/>
      <c r="K66" s="101"/>
    </row>
    <row r="67" spans="1:11" x14ac:dyDescent="0.35">
      <c r="A67" s="101"/>
      <c r="B67" s="101"/>
      <c r="C67" s="101"/>
      <c r="D67" s="101"/>
      <c r="E67" s="101"/>
      <c r="F67" s="101"/>
      <c r="G67" s="101"/>
      <c r="H67" s="101"/>
      <c r="I67" s="101"/>
      <c r="J67" s="101"/>
      <c r="K67" s="101"/>
    </row>
    <row r="68" spans="1:11" x14ac:dyDescent="0.35">
      <c r="A68" s="101"/>
      <c r="B68" s="101"/>
      <c r="C68" s="101"/>
      <c r="D68" s="101"/>
      <c r="E68" s="101"/>
      <c r="F68" s="101"/>
      <c r="G68" s="101"/>
      <c r="H68" s="101"/>
      <c r="I68" s="101"/>
      <c r="J68" s="101"/>
      <c r="K68" s="101"/>
    </row>
    <row r="69" spans="1:11" x14ac:dyDescent="0.35">
      <c r="A69" s="101"/>
      <c r="B69" s="101"/>
      <c r="C69" s="101"/>
      <c r="D69" s="101"/>
      <c r="E69" s="101"/>
      <c r="F69" s="101"/>
      <c r="G69" s="101"/>
      <c r="H69" s="101"/>
      <c r="I69" s="101"/>
      <c r="J69" s="101"/>
      <c r="K69" s="101"/>
    </row>
    <row r="70" spans="1:11" x14ac:dyDescent="0.35">
      <c r="A70" s="101"/>
      <c r="B70" s="101"/>
      <c r="C70" s="101"/>
      <c r="D70" s="101"/>
      <c r="E70" s="101"/>
      <c r="F70" s="101"/>
      <c r="G70" s="101"/>
      <c r="H70" s="101"/>
      <c r="I70" s="101"/>
      <c r="J70" s="101"/>
      <c r="K70" s="101"/>
    </row>
    <row r="71" spans="1:11" x14ac:dyDescent="0.35">
      <c r="A71" s="101"/>
      <c r="B71" s="101"/>
      <c r="C71" s="101"/>
      <c r="D71" s="101"/>
      <c r="E71" s="101"/>
      <c r="F71" s="101"/>
      <c r="G71" s="101"/>
      <c r="H71" s="101"/>
      <c r="I71" s="101"/>
      <c r="J71" s="101"/>
      <c r="K71" s="101"/>
    </row>
    <row r="72" spans="1:11" x14ac:dyDescent="0.35">
      <c r="A72" s="101"/>
      <c r="B72" s="101"/>
      <c r="C72" s="101"/>
      <c r="D72" s="101"/>
      <c r="E72" s="101"/>
      <c r="F72" s="101"/>
      <c r="G72" s="101"/>
      <c r="H72" s="101"/>
      <c r="I72" s="101"/>
      <c r="J72" s="101"/>
      <c r="K72" s="101"/>
    </row>
    <row r="73" spans="1:11" x14ac:dyDescent="0.35">
      <c r="A73" s="101"/>
      <c r="B73" s="101"/>
      <c r="C73" s="101"/>
      <c r="D73" s="101"/>
      <c r="E73" s="101"/>
      <c r="F73" s="101"/>
      <c r="G73" s="101"/>
      <c r="H73" s="101"/>
      <c r="I73" s="101"/>
      <c r="J73" s="101"/>
      <c r="K73" s="101"/>
    </row>
    <row r="74" spans="1:11" x14ac:dyDescent="0.35">
      <c r="A74" s="101"/>
      <c r="B74" s="101"/>
      <c r="C74" s="101"/>
      <c r="D74" s="101"/>
      <c r="E74" s="101"/>
      <c r="F74" s="101"/>
      <c r="G74" s="101"/>
      <c r="H74" s="101"/>
      <c r="I74" s="101"/>
      <c r="J74" s="101"/>
      <c r="K74" s="101"/>
    </row>
    <row r="75" spans="1:11" x14ac:dyDescent="0.35">
      <c r="A75" s="101"/>
      <c r="B75" s="101"/>
      <c r="C75" s="101"/>
      <c r="D75" s="101"/>
      <c r="E75" s="101"/>
      <c r="F75" s="101"/>
      <c r="G75" s="101"/>
      <c r="H75" s="101"/>
      <c r="I75" s="101"/>
      <c r="J75" s="101"/>
      <c r="K75" s="101"/>
    </row>
    <row r="76" spans="1:11" x14ac:dyDescent="0.35">
      <c r="A76" s="101"/>
      <c r="B76" s="101"/>
      <c r="C76" s="101"/>
      <c r="D76" s="101"/>
      <c r="E76" s="101"/>
      <c r="F76" s="101"/>
      <c r="G76" s="101"/>
      <c r="H76" s="101"/>
      <c r="I76" s="101"/>
      <c r="J76" s="101"/>
      <c r="K76" s="101"/>
    </row>
    <row r="77" spans="1:11" x14ac:dyDescent="0.35">
      <c r="A77" s="101"/>
      <c r="B77" s="101"/>
      <c r="C77" s="101"/>
      <c r="D77" s="101"/>
      <c r="E77" s="101"/>
      <c r="F77" s="101"/>
      <c r="G77" s="101"/>
      <c r="H77" s="101"/>
      <c r="I77" s="101"/>
      <c r="J77" s="101"/>
      <c r="K77" s="101"/>
    </row>
    <row r="78" spans="1:11" x14ac:dyDescent="0.35">
      <c r="A78" s="101"/>
      <c r="B78" s="101"/>
      <c r="C78" s="101"/>
      <c r="D78" s="101"/>
      <c r="E78" s="101"/>
      <c r="F78" s="101"/>
      <c r="G78" s="101"/>
      <c r="H78" s="101"/>
      <c r="I78" s="101"/>
      <c r="J78" s="101"/>
      <c r="K78" s="101"/>
    </row>
    <row r="79" spans="1:11" x14ac:dyDescent="0.35">
      <c r="A79" s="101"/>
      <c r="B79" s="101"/>
      <c r="C79" s="101"/>
      <c r="D79" s="101"/>
      <c r="E79" s="101"/>
      <c r="F79" s="101"/>
      <c r="G79" s="101"/>
      <c r="H79" s="101"/>
      <c r="I79" s="101"/>
      <c r="J79" s="101"/>
      <c r="K79" s="101"/>
    </row>
  </sheetData>
  <mergeCells count="21">
    <mergeCell ref="A53:G53"/>
    <mergeCell ref="A54:G54"/>
    <mergeCell ref="A47:G47"/>
    <mergeCell ref="A48:G48"/>
    <mergeCell ref="A49:G49"/>
    <mergeCell ref="A50:G50"/>
    <mergeCell ref="A51:G51"/>
    <mergeCell ref="A52:G52"/>
    <mergeCell ref="A44:G44"/>
    <mergeCell ref="A1:G1"/>
    <mergeCell ref="A4:A12"/>
    <mergeCell ref="C4:C8"/>
    <mergeCell ref="C9:C12"/>
    <mergeCell ref="A15:A28"/>
    <mergeCell ref="C15:C21"/>
    <mergeCell ref="C22:C28"/>
    <mergeCell ref="A30:A31"/>
    <mergeCell ref="A32:A33"/>
    <mergeCell ref="A40:G40"/>
    <mergeCell ref="A42:G42"/>
    <mergeCell ref="A43:G4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278BF2-EF27-412F-8A92-5579E46229A4}">
  <dimension ref="A3:F8"/>
  <sheetViews>
    <sheetView workbookViewId="0">
      <selection activeCell="A16" sqref="A16"/>
    </sheetView>
  </sheetViews>
  <sheetFormatPr defaultRowHeight="14.5" x14ac:dyDescent="0.35"/>
  <cols>
    <col min="1" max="1" width="58.453125" customWidth="1"/>
    <col min="2" max="6" width="15" customWidth="1"/>
  </cols>
  <sheetData>
    <row r="3" spans="1:6" x14ac:dyDescent="0.35">
      <c r="A3" s="184" t="s">
        <v>112</v>
      </c>
      <c r="B3" s="184" t="s">
        <v>113</v>
      </c>
    </row>
    <row r="4" spans="1:6" ht="30" customHeight="1" x14ac:dyDescent="0.35">
      <c r="A4" s="184" t="s">
        <v>110</v>
      </c>
      <c r="B4" s="206" t="s">
        <v>7</v>
      </c>
      <c r="C4" t="s">
        <v>94</v>
      </c>
      <c r="D4" t="s">
        <v>99</v>
      </c>
      <c r="E4" t="s">
        <v>104</v>
      </c>
      <c r="F4" t="s">
        <v>111</v>
      </c>
    </row>
    <row r="5" spans="1:6" ht="51" customHeight="1" x14ac:dyDescent="0.35">
      <c r="A5" s="201" t="s">
        <v>86</v>
      </c>
      <c r="B5" s="202">
        <v>0</v>
      </c>
      <c r="C5" s="202">
        <v>122.232</v>
      </c>
      <c r="D5" s="202">
        <v>126.67999999999999</v>
      </c>
      <c r="E5" s="202">
        <v>2668.6559999999999</v>
      </c>
      <c r="F5" s="204">
        <v>2917.5679999999998</v>
      </c>
    </row>
    <row r="6" spans="1:6" ht="51" customHeight="1" x14ac:dyDescent="0.35">
      <c r="A6" s="201" t="s">
        <v>88</v>
      </c>
      <c r="B6" s="202">
        <v>165.40604000000002</v>
      </c>
      <c r="C6" s="202">
        <v>166.25</v>
      </c>
      <c r="D6" s="202">
        <v>148.85000000000002</v>
      </c>
      <c r="E6" s="202">
        <v>255.56900000000002</v>
      </c>
      <c r="F6" s="204">
        <v>736.07504000000006</v>
      </c>
    </row>
    <row r="7" spans="1:6" ht="51" customHeight="1" x14ac:dyDescent="0.35">
      <c r="A7" s="203" t="s">
        <v>89</v>
      </c>
      <c r="B7" s="202">
        <v>7052.9323668353491</v>
      </c>
      <c r="C7" s="202">
        <v>9627.463548704498</v>
      </c>
      <c r="D7" s="202">
        <v>9136.5284757449426</v>
      </c>
      <c r="E7" s="202">
        <v>7585.4254326086939</v>
      </c>
      <c r="F7" s="204">
        <v>33402.349823893484</v>
      </c>
    </row>
    <row r="8" spans="1:6" x14ac:dyDescent="0.35">
      <c r="A8" s="185" t="s">
        <v>111</v>
      </c>
      <c r="B8" s="179">
        <v>7218.3384068353489</v>
      </c>
      <c r="C8" s="179">
        <v>9915.9455487044979</v>
      </c>
      <c r="D8" s="179">
        <v>9412.0584757449433</v>
      </c>
      <c r="E8" s="179">
        <v>10509.650432608694</v>
      </c>
      <c r="F8" s="179">
        <v>37055.992863893487</v>
      </c>
    </row>
  </sheetData>
  <pageMargins left="0.7" right="0.7" top="0.75" bottom="0.75" header="0.3" footer="0.3"/>
  <pageSetup paperSize="9" orientation="landscape" horizontalDpi="300" verticalDpi="300"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AFB20A-B095-452B-98FD-481A04A6C40E}">
  <dimension ref="B1:G129"/>
  <sheetViews>
    <sheetView zoomScale="90" zoomScaleNormal="90" workbookViewId="0">
      <pane ySplit="5" topLeftCell="A6" activePane="bottomLeft" state="frozen"/>
      <selection pane="bottomLeft" activeCell="K6" sqref="K6"/>
    </sheetView>
  </sheetViews>
  <sheetFormatPr defaultRowHeight="14.5" x14ac:dyDescent="0.35"/>
  <cols>
    <col min="1" max="1" width="5.453125" customWidth="1"/>
    <col min="2" max="2" width="49.26953125" customWidth="1"/>
    <col min="3" max="3" width="37.54296875" customWidth="1"/>
    <col min="4" max="4" width="13.453125" style="189" customWidth="1"/>
    <col min="5" max="5" width="19.81640625" style="190" bestFit="1" customWidth="1"/>
    <col min="6" max="6" width="13.7265625" style="190" customWidth="1"/>
    <col min="7" max="7" width="23.1796875" style="190" bestFit="1" customWidth="1"/>
  </cols>
  <sheetData>
    <row r="1" spans="2:7" x14ac:dyDescent="0.35">
      <c r="B1" s="251" t="s">
        <v>71</v>
      </c>
      <c r="C1" s="251"/>
      <c r="D1" s="251"/>
      <c r="E1" s="251"/>
      <c r="F1" s="251"/>
      <c r="G1" s="251"/>
    </row>
    <row r="2" spans="2:7" x14ac:dyDescent="0.35">
      <c r="B2" s="251"/>
      <c r="C2" s="251"/>
      <c r="D2" s="251"/>
      <c r="E2" s="251"/>
      <c r="F2" s="251"/>
      <c r="G2" s="251"/>
    </row>
    <row r="5" spans="2:7" ht="15.5" x14ac:dyDescent="0.35">
      <c r="B5" s="186" t="s">
        <v>82</v>
      </c>
      <c r="C5" s="186" t="s">
        <v>5</v>
      </c>
      <c r="D5" s="191" t="s">
        <v>83</v>
      </c>
      <c r="E5" s="192" t="s">
        <v>84</v>
      </c>
      <c r="F5" s="192" t="s">
        <v>85</v>
      </c>
      <c r="G5" s="192" t="s">
        <v>4</v>
      </c>
    </row>
    <row r="6" spans="2:7" ht="42" x14ac:dyDescent="0.35">
      <c r="B6" s="187" t="s">
        <v>86</v>
      </c>
      <c r="C6" s="88"/>
      <c r="D6" s="193">
        <v>0</v>
      </c>
      <c r="E6" s="194" t="s">
        <v>87</v>
      </c>
      <c r="F6" s="194" t="s">
        <v>109</v>
      </c>
      <c r="G6" s="194" t="s">
        <v>7</v>
      </c>
    </row>
    <row r="7" spans="2:7" x14ac:dyDescent="0.35">
      <c r="B7" s="2" t="s">
        <v>13</v>
      </c>
      <c r="C7" s="175" t="s">
        <v>6</v>
      </c>
      <c r="D7" s="195">
        <v>29</v>
      </c>
      <c r="E7" s="194" t="s">
        <v>87</v>
      </c>
      <c r="F7" s="194" t="s">
        <v>109</v>
      </c>
      <c r="G7" s="194" t="s">
        <v>7</v>
      </c>
    </row>
    <row r="8" spans="2:7" x14ac:dyDescent="0.35">
      <c r="B8" s="4" t="s">
        <v>65</v>
      </c>
      <c r="C8" s="175" t="s">
        <v>6</v>
      </c>
      <c r="D8" s="195">
        <v>8635</v>
      </c>
      <c r="E8" s="194" t="s">
        <v>87</v>
      </c>
      <c r="F8" s="194" t="s">
        <v>109</v>
      </c>
      <c r="G8" s="194" t="s">
        <v>7</v>
      </c>
    </row>
    <row r="9" spans="2:7" x14ac:dyDescent="0.35">
      <c r="B9" s="4" t="s">
        <v>66</v>
      </c>
      <c r="C9" s="175" t="s">
        <v>6</v>
      </c>
      <c r="D9" s="195">
        <v>8635</v>
      </c>
      <c r="E9" s="194" t="s">
        <v>87</v>
      </c>
      <c r="F9" s="194" t="s">
        <v>109</v>
      </c>
      <c r="G9" s="194" t="s">
        <v>7</v>
      </c>
    </row>
    <row r="10" spans="2:7" x14ac:dyDescent="0.35">
      <c r="B10" s="5" t="s">
        <v>61</v>
      </c>
      <c r="C10" s="175" t="s">
        <v>6</v>
      </c>
      <c r="D10" s="195"/>
      <c r="E10" s="194" t="s">
        <v>87</v>
      </c>
      <c r="F10" s="194" t="s">
        <v>109</v>
      </c>
      <c r="G10" s="194" t="s">
        <v>7</v>
      </c>
    </row>
    <row r="11" spans="2:7" x14ac:dyDescent="0.35">
      <c r="B11" s="5" t="s">
        <v>62</v>
      </c>
      <c r="C11" s="175" t="s">
        <v>6</v>
      </c>
      <c r="D11" s="195"/>
      <c r="E11" s="194" t="s">
        <v>87</v>
      </c>
      <c r="F11" s="194" t="s">
        <v>109</v>
      </c>
      <c r="G11" s="194" t="s">
        <v>7</v>
      </c>
    </row>
    <row r="12" spans="2:7" x14ac:dyDescent="0.35">
      <c r="B12" s="4" t="s">
        <v>59</v>
      </c>
      <c r="C12" s="176" t="s">
        <v>8</v>
      </c>
      <c r="D12" s="195">
        <v>77873.7</v>
      </c>
      <c r="E12" s="194" t="s">
        <v>87</v>
      </c>
      <c r="F12" s="194" t="s">
        <v>109</v>
      </c>
      <c r="G12" s="194" t="s">
        <v>7</v>
      </c>
    </row>
    <row r="13" spans="2:7" x14ac:dyDescent="0.35">
      <c r="B13" s="4" t="s">
        <v>67</v>
      </c>
      <c r="C13" s="176" t="s">
        <v>8</v>
      </c>
      <c r="D13" s="195">
        <v>77873.7</v>
      </c>
      <c r="E13" s="194" t="s">
        <v>87</v>
      </c>
      <c r="F13" s="194" t="s">
        <v>109</v>
      </c>
      <c r="G13" s="194" t="s">
        <v>7</v>
      </c>
    </row>
    <row r="14" spans="2:7" x14ac:dyDescent="0.35">
      <c r="B14" s="6" t="s">
        <v>63</v>
      </c>
      <c r="C14" s="176" t="s">
        <v>8</v>
      </c>
      <c r="D14" s="195"/>
      <c r="E14" s="194" t="s">
        <v>87</v>
      </c>
      <c r="F14" s="194" t="s">
        <v>109</v>
      </c>
      <c r="G14" s="194" t="s">
        <v>7</v>
      </c>
    </row>
    <row r="15" spans="2:7" x14ac:dyDescent="0.35">
      <c r="B15" s="6" t="s">
        <v>64</v>
      </c>
      <c r="C15" s="176" t="s">
        <v>8</v>
      </c>
      <c r="D15" s="195"/>
      <c r="E15" s="194" t="s">
        <v>87</v>
      </c>
      <c r="F15" s="194" t="s">
        <v>109</v>
      </c>
      <c r="G15" s="194" t="s">
        <v>7</v>
      </c>
    </row>
    <row r="16" spans="2:7" x14ac:dyDescent="0.35">
      <c r="B16" s="4" t="s">
        <v>60</v>
      </c>
      <c r="C16" s="3" t="s">
        <v>9</v>
      </c>
      <c r="D16" s="195">
        <v>1.5318000000000001</v>
      </c>
      <c r="E16" s="194" t="s">
        <v>87</v>
      </c>
      <c r="F16" s="194" t="s">
        <v>109</v>
      </c>
      <c r="G16" s="194" t="s">
        <v>7</v>
      </c>
    </row>
    <row r="17" spans="2:7" ht="56.5" x14ac:dyDescent="0.35">
      <c r="B17" s="34" t="s">
        <v>88</v>
      </c>
      <c r="C17" s="90"/>
      <c r="D17" s="196">
        <v>165.40604000000002</v>
      </c>
      <c r="E17" s="194" t="s">
        <v>87</v>
      </c>
      <c r="F17" s="194" t="s">
        <v>109</v>
      </c>
      <c r="G17" s="194" t="s">
        <v>7</v>
      </c>
    </row>
    <row r="18" spans="2:7" ht="28.5" x14ac:dyDescent="0.35">
      <c r="B18" s="7" t="s">
        <v>56</v>
      </c>
      <c r="C18" s="177" t="s">
        <v>30</v>
      </c>
      <c r="D18" s="195"/>
      <c r="E18" s="194" t="s">
        <v>87</v>
      </c>
      <c r="F18" s="194" t="s">
        <v>109</v>
      </c>
      <c r="G18" s="194" t="s">
        <v>7</v>
      </c>
    </row>
    <row r="19" spans="2:7" ht="28" x14ac:dyDescent="0.35">
      <c r="B19" s="8" t="s">
        <v>0</v>
      </c>
      <c r="C19" s="177" t="s">
        <v>30</v>
      </c>
      <c r="D19" s="195">
        <v>17.8</v>
      </c>
      <c r="E19" s="194" t="s">
        <v>87</v>
      </c>
      <c r="F19" s="194" t="s">
        <v>109</v>
      </c>
      <c r="G19" s="194" t="s">
        <v>7</v>
      </c>
    </row>
    <row r="20" spans="2:7" ht="28" x14ac:dyDescent="0.35">
      <c r="B20" s="8" t="s">
        <v>14</v>
      </c>
      <c r="C20" s="177" t="s">
        <v>30</v>
      </c>
      <c r="D20" s="195">
        <v>370</v>
      </c>
      <c r="E20" s="194" t="s">
        <v>87</v>
      </c>
      <c r="F20" s="194" t="s">
        <v>109</v>
      </c>
      <c r="G20" s="194" t="s">
        <v>7</v>
      </c>
    </row>
    <row r="21" spans="2:7" ht="28" x14ac:dyDescent="0.35">
      <c r="B21" s="9" t="s">
        <v>20</v>
      </c>
      <c r="C21" s="177" t="s">
        <v>30</v>
      </c>
      <c r="D21" s="195"/>
      <c r="E21" s="194" t="s">
        <v>87</v>
      </c>
      <c r="F21" s="194" t="s">
        <v>109</v>
      </c>
      <c r="G21" s="194" t="s">
        <v>7</v>
      </c>
    </row>
    <row r="22" spans="2:7" ht="28" x14ac:dyDescent="0.35">
      <c r="B22" s="8" t="s">
        <v>12</v>
      </c>
      <c r="C22" s="177" t="s">
        <v>30</v>
      </c>
      <c r="D22" s="195">
        <v>17.420000000000002</v>
      </c>
      <c r="E22" s="194" t="s">
        <v>87</v>
      </c>
      <c r="F22" s="194" t="s">
        <v>109</v>
      </c>
      <c r="G22" s="194" t="s">
        <v>7</v>
      </c>
    </row>
    <row r="23" spans="2:7" ht="28" x14ac:dyDescent="0.35">
      <c r="B23" s="9" t="s">
        <v>26</v>
      </c>
      <c r="C23" s="177" t="s">
        <v>30</v>
      </c>
      <c r="D23" s="195"/>
      <c r="E23" s="194" t="s">
        <v>87</v>
      </c>
      <c r="F23" s="194" t="s">
        <v>109</v>
      </c>
      <c r="G23" s="194" t="s">
        <v>7</v>
      </c>
    </row>
    <row r="24" spans="2:7" ht="28" x14ac:dyDescent="0.35">
      <c r="B24" s="8" t="s">
        <v>76</v>
      </c>
      <c r="C24" s="177" t="s">
        <v>30</v>
      </c>
      <c r="D24" s="195">
        <v>150</v>
      </c>
      <c r="E24" s="194" t="s">
        <v>87</v>
      </c>
      <c r="F24" s="194" t="s">
        <v>109</v>
      </c>
      <c r="G24" s="194" t="s">
        <v>7</v>
      </c>
    </row>
    <row r="25" spans="2:7" ht="28.5" x14ac:dyDescent="0.35">
      <c r="B25" s="7" t="s">
        <v>57</v>
      </c>
      <c r="C25" s="177" t="s">
        <v>43</v>
      </c>
      <c r="D25" s="195"/>
      <c r="E25" s="194" t="s">
        <v>87</v>
      </c>
      <c r="F25" s="194" t="s">
        <v>109</v>
      </c>
      <c r="G25" s="194" t="s">
        <v>7</v>
      </c>
    </row>
    <row r="26" spans="2:7" x14ac:dyDescent="0.35">
      <c r="B26" s="8" t="s">
        <v>0</v>
      </c>
      <c r="C26" s="177" t="s">
        <v>43</v>
      </c>
      <c r="D26" s="195">
        <v>3.0908000000000002</v>
      </c>
      <c r="E26" s="194" t="s">
        <v>87</v>
      </c>
      <c r="F26" s="194" t="s">
        <v>109</v>
      </c>
      <c r="G26" s="194" t="s">
        <v>7</v>
      </c>
    </row>
    <row r="27" spans="2:7" x14ac:dyDescent="0.35">
      <c r="B27" s="8" t="s">
        <v>14</v>
      </c>
      <c r="C27" s="177" t="s">
        <v>43</v>
      </c>
      <c r="D27" s="195">
        <v>7.0000000000000007E-2</v>
      </c>
      <c r="E27" s="194" t="s">
        <v>87</v>
      </c>
      <c r="F27" s="194" t="s">
        <v>109</v>
      </c>
      <c r="G27" s="194" t="s">
        <v>7</v>
      </c>
    </row>
    <row r="28" spans="2:7" x14ac:dyDescent="0.35">
      <c r="B28" s="9" t="s">
        <v>20</v>
      </c>
      <c r="C28" s="177" t="s">
        <v>43</v>
      </c>
      <c r="D28" s="195"/>
      <c r="E28" s="194" t="s">
        <v>87</v>
      </c>
      <c r="F28" s="194" t="s">
        <v>109</v>
      </c>
      <c r="G28" s="194" t="s">
        <v>7</v>
      </c>
    </row>
    <row r="29" spans="2:7" ht="28.5" x14ac:dyDescent="0.35">
      <c r="B29" s="9" t="s">
        <v>25</v>
      </c>
      <c r="C29" s="177" t="s">
        <v>43</v>
      </c>
      <c r="D29" s="195">
        <v>1.69</v>
      </c>
      <c r="E29" s="194" t="s">
        <v>87</v>
      </c>
      <c r="F29" s="194" t="s">
        <v>109</v>
      </c>
      <c r="G29" s="194" t="s">
        <v>7</v>
      </c>
    </row>
    <row r="30" spans="2:7" ht="28.5" x14ac:dyDescent="0.35">
      <c r="B30" s="9" t="s">
        <v>27</v>
      </c>
      <c r="C30" s="177" t="s">
        <v>43</v>
      </c>
      <c r="D30" s="195"/>
      <c r="E30" s="194" t="s">
        <v>87</v>
      </c>
      <c r="F30" s="194" t="s">
        <v>109</v>
      </c>
      <c r="G30" s="194" t="s">
        <v>7</v>
      </c>
    </row>
    <row r="31" spans="2:7" x14ac:dyDescent="0.35">
      <c r="B31" s="8" t="s">
        <v>77</v>
      </c>
      <c r="C31" s="177" t="s">
        <v>43</v>
      </c>
      <c r="D31" s="195">
        <v>0.36699999999999999</v>
      </c>
      <c r="E31" s="194" t="s">
        <v>87</v>
      </c>
      <c r="F31" s="194" t="s">
        <v>109</v>
      </c>
      <c r="G31" s="194" t="s">
        <v>7</v>
      </c>
    </row>
    <row r="32" spans="2:7" ht="28.5" x14ac:dyDescent="0.35">
      <c r="B32" s="188" t="s">
        <v>89</v>
      </c>
      <c r="C32" s="31"/>
      <c r="D32" s="196">
        <v>7052.9323668353491</v>
      </c>
      <c r="E32" s="194" t="s">
        <v>87</v>
      </c>
      <c r="F32" s="194" t="s">
        <v>109</v>
      </c>
      <c r="G32" s="194" t="s">
        <v>7</v>
      </c>
    </row>
    <row r="33" spans="2:7" ht="56.5" x14ac:dyDescent="0.35">
      <c r="B33" s="29" t="s">
        <v>90</v>
      </c>
      <c r="C33" s="159" t="s">
        <v>47</v>
      </c>
      <c r="D33" s="195">
        <v>8685.16</v>
      </c>
      <c r="E33" s="194" t="s">
        <v>87</v>
      </c>
      <c r="F33" s="194" t="s">
        <v>109</v>
      </c>
      <c r="G33" s="194" t="s">
        <v>7</v>
      </c>
    </row>
    <row r="34" spans="2:7" x14ac:dyDescent="0.35">
      <c r="B34" s="29" t="s">
        <v>91</v>
      </c>
      <c r="C34" s="159" t="s">
        <v>8</v>
      </c>
      <c r="D34" s="195">
        <v>77873.7</v>
      </c>
      <c r="E34" s="194" t="s">
        <v>87</v>
      </c>
      <c r="F34" s="194" t="s">
        <v>109</v>
      </c>
      <c r="G34" s="194" t="s">
        <v>7</v>
      </c>
    </row>
    <row r="35" spans="2:7" ht="56.5" x14ac:dyDescent="0.35">
      <c r="B35" s="29" t="s">
        <v>92</v>
      </c>
      <c r="C35" s="159" t="s">
        <v>47</v>
      </c>
      <c r="D35" s="195">
        <v>15787</v>
      </c>
      <c r="E35" s="194" t="s">
        <v>87</v>
      </c>
      <c r="F35" s="194" t="s">
        <v>109</v>
      </c>
      <c r="G35" s="194" t="s">
        <v>7</v>
      </c>
    </row>
    <row r="36" spans="2:7" x14ac:dyDescent="0.35">
      <c r="B36" s="29" t="s">
        <v>93</v>
      </c>
      <c r="C36" s="159" t="s">
        <v>8</v>
      </c>
      <c r="D36" s="195">
        <v>78115.7</v>
      </c>
      <c r="E36" s="194" t="s">
        <v>87</v>
      </c>
      <c r="F36" s="194" t="s">
        <v>109</v>
      </c>
      <c r="G36" s="194" t="s">
        <v>7</v>
      </c>
    </row>
    <row r="37" spans="2:7" ht="42" x14ac:dyDescent="0.35">
      <c r="B37" s="187" t="s">
        <v>86</v>
      </c>
      <c r="C37" s="88"/>
      <c r="D37" s="197">
        <f>(D44-D43)*D47</f>
        <v>122.232</v>
      </c>
      <c r="E37" s="194" t="s">
        <v>87</v>
      </c>
      <c r="F37" s="194" t="s">
        <v>109</v>
      </c>
      <c r="G37" s="194" t="s">
        <v>94</v>
      </c>
    </row>
    <row r="38" spans="2:7" x14ac:dyDescent="0.35">
      <c r="B38" s="2" t="s">
        <v>13</v>
      </c>
      <c r="C38" s="175" t="s">
        <v>6</v>
      </c>
      <c r="D38" s="198">
        <v>29</v>
      </c>
      <c r="E38" s="194" t="s">
        <v>87</v>
      </c>
      <c r="F38" s="194" t="s">
        <v>109</v>
      </c>
      <c r="G38" s="194" t="s">
        <v>94</v>
      </c>
    </row>
    <row r="39" spans="2:7" x14ac:dyDescent="0.35">
      <c r="B39" s="4" t="s">
        <v>65</v>
      </c>
      <c r="C39" s="175" t="s">
        <v>6</v>
      </c>
      <c r="D39" s="198">
        <v>11304</v>
      </c>
      <c r="E39" s="194" t="s">
        <v>87</v>
      </c>
      <c r="F39" s="194" t="s">
        <v>109</v>
      </c>
      <c r="G39" s="194" t="s">
        <v>94</v>
      </c>
    </row>
    <row r="40" spans="2:7" x14ac:dyDescent="0.35">
      <c r="B40" s="4" t="s">
        <v>66</v>
      </c>
      <c r="C40" s="175" t="s">
        <v>6</v>
      </c>
      <c r="D40" s="198">
        <f>D39+D41-D42</f>
        <v>11324</v>
      </c>
      <c r="E40" s="194" t="s">
        <v>87</v>
      </c>
      <c r="F40" s="194" t="s">
        <v>109</v>
      </c>
      <c r="G40" s="194" t="s">
        <v>94</v>
      </c>
    </row>
    <row r="41" spans="2:7" x14ac:dyDescent="0.35">
      <c r="B41" s="5" t="s">
        <v>61</v>
      </c>
      <c r="C41" s="175" t="s">
        <v>6</v>
      </c>
      <c r="D41" s="198">
        <v>20</v>
      </c>
      <c r="E41" s="194" t="s">
        <v>87</v>
      </c>
      <c r="F41" s="194" t="s">
        <v>109</v>
      </c>
      <c r="G41" s="194" t="s">
        <v>94</v>
      </c>
    </row>
    <row r="42" spans="2:7" x14ac:dyDescent="0.35">
      <c r="B42" s="5" t="s">
        <v>62</v>
      </c>
      <c r="C42" s="175" t="s">
        <v>6</v>
      </c>
      <c r="D42" s="198"/>
      <c r="E42" s="194" t="s">
        <v>87</v>
      </c>
      <c r="F42" s="194" t="s">
        <v>109</v>
      </c>
      <c r="G42" s="194" t="s">
        <v>94</v>
      </c>
    </row>
    <row r="43" spans="2:7" x14ac:dyDescent="0.35">
      <c r="B43" s="4" t="s">
        <v>59</v>
      </c>
      <c r="C43" s="176" t="s">
        <v>8</v>
      </c>
      <c r="D43" s="198">
        <v>102031.5</v>
      </c>
      <c r="E43" s="194" t="s">
        <v>87</v>
      </c>
      <c r="F43" s="194" t="s">
        <v>109</v>
      </c>
      <c r="G43" s="194" t="s">
        <v>94</v>
      </c>
    </row>
    <row r="44" spans="2:7" x14ac:dyDescent="0.35">
      <c r="B44" s="4" t="s">
        <v>67</v>
      </c>
      <c r="C44" s="176" t="s">
        <v>8</v>
      </c>
      <c r="D44" s="198">
        <f>D43+D45-D46</f>
        <v>102111.5</v>
      </c>
      <c r="E44" s="194" t="s">
        <v>87</v>
      </c>
      <c r="F44" s="194" t="s">
        <v>109</v>
      </c>
      <c r="G44" s="194" t="s">
        <v>94</v>
      </c>
    </row>
    <row r="45" spans="2:7" x14ac:dyDescent="0.35">
      <c r="B45" s="6" t="s">
        <v>63</v>
      </c>
      <c r="C45" s="176" t="s">
        <v>8</v>
      </c>
      <c r="D45" s="198">
        <v>80</v>
      </c>
      <c r="E45" s="194" t="s">
        <v>87</v>
      </c>
      <c r="F45" s="194" t="s">
        <v>109</v>
      </c>
      <c r="G45" s="194" t="s">
        <v>94</v>
      </c>
    </row>
    <row r="46" spans="2:7" x14ac:dyDescent="0.35">
      <c r="B46" s="6" t="s">
        <v>64</v>
      </c>
      <c r="C46" s="176" t="s">
        <v>8</v>
      </c>
      <c r="D46" s="198"/>
      <c r="E46" s="194" t="s">
        <v>87</v>
      </c>
      <c r="F46" s="194" t="s">
        <v>109</v>
      </c>
      <c r="G46" s="194" t="s">
        <v>94</v>
      </c>
    </row>
    <row r="47" spans="2:7" x14ac:dyDescent="0.35">
      <c r="B47" s="4" t="s">
        <v>60</v>
      </c>
      <c r="C47" s="3" t="s">
        <v>9</v>
      </c>
      <c r="D47" s="198">
        <v>1.5279</v>
      </c>
      <c r="E47" s="194" t="s">
        <v>87</v>
      </c>
      <c r="F47" s="194" t="s">
        <v>109</v>
      </c>
      <c r="G47" s="194" t="s">
        <v>94</v>
      </c>
    </row>
    <row r="48" spans="2:7" ht="56.5" x14ac:dyDescent="0.35">
      <c r="B48" s="34" t="s">
        <v>88</v>
      </c>
      <c r="C48" s="90"/>
      <c r="D48" s="196">
        <v>166.25</v>
      </c>
      <c r="E48" s="194" t="s">
        <v>87</v>
      </c>
      <c r="F48" s="194" t="s">
        <v>109</v>
      </c>
      <c r="G48" s="194" t="s">
        <v>94</v>
      </c>
    </row>
    <row r="49" spans="2:7" ht="28.5" x14ac:dyDescent="0.35">
      <c r="B49" s="7" t="s">
        <v>56</v>
      </c>
      <c r="C49" s="177" t="s">
        <v>30</v>
      </c>
      <c r="D49" s="195"/>
      <c r="E49" s="194" t="s">
        <v>87</v>
      </c>
      <c r="F49" s="194" t="s">
        <v>109</v>
      </c>
      <c r="G49" s="194" t="s">
        <v>94</v>
      </c>
    </row>
    <row r="50" spans="2:7" ht="28" x14ac:dyDescent="0.35">
      <c r="B50" s="8" t="s">
        <v>0</v>
      </c>
      <c r="C50" s="177" t="s">
        <v>30</v>
      </c>
      <c r="D50" s="195">
        <v>8</v>
      </c>
      <c r="E50" s="194" t="s">
        <v>87</v>
      </c>
      <c r="F50" s="194" t="s">
        <v>109</v>
      </c>
      <c r="G50" s="194" t="s">
        <v>94</v>
      </c>
    </row>
    <row r="51" spans="2:7" ht="28" x14ac:dyDescent="0.35">
      <c r="B51" s="8" t="s">
        <v>14</v>
      </c>
      <c r="C51" s="177" t="s">
        <v>30</v>
      </c>
      <c r="D51" s="195">
        <v>500</v>
      </c>
      <c r="E51" s="194" t="s">
        <v>87</v>
      </c>
      <c r="F51" s="194" t="s">
        <v>109</v>
      </c>
      <c r="G51" s="194" t="s">
        <v>94</v>
      </c>
    </row>
    <row r="52" spans="2:7" ht="28" x14ac:dyDescent="0.35">
      <c r="B52" s="9" t="s">
        <v>20</v>
      </c>
      <c r="C52" s="177" t="s">
        <v>30</v>
      </c>
      <c r="D52" s="195"/>
      <c r="E52" s="194" t="s">
        <v>87</v>
      </c>
      <c r="F52" s="194" t="s">
        <v>109</v>
      </c>
      <c r="G52" s="194" t="s">
        <v>94</v>
      </c>
    </row>
    <row r="53" spans="2:7" ht="28" x14ac:dyDescent="0.35">
      <c r="B53" s="8" t="s">
        <v>12</v>
      </c>
      <c r="C53" s="177" t="s">
        <v>30</v>
      </c>
      <c r="D53" s="195">
        <v>33</v>
      </c>
      <c r="E53" s="194" t="s">
        <v>87</v>
      </c>
      <c r="F53" s="194" t="s">
        <v>109</v>
      </c>
      <c r="G53" s="194" t="s">
        <v>94</v>
      </c>
    </row>
    <row r="54" spans="2:7" ht="28" x14ac:dyDescent="0.35">
      <c r="B54" s="9" t="s">
        <v>26</v>
      </c>
      <c r="C54" s="177" t="s">
        <v>30</v>
      </c>
      <c r="D54" s="195"/>
      <c r="E54" s="194" t="s">
        <v>87</v>
      </c>
      <c r="F54" s="194" t="s">
        <v>109</v>
      </c>
      <c r="G54" s="194" t="s">
        <v>94</v>
      </c>
    </row>
    <row r="55" spans="2:7" ht="28" x14ac:dyDescent="0.35">
      <c r="B55" s="8" t="s">
        <v>78</v>
      </c>
      <c r="C55" s="177" t="s">
        <v>30</v>
      </c>
      <c r="D55" s="195">
        <v>300</v>
      </c>
      <c r="E55" s="194" t="s">
        <v>87</v>
      </c>
      <c r="F55" s="194" t="s">
        <v>109</v>
      </c>
      <c r="G55" s="194" t="s">
        <v>94</v>
      </c>
    </row>
    <row r="56" spans="2:7" ht="28.5" x14ac:dyDescent="0.35">
      <c r="B56" s="7" t="s">
        <v>57</v>
      </c>
      <c r="C56" s="177" t="s">
        <v>43</v>
      </c>
      <c r="D56" s="195"/>
      <c r="E56" s="194" t="s">
        <v>87</v>
      </c>
      <c r="F56" s="194" t="s">
        <v>109</v>
      </c>
      <c r="G56" s="194" t="s">
        <v>94</v>
      </c>
    </row>
    <row r="57" spans="2:7" x14ac:dyDescent="0.35">
      <c r="B57" s="8" t="s">
        <v>0</v>
      </c>
      <c r="C57" s="177" t="s">
        <v>43</v>
      </c>
      <c r="D57" s="195">
        <v>3.0975000000000001</v>
      </c>
      <c r="E57" s="194" t="s">
        <v>87</v>
      </c>
      <c r="F57" s="194" t="s">
        <v>109</v>
      </c>
      <c r="G57" s="194" t="s">
        <v>94</v>
      </c>
    </row>
    <row r="58" spans="2:7" x14ac:dyDescent="0.35">
      <c r="B58" s="8" t="s">
        <v>14</v>
      </c>
      <c r="C58" s="177" t="s">
        <v>43</v>
      </c>
      <c r="D58" s="195">
        <v>7.0000000000000007E-2</v>
      </c>
      <c r="E58" s="194" t="s">
        <v>87</v>
      </c>
      <c r="F58" s="194" t="s">
        <v>109</v>
      </c>
      <c r="G58" s="194" t="s">
        <v>94</v>
      </c>
    </row>
    <row r="59" spans="2:7" x14ac:dyDescent="0.35">
      <c r="B59" s="9" t="s">
        <v>20</v>
      </c>
      <c r="C59" s="177" t="s">
        <v>43</v>
      </c>
      <c r="D59" s="195"/>
      <c r="E59" s="194" t="s">
        <v>87</v>
      </c>
      <c r="F59" s="194" t="s">
        <v>109</v>
      </c>
      <c r="G59" s="194" t="s">
        <v>94</v>
      </c>
    </row>
    <row r="60" spans="2:7" ht="28.5" x14ac:dyDescent="0.35">
      <c r="B60" s="9" t="s">
        <v>25</v>
      </c>
      <c r="C60" s="177" t="s">
        <v>43</v>
      </c>
      <c r="D60" s="195">
        <v>1.59</v>
      </c>
      <c r="E60" s="194" t="s">
        <v>87</v>
      </c>
      <c r="F60" s="194" t="s">
        <v>109</v>
      </c>
      <c r="G60" s="194" t="s">
        <v>94</v>
      </c>
    </row>
    <row r="61" spans="2:7" ht="28.5" x14ac:dyDescent="0.35">
      <c r="B61" s="9" t="s">
        <v>27</v>
      </c>
      <c r="C61" s="177" t="s">
        <v>43</v>
      </c>
      <c r="D61" s="195"/>
      <c r="E61" s="194" t="s">
        <v>87</v>
      </c>
      <c r="F61" s="194" t="s">
        <v>109</v>
      </c>
      <c r="G61" s="194" t="s">
        <v>94</v>
      </c>
    </row>
    <row r="62" spans="2:7" x14ac:dyDescent="0.35">
      <c r="B62" s="8" t="s">
        <v>15</v>
      </c>
      <c r="C62" s="177" t="s">
        <v>43</v>
      </c>
      <c r="D62" s="195">
        <v>0.18</v>
      </c>
      <c r="E62" s="194" t="s">
        <v>87</v>
      </c>
      <c r="F62" s="194" t="s">
        <v>109</v>
      </c>
      <c r="G62" s="194" t="s">
        <v>94</v>
      </c>
    </row>
    <row r="63" spans="2:7" ht="28.5" x14ac:dyDescent="0.35">
      <c r="B63" s="188" t="s">
        <v>89</v>
      </c>
      <c r="C63" s="31"/>
      <c r="D63" s="199">
        <v>9627.463548704498</v>
      </c>
      <c r="E63" s="194" t="s">
        <v>87</v>
      </c>
      <c r="F63" s="194" t="s">
        <v>109</v>
      </c>
      <c r="G63" s="194" t="s">
        <v>94</v>
      </c>
    </row>
    <row r="64" spans="2:7" ht="56.5" x14ac:dyDescent="0.35">
      <c r="B64" s="29" t="s">
        <v>95</v>
      </c>
      <c r="C64" s="159" t="s">
        <v>47</v>
      </c>
      <c r="D64" s="200">
        <v>11282.35</v>
      </c>
      <c r="E64" s="194" t="s">
        <v>87</v>
      </c>
      <c r="F64" s="194" t="s">
        <v>109</v>
      </c>
      <c r="G64" s="194" t="s">
        <v>94</v>
      </c>
    </row>
    <row r="65" spans="2:7" x14ac:dyDescent="0.35">
      <c r="B65" s="29" t="s">
        <v>96</v>
      </c>
      <c r="C65" s="159" t="s">
        <v>8</v>
      </c>
      <c r="D65" s="200">
        <v>102111.5</v>
      </c>
      <c r="E65" s="194" t="s">
        <v>87</v>
      </c>
      <c r="F65" s="194" t="s">
        <v>109</v>
      </c>
      <c r="G65" s="194" t="s">
        <v>94</v>
      </c>
    </row>
    <row r="66" spans="2:7" ht="56.5" x14ac:dyDescent="0.35">
      <c r="B66" s="29" t="s">
        <v>97</v>
      </c>
      <c r="C66" s="159" t="s">
        <v>47</v>
      </c>
      <c r="D66" s="200">
        <v>20749.25</v>
      </c>
      <c r="E66" s="194" t="s">
        <v>87</v>
      </c>
      <c r="F66" s="194" t="s">
        <v>109</v>
      </c>
      <c r="G66" s="194" t="s">
        <v>94</v>
      </c>
    </row>
    <row r="67" spans="2:7" x14ac:dyDescent="0.35">
      <c r="B67" s="29" t="s">
        <v>98</v>
      </c>
      <c r="C67" s="159" t="s">
        <v>8</v>
      </c>
      <c r="D67" s="200">
        <v>101327.4</v>
      </c>
      <c r="E67" s="194" t="s">
        <v>87</v>
      </c>
      <c r="F67" s="194" t="s">
        <v>109</v>
      </c>
      <c r="G67" s="194" t="s">
        <v>94</v>
      </c>
    </row>
    <row r="68" spans="2:7" ht="42" x14ac:dyDescent="0.35">
      <c r="B68" s="187" t="s">
        <v>86</v>
      </c>
      <c r="C68" s="88"/>
      <c r="D68" s="199">
        <v>126.67999999999999</v>
      </c>
      <c r="E68" s="194" t="s">
        <v>87</v>
      </c>
      <c r="F68" s="194" t="s">
        <v>109</v>
      </c>
      <c r="G68" s="194" t="s">
        <v>99</v>
      </c>
    </row>
    <row r="69" spans="2:7" x14ac:dyDescent="0.35">
      <c r="B69" s="2" t="s">
        <v>13</v>
      </c>
      <c r="C69" s="175" t="s">
        <v>6</v>
      </c>
      <c r="D69" s="200">
        <v>29</v>
      </c>
      <c r="E69" s="194" t="s">
        <v>87</v>
      </c>
      <c r="F69" s="194" t="s">
        <v>109</v>
      </c>
      <c r="G69" s="194" t="s">
        <v>99</v>
      </c>
    </row>
    <row r="70" spans="2:7" x14ac:dyDescent="0.35">
      <c r="B70" s="4" t="s">
        <v>65</v>
      </c>
      <c r="C70" s="175" t="s">
        <v>6</v>
      </c>
      <c r="D70" s="200">
        <v>11736</v>
      </c>
      <c r="E70" s="194" t="s">
        <v>87</v>
      </c>
      <c r="F70" s="194" t="s">
        <v>109</v>
      </c>
      <c r="G70" s="194" t="s">
        <v>99</v>
      </c>
    </row>
    <row r="71" spans="2:7" x14ac:dyDescent="0.35">
      <c r="B71" s="4" t="s">
        <v>66</v>
      </c>
      <c r="C71" s="175" t="s">
        <v>6</v>
      </c>
      <c r="D71" s="200">
        <v>11756</v>
      </c>
      <c r="E71" s="194" t="s">
        <v>87</v>
      </c>
      <c r="F71" s="194" t="s">
        <v>109</v>
      </c>
      <c r="G71" s="194" t="s">
        <v>99</v>
      </c>
    </row>
    <row r="72" spans="2:7" x14ac:dyDescent="0.35">
      <c r="B72" s="5" t="s">
        <v>61</v>
      </c>
      <c r="C72" s="175" t="s">
        <v>6</v>
      </c>
      <c r="D72" s="200">
        <v>20</v>
      </c>
      <c r="E72" s="194" t="s">
        <v>87</v>
      </c>
      <c r="F72" s="194" t="s">
        <v>109</v>
      </c>
      <c r="G72" s="194" t="s">
        <v>99</v>
      </c>
    </row>
    <row r="73" spans="2:7" x14ac:dyDescent="0.35">
      <c r="B73" s="5" t="s">
        <v>62</v>
      </c>
      <c r="C73" s="175" t="s">
        <v>6</v>
      </c>
      <c r="D73" s="200"/>
      <c r="E73" s="194" t="s">
        <v>87</v>
      </c>
      <c r="F73" s="194" t="s">
        <v>109</v>
      </c>
      <c r="G73" s="194" t="s">
        <v>99</v>
      </c>
    </row>
    <row r="74" spans="2:7" x14ac:dyDescent="0.35">
      <c r="B74" s="4" t="s">
        <v>59</v>
      </c>
      <c r="C74" s="176" t="s">
        <v>8</v>
      </c>
      <c r="D74" s="200">
        <v>106047.5</v>
      </c>
      <c r="E74" s="194" t="s">
        <v>87</v>
      </c>
      <c r="F74" s="194" t="s">
        <v>109</v>
      </c>
      <c r="G74" s="194" t="s">
        <v>99</v>
      </c>
    </row>
    <row r="75" spans="2:7" x14ac:dyDescent="0.35">
      <c r="B75" s="4" t="s">
        <v>67</v>
      </c>
      <c r="C75" s="176" t="s">
        <v>8</v>
      </c>
      <c r="D75" s="200">
        <v>106127.5</v>
      </c>
      <c r="E75" s="194" t="s">
        <v>87</v>
      </c>
      <c r="F75" s="194" t="s">
        <v>109</v>
      </c>
      <c r="G75" s="194" t="s">
        <v>99</v>
      </c>
    </row>
    <row r="76" spans="2:7" x14ac:dyDescent="0.35">
      <c r="B76" s="6" t="s">
        <v>63</v>
      </c>
      <c r="C76" s="176" t="s">
        <v>8</v>
      </c>
      <c r="D76" s="200">
        <v>80</v>
      </c>
      <c r="E76" s="194" t="s">
        <v>87</v>
      </c>
      <c r="F76" s="194" t="s">
        <v>109</v>
      </c>
      <c r="G76" s="194" t="s">
        <v>99</v>
      </c>
    </row>
    <row r="77" spans="2:7" x14ac:dyDescent="0.35">
      <c r="B77" s="6" t="s">
        <v>64</v>
      </c>
      <c r="C77" s="176" t="s">
        <v>8</v>
      </c>
      <c r="D77" s="200"/>
      <c r="E77" s="194" t="s">
        <v>87</v>
      </c>
      <c r="F77" s="194" t="s">
        <v>109</v>
      </c>
      <c r="G77" s="194" t="s">
        <v>99</v>
      </c>
    </row>
    <row r="78" spans="2:7" x14ac:dyDescent="0.35">
      <c r="B78" s="4" t="s">
        <v>60</v>
      </c>
      <c r="C78" s="3" t="s">
        <v>9</v>
      </c>
      <c r="D78" s="200">
        <v>1.5834999999999999</v>
      </c>
      <c r="E78" s="194" t="s">
        <v>87</v>
      </c>
      <c r="F78" s="194" t="s">
        <v>109</v>
      </c>
      <c r="G78" s="194" t="s">
        <v>99</v>
      </c>
    </row>
    <row r="79" spans="2:7" ht="56.5" x14ac:dyDescent="0.35">
      <c r="B79" s="34" t="s">
        <v>88</v>
      </c>
      <c r="C79" s="90"/>
      <c r="D79" s="199">
        <v>148.85000000000002</v>
      </c>
      <c r="E79" s="194" t="s">
        <v>87</v>
      </c>
      <c r="F79" s="194" t="s">
        <v>109</v>
      </c>
      <c r="G79" s="194" t="s">
        <v>99</v>
      </c>
    </row>
    <row r="80" spans="2:7" ht="28.5" x14ac:dyDescent="0.35">
      <c r="B80" s="7" t="s">
        <v>56</v>
      </c>
      <c r="C80" s="177" t="s">
        <v>30</v>
      </c>
      <c r="D80" s="200"/>
      <c r="E80" s="194" t="s">
        <v>87</v>
      </c>
      <c r="F80" s="194" t="s">
        <v>109</v>
      </c>
      <c r="G80" s="194" t="s">
        <v>99</v>
      </c>
    </row>
    <row r="81" spans="2:7" ht="28" x14ac:dyDescent="0.35">
      <c r="B81" s="8" t="s">
        <v>0</v>
      </c>
      <c r="C81" s="177" t="s">
        <v>30</v>
      </c>
      <c r="D81" s="200">
        <v>4</v>
      </c>
      <c r="E81" s="194" t="s">
        <v>87</v>
      </c>
      <c r="F81" s="194" t="s">
        <v>109</v>
      </c>
      <c r="G81" s="194" t="s">
        <v>99</v>
      </c>
    </row>
    <row r="82" spans="2:7" ht="28" x14ac:dyDescent="0.35">
      <c r="B82" s="8" t="s">
        <v>14</v>
      </c>
      <c r="C82" s="177" t="s">
        <v>30</v>
      </c>
      <c r="D82" s="200">
        <v>500</v>
      </c>
      <c r="E82" s="194" t="s">
        <v>87</v>
      </c>
      <c r="F82" s="194" t="s">
        <v>109</v>
      </c>
      <c r="G82" s="194" t="s">
        <v>99</v>
      </c>
    </row>
    <row r="83" spans="2:7" ht="28" x14ac:dyDescent="0.35">
      <c r="B83" s="9" t="s">
        <v>20</v>
      </c>
      <c r="C83" s="177" t="s">
        <v>30</v>
      </c>
      <c r="D83" s="200">
        <v>66</v>
      </c>
      <c r="E83" s="194" t="s">
        <v>87</v>
      </c>
      <c r="F83" s="194" t="s">
        <v>109</v>
      </c>
      <c r="G83" s="194" t="s">
        <v>99</v>
      </c>
    </row>
    <row r="84" spans="2:7" ht="28" x14ac:dyDescent="0.35">
      <c r="B84" s="8" t="s">
        <v>12</v>
      </c>
      <c r="C84" s="177" t="s">
        <v>30</v>
      </c>
      <c r="D84" s="200">
        <v>46</v>
      </c>
      <c r="E84" s="194" t="s">
        <v>87</v>
      </c>
      <c r="F84" s="194" t="s">
        <v>109</v>
      </c>
      <c r="G84" s="194" t="s">
        <v>99</v>
      </c>
    </row>
    <row r="85" spans="2:7" ht="28" x14ac:dyDescent="0.35">
      <c r="B85" s="9" t="s">
        <v>26</v>
      </c>
      <c r="C85" s="177" t="s">
        <v>30</v>
      </c>
      <c r="D85" s="200"/>
      <c r="E85" s="194" t="s">
        <v>87</v>
      </c>
      <c r="F85" s="194" t="s">
        <v>109</v>
      </c>
      <c r="G85" s="194" t="s">
        <v>99</v>
      </c>
    </row>
    <row r="86" spans="2:7" ht="28" x14ac:dyDescent="0.35">
      <c r="B86" s="8" t="s">
        <v>15</v>
      </c>
      <c r="C86" s="177" t="s">
        <v>30</v>
      </c>
      <c r="D86" s="200">
        <v>300</v>
      </c>
      <c r="E86" s="194" t="s">
        <v>87</v>
      </c>
      <c r="F86" s="194" t="s">
        <v>109</v>
      </c>
      <c r="G86" s="194" t="s">
        <v>99</v>
      </c>
    </row>
    <row r="87" spans="2:7" ht="28.5" x14ac:dyDescent="0.35">
      <c r="B87" s="7" t="s">
        <v>57</v>
      </c>
      <c r="C87" s="177" t="s">
        <v>43</v>
      </c>
      <c r="D87" s="200"/>
      <c r="E87" s="194" t="s">
        <v>87</v>
      </c>
      <c r="F87" s="194" t="s">
        <v>109</v>
      </c>
      <c r="G87" s="194" t="s">
        <v>99</v>
      </c>
    </row>
    <row r="88" spans="2:7" x14ac:dyDescent="0.35">
      <c r="B88" s="8" t="s">
        <v>0</v>
      </c>
      <c r="C88" s="177" t="s">
        <v>43</v>
      </c>
      <c r="D88" s="200">
        <v>3.0975000000000001</v>
      </c>
      <c r="E88" s="194" t="s">
        <v>87</v>
      </c>
      <c r="F88" s="194" t="s">
        <v>109</v>
      </c>
      <c r="G88" s="194" t="s">
        <v>99</v>
      </c>
    </row>
    <row r="89" spans="2:7" x14ac:dyDescent="0.35">
      <c r="B89" s="8" t="s">
        <v>14</v>
      </c>
      <c r="C89" s="177" t="s">
        <v>43</v>
      </c>
      <c r="D89" s="200">
        <v>7.0000000000000007E-2</v>
      </c>
      <c r="E89" s="194" t="s">
        <v>87</v>
      </c>
      <c r="F89" s="194" t="s">
        <v>109</v>
      </c>
      <c r="G89" s="194" t="s">
        <v>99</v>
      </c>
    </row>
    <row r="90" spans="2:7" x14ac:dyDescent="0.35">
      <c r="B90" s="9" t="s">
        <v>20</v>
      </c>
      <c r="C90" s="177" t="s">
        <v>43</v>
      </c>
      <c r="D90" s="200">
        <v>0.1</v>
      </c>
      <c r="E90" s="194" t="s">
        <v>87</v>
      </c>
      <c r="F90" s="194" t="s">
        <v>109</v>
      </c>
      <c r="G90" s="194" t="s">
        <v>99</v>
      </c>
    </row>
    <row r="91" spans="2:7" ht="28.5" x14ac:dyDescent="0.35">
      <c r="B91" s="9" t="s">
        <v>25</v>
      </c>
      <c r="C91" s="177" t="s">
        <v>43</v>
      </c>
      <c r="D91" s="200">
        <v>1.47</v>
      </c>
      <c r="E91" s="194" t="s">
        <v>87</v>
      </c>
      <c r="F91" s="194" t="s">
        <v>109</v>
      </c>
      <c r="G91" s="194" t="s">
        <v>99</v>
      </c>
    </row>
    <row r="92" spans="2:7" ht="28.5" x14ac:dyDescent="0.35">
      <c r="B92" s="9" t="s">
        <v>27</v>
      </c>
      <c r="C92" s="177" t="s">
        <v>43</v>
      </c>
      <c r="D92" s="200"/>
      <c r="E92" s="194" t="s">
        <v>87</v>
      </c>
      <c r="F92" s="194" t="s">
        <v>109</v>
      </c>
      <c r="G92" s="194" t="s">
        <v>99</v>
      </c>
    </row>
    <row r="93" spans="2:7" x14ac:dyDescent="0.35">
      <c r="B93" s="8" t="s">
        <v>15</v>
      </c>
      <c r="C93" s="177" t="s">
        <v>43</v>
      </c>
      <c r="D93" s="200">
        <v>9.0800000000000006E-2</v>
      </c>
      <c r="E93" s="194" t="s">
        <v>87</v>
      </c>
      <c r="F93" s="194" t="s">
        <v>109</v>
      </c>
      <c r="G93" s="194" t="s">
        <v>99</v>
      </c>
    </row>
    <row r="94" spans="2:7" ht="28.5" x14ac:dyDescent="0.35">
      <c r="B94" s="188" t="s">
        <v>89</v>
      </c>
      <c r="C94" s="31"/>
      <c r="D94" s="199">
        <v>9136.5284757449426</v>
      </c>
      <c r="E94" s="194" t="s">
        <v>87</v>
      </c>
      <c r="F94" s="194" t="s">
        <v>109</v>
      </c>
      <c r="G94" s="194" t="s">
        <v>99</v>
      </c>
    </row>
    <row r="95" spans="2:7" ht="56.5" x14ac:dyDescent="0.35">
      <c r="B95" s="29" t="s">
        <v>100</v>
      </c>
      <c r="C95" s="159" t="s">
        <v>47</v>
      </c>
      <c r="D95" s="200">
        <v>12286.47</v>
      </c>
      <c r="E95" s="194" t="s">
        <v>87</v>
      </c>
      <c r="F95" s="194" t="s">
        <v>109</v>
      </c>
      <c r="G95" s="194" t="s">
        <v>99</v>
      </c>
    </row>
    <row r="96" spans="2:7" x14ac:dyDescent="0.35">
      <c r="B96" s="29" t="s">
        <v>101</v>
      </c>
      <c r="C96" s="159" t="s">
        <v>8</v>
      </c>
      <c r="D96" s="200">
        <v>106127.5</v>
      </c>
      <c r="E96" s="194" t="s">
        <v>87</v>
      </c>
      <c r="F96" s="194" t="s">
        <v>109</v>
      </c>
      <c r="G96" s="194" t="s">
        <v>99</v>
      </c>
    </row>
    <row r="97" spans="2:7" ht="56.5" x14ac:dyDescent="0.35">
      <c r="B97" s="29" t="s">
        <v>102</v>
      </c>
      <c r="C97" s="159" t="s">
        <v>47</v>
      </c>
      <c r="D97" s="200">
        <v>21169.34</v>
      </c>
      <c r="E97" s="194" t="s">
        <v>87</v>
      </c>
      <c r="F97" s="194" t="s">
        <v>109</v>
      </c>
      <c r="G97" s="194" t="s">
        <v>99</v>
      </c>
    </row>
    <row r="98" spans="2:7" x14ac:dyDescent="0.35">
      <c r="B98" s="29" t="s">
        <v>103</v>
      </c>
      <c r="C98" s="159" t="s">
        <v>8</v>
      </c>
      <c r="D98" s="200">
        <v>104870.9</v>
      </c>
      <c r="E98" s="194" t="s">
        <v>87</v>
      </c>
      <c r="F98" s="194" t="s">
        <v>109</v>
      </c>
      <c r="G98" s="194" t="s">
        <v>99</v>
      </c>
    </row>
    <row r="99" spans="2:7" ht="42" x14ac:dyDescent="0.35">
      <c r="B99" s="187" t="s">
        <v>86</v>
      </c>
      <c r="C99" s="88"/>
      <c r="D99" s="199">
        <v>2668.6559999999999</v>
      </c>
      <c r="E99" s="194" t="s">
        <v>87</v>
      </c>
      <c r="F99" s="194" t="s">
        <v>109</v>
      </c>
      <c r="G99" s="194" t="s">
        <v>104</v>
      </c>
    </row>
    <row r="100" spans="2:7" x14ac:dyDescent="0.35">
      <c r="B100" s="2" t="s">
        <v>13</v>
      </c>
      <c r="C100" s="175" t="s">
        <v>6</v>
      </c>
      <c r="D100" s="200">
        <v>29</v>
      </c>
      <c r="E100" s="194" t="s">
        <v>87</v>
      </c>
      <c r="F100" s="194" t="s">
        <v>109</v>
      </c>
      <c r="G100" s="194" t="s">
        <v>104</v>
      </c>
    </row>
    <row r="101" spans="2:7" x14ac:dyDescent="0.35">
      <c r="B101" s="4" t="s">
        <v>65</v>
      </c>
      <c r="C101" s="175" t="s">
        <v>6</v>
      </c>
      <c r="D101" s="200">
        <v>11260</v>
      </c>
      <c r="E101" s="194" t="s">
        <v>87</v>
      </c>
      <c r="F101" s="194" t="s">
        <v>109</v>
      </c>
      <c r="G101" s="194" t="s">
        <v>104</v>
      </c>
    </row>
    <row r="102" spans="2:7" x14ac:dyDescent="0.35">
      <c r="B102" s="4" t="s">
        <v>66</v>
      </c>
      <c r="C102" s="175" t="s">
        <v>6</v>
      </c>
      <c r="D102" s="200">
        <v>11560</v>
      </c>
      <c r="E102" s="194" t="s">
        <v>87</v>
      </c>
      <c r="F102" s="194" t="s">
        <v>109</v>
      </c>
      <c r="G102" s="194" t="s">
        <v>104</v>
      </c>
    </row>
    <row r="103" spans="2:7" x14ac:dyDescent="0.35">
      <c r="B103" s="5" t="s">
        <v>61</v>
      </c>
      <c r="C103" s="175" t="s">
        <v>6</v>
      </c>
      <c r="D103" s="200">
        <v>300</v>
      </c>
      <c r="E103" s="194" t="s">
        <v>87</v>
      </c>
      <c r="F103" s="194" t="s">
        <v>109</v>
      </c>
      <c r="G103" s="194" t="s">
        <v>104</v>
      </c>
    </row>
    <row r="104" spans="2:7" x14ac:dyDescent="0.35">
      <c r="B104" s="5" t="s">
        <v>62</v>
      </c>
      <c r="C104" s="175" t="s">
        <v>6</v>
      </c>
      <c r="D104" s="200"/>
      <c r="E104" s="194" t="s">
        <v>87</v>
      </c>
      <c r="F104" s="194" t="s">
        <v>109</v>
      </c>
      <c r="G104" s="194" t="s">
        <v>104</v>
      </c>
    </row>
    <row r="105" spans="2:7" x14ac:dyDescent="0.35">
      <c r="B105" s="4" t="s">
        <v>59</v>
      </c>
      <c r="C105" s="176" t="s">
        <v>8</v>
      </c>
      <c r="D105" s="200">
        <v>102273</v>
      </c>
      <c r="E105" s="194" t="s">
        <v>87</v>
      </c>
      <c r="F105" s="194" t="s">
        <v>109</v>
      </c>
      <c r="G105" s="194" t="s">
        <v>104</v>
      </c>
    </row>
    <row r="106" spans="2:7" x14ac:dyDescent="0.35">
      <c r="B106" s="4" t="s">
        <v>67</v>
      </c>
      <c r="C106" s="176" t="s">
        <v>8</v>
      </c>
      <c r="D106" s="200">
        <v>103969</v>
      </c>
      <c r="E106" s="194" t="s">
        <v>87</v>
      </c>
      <c r="F106" s="194" t="s">
        <v>109</v>
      </c>
      <c r="G106" s="194" t="s">
        <v>104</v>
      </c>
    </row>
    <row r="107" spans="2:7" x14ac:dyDescent="0.35">
      <c r="B107" s="6" t="s">
        <v>63</v>
      </c>
      <c r="C107" s="176" t="s">
        <v>8</v>
      </c>
      <c r="D107" s="200">
        <v>1696</v>
      </c>
      <c r="E107" s="194" t="s">
        <v>87</v>
      </c>
      <c r="F107" s="194" t="s">
        <v>109</v>
      </c>
      <c r="G107" s="194" t="s">
        <v>104</v>
      </c>
    </row>
    <row r="108" spans="2:7" x14ac:dyDescent="0.35">
      <c r="B108" s="6" t="s">
        <v>64</v>
      </c>
      <c r="C108" s="176" t="s">
        <v>8</v>
      </c>
      <c r="D108" s="200"/>
      <c r="E108" s="194" t="s">
        <v>87</v>
      </c>
      <c r="F108" s="194" t="s">
        <v>109</v>
      </c>
      <c r="G108" s="194" t="s">
        <v>104</v>
      </c>
    </row>
    <row r="109" spans="2:7" x14ac:dyDescent="0.35">
      <c r="B109" s="4" t="s">
        <v>60</v>
      </c>
      <c r="C109" s="3" t="s">
        <v>9</v>
      </c>
      <c r="D109" s="200">
        <v>1.5734999999999999</v>
      </c>
      <c r="E109" s="194" t="s">
        <v>87</v>
      </c>
      <c r="F109" s="194" t="s">
        <v>109</v>
      </c>
      <c r="G109" s="194" t="s">
        <v>104</v>
      </c>
    </row>
    <row r="110" spans="2:7" ht="56.5" x14ac:dyDescent="0.35">
      <c r="B110" s="34" t="s">
        <v>88</v>
      </c>
      <c r="C110" s="90"/>
      <c r="D110" s="199">
        <v>255.56900000000002</v>
      </c>
      <c r="E110" s="194" t="s">
        <v>87</v>
      </c>
      <c r="F110" s="194" t="s">
        <v>109</v>
      </c>
      <c r="G110" s="194" t="s">
        <v>104</v>
      </c>
    </row>
    <row r="111" spans="2:7" ht="28" x14ac:dyDescent="0.35">
      <c r="B111" s="181" t="s">
        <v>56</v>
      </c>
      <c r="C111" s="182" t="s">
        <v>30</v>
      </c>
      <c r="D111" s="200"/>
      <c r="E111" s="194" t="s">
        <v>87</v>
      </c>
      <c r="F111" s="194" t="s">
        <v>109</v>
      </c>
      <c r="G111" s="194" t="s">
        <v>104</v>
      </c>
    </row>
    <row r="112" spans="2:7" ht="28" x14ac:dyDescent="0.35">
      <c r="B112" s="183" t="s">
        <v>0</v>
      </c>
      <c r="C112" s="182" t="s">
        <v>30</v>
      </c>
      <c r="D112" s="200">
        <v>32</v>
      </c>
      <c r="E112" s="194" t="s">
        <v>87</v>
      </c>
      <c r="F112" s="194" t="s">
        <v>109</v>
      </c>
      <c r="G112" s="194" t="s">
        <v>104</v>
      </c>
    </row>
    <row r="113" spans="2:7" ht="28" x14ac:dyDescent="0.35">
      <c r="B113" s="183" t="s">
        <v>14</v>
      </c>
      <c r="C113" s="182" t="s">
        <v>30</v>
      </c>
      <c r="D113" s="200">
        <v>750</v>
      </c>
      <c r="E113" s="194" t="s">
        <v>87</v>
      </c>
      <c r="F113" s="194" t="s">
        <v>109</v>
      </c>
      <c r="G113" s="194" t="s">
        <v>104</v>
      </c>
    </row>
    <row r="114" spans="2:7" ht="28" x14ac:dyDescent="0.35">
      <c r="B114" s="181" t="s">
        <v>20</v>
      </c>
      <c r="C114" s="182" t="s">
        <v>30</v>
      </c>
      <c r="D114" s="200">
        <v>400</v>
      </c>
      <c r="E114" s="194" t="s">
        <v>87</v>
      </c>
      <c r="F114" s="194" t="s">
        <v>109</v>
      </c>
      <c r="G114" s="194" t="s">
        <v>104</v>
      </c>
    </row>
    <row r="115" spans="2:7" ht="28" x14ac:dyDescent="0.35">
      <c r="B115" s="183" t="s">
        <v>12</v>
      </c>
      <c r="C115" s="182" t="s">
        <v>30</v>
      </c>
      <c r="D115" s="200">
        <v>53</v>
      </c>
      <c r="E115" s="194" t="s">
        <v>87</v>
      </c>
      <c r="F115" s="194" t="s">
        <v>109</v>
      </c>
      <c r="G115" s="194" t="s">
        <v>104</v>
      </c>
    </row>
    <row r="116" spans="2:7" ht="28" x14ac:dyDescent="0.35">
      <c r="B116" s="181" t="s">
        <v>26</v>
      </c>
      <c r="C116" s="182" t="s">
        <v>30</v>
      </c>
      <c r="D116" s="200"/>
      <c r="E116" s="194" t="s">
        <v>87</v>
      </c>
      <c r="F116" s="194" t="s">
        <v>109</v>
      </c>
      <c r="G116" s="194" t="s">
        <v>104</v>
      </c>
    </row>
    <row r="117" spans="2:7" ht="28" x14ac:dyDescent="0.35">
      <c r="B117" s="183" t="s">
        <v>15</v>
      </c>
      <c r="C117" s="182" t="s">
        <v>30</v>
      </c>
      <c r="D117" s="200">
        <v>300</v>
      </c>
      <c r="E117" s="194" t="s">
        <v>87</v>
      </c>
      <c r="F117" s="194" t="s">
        <v>109</v>
      </c>
      <c r="G117" s="194" t="s">
        <v>104</v>
      </c>
    </row>
    <row r="118" spans="2:7" ht="28" x14ac:dyDescent="0.35">
      <c r="B118" s="181" t="s">
        <v>57</v>
      </c>
      <c r="C118" s="182" t="s">
        <v>43</v>
      </c>
      <c r="D118" s="200"/>
      <c r="E118" s="194" t="s">
        <v>87</v>
      </c>
      <c r="F118" s="194" t="s">
        <v>109</v>
      </c>
      <c r="G118" s="194" t="s">
        <v>104</v>
      </c>
    </row>
    <row r="119" spans="2:7" x14ac:dyDescent="0.35">
      <c r="B119" s="183" t="s">
        <v>0</v>
      </c>
      <c r="C119" s="182" t="s">
        <v>43</v>
      </c>
      <c r="D119" s="200">
        <v>2.86</v>
      </c>
      <c r="E119" s="194" t="s">
        <v>87</v>
      </c>
      <c r="F119" s="194" t="s">
        <v>109</v>
      </c>
      <c r="G119" s="194" t="s">
        <v>104</v>
      </c>
    </row>
    <row r="120" spans="2:7" x14ac:dyDescent="0.35">
      <c r="B120" s="183" t="s">
        <v>14</v>
      </c>
      <c r="C120" s="182" t="s">
        <v>43</v>
      </c>
      <c r="D120" s="200">
        <v>7.0000000000000007E-2</v>
      </c>
      <c r="E120" s="194" t="s">
        <v>87</v>
      </c>
      <c r="F120" s="194" t="s">
        <v>109</v>
      </c>
      <c r="G120" s="194" t="s">
        <v>104</v>
      </c>
    </row>
    <row r="121" spans="2:7" x14ac:dyDescent="0.35">
      <c r="B121" s="181" t="s">
        <v>20</v>
      </c>
      <c r="C121" s="182" t="s">
        <v>43</v>
      </c>
      <c r="D121" s="200">
        <v>1.38E-2</v>
      </c>
      <c r="E121" s="194" t="s">
        <v>87</v>
      </c>
      <c r="F121" s="194" t="s">
        <v>109</v>
      </c>
      <c r="G121" s="194" t="s">
        <v>104</v>
      </c>
    </row>
    <row r="122" spans="2:7" ht="28" x14ac:dyDescent="0.35">
      <c r="B122" s="181" t="s">
        <v>25</v>
      </c>
      <c r="C122" s="182" t="s">
        <v>43</v>
      </c>
      <c r="D122" s="200">
        <v>1.5329999999999999</v>
      </c>
      <c r="E122" s="194" t="s">
        <v>87</v>
      </c>
      <c r="F122" s="194" t="s">
        <v>109</v>
      </c>
      <c r="G122" s="194" t="s">
        <v>104</v>
      </c>
    </row>
    <row r="123" spans="2:7" ht="28" x14ac:dyDescent="0.35">
      <c r="B123" s="181" t="s">
        <v>27</v>
      </c>
      <c r="C123" s="182" t="s">
        <v>43</v>
      </c>
      <c r="D123" s="200"/>
      <c r="E123" s="194" t="s">
        <v>87</v>
      </c>
      <c r="F123" s="194" t="s">
        <v>109</v>
      </c>
      <c r="G123" s="194" t="s">
        <v>104</v>
      </c>
    </row>
    <row r="124" spans="2:7" x14ac:dyDescent="0.35">
      <c r="B124" s="183" t="s">
        <v>15</v>
      </c>
      <c r="C124" s="182" t="s">
        <v>43</v>
      </c>
      <c r="D124" s="200">
        <v>8.2600000000000007E-2</v>
      </c>
      <c r="E124" s="194" t="s">
        <v>87</v>
      </c>
      <c r="F124" s="194" t="s">
        <v>109</v>
      </c>
      <c r="G124" s="194" t="s">
        <v>104</v>
      </c>
    </row>
    <row r="125" spans="2:7" ht="28.5" x14ac:dyDescent="0.35">
      <c r="B125" s="188" t="s">
        <v>89</v>
      </c>
      <c r="C125" s="31"/>
      <c r="D125" s="199">
        <v>7585.4254326086939</v>
      </c>
      <c r="E125" s="194" t="s">
        <v>87</v>
      </c>
      <c r="F125" s="194" t="s">
        <v>109</v>
      </c>
      <c r="G125" s="194" t="s">
        <v>104</v>
      </c>
    </row>
    <row r="126" spans="2:7" ht="56.5" x14ac:dyDescent="0.35">
      <c r="B126" s="29" t="s">
        <v>105</v>
      </c>
      <c r="C126" s="159" t="s">
        <v>47</v>
      </c>
      <c r="D126" s="200">
        <v>13201.82</v>
      </c>
      <c r="E126" s="194" t="s">
        <v>87</v>
      </c>
      <c r="F126" s="194" t="s">
        <v>109</v>
      </c>
      <c r="G126" s="194" t="s">
        <v>104</v>
      </c>
    </row>
    <row r="127" spans="2:7" x14ac:dyDescent="0.35">
      <c r="B127" s="29" t="s">
        <v>106</v>
      </c>
      <c r="C127" s="159" t="s">
        <v>8</v>
      </c>
      <c r="D127" s="200">
        <v>103969</v>
      </c>
      <c r="E127" s="194" t="s">
        <v>87</v>
      </c>
      <c r="F127" s="194" t="s">
        <v>109</v>
      </c>
      <c r="G127" s="194" t="s">
        <v>104</v>
      </c>
    </row>
    <row r="128" spans="2:7" ht="56.5" x14ac:dyDescent="0.35">
      <c r="B128" s="29" t="s">
        <v>107</v>
      </c>
      <c r="C128" s="159" t="s">
        <v>47</v>
      </c>
      <c r="D128" s="200">
        <v>20233.62</v>
      </c>
      <c r="E128" s="194" t="s">
        <v>87</v>
      </c>
      <c r="F128" s="194" t="s">
        <v>109</v>
      </c>
      <c r="G128" s="194" t="s">
        <v>104</v>
      </c>
    </row>
    <row r="129" spans="2:7" x14ac:dyDescent="0.35">
      <c r="B129" s="29" t="s">
        <v>108</v>
      </c>
      <c r="C129" s="159" t="s">
        <v>8</v>
      </c>
      <c r="D129" s="200">
        <v>101200</v>
      </c>
      <c r="E129" s="194" t="s">
        <v>87</v>
      </c>
      <c r="F129" s="194" t="s">
        <v>109</v>
      </c>
      <c r="G129" s="194" t="s">
        <v>104</v>
      </c>
    </row>
  </sheetData>
  <mergeCells count="1">
    <mergeCell ref="B1:G2"/>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DA660A-23FD-49D9-AB07-D52F21FF4819}">
  <dimension ref="B2:AL8"/>
  <sheetViews>
    <sheetView topLeftCell="W1" workbookViewId="0">
      <selection activeCell="B4" sqref="B4"/>
    </sheetView>
  </sheetViews>
  <sheetFormatPr defaultColWidth="8.7265625" defaultRowHeight="14.5" x14ac:dyDescent="0.35"/>
  <cols>
    <col min="1" max="1" width="3.7265625" style="161" customWidth="1"/>
    <col min="2" max="2" width="24" style="161" bestFit="1" customWidth="1"/>
    <col min="3" max="38" width="14.7265625" style="161" customWidth="1"/>
    <col min="39" max="16384" width="8.7265625" style="161"/>
  </cols>
  <sheetData>
    <row r="2" spans="2:38" ht="15" x14ac:dyDescent="0.4">
      <c r="B2" s="160" t="s">
        <v>79</v>
      </c>
      <c r="D2" s="162" t="e">
        <f ca="1">_xll.PALO.VIEW.DIMNAME($B$2,$B$3,0,0)</f>
        <v>#NAME?</v>
      </c>
      <c r="E2" s="162" t="e">
        <f ca="1">_xll.PALO.VIEW.DIMNAME($B$2,$B$3,0,1)</f>
        <v>#NAME?</v>
      </c>
      <c r="F2" s="162" t="e">
        <f ca="1">_xll.PALO.VIEW.DIMNAME($B$2,$B$3,0,2)</f>
        <v>#NAME?</v>
      </c>
      <c r="G2" s="162" t="e">
        <f ca="1">_xll.PALO.VIEW.DIMNAME($B$2,$B$3,0,3)</f>
        <v>#NAME?</v>
      </c>
      <c r="H2" s="162" t="e">
        <f ca="1">_xll.PALO.VIEW.DIMNAME($B$2,$B$3,0,4)</f>
        <v>#NAME?</v>
      </c>
      <c r="I2" s="162" t="e">
        <f ca="1">_xll.PALO.VIEW.DIMNAME($B$2,$B$3,0,5)</f>
        <v>#NAME?</v>
      </c>
      <c r="J2" s="162" t="e">
        <f ca="1">_xll.PALO.VIEW.DIMNAME($B$2,$B$3,0,6)</f>
        <v>#NAME?</v>
      </c>
    </row>
    <row r="3" spans="2:38" ht="15" x14ac:dyDescent="0.4">
      <c r="B3" s="163" t="e">
        <f ca="1">_xll.PALO.CUBE($B$2,"PnL_")</f>
        <v>#NAME?</v>
      </c>
      <c r="D3" s="164" t="e">
        <f ca="1">_xll.PALO.ENAME($B$2,$B$3,0,0,0)</f>
        <v>#NAME?</v>
      </c>
      <c r="E3" s="164" t="e">
        <f ca="1">_xll.PALO.ENAME($B$2,$B$3,0,1,0)</f>
        <v>#NAME?</v>
      </c>
      <c r="F3" s="164" t="e">
        <f ca="1">_xll.PALO.ENAME($B$2,$B$3,0,2,0)</f>
        <v>#NAME?</v>
      </c>
      <c r="G3" s="165" t="e">
        <f ca="1">_xll.PALO.ENAME($B$2,$B$3,0,3,0)</f>
        <v>#NAME?</v>
      </c>
      <c r="H3" s="165" t="e">
        <f ca="1">_xll.PALO.ENAME($B$2,$B$3,0,4,0)</f>
        <v>#NAME?</v>
      </c>
      <c r="I3" s="164" t="e">
        <f ca="1">_xll.PALO.ENAME($B$2,$B$3,0,5,0)</f>
        <v>#NAME?</v>
      </c>
      <c r="J3" s="164" t="e">
        <f ca="1">_xll.PALO.ENAME($B$2,$B$3,0,6,0)</f>
        <v>#NAME?</v>
      </c>
    </row>
    <row r="4" spans="2:38" x14ac:dyDescent="0.35">
      <c r="B4" s="166" t="s">
        <v>80</v>
      </c>
    </row>
    <row r="5" spans="2:38" ht="15" x14ac:dyDescent="0.4">
      <c r="B5" s="167" t="s">
        <v>81</v>
      </c>
    </row>
    <row r="6" spans="2:38" ht="15" x14ac:dyDescent="0.4">
      <c r="C6" s="168" t="e">
        <f ca="1">_xll.PALO.ENAME($B$2,$B$3,2,0,0)</f>
        <v>#NAME?</v>
      </c>
      <c r="D6" s="169" t="e">
        <f ca="1">_xll.PALO.ENAME($B$2,$B$3,2,0,1)</f>
        <v>#NAME?</v>
      </c>
      <c r="E6" s="169" t="e">
        <f ca="1">_xll.PALO.ENAME($B$2,$B$3,2,0,2)</f>
        <v>#NAME?</v>
      </c>
      <c r="F6" s="168" t="e">
        <f ca="1">_xll.PALO.ENAME($B$2,$B$3,2,0,3)</f>
        <v>#NAME?</v>
      </c>
      <c r="G6" s="169" t="e">
        <f ca="1">_xll.PALO.ENAME($B$2,$B$3,2,0,4)</f>
        <v>#NAME?</v>
      </c>
      <c r="H6" s="169" t="e">
        <f ca="1">_xll.PALO.ENAME($B$2,$B$3,2,0,5)</f>
        <v>#NAME?</v>
      </c>
      <c r="I6" s="168" t="e">
        <f ca="1">_xll.PALO.ENAME($B$2,$B$3,2,0,6)</f>
        <v>#NAME?</v>
      </c>
      <c r="J6" s="169" t="e">
        <f ca="1">_xll.PALO.ENAME($B$2,$B$3,2,0,7)</f>
        <v>#NAME?</v>
      </c>
      <c r="K6" s="169" t="e">
        <f ca="1">_xll.PALO.ENAME($B$2,$B$3,2,0,8)</f>
        <v>#NAME?</v>
      </c>
      <c r="L6" s="168" t="e">
        <f ca="1">_xll.PALO.ENAME($B$2,$B$3,2,0,9)</f>
        <v>#NAME?</v>
      </c>
      <c r="M6" s="169" t="e">
        <f ca="1">_xll.PALO.ENAME($B$2,$B$3,2,0,10)</f>
        <v>#NAME?</v>
      </c>
      <c r="N6" s="169" t="e">
        <f ca="1">_xll.PALO.ENAME($B$2,$B$3,2,0,11)</f>
        <v>#NAME?</v>
      </c>
      <c r="O6" s="168" t="e">
        <f ca="1">_xll.PALO.ENAME($B$2,$B$3,2,0,12)</f>
        <v>#NAME?</v>
      </c>
      <c r="P6" s="169" t="e">
        <f ca="1">_xll.PALO.ENAME($B$2,$B$3,2,0,13)</f>
        <v>#NAME?</v>
      </c>
      <c r="Q6" s="169" t="e">
        <f ca="1">_xll.PALO.ENAME($B$2,$B$3,2,0,14)</f>
        <v>#NAME?</v>
      </c>
      <c r="R6" s="168" t="e">
        <f ca="1">_xll.PALO.ENAME($B$2,$B$3,2,0,15)</f>
        <v>#NAME?</v>
      </c>
      <c r="S6" s="169" t="e">
        <f ca="1">_xll.PALO.ENAME($B$2,$B$3,2,0,16)</f>
        <v>#NAME?</v>
      </c>
      <c r="T6" s="169" t="e">
        <f ca="1">_xll.PALO.ENAME($B$2,$B$3,2,0,17)</f>
        <v>#NAME?</v>
      </c>
      <c r="U6" s="168" t="e">
        <f ca="1">_xll.PALO.ENAME($B$2,$B$3,2,0,18)</f>
        <v>#NAME?</v>
      </c>
      <c r="V6" s="169" t="e">
        <f ca="1">_xll.PALO.ENAME($B$2,$B$3,2,0,19)</f>
        <v>#NAME?</v>
      </c>
      <c r="W6" s="169" t="e">
        <f ca="1">_xll.PALO.ENAME($B$2,$B$3,2,0,20)</f>
        <v>#NAME?</v>
      </c>
      <c r="X6" s="168" t="e">
        <f ca="1">_xll.PALO.ENAME($B$2,$B$3,2,0,21)</f>
        <v>#NAME?</v>
      </c>
      <c r="Y6" s="169" t="e">
        <f ca="1">_xll.PALO.ENAME($B$2,$B$3,2,0,22)</f>
        <v>#NAME?</v>
      </c>
      <c r="Z6" s="169" t="e">
        <f ca="1">_xll.PALO.ENAME($B$2,$B$3,2,0,23)</f>
        <v>#NAME?</v>
      </c>
      <c r="AA6" s="168" t="e">
        <f ca="1">_xll.PALO.ENAME($B$2,$B$3,2,0,24)</f>
        <v>#NAME?</v>
      </c>
      <c r="AB6" s="169" t="e">
        <f ca="1">_xll.PALO.ENAME($B$2,$B$3,2,0,25)</f>
        <v>#NAME?</v>
      </c>
      <c r="AC6" s="169" t="e">
        <f ca="1">_xll.PALO.ENAME($B$2,$B$3,2,0,26)</f>
        <v>#NAME?</v>
      </c>
      <c r="AD6" s="168" t="e">
        <f ca="1">_xll.PALO.ENAME($B$2,$B$3,2,0,27)</f>
        <v>#NAME?</v>
      </c>
      <c r="AE6" s="169" t="e">
        <f ca="1">_xll.PALO.ENAME($B$2,$B$3,2,0,28)</f>
        <v>#NAME?</v>
      </c>
      <c r="AF6" s="169" t="e">
        <f ca="1">_xll.PALO.ENAME($B$2,$B$3,2,0,29)</f>
        <v>#NAME?</v>
      </c>
      <c r="AG6" s="168" t="e">
        <f ca="1">_xll.PALO.ENAME($B$2,$B$3,2,0,30)</f>
        <v>#NAME?</v>
      </c>
      <c r="AH6" s="169" t="e">
        <f ca="1">_xll.PALO.ENAME($B$2,$B$3,2,0,31)</f>
        <v>#NAME?</v>
      </c>
      <c r="AI6" s="169" t="e">
        <f ca="1">_xll.PALO.ENAME($B$2,$B$3,2,0,32)</f>
        <v>#NAME?</v>
      </c>
      <c r="AJ6" s="168" t="e">
        <f ca="1">_xll.PALO.ENAME($B$2,$B$3,2,0,33)</f>
        <v>#NAME?</v>
      </c>
      <c r="AK6" s="169" t="e">
        <f ca="1">_xll.PALO.ENAME($B$2,$B$3,2,0,34)</f>
        <v>#NAME?</v>
      </c>
      <c r="AL6" s="169" t="e">
        <f ca="1">_xll.PALO.ENAME($B$2,$B$3,2,0,35)</f>
        <v>#NAME?</v>
      </c>
    </row>
    <row r="7" spans="2:38" ht="28" x14ac:dyDescent="0.4">
      <c r="C7" s="170" t="e">
        <f ca="1">_xll.PALO.ENAME($B$2,$B$3,2,1,0)</f>
        <v>#NAME?</v>
      </c>
      <c r="D7" s="170" t="e">
        <f ca="1">_xll.PALO.ENAME($B$2,$B$3,2,1,1)</f>
        <v>#NAME?</v>
      </c>
      <c r="E7" s="170" t="e">
        <f ca="1">_xll.PALO.ENAME($B$2,$B$3,2,1,2)</f>
        <v>#NAME?</v>
      </c>
      <c r="F7" s="170" t="e">
        <f ca="1">_xll.PALO.ENAME($B$2,$B$3,2,1,3)</f>
        <v>#NAME?</v>
      </c>
      <c r="G7" s="170" t="e">
        <f ca="1">_xll.PALO.ENAME($B$2,$B$3,2,1,4)</f>
        <v>#NAME?</v>
      </c>
      <c r="H7" s="170" t="e">
        <f ca="1">_xll.PALO.ENAME($B$2,$B$3,2,1,5)</f>
        <v>#NAME?</v>
      </c>
      <c r="I7" s="170" t="e">
        <f ca="1">_xll.PALO.ENAME($B$2,$B$3,2,1,6)</f>
        <v>#NAME?</v>
      </c>
      <c r="J7" s="170" t="e">
        <f ca="1">_xll.PALO.ENAME($B$2,$B$3,2,1,7)</f>
        <v>#NAME?</v>
      </c>
      <c r="K7" s="170" t="e">
        <f ca="1">_xll.PALO.ENAME($B$2,$B$3,2,1,8)</f>
        <v>#NAME?</v>
      </c>
      <c r="L7" s="170" t="e">
        <f ca="1">_xll.PALO.ENAME($B$2,$B$3,2,1,9)</f>
        <v>#NAME?</v>
      </c>
      <c r="M7" s="170" t="e">
        <f ca="1">_xll.PALO.ENAME($B$2,$B$3,2,1,10)</f>
        <v>#NAME?</v>
      </c>
      <c r="N7" s="170" t="e">
        <f ca="1">_xll.PALO.ENAME($B$2,$B$3,2,1,11)</f>
        <v>#NAME?</v>
      </c>
      <c r="O7" s="170" t="e">
        <f ca="1">_xll.PALO.ENAME($B$2,$B$3,2,1,12)</f>
        <v>#NAME?</v>
      </c>
      <c r="P7" s="170" t="e">
        <f ca="1">_xll.PALO.ENAME($B$2,$B$3,2,1,13)</f>
        <v>#NAME?</v>
      </c>
      <c r="Q7" s="170" t="e">
        <f ca="1">_xll.PALO.ENAME($B$2,$B$3,2,1,14)</f>
        <v>#NAME?</v>
      </c>
      <c r="R7" s="170" t="e">
        <f ca="1">_xll.PALO.ENAME($B$2,$B$3,2,1,15)</f>
        <v>#NAME?</v>
      </c>
      <c r="S7" s="170" t="e">
        <f ca="1">_xll.PALO.ENAME($B$2,$B$3,2,1,16)</f>
        <v>#NAME?</v>
      </c>
      <c r="T7" s="170" t="e">
        <f ca="1">_xll.PALO.ENAME($B$2,$B$3,2,1,17)</f>
        <v>#NAME?</v>
      </c>
      <c r="U7" s="170" t="e">
        <f ca="1">_xll.PALO.ENAME($B$2,$B$3,2,1,18)</f>
        <v>#NAME?</v>
      </c>
      <c r="V7" s="170" t="e">
        <f ca="1">_xll.PALO.ENAME($B$2,$B$3,2,1,19)</f>
        <v>#NAME?</v>
      </c>
      <c r="W7" s="170" t="e">
        <f ca="1">_xll.PALO.ENAME($B$2,$B$3,2,1,20)</f>
        <v>#NAME?</v>
      </c>
      <c r="X7" s="170" t="e">
        <f ca="1">_xll.PALO.ENAME($B$2,$B$3,2,1,21)</f>
        <v>#NAME?</v>
      </c>
      <c r="Y7" s="170" t="e">
        <f ca="1">_xll.PALO.ENAME($B$2,$B$3,2,1,22)</f>
        <v>#NAME?</v>
      </c>
      <c r="Z7" s="170" t="e">
        <f ca="1">_xll.PALO.ENAME($B$2,$B$3,2,1,23)</f>
        <v>#NAME?</v>
      </c>
      <c r="AA7" s="170" t="e">
        <f ca="1">_xll.PALO.ENAME($B$2,$B$3,2,1,24)</f>
        <v>#NAME?</v>
      </c>
      <c r="AB7" s="170" t="e">
        <f ca="1">_xll.PALO.ENAME($B$2,$B$3,2,1,25)</f>
        <v>#NAME?</v>
      </c>
      <c r="AC7" s="170" t="e">
        <f ca="1">_xll.PALO.ENAME($B$2,$B$3,2,1,26)</f>
        <v>#NAME?</v>
      </c>
      <c r="AD7" s="170" t="e">
        <f ca="1">_xll.PALO.ENAME($B$2,$B$3,2,1,27)</f>
        <v>#NAME?</v>
      </c>
      <c r="AE7" s="170" t="e">
        <f ca="1">_xll.PALO.ENAME($B$2,$B$3,2,1,28)</f>
        <v>#NAME?</v>
      </c>
      <c r="AF7" s="170" t="e">
        <f ca="1">_xll.PALO.ENAME($B$2,$B$3,2,1,29)</f>
        <v>#NAME?</v>
      </c>
      <c r="AG7" s="170" t="e">
        <f ca="1">_xll.PALO.ENAME($B$2,$B$3,2,1,30)</f>
        <v>#NAME?</v>
      </c>
      <c r="AH7" s="170" t="e">
        <f ca="1">_xll.PALO.ENAME($B$2,$B$3,2,1,31)</f>
        <v>#NAME?</v>
      </c>
      <c r="AI7" s="170" t="e">
        <f ca="1">_xll.PALO.ENAME($B$2,$B$3,2,1,32)</f>
        <v>#NAME?</v>
      </c>
      <c r="AJ7" s="170" t="e">
        <f ca="1">_xll.PALO.ENAME($B$2,$B$3,2,1,33)</f>
        <v>#NAME?</v>
      </c>
      <c r="AK7" s="170" t="e">
        <f ca="1">_xll.PALO.ENAME($B$2,$B$3,2,1,34)</f>
        <v>#NAME?</v>
      </c>
      <c r="AL7" s="170" t="e">
        <f ca="1">_xll.PALO.ENAME($B$2,$B$3,2,1,35)</f>
        <v>#NAME?</v>
      </c>
    </row>
    <row r="8" spans="2:38" ht="15" x14ac:dyDescent="0.4">
      <c r="B8" s="171" t="e">
        <f ca="1">_xll.PALO.ENAME($B$2,$B$3,1,0,0)</f>
        <v>#NAME?</v>
      </c>
      <c r="C8" s="172" t="e">
        <f ca="1">_xll.PALO.DATA($B$2,$B$3,_xll.PALO.EL("Time",C$6),_xll.PALO.EL("Partner",$B8),_xll.PALO.EL($D$2,$D$3),_xll.PALO.EL($E$2,$E$3),_xll.PALO.EL($F$2,$F$3),_xll.PALO.EL($G$2,$G$3),_xll.PALO.EL($H$2,$H$3),_xll.PALO.EL($I$2,$I$3),_xll.PALO.EL($J$2,$J$3),_xll.PALO.EL("Position",C$7))</f>
        <v>#NAME?</v>
      </c>
      <c r="D8" s="172" t="e">
        <f ca="1">_xll.PALO.DATA($B$2,$B$3,_xll.PALO.EL("Time",D$6),_xll.PALO.EL("Partner",$B8),_xll.PALO.EL($D$2,$D$3),_xll.PALO.EL($E$2,$E$3),_xll.PALO.EL($F$2,$F$3),_xll.PALO.EL($G$2,$G$3),_xll.PALO.EL($H$2,$H$3),_xll.PALO.EL($I$2,$I$3),_xll.PALO.EL($J$2,$J$3),_xll.PALO.EL("Position",D$7))</f>
        <v>#NAME?</v>
      </c>
      <c r="E8" s="172" t="e">
        <f ca="1">_xll.PALO.DATA($B$2,$B$3,_xll.PALO.EL("Time",E$6),_xll.PALO.EL("Partner",$B8),_xll.PALO.EL($D$2,$D$3),_xll.PALO.EL($E$2,$E$3),_xll.PALO.EL($F$2,$F$3),_xll.PALO.EL($G$2,$G$3),_xll.PALO.EL($H$2,$H$3),_xll.PALO.EL($I$2,$I$3),_xll.PALO.EL($J$2,$J$3),_xll.PALO.EL("Position",E$7))</f>
        <v>#NAME?</v>
      </c>
      <c r="F8" s="172" t="e">
        <f ca="1">_xll.PALO.DATA($B$2,$B$3,_xll.PALO.EL("Time",F$6),_xll.PALO.EL("Partner",$B8),_xll.PALO.EL($D$2,$D$3),_xll.PALO.EL($E$2,$E$3),_xll.PALO.EL($F$2,$F$3),_xll.PALO.EL($G$2,$G$3),_xll.PALO.EL($H$2,$H$3),_xll.PALO.EL($I$2,$I$3),_xll.PALO.EL($J$2,$J$3),_xll.PALO.EL("Position",F$7))</f>
        <v>#NAME?</v>
      </c>
      <c r="G8" s="172" t="e">
        <f ca="1">_xll.PALO.DATA($B$2,$B$3,_xll.PALO.EL("Time",G$6),_xll.PALO.EL("Partner",$B8),_xll.PALO.EL($D$2,$D$3),_xll.PALO.EL($E$2,$E$3),_xll.PALO.EL($F$2,$F$3),_xll.PALO.EL($G$2,$G$3),_xll.PALO.EL($H$2,$H$3),_xll.PALO.EL($I$2,$I$3),_xll.PALO.EL($J$2,$J$3),_xll.PALO.EL("Position",G$7))</f>
        <v>#NAME?</v>
      </c>
      <c r="H8" s="172" t="e">
        <f ca="1">_xll.PALO.DATA($B$2,$B$3,_xll.PALO.EL("Time",H$6),_xll.PALO.EL("Partner",$B8),_xll.PALO.EL($D$2,$D$3),_xll.PALO.EL($E$2,$E$3),_xll.PALO.EL($F$2,$F$3),_xll.PALO.EL($G$2,$G$3),_xll.PALO.EL($H$2,$H$3),_xll.PALO.EL($I$2,$I$3),_xll.PALO.EL($J$2,$J$3),_xll.PALO.EL("Position",H$7))</f>
        <v>#NAME?</v>
      </c>
      <c r="I8" s="172" t="e">
        <f ca="1">_xll.PALO.DATA($B$2,$B$3,_xll.PALO.EL("Time",I$6),_xll.PALO.EL("Partner",$B8),_xll.PALO.EL($D$2,$D$3),_xll.PALO.EL($E$2,$E$3),_xll.PALO.EL($F$2,$F$3),_xll.PALO.EL($G$2,$G$3),_xll.PALO.EL($H$2,$H$3),_xll.PALO.EL($I$2,$I$3),_xll.PALO.EL($J$2,$J$3),_xll.PALO.EL("Position",I$7))</f>
        <v>#NAME?</v>
      </c>
      <c r="J8" s="172" t="e">
        <f ca="1">_xll.PALO.DATA($B$2,$B$3,_xll.PALO.EL("Time",J$6),_xll.PALO.EL("Partner",$B8),_xll.PALO.EL($D$2,$D$3),_xll.PALO.EL($E$2,$E$3),_xll.PALO.EL($F$2,$F$3),_xll.PALO.EL($G$2,$G$3),_xll.PALO.EL($H$2,$H$3),_xll.PALO.EL($I$2,$I$3),_xll.PALO.EL($J$2,$J$3),_xll.PALO.EL("Position",J$7))</f>
        <v>#NAME?</v>
      </c>
      <c r="K8" s="172" t="e">
        <f ca="1">_xll.PALO.DATA($B$2,$B$3,_xll.PALO.EL("Time",K$6),_xll.PALO.EL("Partner",$B8),_xll.PALO.EL($D$2,$D$3),_xll.PALO.EL($E$2,$E$3),_xll.PALO.EL($F$2,$F$3),_xll.PALO.EL($G$2,$G$3),_xll.PALO.EL($H$2,$H$3),_xll.PALO.EL($I$2,$I$3),_xll.PALO.EL($J$2,$J$3),_xll.PALO.EL("Position",K$7))</f>
        <v>#NAME?</v>
      </c>
      <c r="L8" s="172" t="e">
        <f ca="1">_xll.PALO.DATA($B$2,$B$3,_xll.PALO.EL("Time",L$6),_xll.PALO.EL("Partner",$B8),_xll.PALO.EL($D$2,$D$3),_xll.PALO.EL($E$2,$E$3),_xll.PALO.EL($F$2,$F$3),_xll.PALO.EL($G$2,$G$3),_xll.PALO.EL($H$2,$H$3),_xll.PALO.EL($I$2,$I$3),_xll.PALO.EL($J$2,$J$3),_xll.PALO.EL("Position",L$7))</f>
        <v>#NAME?</v>
      </c>
      <c r="M8" s="172" t="e">
        <f ca="1">_xll.PALO.DATA($B$2,$B$3,_xll.PALO.EL("Time",M$6),_xll.PALO.EL("Partner",$B8),_xll.PALO.EL($D$2,$D$3),_xll.PALO.EL($E$2,$E$3),_xll.PALO.EL($F$2,$F$3),_xll.PALO.EL($G$2,$G$3),_xll.PALO.EL($H$2,$H$3),_xll.PALO.EL($I$2,$I$3),_xll.PALO.EL($J$2,$J$3),_xll.PALO.EL("Position",M$7))</f>
        <v>#NAME?</v>
      </c>
      <c r="N8" s="172" t="e">
        <f ca="1">_xll.PALO.DATA($B$2,$B$3,_xll.PALO.EL("Time",N$6),_xll.PALO.EL("Partner",$B8),_xll.PALO.EL($D$2,$D$3),_xll.PALO.EL($E$2,$E$3),_xll.PALO.EL($F$2,$F$3),_xll.PALO.EL($G$2,$G$3),_xll.PALO.EL($H$2,$H$3),_xll.PALO.EL($I$2,$I$3),_xll.PALO.EL($J$2,$J$3),_xll.PALO.EL("Position",N$7))</f>
        <v>#NAME?</v>
      </c>
      <c r="O8" s="172" t="e">
        <f ca="1">_xll.PALO.DATA($B$2,$B$3,_xll.PALO.EL("Time",O$6),_xll.PALO.EL("Partner",$B8),_xll.PALO.EL($D$2,$D$3),_xll.PALO.EL($E$2,$E$3),_xll.PALO.EL($F$2,$F$3),_xll.PALO.EL($G$2,$G$3),_xll.PALO.EL($H$2,$H$3),_xll.PALO.EL($I$2,$I$3),_xll.PALO.EL($J$2,$J$3),_xll.PALO.EL("Position",O$7))</f>
        <v>#NAME?</v>
      </c>
      <c r="P8" s="172" t="e">
        <f ca="1">_xll.PALO.DATA($B$2,$B$3,_xll.PALO.EL("Time",P$6),_xll.PALO.EL("Partner",$B8),_xll.PALO.EL($D$2,$D$3),_xll.PALO.EL($E$2,$E$3),_xll.PALO.EL($F$2,$F$3),_xll.PALO.EL($G$2,$G$3),_xll.PALO.EL($H$2,$H$3),_xll.PALO.EL($I$2,$I$3),_xll.PALO.EL($J$2,$J$3),_xll.PALO.EL("Position",P$7))</f>
        <v>#NAME?</v>
      </c>
      <c r="Q8" s="172" t="e">
        <f ca="1">_xll.PALO.DATA($B$2,$B$3,_xll.PALO.EL("Time",Q$6),_xll.PALO.EL("Partner",$B8),_xll.PALO.EL($D$2,$D$3),_xll.PALO.EL($E$2,$E$3),_xll.PALO.EL($F$2,$F$3),_xll.PALO.EL($G$2,$G$3),_xll.PALO.EL($H$2,$H$3),_xll.PALO.EL($I$2,$I$3),_xll.PALO.EL($J$2,$J$3),_xll.PALO.EL("Position",Q$7))</f>
        <v>#NAME?</v>
      </c>
      <c r="R8" s="172" t="e">
        <f ca="1">_xll.PALO.DATA($B$2,$B$3,_xll.PALO.EL("Time",R$6),_xll.PALO.EL("Partner",$B8),_xll.PALO.EL($D$2,$D$3),_xll.PALO.EL($E$2,$E$3),_xll.PALO.EL($F$2,$F$3),_xll.PALO.EL($G$2,$G$3),_xll.PALO.EL($H$2,$H$3),_xll.PALO.EL($I$2,$I$3),_xll.PALO.EL($J$2,$J$3),_xll.PALO.EL("Position",R$7))</f>
        <v>#NAME?</v>
      </c>
      <c r="S8" s="172" t="e">
        <f ca="1">_xll.PALO.DATA($B$2,$B$3,_xll.PALO.EL("Time",S$6),_xll.PALO.EL("Partner",$B8),_xll.PALO.EL($D$2,$D$3),_xll.PALO.EL($E$2,$E$3),_xll.PALO.EL($F$2,$F$3),_xll.PALO.EL($G$2,$G$3),_xll.PALO.EL($H$2,$H$3),_xll.PALO.EL($I$2,$I$3),_xll.PALO.EL($J$2,$J$3),_xll.PALO.EL("Position",S$7))</f>
        <v>#NAME?</v>
      </c>
      <c r="T8" s="172" t="e">
        <f ca="1">_xll.PALO.DATA($B$2,$B$3,_xll.PALO.EL("Time",T$6),_xll.PALO.EL("Partner",$B8),_xll.PALO.EL($D$2,$D$3),_xll.PALO.EL($E$2,$E$3),_xll.PALO.EL($F$2,$F$3),_xll.PALO.EL($G$2,$G$3),_xll.PALO.EL($H$2,$H$3),_xll.PALO.EL($I$2,$I$3),_xll.PALO.EL($J$2,$J$3),_xll.PALO.EL("Position",T$7))</f>
        <v>#NAME?</v>
      </c>
      <c r="U8" s="172" t="e">
        <f ca="1">_xll.PALO.DATA($B$2,$B$3,_xll.PALO.EL("Time",U$6),_xll.PALO.EL("Partner",$B8),_xll.PALO.EL($D$2,$D$3),_xll.PALO.EL($E$2,$E$3),_xll.PALO.EL($F$2,$F$3),_xll.PALO.EL($G$2,$G$3),_xll.PALO.EL($H$2,$H$3),_xll.PALO.EL($I$2,$I$3),_xll.PALO.EL($J$2,$J$3),_xll.PALO.EL("Position",U$7))</f>
        <v>#NAME?</v>
      </c>
      <c r="V8" s="172" t="e">
        <f ca="1">_xll.PALO.DATA($B$2,$B$3,_xll.PALO.EL("Time",V$6),_xll.PALO.EL("Partner",$B8),_xll.PALO.EL($D$2,$D$3),_xll.PALO.EL($E$2,$E$3),_xll.PALO.EL($F$2,$F$3),_xll.PALO.EL($G$2,$G$3),_xll.PALO.EL($H$2,$H$3),_xll.PALO.EL($I$2,$I$3),_xll.PALO.EL($J$2,$J$3),_xll.PALO.EL("Position",V$7))</f>
        <v>#NAME?</v>
      </c>
      <c r="W8" s="172" t="e">
        <f ca="1">_xll.PALO.DATA($B$2,$B$3,_xll.PALO.EL("Time",W$6),_xll.PALO.EL("Partner",$B8),_xll.PALO.EL($D$2,$D$3),_xll.PALO.EL($E$2,$E$3),_xll.PALO.EL($F$2,$F$3),_xll.PALO.EL($G$2,$G$3),_xll.PALO.EL($H$2,$H$3),_xll.PALO.EL($I$2,$I$3),_xll.PALO.EL($J$2,$J$3),_xll.PALO.EL("Position",W$7))</f>
        <v>#NAME?</v>
      </c>
      <c r="X8" s="172" t="e">
        <f ca="1">_xll.PALO.DATA($B$2,$B$3,_xll.PALO.EL("Time",X$6),_xll.PALO.EL("Partner",$B8),_xll.PALO.EL($D$2,$D$3),_xll.PALO.EL($E$2,$E$3),_xll.PALO.EL($F$2,$F$3),_xll.PALO.EL($G$2,$G$3),_xll.PALO.EL($H$2,$H$3),_xll.PALO.EL($I$2,$I$3),_xll.PALO.EL($J$2,$J$3),_xll.PALO.EL("Position",X$7))</f>
        <v>#NAME?</v>
      </c>
      <c r="Y8" s="172" t="e">
        <f ca="1">_xll.PALO.DATA($B$2,$B$3,_xll.PALO.EL("Time",Y$6),_xll.PALO.EL("Partner",$B8),_xll.PALO.EL($D$2,$D$3),_xll.PALO.EL($E$2,$E$3),_xll.PALO.EL($F$2,$F$3),_xll.PALO.EL($G$2,$G$3),_xll.PALO.EL($H$2,$H$3),_xll.PALO.EL($I$2,$I$3),_xll.PALO.EL($J$2,$J$3),_xll.PALO.EL("Position",Y$7))</f>
        <v>#NAME?</v>
      </c>
      <c r="Z8" s="172" t="e">
        <f ca="1">_xll.PALO.DATA($B$2,$B$3,_xll.PALO.EL("Time",Z$6),_xll.PALO.EL("Partner",$B8),_xll.PALO.EL($D$2,$D$3),_xll.PALO.EL($E$2,$E$3),_xll.PALO.EL($F$2,$F$3),_xll.PALO.EL($G$2,$G$3),_xll.PALO.EL($H$2,$H$3),_xll.PALO.EL($I$2,$I$3),_xll.PALO.EL($J$2,$J$3),_xll.PALO.EL("Position",Z$7))</f>
        <v>#NAME?</v>
      </c>
      <c r="AA8" s="172" t="e">
        <f ca="1">_xll.PALO.DATA($B$2,$B$3,_xll.PALO.EL("Time",AA$6),_xll.PALO.EL("Partner",$B8),_xll.PALO.EL($D$2,$D$3),_xll.PALO.EL($E$2,$E$3),_xll.PALO.EL($F$2,$F$3),_xll.PALO.EL($G$2,$G$3),_xll.PALO.EL($H$2,$H$3),_xll.PALO.EL($I$2,$I$3),_xll.PALO.EL($J$2,$J$3),_xll.PALO.EL("Position",AA$7))</f>
        <v>#NAME?</v>
      </c>
      <c r="AB8" s="172" t="e">
        <f ca="1">_xll.PALO.DATA($B$2,$B$3,_xll.PALO.EL("Time",AB$6),_xll.PALO.EL("Partner",$B8),_xll.PALO.EL($D$2,$D$3),_xll.PALO.EL($E$2,$E$3),_xll.PALO.EL($F$2,$F$3),_xll.PALO.EL($G$2,$G$3),_xll.PALO.EL($H$2,$H$3),_xll.PALO.EL($I$2,$I$3),_xll.PALO.EL($J$2,$J$3),_xll.PALO.EL("Position",AB$7))</f>
        <v>#NAME?</v>
      </c>
      <c r="AC8" s="172" t="e">
        <f ca="1">_xll.PALO.DATA($B$2,$B$3,_xll.PALO.EL("Time",AC$6),_xll.PALO.EL("Partner",$B8),_xll.PALO.EL($D$2,$D$3),_xll.PALO.EL($E$2,$E$3),_xll.PALO.EL($F$2,$F$3),_xll.PALO.EL($G$2,$G$3),_xll.PALO.EL($H$2,$H$3),_xll.PALO.EL($I$2,$I$3),_xll.PALO.EL($J$2,$J$3),_xll.PALO.EL("Position",AC$7))</f>
        <v>#NAME?</v>
      </c>
      <c r="AD8" s="172" t="e">
        <f ca="1">_xll.PALO.DATA($B$2,$B$3,_xll.PALO.EL("Time",AD$6),_xll.PALO.EL("Partner",$B8),_xll.PALO.EL($D$2,$D$3),_xll.PALO.EL($E$2,$E$3),_xll.PALO.EL($F$2,$F$3),_xll.PALO.EL($G$2,$G$3),_xll.PALO.EL($H$2,$H$3),_xll.PALO.EL($I$2,$I$3),_xll.PALO.EL($J$2,$J$3),_xll.PALO.EL("Position",AD$7))</f>
        <v>#NAME?</v>
      </c>
      <c r="AE8" s="172" t="e">
        <f ca="1">_xll.PALO.DATA($B$2,$B$3,_xll.PALO.EL("Time",AE$6),_xll.PALO.EL("Partner",$B8),_xll.PALO.EL($D$2,$D$3),_xll.PALO.EL($E$2,$E$3),_xll.PALO.EL($F$2,$F$3),_xll.PALO.EL($G$2,$G$3),_xll.PALO.EL($H$2,$H$3),_xll.PALO.EL($I$2,$I$3),_xll.PALO.EL($J$2,$J$3),_xll.PALO.EL("Position",AE$7))</f>
        <v>#NAME?</v>
      </c>
      <c r="AF8" s="172" t="e">
        <f ca="1">_xll.PALO.DATA($B$2,$B$3,_xll.PALO.EL("Time",AF$6),_xll.PALO.EL("Partner",$B8),_xll.PALO.EL($D$2,$D$3),_xll.PALO.EL($E$2,$E$3),_xll.PALO.EL($F$2,$F$3),_xll.PALO.EL($G$2,$G$3),_xll.PALO.EL($H$2,$H$3),_xll.PALO.EL($I$2,$I$3),_xll.PALO.EL($J$2,$J$3),_xll.PALO.EL("Position",AF$7))</f>
        <v>#NAME?</v>
      </c>
      <c r="AG8" s="172" t="e">
        <f ca="1">_xll.PALO.DATA($B$2,$B$3,_xll.PALO.EL("Time",AG$6),_xll.PALO.EL("Partner",$B8),_xll.PALO.EL($D$2,$D$3),_xll.PALO.EL($E$2,$E$3),_xll.PALO.EL($F$2,$F$3),_xll.PALO.EL($G$2,$G$3),_xll.PALO.EL($H$2,$H$3),_xll.PALO.EL($I$2,$I$3),_xll.PALO.EL($J$2,$J$3),_xll.PALO.EL("Position",AG$7))</f>
        <v>#NAME?</v>
      </c>
      <c r="AH8" s="172" t="e">
        <f ca="1">_xll.PALO.DATA($B$2,$B$3,_xll.PALO.EL("Time",AH$6),_xll.PALO.EL("Partner",$B8),_xll.PALO.EL($D$2,$D$3),_xll.PALO.EL($E$2,$E$3),_xll.PALO.EL($F$2,$F$3),_xll.PALO.EL($G$2,$G$3),_xll.PALO.EL($H$2,$H$3),_xll.PALO.EL($I$2,$I$3),_xll.PALO.EL($J$2,$J$3),_xll.PALO.EL("Position",AH$7))</f>
        <v>#NAME?</v>
      </c>
      <c r="AI8" s="172" t="e">
        <f ca="1">_xll.PALO.DATA($B$2,$B$3,_xll.PALO.EL("Time",AI$6),_xll.PALO.EL("Partner",$B8),_xll.PALO.EL($D$2,$D$3),_xll.PALO.EL($E$2,$E$3),_xll.PALO.EL($F$2,$F$3),_xll.PALO.EL($G$2,$G$3),_xll.PALO.EL($H$2,$H$3),_xll.PALO.EL($I$2,$I$3),_xll.PALO.EL($J$2,$J$3),_xll.PALO.EL("Position",AI$7))</f>
        <v>#NAME?</v>
      </c>
      <c r="AJ8" s="172" t="e">
        <f ca="1">_xll.PALO.DATA($B$2,$B$3,_xll.PALO.EL("Time",AJ$6),_xll.PALO.EL("Partner",$B8),_xll.PALO.EL($D$2,$D$3),_xll.PALO.EL($E$2,$E$3),_xll.PALO.EL($F$2,$F$3),_xll.PALO.EL($G$2,$G$3),_xll.PALO.EL($H$2,$H$3),_xll.PALO.EL($I$2,$I$3),_xll.PALO.EL($J$2,$J$3),_xll.PALO.EL("Position",AJ$7))</f>
        <v>#NAME?</v>
      </c>
      <c r="AK8" s="172" t="e">
        <f ca="1">_xll.PALO.DATA($B$2,$B$3,_xll.PALO.EL("Time",AK$6),_xll.PALO.EL("Partner",$B8),_xll.PALO.EL($D$2,$D$3),_xll.PALO.EL($E$2,$E$3),_xll.PALO.EL($F$2,$F$3),_xll.PALO.EL($G$2,$G$3),_xll.PALO.EL($H$2,$H$3),_xll.PALO.EL($I$2,$I$3),_xll.PALO.EL($J$2,$J$3),_xll.PALO.EL("Position",AK$7))</f>
        <v>#NAME?</v>
      </c>
      <c r="AL8" s="172" t="e">
        <f ca="1">_xll.PALO.DATA($B$2,$B$3,_xll.PALO.EL("Time",AL$6),_xll.PALO.EL("Partner",$B8),_xll.PALO.EL($D$2,$D$3),_xll.PALO.EL($E$2,$E$3),_xll.PALO.EL($F$2,$F$3),_xll.PALO.EL($G$2,$G$3),_xll.PALO.EL($H$2,$H$3),_xll.PALO.EL($I$2,$I$3),_xll.PALO.EL($J$2,$J$3),_xll.PALO.EL("Position",AL$7))</f>
        <v>#NAME?</v>
      </c>
    </row>
  </sheetData>
  <dataValidations count="1">
    <dataValidation type="custom" allowBlank="1" showInputMessage="1" error="cd5b8def909346ccbc93aebc46120856" sqref="B3" xr:uid="{7E7EC698-D995-4D8D-A008-6DB521D90F0B}">
      <formula1>TRUE</formula1>
    </dataValidation>
  </dataValidations>
  <pageMargins left="0.7" right="0.7" top="0.75" bottom="0.75" header="0.3" footer="0.3"/>
  <pageSetup orientation="portrait" r:id="rId1"/>
  <customProperties>
    <customPr name="jedoxview_cd5b8def909346ccbc93aebc46120856" r:id="rId2"/>
  </customPropertie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piemērs</vt:lpstr>
      <vt:lpstr>marts</vt:lpstr>
      <vt:lpstr>aprīlis</vt:lpstr>
      <vt:lpstr>maijs</vt:lpstr>
      <vt:lpstr>jūnijs</vt:lpstr>
      <vt:lpstr>PIVOT_apkopojums</vt:lpstr>
      <vt:lpstr>PIVOT</vt:lpstr>
      <vt:lpstr>atskaites_jedox</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Kristīne Grīviņa</dc:creator>
  <cp:lastModifiedBy>Solvita Vaivode</cp:lastModifiedBy>
  <cp:lastPrinted>2021-08-06T08:34:06Z</cp:lastPrinted>
  <dcterms:created xsi:type="dcterms:W3CDTF">2021-03-26T09:43:50Z</dcterms:created>
  <dcterms:modified xsi:type="dcterms:W3CDTF">2021-08-25T09:08:33Z</dcterms:modified>
</cp:coreProperties>
</file>