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vnozare.pri\vm\Redirect_profiles\lzandberga\Desktop\TESTESANA_VALSTS_SEKRETAREI\"/>
    </mc:Choice>
  </mc:AlternateContent>
  <xr:revisionPtr revIDLastSave="0" documentId="13_ncr:1_{B6E9AA3E-55E0-4CDB-BB76-E22C863B5BD6}" xr6:coauthVersionLast="46" xr6:coauthVersionMax="47" xr10:uidLastSave="{00000000-0000-0000-0000-000000000000}"/>
  <bookViews>
    <workbookView xWindow="-120" yWindow="-120" windowWidth="29040" windowHeight="15840" tabRatio="916" xr2:uid="{4495EFB5-4899-4E84-8992-06FE27443688}"/>
  </bookViews>
  <sheets>
    <sheet name="test_sept_dec" sheetId="12" r:id="rId1"/>
    <sheet name="Skrinings" sheetId="16" r:id="rId2"/>
    <sheet name="Konsilijs" sheetId="15" r:id="rId3"/>
  </sheets>
  <externalReferences>
    <externalReference r:id="rId4"/>
    <externalReference r:id="rId5"/>
    <externalReference r:id="rId6"/>
    <externalReference r:id="rId7"/>
    <externalReference r:id="rId8"/>
    <externalReference r:id="rId9"/>
    <externalReference r:id="rId10"/>
  </externalReferences>
  <definedNames>
    <definedName name="_1_2_d_NMP_lim">#REF!</definedName>
    <definedName name="_xlnm._FilterDatabase" localSheetId="0" hidden="1">test_sept_dec!$A$3:$AS$40</definedName>
    <definedName name="aa" localSheetId="1">#REF!</definedName>
    <definedName name="aa">#REF!</definedName>
    <definedName name="_xlnm.Auto_Open" localSheetId="1">#REF!</definedName>
    <definedName name="_xlnm.Auto_Open">#REF!</definedName>
    <definedName name="b" localSheetId="1">#REF!</definedName>
    <definedName name="b">#REF!</definedName>
    <definedName name="BEx3ATHHUCGCIRND8KLAREDV3L40" localSheetId="1" hidden="1">[1]HEADER!#REF!</definedName>
    <definedName name="BEx3ATHHUCGCIRND8KLAREDV3L40" hidden="1">[1]HEADER!#REF!</definedName>
    <definedName name="BEx3QB2RILYEXIROLAFCWQMOJXMN" localSheetId="1" hidden="1">[1]HEADER!#REF!</definedName>
    <definedName name="BEx3QB2RILYEXIROLAFCWQMOJXMN" hidden="1">[1]HEADER!#REF!</definedName>
    <definedName name="BEx3RIJ9LXPXWNF4BFBFA4ILG6AY" localSheetId="1" hidden="1">[1]HEADER!#REF!</definedName>
    <definedName name="BEx3RIJ9LXPXWNF4BFBFA4ILG6AY" hidden="1">[1]HEADER!#REF!</definedName>
    <definedName name="BEx3T3XEKJ0I8634YNR6MPN3OBQL" localSheetId="1"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 localSheetId="1">#REF!</definedName>
    <definedName name="bt">#REF!</definedName>
    <definedName name="BX" localSheetId="1">#REF!</definedName>
    <definedName name="BX">#REF!</definedName>
    <definedName name="CalendarYear" localSheetId="1">#REF!</definedName>
    <definedName name="CalendarYear">#REF!</definedName>
    <definedName name="ccc">#REF!</definedName>
    <definedName name="d">#REF!</definedName>
    <definedName name="D_Evija3">#REF!</definedName>
    <definedName name="DaysAndWeeks" localSheetId="1">{0,1,2,3,4,5,6} + {0;1;2;3;4;5}*7</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 localSheetId="1">#REF!</definedName>
    <definedName name="izm.nos">#REF!</definedName>
    <definedName name="izm.nos_1">[2]izm.posteni!$B$2:$B$216</definedName>
    <definedName name="jhg" localSheetId="1">#REF!</definedName>
    <definedName name="jhg">#REF!</definedName>
    <definedName name="kk" localSheetId="1">#REF!</definedName>
    <definedName name="kk">#REF!</definedName>
    <definedName name="l" localSheetId="1">#REF!</definedName>
    <definedName name="l">#REF!</definedName>
    <definedName name="Limeni_7_9group">#REF!</definedName>
    <definedName name="mmm" hidden="1">[1]ZQZBC_PLN__04_03_10!#REF!</definedName>
    <definedName name="n" localSheetId="1">#REF!</definedName>
    <definedName name="n">#REF!</definedName>
    <definedName name="P_Dati_rikojums" localSheetId="1">#REF!</definedName>
    <definedName name="P_Dati_rikojums">#REF!</definedName>
    <definedName name="pp" localSheetId="1">#REF!</definedName>
    <definedName name="pp">#REF!</definedName>
    <definedName name="Recover">[3]Macro1!$A$80</definedName>
    <definedName name="Rikojums2222">[4]Macro1!$A$106</definedName>
    <definedName name="rr" localSheetId="1">#REF!</definedName>
    <definedName name="rr">#REF!</definedName>
    <definedName name="rt" localSheetId="1">#REF!</definedName>
    <definedName name="rt">#REF!</definedName>
    <definedName name="rty" localSheetId="1">#REF!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 localSheetId="1">#REF!</definedName>
    <definedName name="Struktūrvien.kods">#REF!</definedName>
    <definedName name="Struktūrvien.kods_1">[2]strukturkodi!$A$2:$A$232</definedName>
    <definedName name="T13l6">[5]ATSKAITE_2v!#REF!</definedName>
    <definedName name="TableName">"Dummy"</definedName>
    <definedName name="TWO_LINKS">'[6]8.1.'!$C$5</definedName>
    <definedName name="ty" localSheetId="1">#REF!</definedName>
    <definedName name="ty">#REF!</definedName>
    <definedName name="tyuj" localSheetId="1">#REF!</definedName>
    <definedName name="tyuj">#REF!</definedName>
    <definedName name="u" localSheetId="1">#REF!</definedName>
    <definedName name="u">#REF!</definedName>
    <definedName name="U_N_A">#REF!</definedName>
    <definedName name="wedr">#REF!</definedName>
    <definedName name="WeekStart">#REF!</definedName>
    <definedName name="x">#REF!</definedName>
    <definedName name="XBD">[7]Dati!$B$6</definedName>
    <definedName name="XDD">[7]Dati!$B$4</definedName>
    <definedName name="XDS">[7]Dati!$B$5</definedName>
    <definedName name="XSVD">[7]Dati!$B$7</definedName>
    <definedName name="xxxx" localSheetId="1">#REF!</definedName>
    <definedName name="xxxx">#REF!</definedName>
    <definedName name="yuh" localSheetId="1">#REF!</definedName>
    <definedName name="yuh">#REF!</definedName>
    <definedName name="yyyy" localSheetId="1">#REF!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M44" i="12" l="1"/>
  <c r="AK44" i="12"/>
  <c r="AJ41" i="12"/>
  <c r="AL41" i="12"/>
  <c r="AC107" i="16"/>
  <c r="AT107" i="16"/>
  <c r="AN107" i="16"/>
  <c r="AI107" i="16"/>
  <c r="Y107" i="16"/>
  <c r="AK10" i="12"/>
  <c r="AC91" i="16" l="1"/>
  <c r="AP93" i="16"/>
  <c r="AN31" i="12"/>
  <c r="AD106" i="16"/>
  <c r="AA106" i="16"/>
  <c r="AD102" i="16" l="1"/>
  <c r="Y102" i="16"/>
  <c r="AA102" i="16"/>
  <c r="Z102" i="16"/>
  <c r="AB102" i="16"/>
  <c r="AE102" i="16"/>
  <c r="AF102" i="16"/>
  <c r="AG102" i="16"/>
  <c r="AH102" i="16"/>
  <c r="AJ102" i="16"/>
  <c r="AK102" i="16"/>
  <c r="AL102" i="16"/>
  <c r="AM102" i="16"/>
  <c r="AO102" i="16"/>
  <c r="AP102" i="16"/>
  <c r="AQ102" i="16"/>
  <c r="AR102" i="16"/>
  <c r="AS102" i="16"/>
  <c r="Y101" i="16"/>
  <c r="AT6" i="16"/>
  <c r="AI6" i="16"/>
  <c r="AC6" i="16"/>
  <c r="AT5" i="16"/>
  <c r="AN5" i="16"/>
  <c r="AI5" i="16"/>
  <c r="AC5" i="16"/>
  <c r="AT4" i="16"/>
  <c r="AC4" i="16"/>
  <c r="AI4" i="16"/>
  <c r="AN4" i="16"/>
  <c r="AT3" i="16"/>
  <c r="AN3" i="16"/>
  <c r="AI3" i="16"/>
  <c r="AC3" i="16"/>
  <c r="Z106" i="16"/>
  <c r="AB106" i="16"/>
  <c r="Y106" i="16"/>
  <c r="AB24" i="16"/>
  <c r="AI16" i="16"/>
  <c r="AN16" i="16"/>
  <c r="AT16" i="16"/>
  <c r="AT15" i="16"/>
  <c r="AT102" i="16" s="1"/>
  <c r="AN15" i="16"/>
  <c r="AN102" i="16" s="1"/>
  <c r="AI15" i="16"/>
  <c r="AI102" i="16" s="1"/>
  <c r="AC15" i="16"/>
  <c r="AC106" i="16" s="1"/>
  <c r="AC16" i="16"/>
  <c r="AC97" i="16"/>
  <c r="AD9" i="16"/>
  <c r="AC102" i="16" l="1"/>
  <c r="AC112" i="16" l="1"/>
  <c r="AE106" i="16"/>
  <c r="AF106" i="16"/>
  <c r="AG106" i="16"/>
  <c r="AH106" i="16"/>
  <c r="AI106" i="16"/>
  <c r="AJ106" i="16"/>
  <c r="AK106" i="16"/>
  <c r="AL106" i="16"/>
  <c r="AM106" i="16"/>
  <c r="AN106" i="16"/>
  <c r="AO106" i="16"/>
  <c r="AP106" i="16"/>
  <c r="AQ106" i="16"/>
  <c r="AR106" i="16"/>
  <c r="AS106" i="16"/>
  <c r="AT106" i="16"/>
  <c r="AT17" i="16" l="1"/>
  <c r="AI17" i="16"/>
  <c r="AN17" i="16" s="1"/>
  <c r="P12" i="12"/>
  <c r="AD14" i="12" l="1"/>
  <c r="AB14" i="12"/>
  <c r="AE66" i="16"/>
  <c r="AF66" i="16" s="1"/>
  <c r="AG66" i="16" s="1"/>
  <c r="AH66" i="16" s="1"/>
  <c r="AJ66" i="16" s="1"/>
  <c r="AL14" i="12" l="1"/>
  <c r="AN14" i="12" s="1"/>
  <c r="AF14" i="12"/>
  <c r="AG14" i="12" s="1"/>
  <c r="AJ14" i="12"/>
  <c r="AI66" i="16"/>
  <c r="AK66" i="16"/>
  <c r="AL66" i="16" s="1"/>
  <c r="AM66" i="16" s="1"/>
  <c r="AO66" i="16" s="1"/>
  <c r="AN66" i="16" l="1"/>
  <c r="AP66" i="16"/>
  <c r="AQ66" i="16" s="1"/>
  <c r="AR66" i="16" s="1"/>
  <c r="AS66" i="16" s="1"/>
  <c r="AT66" i="16" l="1"/>
  <c r="AD60" i="16"/>
  <c r="Y60" i="16"/>
  <c r="AO58" i="16"/>
  <c r="AJ58" i="16"/>
  <c r="AD58" i="16"/>
  <c r="Y58" i="16"/>
  <c r="AO57" i="16"/>
  <c r="AJ57" i="16"/>
  <c r="AD57" i="16"/>
  <c r="AO55" i="16"/>
  <c r="AJ55" i="16"/>
  <c r="AD55" i="16"/>
  <c r="Y55" i="16"/>
  <c r="AH40" i="12" l="1"/>
  <c r="AP36" i="12"/>
  <c r="AN36" i="12"/>
  <c r="AL36" i="12"/>
  <c r="AJ36" i="12"/>
  <c r="AF36" i="12"/>
  <c r="AT97" i="16"/>
  <c r="AS97" i="16"/>
  <c r="AS107" i="16" s="1"/>
  <c r="AS104" i="16" s="1"/>
  <c r="AR97" i="16"/>
  <c r="AR107" i="16" s="1"/>
  <c r="AR104" i="16" s="1"/>
  <c r="AQ97" i="16"/>
  <c r="AQ107" i="16" s="1"/>
  <c r="AQ104" i="16" s="1"/>
  <c r="AP97" i="16"/>
  <c r="AP107" i="16" s="1"/>
  <c r="AP104" i="16" s="1"/>
  <c r="AO97" i="16"/>
  <c r="AO107" i="16" s="1"/>
  <c r="AN97" i="16"/>
  <c r="AM97" i="16"/>
  <c r="AM107" i="16" s="1"/>
  <c r="AM104" i="16" s="1"/>
  <c r="AL97" i="16"/>
  <c r="AL107" i="16" s="1"/>
  <c r="AL104" i="16" s="1"/>
  <c r="AK97" i="16"/>
  <c r="AK107" i="16" s="1"/>
  <c r="AK104" i="16" s="1"/>
  <c r="AJ97" i="16"/>
  <c r="AJ107" i="16" s="1"/>
  <c r="AH97" i="16"/>
  <c r="AH107" i="16" s="1"/>
  <c r="AH104" i="16" s="1"/>
  <c r="AG97" i="16"/>
  <c r="AG107" i="16" s="1"/>
  <c r="AG104" i="16" s="1"/>
  <c r="AF97" i="16"/>
  <c r="AF107" i="16" s="1"/>
  <c r="AF104" i="16" s="1"/>
  <c r="AE97" i="16"/>
  <c r="AE107" i="16" s="1"/>
  <c r="AE104" i="16" s="1"/>
  <c r="AD97" i="16"/>
  <c r="AD107" i="16" s="1"/>
  <c r="AD104" i="16" s="1"/>
  <c r="AB97" i="16"/>
  <c r="AB107" i="16" s="1"/>
  <c r="AB104" i="16" s="1"/>
  <c r="AA97" i="16"/>
  <c r="AA107" i="16" s="1"/>
  <c r="AA104" i="16" s="1"/>
  <c r="Z97" i="16"/>
  <c r="Y97" i="16"/>
  <c r="AC110" i="16"/>
  <c r="AN110" i="16"/>
  <c r="AC111" i="16"/>
  <c r="AN111" i="16"/>
  <c r="AN6" i="16"/>
  <c r="H7" i="16"/>
  <c r="M7" i="16"/>
  <c r="S7" i="16"/>
  <c r="S9" i="16" s="1"/>
  <c r="X7" i="16"/>
  <c r="X9" i="16" s="1"/>
  <c r="AC7" i="16"/>
  <c r="AI7" i="16"/>
  <c r="AN7" i="16"/>
  <c r="AT7" i="16"/>
  <c r="AC8" i="16"/>
  <c r="AI8" i="16"/>
  <c r="AN8" i="16"/>
  <c r="AT8" i="16"/>
  <c r="D9" i="16"/>
  <c r="E9" i="16"/>
  <c r="F9" i="16"/>
  <c r="G9" i="16"/>
  <c r="H9" i="16"/>
  <c r="I9" i="16"/>
  <c r="J9" i="16"/>
  <c r="K9" i="16"/>
  <c r="L9" i="16"/>
  <c r="M9" i="16"/>
  <c r="N9" i="16"/>
  <c r="O9" i="16"/>
  <c r="P9" i="16"/>
  <c r="Q9" i="16"/>
  <c r="R9" i="16"/>
  <c r="T9" i="16"/>
  <c r="U9" i="16"/>
  <c r="V9" i="16"/>
  <c r="W9" i="16"/>
  <c r="Y9" i="16"/>
  <c r="Z9" i="16"/>
  <c r="AA9" i="16"/>
  <c r="AB9" i="16"/>
  <c r="AE9" i="16"/>
  <c r="AF9" i="16"/>
  <c r="AG9" i="16"/>
  <c r="AH9" i="16"/>
  <c r="AJ9" i="16"/>
  <c r="AK9" i="16"/>
  <c r="AL9" i="16"/>
  <c r="AM9" i="16"/>
  <c r="AO9" i="16"/>
  <c r="AP9" i="16"/>
  <c r="AQ9" i="16"/>
  <c r="AR9" i="16"/>
  <c r="AS9" i="16"/>
  <c r="H10" i="16"/>
  <c r="M10" i="16"/>
  <c r="S10" i="16"/>
  <c r="X10" i="16"/>
  <c r="Y10" i="16"/>
  <c r="Y24" i="16" s="1"/>
  <c r="H11" i="16"/>
  <c r="M11" i="16"/>
  <c r="S11" i="16"/>
  <c r="X11" i="16"/>
  <c r="AC11" i="16"/>
  <c r="AI11" i="16"/>
  <c r="AN11" i="16"/>
  <c r="H12" i="16"/>
  <c r="M12" i="16"/>
  <c r="S12" i="16"/>
  <c r="X12" i="16"/>
  <c r="H13" i="16"/>
  <c r="M13" i="16"/>
  <c r="S13" i="16"/>
  <c r="X13" i="16"/>
  <c r="H14" i="16"/>
  <c r="M14" i="16"/>
  <c r="S14" i="16"/>
  <c r="X14" i="16"/>
  <c r="H15" i="16"/>
  <c r="M15" i="16"/>
  <c r="S15" i="16"/>
  <c r="X15" i="16"/>
  <c r="AJ24" i="16"/>
  <c r="AR24" i="16"/>
  <c r="H16" i="16"/>
  <c r="M16" i="16"/>
  <c r="X16" i="16"/>
  <c r="H18" i="16"/>
  <c r="M18" i="16"/>
  <c r="S18" i="16"/>
  <c r="X18" i="16"/>
  <c r="H19" i="16"/>
  <c r="M19" i="16"/>
  <c r="S19" i="16"/>
  <c r="X19" i="16"/>
  <c r="AC19" i="16"/>
  <c r="AI19" i="16"/>
  <c r="AN19" i="16"/>
  <c r="AT19" i="16"/>
  <c r="H20" i="16"/>
  <c r="M20" i="16"/>
  <c r="N20" i="16"/>
  <c r="O20" i="16"/>
  <c r="O24" i="16" s="1"/>
  <c r="P20" i="16"/>
  <c r="Q20" i="16"/>
  <c r="Q24" i="16" s="1"/>
  <c r="R20" i="16"/>
  <c r="R24" i="16" s="1"/>
  <c r="T20" i="16"/>
  <c r="T24" i="16" s="1"/>
  <c r="U20" i="16"/>
  <c r="V20" i="16"/>
  <c r="W20" i="16"/>
  <c r="AC20" i="16"/>
  <c r="AI20" i="16"/>
  <c r="AN20" i="16"/>
  <c r="AT20" i="16"/>
  <c r="H21" i="16"/>
  <c r="M21" i="16"/>
  <c r="S21" i="16"/>
  <c r="X21" i="16"/>
  <c r="AC21" i="16"/>
  <c r="AI21" i="16"/>
  <c r="AN21" i="16"/>
  <c r="AT21" i="16"/>
  <c r="H22" i="16"/>
  <c r="M22" i="16"/>
  <c r="S22" i="16"/>
  <c r="X22" i="16"/>
  <c r="AC22" i="16"/>
  <c r="AI22" i="16"/>
  <c r="AN22" i="16"/>
  <c r="AT22" i="16"/>
  <c r="H23" i="16"/>
  <c r="M23" i="16"/>
  <c r="S23" i="16"/>
  <c r="X23" i="16"/>
  <c r="AC23" i="16"/>
  <c r="AI23" i="16"/>
  <c r="AN23" i="16"/>
  <c r="AT23" i="16"/>
  <c r="D24" i="16"/>
  <c r="E24" i="16"/>
  <c r="F24" i="16"/>
  <c r="G24" i="16"/>
  <c r="I24" i="16"/>
  <c r="J24" i="16"/>
  <c r="K24" i="16"/>
  <c r="L24" i="16"/>
  <c r="P24" i="16"/>
  <c r="U24" i="16"/>
  <c r="W24" i="16"/>
  <c r="Z24" i="16"/>
  <c r="AA24" i="16"/>
  <c r="AD24" i="16"/>
  <c r="AE24" i="16"/>
  <c r="AG24" i="16"/>
  <c r="AH24" i="16"/>
  <c r="AK24" i="16"/>
  <c r="AL24" i="16"/>
  <c r="AM24" i="16"/>
  <c r="AO24" i="16"/>
  <c r="AP24" i="16"/>
  <c r="AQ24" i="16"/>
  <c r="AS24" i="16"/>
  <c r="D25" i="16"/>
  <c r="H25" i="16" s="1"/>
  <c r="M25" i="16"/>
  <c r="S25" i="16"/>
  <c r="X25" i="16"/>
  <c r="H26" i="16"/>
  <c r="M26" i="16"/>
  <c r="S26" i="16"/>
  <c r="X26" i="16"/>
  <c r="D29" i="16"/>
  <c r="H29" i="16" s="1"/>
  <c r="M29" i="16"/>
  <c r="S29" i="16"/>
  <c r="X29" i="16"/>
  <c r="E30" i="16"/>
  <c r="F30" i="16"/>
  <c r="G30" i="16"/>
  <c r="I30" i="16"/>
  <c r="J30" i="16"/>
  <c r="K30" i="16"/>
  <c r="L30" i="16"/>
  <c r="N30" i="16"/>
  <c r="O30" i="16"/>
  <c r="P30" i="16"/>
  <c r="Q30" i="16"/>
  <c r="R30" i="16"/>
  <c r="T30" i="16"/>
  <c r="U30" i="16"/>
  <c r="V30" i="16"/>
  <c r="W30" i="16"/>
  <c r="Y30" i="16"/>
  <c r="Z30" i="16"/>
  <c r="AA30" i="16"/>
  <c r="AB30" i="16"/>
  <c r="AC30" i="16"/>
  <c r="AD30" i="16"/>
  <c r="AE30" i="16"/>
  <c r="AF30" i="16"/>
  <c r="AG30" i="16"/>
  <c r="AH30" i="16"/>
  <c r="AI30" i="16"/>
  <c r="AJ30" i="16"/>
  <c r="AK30" i="16"/>
  <c r="AL30" i="16"/>
  <c r="AM30" i="16"/>
  <c r="AN30" i="16"/>
  <c r="AO30" i="16"/>
  <c r="AP30" i="16"/>
  <c r="AQ30" i="16"/>
  <c r="AR30" i="16"/>
  <c r="AS30" i="16"/>
  <c r="AT30" i="16"/>
  <c r="H31" i="16"/>
  <c r="M31" i="16"/>
  <c r="S31" i="16"/>
  <c r="X31" i="16"/>
  <c r="AT31" i="16"/>
  <c r="D32" i="16"/>
  <c r="H32" i="16" s="1"/>
  <c r="M32" i="16"/>
  <c r="S32" i="16"/>
  <c r="X32" i="16"/>
  <c r="AQ32" i="16"/>
  <c r="AR32" i="16"/>
  <c r="AS32" i="16"/>
  <c r="H33" i="16"/>
  <c r="M33" i="16"/>
  <c r="S33" i="16"/>
  <c r="X33" i="16"/>
  <c r="AQ33" i="16"/>
  <c r="AR33" i="16"/>
  <c r="AS33" i="16"/>
  <c r="D34" i="16"/>
  <c r="M34" i="16"/>
  <c r="S34" i="16"/>
  <c r="X34" i="16"/>
  <c r="AA37" i="16"/>
  <c r="AF37" i="16"/>
  <c r="AQ34" i="16"/>
  <c r="AR34" i="16"/>
  <c r="AS34" i="16"/>
  <c r="H35" i="16"/>
  <c r="M35" i="16"/>
  <c r="S35" i="16"/>
  <c r="X35" i="16"/>
  <c r="AH37" i="16"/>
  <c r="AQ35" i="16"/>
  <c r="AR35" i="16"/>
  <c r="AS35" i="16"/>
  <c r="H36" i="16"/>
  <c r="M36" i="16"/>
  <c r="S36" i="16"/>
  <c r="X36" i="16"/>
  <c r="AT36" i="16"/>
  <c r="E37" i="16"/>
  <c r="F37" i="16"/>
  <c r="G37" i="16"/>
  <c r="I37" i="16"/>
  <c r="J37" i="16"/>
  <c r="K37" i="16"/>
  <c r="L37" i="16"/>
  <c r="N37" i="16"/>
  <c r="O37" i="16"/>
  <c r="P37" i="16"/>
  <c r="Q37" i="16"/>
  <c r="R37" i="16"/>
  <c r="T37" i="16"/>
  <c r="U37" i="16"/>
  <c r="V37" i="16"/>
  <c r="W37" i="16"/>
  <c r="AE37" i="16"/>
  <c r="H38" i="16"/>
  <c r="M38" i="16"/>
  <c r="S38" i="16"/>
  <c r="X38" i="16"/>
  <c r="Y38" i="16"/>
  <c r="Z38" i="16"/>
  <c r="AA38" i="16"/>
  <c r="AB38" i="16"/>
  <c r="AD38" i="16"/>
  <c r="AE38" i="16"/>
  <c r="AF38" i="16"/>
  <c r="AG38" i="16"/>
  <c r="AH38" i="16"/>
  <c r="AJ38" i="16"/>
  <c r="AK38" i="16"/>
  <c r="AL38" i="16"/>
  <c r="AM38" i="16"/>
  <c r="AO38" i="16"/>
  <c r="AP38" i="16"/>
  <c r="AQ38" i="16"/>
  <c r="AR38" i="16"/>
  <c r="AS38" i="16"/>
  <c r="H39" i="16"/>
  <c r="M39" i="16"/>
  <c r="S39" i="16"/>
  <c r="X39" i="16"/>
  <c r="Y39" i="16"/>
  <c r="Z39" i="16"/>
  <c r="AA39" i="16"/>
  <c r="AB39" i="16"/>
  <c r="AD39" i="16"/>
  <c r="AE39" i="16"/>
  <c r="AF39" i="16"/>
  <c r="AG39" i="16"/>
  <c r="AH39" i="16"/>
  <c r="AJ39" i="16"/>
  <c r="AK39" i="16"/>
  <c r="AL39" i="16"/>
  <c r="AM39" i="16"/>
  <c r="AO39" i="16"/>
  <c r="AP39" i="16"/>
  <c r="AQ39" i="16"/>
  <c r="AR39" i="16"/>
  <c r="AS39" i="16"/>
  <c r="H40" i="16"/>
  <c r="M40" i="16"/>
  <c r="S40" i="16"/>
  <c r="X40" i="16"/>
  <c r="AC40" i="16"/>
  <c r="AI40" i="16"/>
  <c r="AN40" i="16"/>
  <c r="AT40" i="16"/>
  <c r="H41" i="16"/>
  <c r="M41" i="16"/>
  <c r="S41" i="16"/>
  <c r="X41" i="16"/>
  <c r="Y41" i="16"/>
  <c r="Z41" i="16"/>
  <c r="AA41" i="16"/>
  <c r="AB41" i="16"/>
  <c r="AD41" i="16"/>
  <c r="AE41" i="16"/>
  <c r="AF41" i="16"/>
  <c r="AG41" i="16"/>
  <c r="AH41" i="16"/>
  <c r="AJ41" i="16"/>
  <c r="AK41" i="16"/>
  <c r="AL41" i="16"/>
  <c r="AM41" i="16"/>
  <c r="AO41" i="16"/>
  <c r="AP41" i="16"/>
  <c r="AQ41" i="16"/>
  <c r="AR41" i="16"/>
  <c r="AS41" i="16"/>
  <c r="H42" i="16"/>
  <c r="M42" i="16"/>
  <c r="S42" i="16"/>
  <c r="X42" i="16"/>
  <c r="Y42" i="16"/>
  <c r="Z42" i="16"/>
  <c r="AA42" i="16"/>
  <c r="AB42" i="16"/>
  <c r="AD42" i="16"/>
  <c r="AE42" i="16"/>
  <c r="AF42" i="16"/>
  <c r="AG42" i="16"/>
  <c r="AH42" i="16"/>
  <c r="AJ42" i="16"/>
  <c r="AK42" i="16"/>
  <c r="AL42" i="16"/>
  <c r="AM42" i="16"/>
  <c r="AO42" i="16"/>
  <c r="AP42" i="16"/>
  <c r="AQ42" i="16"/>
  <c r="AR42" i="16"/>
  <c r="AS42" i="16"/>
  <c r="D43" i="16"/>
  <c r="E43" i="16"/>
  <c r="F43" i="16"/>
  <c r="G43" i="16"/>
  <c r="I43" i="16"/>
  <c r="J43" i="16"/>
  <c r="K43" i="16"/>
  <c r="L43" i="16"/>
  <c r="N43" i="16"/>
  <c r="O43" i="16"/>
  <c r="P43" i="16"/>
  <c r="Q43" i="16"/>
  <c r="R43" i="16"/>
  <c r="T43" i="16"/>
  <c r="U43" i="16"/>
  <c r="V43" i="16"/>
  <c r="W43" i="16"/>
  <c r="D44" i="16"/>
  <c r="H44" i="16" s="1"/>
  <c r="M44" i="16"/>
  <c r="S44" i="16"/>
  <c r="X44" i="16"/>
  <c r="Y44" i="16"/>
  <c r="Z44" i="16"/>
  <c r="AA44" i="16"/>
  <c r="AB44" i="16"/>
  <c r="AD44" i="16"/>
  <c r="AE44" i="16"/>
  <c r="AF44" i="16"/>
  <c r="AG44" i="16"/>
  <c r="AH44" i="16"/>
  <c r="AJ44" i="16"/>
  <c r="AK44" i="16"/>
  <c r="AL44" i="16"/>
  <c r="AM44" i="16"/>
  <c r="AO44" i="16"/>
  <c r="AP44" i="16"/>
  <c r="AQ44" i="16"/>
  <c r="AR44" i="16"/>
  <c r="AS44" i="16"/>
  <c r="D45" i="16"/>
  <c r="H45" i="16" s="1"/>
  <c r="M45" i="16"/>
  <c r="S45" i="16"/>
  <c r="X45" i="16"/>
  <c r="Y45" i="16"/>
  <c r="Z45" i="16"/>
  <c r="AA45" i="16"/>
  <c r="AB45" i="16"/>
  <c r="AD45" i="16"/>
  <c r="AD113" i="16" s="1"/>
  <c r="AE45" i="16"/>
  <c r="AE113" i="16" s="1"/>
  <c r="AF45" i="16"/>
  <c r="AG45" i="16"/>
  <c r="AH45" i="16"/>
  <c r="AH113" i="16" s="1"/>
  <c r="AJ45" i="16"/>
  <c r="AJ113" i="16" s="1"/>
  <c r="AK45" i="16"/>
  <c r="AL45" i="16"/>
  <c r="AM45" i="16"/>
  <c r="AM113" i="16" s="1"/>
  <c r="AO45" i="16"/>
  <c r="AP45" i="16"/>
  <c r="AP113" i="16" s="1"/>
  <c r="AQ45" i="16"/>
  <c r="AQ113" i="16" s="1"/>
  <c r="AR45" i="16"/>
  <c r="AR113" i="16" s="1"/>
  <c r="AS45" i="16"/>
  <c r="H46" i="16"/>
  <c r="M46" i="16"/>
  <c r="S46" i="16"/>
  <c r="X46" i="16"/>
  <c r="Y46" i="16"/>
  <c r="Z46" i="16"/>
  <c r="AA46" i="16"/>
  <c r="AB46" i="16"/>
  <c r="AD46" i="16"/>
  <c r="AE46" i="16"/>
  <c r="AF46" i="16"/>
  <c r="AG46" i="16"/>
  <c r="AH46" i="16"/>
  <c r="AJ46" i="16"/>
  <c r="AK46" i="16"/>
  <c r="AL46" i="16"/>
  <c r="AM46" i="16"/>
  <c r="AO46" i="16"/>
  <c r="AP46" i="16"/>
  <c r="AQ46" i="16"/>
  <c r="AR46" i="16"/>
  <c r="AS46" i="16"/>
  <c r="E47" i="16"/>
  <c r="F47" i="16"/>
  <c r="G47" i="16"/>
  <c r="I47" i="16"/>
  <c r="J47" i="16"/>
  <c r="K47" i="16"/>
  <c r="L47" i="16"/>
  <c r="N47" i="16"/>
  <c r="O47" i="16"/>
  <c r="P47" i="16"/>
  <c r="Q47" i="16"/>
  <c r="R47" i="16"/>
  <c r="T47" i="16"/>
  <c r="U47" i="16"/>
  <c r="V47" i="16"/>
  <c r="W47" i="16"/>
  <c r="H48" i="16"/>
  <c r="M48" i="16"/>
  <c r="S48" i="16"/>
  <c r="X48" i="16"/>
  <c r="AC48" i="16"/>
  <c r="AI48" i="16"/>
  <c r="AN48" i="16"/>
  <c r="AT48" i="16"/>
  <c r="AT54" i="16" s="1"/>
  <c r="H49" i="16"/>
  <c r="M49" i="16"/>
  <c r="S49" i="16"/>
  <c r="X49" i="16"/>
  <c r="AC49" i="16"/>
  <c r="AI49" i="16"/>
  <c r="AN49" i="16"/>
  <c r="AT49" i="16"/>
  <c r="H50" i="16"/>
  <c r="M50" i="16"/>
  <c r="S50" i="16"/>
  <c r="X50" i="16"/>
  <c r="AC50" i="16"/>
  <c r="AI50" i="16"/>
  <c r="AN50" i="16"/>
  <c r="AT50" i="16"/>
  <c r="H51" i="16"/>
  <c r="M51" i="16"/>
  <c r="S51" i="16"/>
  <c r="X51" i="16"/>
  <c r="Y51" i="16"/>
  <c r="AC51" i="16" s="1"/>
  <c r="AI51" i="16"/>
  <c r="AN51" i="16"/>
  <c r="AT51" i="16"/>
  <c r="H52" i="16"/>
  <c r="M52" i="16"/>
  <c r="S52" i="16"/>
  <c r="X52" i="16"/>
  <c r="AC52" i="16"/>
  <c r="AC114" i="16" s="1"/>
  <c r="AI52" i="16"/>
  <c r="AN52" i="16"/>
  <c r="AN114" i="16" s="1"/>
  <c r="AT52" i="16"/>
  <c r="H53" i="16"/>
  <c r="H54" i="16" s="1"/>
  <c r="M53" i="16"/>
  <c r="S53" i="16"/>
  <c r="X53" i="16"/>
  <c r="AC53" i="16"/>
  <c r="AI53" i="16"/>
  <c r="AN53" i="16"/>
  <c r="AT53" i="16"/>
  <c r="D54" i="16"/>
  <c r="E54" i="16"/>
  <c r="F54" i="16"/>
  <c r="G54" i="16"/>
  <c r="I54" i="16"/>
  <c r="J54" i="16"/>
  <c r="K54" i="16"/>
  <c r="L54" i="16"/>
  <c r="N54" i="16"/>
  <c r="O54" i="16"/>
  <c r="P54" i="16"/>
  <c r="Q54" i="16"/>
  <c r="R54" i="16"/>
  <c r="T54" i="16"/>
  <c r="U54" i="16"/>
  <c r="V54" i="16"/>
  <c r="W54" i="16"/>
  <c r="Z54" i="16"/>
  <c r="AA54" i="16"/>
  <c r="AB54" i="16"/>
  <c r="AD54" i="16"/>
  <c r="AE54" i="16"/>
  <c r="AF54" i="16"/>
  <c r="AG54" i="16"/>
  <c r="AH54" i="16"/>
  <c r="AJ54" i="16"/>
  <c r="AK54" i="16"/>
  <c r="AL54" i="16"/>
  <c r="AM54" i="16"/>
  <c r="AO54" i="16"/>
  <c r="AP54" i="16"/>
  <c r="AQ54" i="16"/>
  <c r="AR54" i="16"/>
  <c r="AS54" i="16"/>
  <c r="H55" i="16"/>
  <c r="M55" i="16"/>
  <c r="S55" i="16"/>
  <c r="X55" i="16"/>
  <c r="H56" i="16"/>
  <c r="M56" i="16"/>
  <c r="S56" i="16"/>
  <c r="X56" i="16"/>
  <c r="AI56" i="16"/>
  <c r="AI61" i="16" s="1"/>
  <c r="AN56" i="16"/>
  <c r="AN61" i="16" s="1"/>
  <c r="AT56" i="16"/>
  <c r="AT61" i="16" s="1"/>
  <c r="H57" i="16"/>
  <c r="M57" i="16"/>
  <c r="S57" i="16"/>
  <c r="X57" i="16"/>
  <c r="H58" i="16"/>
  <c r="M58" i="16"/>
  <c r="S58" i="16"/>
  <c r="X58" i="16"/>
  <c r="H59" i="16"/>
  <c r="M59" i="16"/>
  <c r="S59" i="16"/>
  <c r="X59" i="16"/>
  <c r="H60" i="16"/>
  <c r="M60" i="16"/>
  <c r="S60" i="16"/>
  <c r="X60" i="16"/>
  <c r="D61" i="16"/>
  <c r="E61" i="16"/>
  <c r="F61" i="16"/>
  <c r="G61" i="16"/>
  <c r="I61" i="16"/>
  <c r="J61" i="16"/>
  <c r="K61" i="16"/>
  <c r="L61" i="16"/>
  <c r="N61" i="16"/>
  <c r="O61" i="16"/>
  <c r="P61" i="16"/>
  <c r="Q61" i="16"/>
  <c r="R61" i="16"/>
  <c r="T61" i="16"/>
  <c r="U61" i="16"/>
  <c r="V61" i="16"/>
  <c r="W61" i="16"/>
  <c r="Z61" i="16"/>
  <c r="AA61" i="16"/>
  <c r="AB61" i="16"/>
  <c r="AD61" i="16"/>
  <c r="AE61" i="16"/>
  <c r="AF61" i="16"/>
  <c r="AG61" i="16"/>
  <c r="AH61" i="16"/>
  <c r="AJ61" i="16"/>
  <c r="AK61" i="16"/>
  <c r="AL61" i="16"/>
  <c r="AM61" i="16"/>
  <c r="AO61" i="16"/>
  <c r="AP61" i="16"/>
  <c r="AQ61" i="16"/>
  <c r="AR61" i="16"/>
  <c r="AS61" i="16"/>
  <c r="H62" i="16"/>
  <c r="M62" i="16"/>
  <c r="S62" i="16"/>
  <c r="X62" i="16"/>
  <c r="Z62" i="16"/>
  <c r="H63" i="16"/>
  <c r="M63" i="16"/>
  <c r="S63" i="16"/>
  <c r="X63" i="16"/>
  <c r="Z63" i="16"/>
  <c r="AA63" i="16" s="1"/>
  <c r="H64" i="16"/>
  <c r="M64" i="16"/>
  <c r="S64" i="16"/>
  <c r="X64" i="16"/>
  <c r="Z64" i="16"/>
  <c r="AA64" i="16" s="1"/>
  <c r="H65" i="16"/>
  <c r="M65" i="16"/>
  <c r="S65" i="16"/>
  <c r="X65" i="16"/>
  <c r="Z65" i="16"/>
  <c r="H66" i="16"/>
  <c r="M66" i="16"/>
  <c r="S66" i="16"/>
  <c r="X66" i="16"/>
  <c r="Z66" i="16"/>
  <c r="AA66" i="16" s="1"/>
  <c r="AB66" i="16" s="1"/>
  <c r="H67" i="16"/>
  <c r="M67" i="16"/>
  <c r="S67" i="16"/>
  <c r="X67" i="16"/>
  <c r="Z67" i="16"/>
  <c r="AA67" i="16" s="1"/>
  <c r="AB67" i="16" s="1"/>
  <c r="AD67" i="16" s="1"/>
  <c r="H68" i="16"/>
  <c r="M68" i="16"/>
  <c r="S68" i="16"/>
  <c r="X68" i="16"/>
  <c r="Z68" i="16"/>
  <c r="AA68" i="16" s="1"/>
  <c r="H69" i="16"/>
  <c r="M69" i="16"/>
  <c r="S69" i="16"/>
  <c r="X69" i="16"/>
  <c r="Z69" i="16"/>
  <c r="AA69" i="16" s="1"/>
  <c r="H70" i="16"/>
  <c r="M70" i="16"/>
  <c r="S70" i="16"/>
  <c r="X70" i="16"/>
  <c r="Z70" i="16"/>
  <c r="H71" i="16"/>
  <c r="M71" i="16"/>
  <c r="S71" i="16"/>
  <c r="X71" i="16"/>
  <c r="Z71" i="16"/>
  <c r="AA71" i="16" s="1"/>
  <c r="AB71" i="16" s="1"/>
  <c r="AD71" i="16" s="1"/>
  <c r="D72" i="16"/>
  <c r="E72" i="16"/>
  <c r="F72" i="16"/>
  <c r="G72" i="16"/>
  <c r="I72" i="16"/>
  <c r="J72" i="16"/>
  <c r="K72" i="16"/>
  <c r="L72" i="16"/>
  <c r="N72" i="16"/>
  <c r="O72" i="16"/>
  <c r="P72" i="16"/>
  <c r="Q72" i="16"/>
  <c r="R72" i="16"/>
  <c r="T72" i="16"/>
  <c r="U72" i="16"/>
  <c r="V72" i="16"/>
  <c r="W72" i="16"/>
  <c r="Y72" i="16"/>
  <c r="H73" i="16"/>
  <c r="M73" i="16"/>
  <c r="S73" i="16"/>
  <c r="X73" i="16"/>
  <c r="Y73" i="16"/>
  <c r="Z73" i="16" s="1"/>
  <c r="H74" i="16"/>
  <c r="M74" i="16"/>
  <c r="S74" i="16"/>
  <c r="X74" i="16"/>
  <c r="Y74" i="16"/>
  <c r="Z74" i="16" s="1"/>
  <c r="AA74" i="16" s="1"/>
  <c r="AB74" i="16" s="1"/>
  <c r="AD74" i="16" s="1"/>
  <c r="H75" i="16"/>
  <c r="M75" i="16"/>
  <c r="S75" i="16"/>
  <c r="X75" i="16"/>
  <c r="Y75" i="16"/>
  <c r="Z75" i="16" s="1"/>
  <c r="AA75" i="16" s="1"/>
  <c r="AB75" i="16" s="1"/>
  <c r="AD75" i="16" s="1"/>
  <c r="AE75" i="16" s="1"/>
  <c r="AF75" i="16" s="1"/>
  <c r="AG75" i="16" s="1"/>
  <c r="AH75" i="16" s="1"/>
  <c r="AJ75" i="16" s="1"/>
  <c r="AK75" i="16" s="1"/>
  <c r="AL75" i="16" s="1"/>
  <c r="AM75" i="16" s="1"/>
  <c r="AO75" i="16" s="1"/>
  <c r="H76" i="16"/>
  <c r="M76" i="16"/>
  <c r="S76" i="16"/>
  <c r="X76" i="16"/>
  <c r="Y76" i="16"/>
  <c r="Z76" i="16" s="1"/>
  <c r="AA76" i="16" s="1"/>
  <c r="AB76" i="16" s="1"/>
  <c r="AD76" i="16" s="1"/>
  <c r="H77" i="16"/>
  <c r="M77" i="16"/>
  <c r="S77" i="16"/>
  <c r="X77" i="16"/>
  <c r="Y77" i="16"/>
  <c r="Z77" i="16" s="1"/>
  <c r="H78" i="16"/>
  <c r="M78" i="16"/>
  <c r="S78" i="16"/>
  <c r="X78" i="16"/>
  <c r="Y78" i="16"/>
  <c r="Z78" i="16" s="1"/>
  <c r="AA78" i="16" s="1"/>
  <c r="AB78" i="16" s="1"/>
  <c r="AD78" i="16" s="1"/>
  <c r="D79" i="16"/>
  <c r="E79" i="16"/>
  <c r="F79" i="16"/>
  <c r="G79" i="16"/>
  <c r="I79" i="16"/>
  <c r="J79" i="16"/>
  <c r="K79" i="16"/>
  <c r="L79" i="16"/>
  <c r="N79" i="16"/>
  <c r="O79" i="16"/>
  <c r="P79" i="16"/>
  <c r="Q79" i="16"/>
  <c r="R79" i="16"/>
  <c r="T79" i="16"/>
  <c r="U79" i="16"/>
  <c r="V79" i="16"/>
  <c r="W79" i="16"/>
  <c r="H80" i="16"/>
  <c r="M80" i="16"/>
  <c r="S80" i="16"/>
  <c r="X80" i="16"/>
  <c r="Y80" i="16"/>
  <c r="H81" i="16"/>
  <c r="M81" i="16"/>
  <c r="S81" i="16"/>
  <c r="X81" i="16"/>
  <c r="Y81" i="16"/>
  <c r="Z81" i="16" s="1"/>
  <c r="AA81" i="16" s="1"/>
  <c r="AB81" i="16" s="1"/>
  <c r="AD81" i="16" s="1"/>
  <c r="AE81" i="16" s="1"/>
  <c r="AF81" i="16" s="1"/>
  <c r="AG81" i="16" s="1"/>
  <c r="AH81" i="16" s="1"/>
  <c r="AJ81" i="16" s="1"/>
  <c r="H82" i="16"/>
  <c r="M82" i="16"/>
  <c r="S82" i="16"/>
  <c r="X82" i="16"/>
  <c r="Y82" i="16"/>
  <c r="Z82" i="16" s="1"/>
  <c r="AA82" i="16" s="1"/>
  <c r="AB82" i="16" s="1"/>
  <c r="AD82" i="16" s="1"/>
  <c r="H83" i="16"/>
  <c r="M83" i="16"/>
  <c r="S83" i="16"/>
  <c r="X83" i="16"/>
  <c r="Y83" i="16"/>
  <c r="Z83" i="16" s="1"/>
  <c r="AA83" i="16" s="1"/>
  <c r="AB83" i="16" s="1"/>
  <c r="AD83" i="16" s="1"/>
  <c r="H84" i="16"/>
  <c r="M84" i="16"/>
  <c r="S84" i="16"/>
  <c r="X84" i="16"/>
  <c r="Y84" i="16"/>
  <c r="Z84" i="16" s="1"/>
  <c r="AA84" i="16" s="1"/>
  <c r="AB84" i="16" s="1"/>
  <c r="AD84" i="16" s="1"/>
  <c r="AE84" i="16" s="1"/>
  <c r="AF84" i="16" s="1"/>
  <c r="AG84" i="16" s="1"/>
  <c r="AH84" i="16" s="1"/>
  <c r="AJ84" i="16" s="1"/>
  <c r="H85" i="16"/>
  <c r="M85" i="16"/>
  <c r="S85" i="16"/>
  <c r="X85" i="16"/>
  <c r="Y85" i="16"/>
  <c r="Z85" i="16" s="1"/>
  <c r="AA85" i="16" s="1"/>
  <c r="AB85" i="16" s="1"/>
  <c r="AD85" i="16" s="1"/>
  <c r="D86" i="16"/>
  <c r="E86" i="16"/>
  <c r="F86" i="16"/>
  <c r="G86" i="16"/>
  <c r="G88" i="16" s="1"/>
  <c r="I86" i="16"/>
  <c r="J86" i="16"/>
  <c r="J88" i="16" s="1"/>
  <c r="K86" i="16"/>
  <c r="K88" i="16" s="1"/>
  <c r="L86" i="16"/>
  <c r="L88" i="16" s="1"/>
  <c r="S86" i="16"/>
  <c r="X86" i="16"/>
  <c r="Y86" i="16"/>
  <c r="Z86" i="16" s="1"/>
  <c r="AA86" i="16" s="1"/>
  <c r="AB86" i="16" s="1"/>
  <c r="AD86" i="16" s="1"/>
  <c r="H87" i="16"/>
  <c r="M87" i="16"/>
  <c r="S87" i="16"/>
  <c r="X87" i="16"/>
  <c r="Y87" i="16"/>
  <c r="Z87" i="16" s="1"/>
  <c r="D88" i="16"/>
  <c r="E88" i="16"/>
  <c r="F88" i="16"/>
  <c r="I88" i="16"/>
  <c r="N88" i="16"/>
  <c r="O88" i="16"/>
  <c r="P88" i="16"/>
  <c r="Q88" i="16"/>
  <c r="R88" i="16"/>
  <c r="T88" i="16"/>
  <c r="U88" i="16"/>
  <c r="V88" i="16"/>
  <c r="W88" i="16"/>
  <c r="H89" i="16"/>
  <c r="H90" i="16" s="1"/>
  <c r="M89" i="16"/>
  <c r="M90" i="16" s="1"/>
  <c r="S89" i="16"/>
  <c r="S90" i="16" s="1"/>
  <c r="X89" i="16"/>
  <c r="X90" i="16" s="1"/>
  <c r="Y89" i="16"/>
  <c r="Z89" i="16" s="1"/>
  <c r="AA89" i="16" s="1"/>
  <c r="AA90" i="16" s="1"/>
  <c r="D90" i="16"/>
  <c r="E90" i="16"/>
  <c r="F90" i="16"/>
  <c r="G90" i="16"/>
  <c r="I90" i="16"/>
  <c r="J90" i="16"/>
  <c r="K90" i="16"/>
  <c r="L90" i="16"/>
  <c r="N90" i="16"/>
  <c r="O90" i="16"/>
  <c r="P90" i="16"/>
  <c r="Q90" i="16"/>
  <c r="R90" i="16"/>
  <c r="T90" i="16"/>
  <c r="U90" i="16"/>
  <c r="V90" i="16"/>
  <c r="W90" i="16"/>
  <c r="H91" i="16"/>
  <c r="M91" i="16"/>
  <c r="S91" i="16"/>
  <c r="X91" i="16"/>
  <c r="AI91" i="16"/>
  <c r="AN91" i="16"/>
  <c r="AT91" i="16"/>
  <c r="H93" i="16"/>
  <c r="M93" i="16"/>
  <c r="S93" i="16"/>
  <c r="X93" i="16"/>
  <c r="Z93" i="16"/>
  <c r="AA93" i="16" s="1"/>
  <c r="AB93" i="16" s="1"/>
  <c r="D97" i="16"/>
  <c r="E97" i="16"/>
  <c r="F97" i="16"/>
  <c r="G97" i="16"/>
  <c r="H97" i="16"/>
  <c r="I97" i="16"/>
  <c r="J97" i="16"/>
  <c r="K97" i="16"/>
  <c r="L97" i="16"/>
  <c r="M97" i="16"/>
  <c r="N97" i="16"/>
  <c r="O97" i="16"/>
  <c r="P97" i="16"/>
  <c r="Q97" i="16"/>
  <c r="R97" i="16"/>
  <c r="S97" i="16"/>
  <c r="T97" i="16"/>
  <c r="U97" i="16"/>
  <c r="V97" i="16"/>
  <c r="W97" i="16"/>
  <c r="X97" i="16"/>
  <c r="AI97" i="16"/>
  <c r="X54" i="16" l="1"/>
  <c r="AO104" i="16"/>
  <c r="AT104" i="16" s="1"/>
  <c r="AK113" i="16"/>
  <c r="AF113" i="16"/>
  <c r="Y104" i="16"/>
  <c r="Y103" i="16"/>
  <c r="AI114" i="16"/>
  <c r="AS113" i="16"/>
  <c r="Z107" i="16"/>
  <c r="Z104" i="16"/>
  <c r="AJ104" i="16"/>
  <c r="AN104" i="16" s="1"/>
  <c r="S30" i="16"/>
  <c r="AA47" i="16"/>
  <c r="AM47" i="16"/>
  <c r="Y47" i="16"/>
  <c r="AQ47" i="16"/>
  <c r="AI39" i="16"/>
  <c r="AR43" i="16"/>
  <c r="AH43" i="16"/>
  <c r="AC38" i="16"/>
  <c r="M43" i="16"/>
  <c r="AB43" i="16"/>
  <c r="Z43" i="16"/>
  <c r="AA62" i="16"/>
  <c r="Z101" i="16"/>
  <c r="Z103" i="16" s="1"/>
  <c r="Z90" i="16"/>
  <c r="AG112" i="16"/>
  <c r="AG110" i="16"/>
  <c r="AG111" i="16"/>
  <c r="AG114" i="16"/>
  <c r="AP111" i="16"/>
  <c r="AP112" i="16"/>
  <c r="AP110" i="16"/>
  <c r="AP114" i="16"/>
  <c r="AI112" i="16"/>
  <c r="AT45" i="16"/>
  <c r="AT113" i="16" s="1"/>
  <c r="AO113" i="16"/>
  <c r="AG47" i="16"/>
  <c r="AF43" i="16"/>
  <c r="H43" i="16"/>
  <c r="AT111" i="16"/>
  <c r="AT110" i="16"/>
  <c r="AD114" i="16"/>
  <c r="AD111" i="16"/>
  <c r="AD112" i="16"/>
  <c r="AD110" i="16"/>
  <c r="AH114" i="16"/>
  <c r="AH112" i="16"/>
  <c r="AH110" i="16"/>
  <c r="AH111" i="16"/>
  <c r="AM114" i="16"/>
  <c r="AM111" i="16"/>
  <c r="AM112" i="16"/>
  <c r="AM110" i="16"/>
  <c r="AQ111" i="16"/>
  <c r="AQ112" i="16"/>
  <c r="AQ110" i="16"/>
  <c r="AQ114" i="16"/>
  <c r="AJ43" i="16"/>
  <c r="AT114" i="16"/>
  <c r="D47" i="16"/>
  <c r="AC45" i="16"/>
  <c r="AC113" i="16" s="1"/>
  <c r="AK47" i="16"/>
  <c r="AC44" i="16"/>
  <c r="S47" i="16"/>
  <c r="X43" i="16"/>
  <c r="X30" i="16"/>
  <c r="AE111" i="16"/>
  <c r="AE114" i="16"/>
  <c r="AE112" i="16"/>
  <c r="AE110" i="16"/>
  <c r="AJ112" i="16"/>
  <c r="AJ114" i="16"/>
  <c r="AJ111" i="16"/>
  <c r="AJ110" i="16"/>
  <c r="AN112" i="16"/>
  <c r="AR114" i="16"/>
  <c r="AR110" i="16"/>
  <c r="AR111" i="16"/>
  <c r="AR112" i="16"/>
  <c r="AL112" i="16"/>
  <c r="AL110" i="16"/>
  <c r="AL114" i="16"/>
  <c r="AL111" i="16"/>
  <c r="AT112" i="16"/>
  <c r="Y54" i="16"/>
  <c r="AJ47" i="16"/>
  <c r="AE47" i="16"/>
  <c r="AL113" i="16"/>
  <c r="AG113" i="16"/>
  <c r="AS47" i="16"/>
  <c r="AP43" i="16"/>
  <c r="AI111" i="16"/>
  <c r="AI110" i="16"/>
  <c r="AF110" i="16"/>
  <c r="AF111" i="16"/>
  <c r="AF114" i="16"/>
  <c r="AF112" i="16"/>
  <c r="AK112" i="16"/>
  <c r="AK110" i="16"/>
  <c r="AK114" i="16"/>
  <c r="AK111" i="16"/>
  <c r="AO112" i="16"/>
  <c r="AO110" i="16"/>
  <c r="AO114" i="16"/>
  <c r="AO111" i="16"/>
  <c r="AS112" i="16"/>
  <c r="AS110" i="16"/>
  <c r="AS114" i="16"/>
  <c r="AS111" i="16"/>
  <c r="AC54" i="16"/>
  <c r="M54" i="16"/>
  <c r="M61" i="16"/>
  <c r="H61" i="16"/>
  <c r="AC76" i="16"/>
  <c r="AC24" i="16"/>
  <c r="X61" i="16"/>
  <c r="AC41" i="16"/>
  <c r="AL43" i="16"/>
  <c r="AI42" i="16"/>
  <c r="AD43" i="16"/>
  <c r="AR47" i="16"/>
  <c r="X47" i="16"/>
  <c r="AN46" i="16"/>
  <c r="H30" i="16"/>
  <c r="AC9" i="16"/>
  <c r="AN9" i="16"/>
  <c r="AE71" i="16"/>
  <c r="AF71" i="16" s="1"/>
  <c r="AG71" i="16" s="1"/>
  <c r="AH71" i="16" s="1"/>
  <c r="AJ71" i="16" s="1"/>
  <c r="AE67" i="16"/>
  <c r="AF67" i="16" s="1"/>
  <c r="AG67" i="16" s="1"/>
  <c r="AH67" i="16" s="1"/>
  <c r="AJ67" i="16" s="1"/>
  <c r="S72" i="16"/>
  <c r="M72" i="16"/>
  <c r="AC71" i="16"/>
  <c r="Z72" i="16"/>
  <c r="AI9" i="16"/>
  <c r="S37" i="16"/>
  <c r="AT35" i="16"/>
  <c r="AM37" i="16"/>
  <c r="O94" i="16"/>
  <c r="O95" i="16" s="1"/>
  <c r="U94" i="16"/>
  <c r="U96" i="16" s="1"/>
  <c r="I94" i="16"/>
  <c r="I95" i="16" s="1"/>
  <c r="R94" i="16"/>
  <c r="R96" i="16" s="1"/>
  <c r="Q94" i="16"/>
  <c r="Q95" i="16" s="1"/>
  <c r="J94" i="16"/>
  <c r="J95" i="16" s="1"/>
  <c r="T94" i="16"/>
  <c r="T96" i="16" s="1"/>
  <c r="P94" i="16"/>
  <c r="P95" i="16" s="1"/>
  <c r="W94" i="16"/>
  <c r="W95" i="16" s="1"/>
  <c r="L94" i="16"/>
  <c r="L95" i="16" s="1"/>
  <c r="Z79" i="16"/>
  <c r="AA73" i="16"/>
  <c r="AB73" i="16" s="1"/>
  <c r="AC73" i="16" s="1"/>
  <c r="AA77" i="16"/>
  <c r="AB77" i="16" s="1"/>
  <c r="AD77" i="16" s="1"/>
  <c r="AE77" i="16" s="1"/>
  <c r="AF77" i="16" s="1"/>
  <c r="AG77" i="16" s="1"/>
  <c r="AH77" i="16" s="1"/>
  <c r="AJ77" i="16" s="1"/>
  <c r="H47" i="16"/>
  <c r="AA87" i="16"/>
  <c r="AB87" i="16" s="1"/>
  <c r="AD87" i="16" s="1"/>
  <c r="AE87" i="16" s="1"/>
  <c r="AF87" i="16" s="1"/>
  <c r="AG87" i="16" s="1"/>
  <c r="AH87" i="16" s="1"/>
  <c r="AJ87" i="16" s="1"/>
  <c r="AE82" i="16"/>
  <c r="AF82" i="16" s="1"/>
  <c r="AG82" i="16" s="1"/>
  <c r="AH82" i="16" s="1"/>
  <c r="AJ82" i="16" s="1"/>
  <c r="AK82" i="16" s="1"/>
  <c r="AL82" i="16" s="1"/>
  <c r="AM82" i="16" s="1"/>
  <c r="AO82" i="16" s="1"/>
  <c r="Y90" i="16"/>
  <c r="G94" i="16"/>
  <c r="G96" i="16" s="1"/>
  <c r="AC67" i="16"/>
  <c r="AN44" i="16"/>
  <c r="AT42" i="16"/>
  <c r="AN41" i="16"/>
  <c r="S43" i="16"/>
  <c r="AI38" i="16"/>
  <c r="D30" i="16"/>
  <c r="E94" i="16"/>
  <c r="E96" i="16" s="1"/>
  <c r="M24" i="16"/>
  <c r="AT24" i="16"/>
  <c r="AC78" i="16"/>
  <c r="AP47" i="16"/>
  <c r="AE43" i="16"/>
  <c r="AG43" i="16"/>
  <c r="Y43" i="16"/>
  <c r="AG37" i="16"/>
  <c r="Y37" i="16"/>
  <c r="AN24" i="16"/>
  <c r="K94" i="16"/>
  <c r="K96" i="16" s="1"/>
  <c r="X88" i="16"/>
  <c r="AC74" i="16"/>
  <c r="AT46" i="16"/>
  <c r="M47" i="16"/>
  <c r="AI44" i="16"/>
  <c r="AC42" i="16"/>
  <c r="AP37" i="16"/>
  <c r="AR37" i="16"/>
  <c r="AJ37" i="16"/>
  <c r="AQ37" i="16"/>
  <c r="H24" i="16"/>
  <c r="S88" i="16"/>
  <c r="S79" i="16"/>
  <c r="AC66" i="16"/>
  <c r="AH47" i="16"/>
  <c r="AN42" i="16"/>
  <c r="AS37" i="16"/>
  <c r="AK84" i="16"/>
  <c r="AL84" i="16" s="1"/>
  <c r="AM84" i="16" s="1"/>
  <c r="AO84" i="16" s="1"/>
  <c r="AI84" i="16"/>
  <c r="AE83" i="16"/>
  <c r="AF83" i="16" s="1"/>
  <c r="AG83" i="16" s="1"/>
  <c r="AH83" i="16" s="1"/>
  <c r="AJ83" i="16" s="1"/>
  <c r="AE85" i="16"/>
  <c r="AF85" i="16" s="1"/>
  <c r="AG85" i="16" s="1"/>
  <c r="AH85" i="16" s="1"/>
  <c r="AJ85" i="16" s="1"/>
  <c r="AE86" i="16"/>
  <c r="AF86" i="16" s="1"/>
  <c r="AG86" i="16" s="1"/>
  <c r="AH86" i="16" s="1"/>
  <c r="AJ86" i="16" s="1"/>
  <c r="AK81" i="16"/>
  <c r="AL81" i="16" s="1"/>
  <c r="AM81" i="16" s="1"/>
  <c r="AO81" i="16" s="1"/>
  <c r="Z80" i="16"/>
  <c r="Y88" i="16"/>
  <c r="Z47" i="16"/>
  <c r="AI24" i="16"/>
  <c r="AF24" i="16"/>
  <c r="AC81" i="16"/>
  <c r="M79" i="16"/>
  <c r="F94" i="16"/>
  <c r="AB89" i="16"/>
  <c r="AC85" i="16"/>
  <c r="AC83" i="16"/>
  <c r="AI81" i="16"/>
  <c r="AN75" i="16"/>
  <c r="AC75" i="16"/>
  <c r="AA70" i="16"/>
  <c r="AB70" i="16" s="1"/>
  <c r="AD70" i="16" s="1"/>
  <c r="AP75" i="16"/>
  <c r="AQ75" i="16" s="1"/>
  <c r="AR75" i="16" s="1"/>
  <c r="AS75" i="16" s="1"/>
  <c r="AI46" i="16"/>
  <c r="AF47" i="16"/>
  <c r="AT9" i="16"/>
  <c r="AC86" i="16"/>
  <c r="AE78" i="16"/>
  <c r="AF78" i="16" s="1"/>
  <c r="AG78" i="16" s="1"/>
  <c r="AH78" i="16" s="1"/>
  <c r="AJ78" i="16" s="1"/>
  <c r="AE74" i="16"/>
  <c r="AF74" i="16" s="1"/>
  <c r="AG74" i="16" s="1"/>
  <c r="AH74" i="16" s="1"/>
  <c r="AJ74" i="16" s="1"/>
  <c r="AK37" i="16"/>
  <c r="M86" i="16"/>
  <c r="M88" i="16" s="1"/>
  <c r="H86" i="16"/>
  <c r="H88" i="16" s="1"/>
  <c r="AC84" i="16"/>
  <c r="AE76" i="16"/>
  <c r="AF76" i="16" s="1"/>
  <c r="AG76" i="16" s="1"/>
  <c r="AH76" i="16" s="1"/>
  <c r="AJ76" i="16" s="1"/>
  <c r="AI75" i="16"/>
  <c r="AB68" i="16"/>
  <c r="AD68" i="16" s="1"/>
  <c r="X72" i="16"/>
  <c r="AA65" i="16"/>
  <c r="AB65" i="16" s="1"/>
  <c r="AD65" i="16" s="1"/>
  <c r="H72" i="16"/>
  <c r="Y79" i="16"/>
  <c r="H79" i="16"/>
  <c r="S61" i="16"/>
  <c r="AN54" i="16"/>
  <c r="S54" i="16"/>
  <c r="AC39" i="16"/>
  <c r="AA43" i="16"/>
  <c r="Z37" i="16"/>
  <c r="H34" i="16"/>
  <c r="H37" i="16" s="1"/>
  <c r="D37" i="16"/>
  <c r="D94" i="16" s="1"/>
  <c r="AT32" i="16"/>
  <c r="AO37" i="16"/>
  <c r="AC82" i="16"/>
  <c r="X79" i="16"/>
  <c r="AB64" i="16"/>
  <c r="AD64" i="16" s="1"/>
  <c r="AB63" i="16"/>
  <c r="AC46" i="16"/>
  <c r="AB47" i="16"/>
  <c r="AT44" i="16"/>
  <c r="AO47" i="16"/>
  <c r="AT41" i="16"/>
  <c r="AN39" i="16"/>
  <c r="AM43" i="16"/>
  <c r="AB69" i="16"/>
  <c r="AD69" i="16" s="1"/>
  <c r="AI54" i="16"/>
  <c r="AI45" i="16"/>
  <c r="AD47" i="16"/>
  <c r="AI41" i="16"/>
  <c r="AT39" i="16"/>
  <c r="AQ43" i="16"/>
  <c r="AK43" i="16"/>
  <c r="AN38" i="16"/>
  <c r="AD37" i="16"/>
  <c r="AC37" i="16"/>
  <c r="AB37" i="16"/>
  <c r="X37" i="16"/>
  <c r="AT33" i="16"/>
  <c r="M30" i="16"/>
  <c r="S20" i="16"/>
  <c r="S24" i="16" s="1"/>
  <c r="N24" i="16"/>
  <c r="N94" i="16" s="1"/>
  <c r="AL47" i="16"/>
  <c r="AN45" i="16"/>
  <c r="AS43" i="16"/>
  <c r="AT38" i="16"/>
  <c r="AO43" i="16"/>
  <c r="AL37" i="16"/>
  <c r="AT34" i="16"/>
  <c r="M37" i="16"/>
  <c r="V24" i="16"/>
  <c r="V94" i="16" s="1"/>
  <c r="X20" i="16"/>
  <c r="X24" i="16" s="1"/>
  <c r="AC104" i="16" l="1"/>
  <c r="AT47" i="16"/>
  <c r="Y105" i="16"/>
  <c r="AI43" i="16"/>
  <c r="AC43" i="16"/>
  <c r="Z105" i="16"/>
  <c r="AB62" i="16"/>
  <c r="AB72" i="16" s="1"/>
  <c r="AA101" i="16"/>
  <c r="AA103" i="16" s="1"/>
  <c r="AA105" i="16" s="1"/>
  <c r="AN47" i="16"/>
  <c r="AN113" i="16"/>
  <c r="AI47" i="16"/>
  <c r="AI113" i="16"/>
  <c r="AC87" i="16"/>
  <c r="AI78" i="16"/>
  <c r="AA79" i="16"/>
  <c r="AC77" i="16"/>
  <c r="AC79" i="16" s="1"/>
  <c r="AI82" i="16"/>
  <c r="AN84" i="16"/>
  <c r="AC64" i="16"/>
  <c r="AI67" i="16"/>
  <c r="AI71" i="16"/>
  <c r="AN43" i="16"/>
  <c r="AK67" i="16"/>
  <c r="AL67" i="16" s="1"/>
  <c r="AM67" i="16" s="1"/>
  <c r="AO67" i="16" s="1"/>
  <c r="AE69" i="16"/>
  <c r="AF69" i="16" s="1"/>
  <c r="AG69" i="16" s="1"/>
  <c r="AH69" i="16" s="1"/>
  <c r="AJ69" i="16" s="1"/>
  <c r="AE68" i="16"/>
  <c r="AF68" i="16" s="1"/>
  <c r="AG68" i="16" s="1"/>
  <c r="AH68" i="16" s="1"/>
  <c r="AJ68" i="16" s="1"/>
  <c r="AE65" i="16"/>
  <c r="AF65" i="16" s="1"/>
  <c r="AG65" i="16" s="1"/>
  <c r="AH65" i="16" s="1"/>
  <c r="AJ65" i="16" s="1"/>
  <c r="AK71" i="16"/>
  <c r="AL71" i="16" s="1"/>
  <c r="AM71" i="16" s="1"/>
  <c r="AO71" i="16" s="1"/>
  <c r="I96" i="16"/>
  <c r="T95" i="16"/>
  <c r="G95" i="16"/>
  <c r="U95" i="16"/>
  <c r="Q96" i="16"/>
  <c r="O96" i="16"/>
  <c r="M94" i="16"/>
  <c r="M96" i="16" s="1"/>
  <c r="R95" i="16"/>
  <c r="P96" i="16"/>
  <c r="J96" i="16"/>
  <c r="W96" i="16"/>
  <c r="L96" i="16"/>
  <c r="E95" i="16"/>
  <c r="K95" i="16"/>
  <c r="AN82" i="16"/>
  <c r="AI87" i="16"/>
  <c r="AI77" i="16"/>
  <c r="H94" i="16"/>
  <c r="H96" i="16" s="1"/>
  <c r="AT75" i="16"/>
  <c r="AI85" i="16"/>
  <c r="X94" i="16"/>
  <c r="X96" i="16" s="1"/>
  <c r="S94" i="16"/>
  <c r="S96" i="16" s="1"/>
  <c r="D96" i="16"/>
  <c r="D95" i="16"/>
  <c r="AK74" i="16"/>
  <c r="AL74" i="16" s="1"/>
  <c r="AM74" i="16" s="1"/>
  <c r="AO74" i="16" s="1"/>
  <c r="AE70" i="16"/>
  <c r="AF70" i="16" s="1"/>
  <c r="AG70" i="16" s="1"/>
  <c r="AH70" i="16" s="1"/>
  <c r="AJ70" i="16" s="1"/>
  <c r="V95" i="16"/>
  <c r="V96" i="16"/>
  <c r="AE64" i="16"/>
  <c r="AF64" i="16" s="1"/>
  <c r="AG64" i="16" s="1"/>
  <c r="AH64" i="16" s="1"/>
  <c r="AJ64" i="16" s="1"/>
  <c r="AB79" i="16"/>
  <c r="AD73" i="16"/>
  <c r="AN37" i="16"/>
  <c r="AA80" i="16"/>
  <c r="Z88" i="16"/>
  <c r="Z94" i="16" s="1"/>
  <c r="AI37" i="16"/>
  <c r="AD63" i="16"/>
  <c r="AK78" i="16"/>
  <c r="AL78" i="16" s="1"/>
  <c r="AM78" i="16" s="1"/>
  <c r="AO78" i="16" s="1"/>
  <c r="AP81" i="16"/>
  <c r="AQ81" i="16" s="1"/>
  <c r="AR81" i="16" s="1"/>
  <c r="AS81" i="16" s="1"/>
  <c r="AK86" i="16"/>
  <c r="AL86" i="16" s="1"/>
  <c r="AM86" i="16" s="1"/>
  <c r="AO86" i="16" s="1"/>
  <c r="AK87" i="16"/>
  <c r="AL87" i="16" s="1"/>
  <c r="AM87" i="16" s="1"/>
  <c r="AO87" i="16" s="1"/>
  <c r="AE93" i="16"/>
  <c r="AP84" i="16"/>
  <c r="AQ84" i="16" s="1"/>
  <c r="AR84" i="16" s="1"/>
  <c r="AS84" i="16" s="1"/>
  <c r="AK76" i="16"/>
  <c r="AL76" i="16" s="1"/>
  <c r="AM76" i="16" s="1"/>
  <c r="AO76" i="16" s="1"/>
  <c r="F96" i="16"/>
  <c r="F95" i="16"/>
  <c r="AK83" i="16"/>
  <c r="AL83" i="16" s="1"/>
  <c r="AM83" i="16" s="1"/>
  <c r="AO83" i="16" s="1"/>
  <c r="AA72" i="16"/>
  <c r="AC70" i="16"/>
  <c r="AC47" i="16"/>
  <c r="AP82" i="16"/>
  <c r="AQ82" i="16" s="1"/>
  <c r="AR82" i="16" s="1"/>
  <c r="AS82" i="16" s="1"/>
  <c r="AK85" i="16"/>
  <c r="AL85" i="16" s="1"/>
  <c r="AM85" i="16" s="1"/>
  <c r="AO85" i="16" s="1"/>
  <c r="AT43" i="16"/>
  <c r="N96" i="16"/>
  <c r="N95" i="16"/>
  <c r="AC69" i="16"/>
  <c r="AC63" i="16"/>
  <c r="AT37" i="16"/>
  <c r="AC65" i="16"/>
  <c r="AC68" i="16"/>
  <c r="AI76" i="16"/>
  <c r="AI74" i="16"/>
  <c r="AD89" i="16"/>
  <c r="AB90" i="16"/>
  <c r="AC89" i="16"/>
  <c r="AC90" i="16" s="1"/>
  <c r="AN81" i="16"/>
  <c r="AI86" i="16"/>
  <c r="AI83" i="16"/>
  <c r="AK77" i="16"/>
  <c r="AL77" i="16" s="1"/>
  <c r="AM77" i="16" s="1"/>
  <c r="AO77" i="16" s="1"/>
  <c r="AD62" i="16" l="1"/>
  <c r="AB101" i="16"/>
  <c r="AB103" i="16" s="1"/>
  <c r="AB105" i="16" s="1"/>
  <c r="AC62" i="16"/>
  <c r="AC101" i="16" s="1"/>
  <c r="Z96" i="16"/>
  <c r="AN85" i="16"/>
  <c r="AI68" i="16"/>
  <c r="AI69" i="16"/>
  <c r="AN71" i="16"/>
  <c r="AN67" i="16"/>
  <c r="AI65" i="16"/>
  <c r="AK65" i="16"/>
  <c r="AL65" i="16" s="1"/>
  <c r="AM65" i="16" s="1"/>
  <c r="AO65" i="16" s="1"/>
  <c r="AK69" i="16"/>
  <c r="AL69" i="16" s="1"/>
  <c r="AM69" i="16" s="1"/>
  <c r="AO69" i="16" s="1"/>
  <c r="AP71" i="16"/>
  <c r="AQ71" i="16" s="1"/>
  <c r="AR71" i="16" s="1"/>
  <c r="AS71" i="16" s="1"/>
  <c r="AK68" i="16"/>
  <c r="AL68" i="16" s="1"/>
  <c r="AM68" i="16" s="1"/>
  <c r="AO68" i="16" s="1"/>
  <c r="AP67" i="16"/>
  <c r="AQ67" i="16" s="1"/>
  <c r="AR67" i="16" s="1"/>
  <c r="AS67" i="16" s="1"/>
  <c r="AT82" i="16"/>
  <c r="AT84" i="16"/>
  <c r="AN86" i="16"/>
  <c r="AN77" i="16"/>
  <c r="AP83" i="16"/>
  <c r="AQ83" i="16" s="1"/>
  <c r="AR83" i="16" s="1"/>
  <c r="AS83" i="16" s="1"/>
  <c r="AT83" i="16"/>
  <c r="AE73" i="16"/>
  <c r="AD79" i="16"/>
  <c r="AP74" i="16"/>
  <c r="AQ74" i="16" s="1"/>
  <c r="AR74" i="16" s="1"/>
  <c r="AS74" i="16" s="1"/>
  <c r="AE89" i="16"/>
  <c r="AD90" i="16"/>
  <c r="AN83" i="16"/>
  <c r="AN76" i="16"/>
  <c r="AN87" i="16"/>
  <c r="AT81" i="16"/>
  <c r="AE63" i="16"/>
  <c r="AP77" i="16"/>
  <c r="AQ77" i="16" s="1"/>
  <c r="AR77" i="16" s="1"/>
  <c r="AS77" i="16" s="1"/>
  <c r="AF93" i="16"/>
  <c r="AP78" i="16"/>
  <c r="AQ78" i="16" s="1"/>
  <c r="AR78" i="16" s="1"/>
  <c r="AS78" i="16" s="1"/>
  <c r="AB80" i="16"/>
  <c r="AA88" i="16"/>
  <c r="AA94" i="16" s="1"/>
  <c r="AK64" i="16"/>
  <c r="AL64" i="16" s="1"/>
  <c r="AM64" i="16" s="1"/>
  <c r="AO64" i="16" s="1"/>
  <c r="AI70" i="16"/>
  <c r="AP76" i="16"/>
  <c r="AQ76" i="16" s="1"/>
  <c r="AR76" i="16" s="1"/>
  <c r="AS76" i="16" s="1"/>
  <c r="AP87" i="16"/>
  <c r="AQ87" i="16" s="1"/>
  <c r="AR87" i="16" s="1"/>
  <c r="AS87" i="16" s="1"/>
  <c r="Z95" i="16"/>
  <c r="AN74" i="16"/>
  <c r="AP85" i="16"/>
  <c r="AQ85" i="16" s="1"/>
  <c r="AR85" i="16" s="1"/>
  <c r="AS85" i="16" s="1"/>
  <c r="AP86" i="16"/>
  <c r="AQ86" i="16" s="1"/>
  <c r="AR86" i="16" s="1"/>
  <c r="AS86" i="16" s="1"/>
  <c r="AN78" i="16"/>
  <c r="AI64" i="16"/>
  <c r="AK70" i="16"/>
  <c r="AL70" i="16" s="1"/>
  <c r="AM70" i="16" s="1"/>
  <c r="AO70" i="16" s="1"/>
  <c r="AC72" i="16" l="1"/>
  <c r="AN68" i="16"/>
  <c r="AD101" i="16"/>
  <c r="AD103" i="16" s="1"/>
  <c r="AE62" i="16"/>
  <c r="AD72" i="16"/>
  <c r="AC103" i="16"/>
  <c r="AC105" i="16" s="1"/>
  <c r="AK41" i="12" s="1"/>
  <c r="AA96" i="16"/>
  <c r="AT87" i="16"/>
  <c r="AT67" i="16"/>
  <c r="AN65" i="16"/>
  <c r="AT71" i="16"/>
  <c r="AN69" i="16"/>
  <c r="AP69" i="16"/>
  <c r="AQ69" i="16" s="1"/>
  <c r="AR69" i="16" s="1"/>
  <c r="AS69" i="16" s="1"/>
  <c r="AP68" i="16"/>
  <c r="AQ68" i="16" s="1"/>
  <c r="AR68" i="16" s="1"/>
  <c r="AS68" i="16" s="1"/>
  <c r="AP65" i="16"/>
  <c r="AQ65" i="16" s="1"/>
  <c r="AR65" i="16" s="1"/>
  <c r="AS65" i="16" s="1"/>
  <c r="AN70" i="16"/>
  <c r="AT78" i="16"/>
  <c r="AT77" i="16"/>
  <c r="AD80" i="16"/>
  <c r="AB88" i="16"/>
  <c r="AB94" i="16" s="1"/>
  <c r="AN64" i="16"/>
  <c r="AT74" i="16"/>
  <c r="AT76" i="16"/>
  <c r="AC80" i="16"/>
  <c r="AG93" i="16"/>
  <c r="AF63" i="16"/>
  <c r="AE72" i="16"/>
  <c r="AP64" i="16"/>
  <c r="AQ64" i="16" s="1"/>
  <c r="AR64" i="16" s="1"/>
  <c r="AS64" i="16" s="1"/>
  <c r="AF73" i="16"/>
  <c r="AE79" i="16"/>
  <c r="AP70" i="16"/>
  <c r="AQ70" i="16" s="1"/>
  <c r="AR70" i="16" s="1"/>
  <c r="AS70" i="16" s="1"/>
  <c r="AT86" i="16"/>
  <c r="AT85" i="16"/>
  <c r="AA95" i="16"/>
  <c r="AE90" i="16"/>
  <c r="AF89" i="16"/>
  <c r="AE101" i="16" l="1"/>
  <c r="AE103" i="16" s="1"/>
  <c r="AF62" i="16"/>
  <c r="AF72" i="16" s="1"/>
  <c r="AB96" i="16"/>
  <c r="AT65" i="16"/>
  <c r="AT69" i="16"/>
  <c r="AT68" i="16"/>
  <c r="AT70" i="16"/>
  <c r="AG89" i="16"/>
  <c r="AF90" i="16"/>
  <c r="AB95" i="16"/>
  <c r="AG73" i="16"/>
  <c r="AF79" i="16"/>
  <c r="AE80" i="16"/>
  <c r="AD88" i="16"/>
  <c r="AD94" i="16" s="1"/>
  <c r="AG63" i="16"/>
  <c r="AT64" i="16"/>
  <c r="AH93" i="16"/>
  <c r="AF101" i="16" l="1"/>
  <c r="AF103" i="16" s="1"/>
  <c r="AF105" i="16" s="1"/>
  <c r="AG62" i="16"/>
  <c r="AE105" i="16"/>
  <c r="AD96" i="16"/>
  <c r="AH63" i="16"/>
  <c r="AI63" i="16" s="1"/>
  <c r="AG72" i="16"/>
  <c r="AD95" i="16"/>
  <c r="AF80" i="16"/>
  <c r="AE88" i="16"/>
  <c r="AE94" i="16" s="1"/>
  <c r="AH73" i="16"/>
  <c r="AG79" i="16"/>
  <c r="AH89" i="16"/>
  <c r="AG90" i="16"/>
  <c r="AG101" i="16" l="1"/>
  <c r="AG103" i="16" s="1"/>
  <c r="AH62" i="16"/>
  <c r="AH72" i="16" s="1"/>
  <c r="AE96" i="16"/>
  <c r="AE95" i="16"/>
  <c r="AK93" i="16"/>
  <c r="AJ63" i="16"/>
  <c r="AJ73" i="16"/>
  <c r="AH79" i="16"/>
  <c r="AI73" i="16"/>
  <c r="AI79" i="16" s="1"/>
  <c r="AH90" i="16"/>
  <c r="AJ89" i="16"/>
  <c r="AI89" i="16"/>
  <c r="AI90" i="16" s="1"/>
  <c r="AF88" i="16"/>
  <c r="AF94" i="16" s="1"/>
  <c r="AG80" i="16"/>
  <c r="AI62" i="16" l="1"/>
  <c r="AI101" i="16" s="1"/>
  <c r="AG105" i="16"/>
  <c r="AH101" i="16"/>
  <c r="AH103" i="16" s="1"/>
  <c r="AH105" i="16" s="1"/>
  <c r="AJ62" i="16"/>
  <c r="AF96" i="16"/>
  <c r="AF95" i="16"/>
  <c r="AL93" i="16"/>
  <c r="AJ90" i="16"/>
  <c r="AK89" i="16"/>
  <c r="AH80" i="16"/>
  <c r="AG88" i="16"/>
  <c r="AG94" i="16" s="1"/>
  <c r="AK73" i="16"/>
  <c r="AJ79" i="16"/>
  <c r="AK63" i="16"/>
  <c r="AI72" i="16" l="1"/>
  <c r="AI94" i="16" s="1"/>
  <c r="AI96" i="16" s="1"/>
  <c r="AJ101" i="16"/>
  <c r="AJ103" i="16" s="1"/>
  <c r="AJ105" i="16" s="1"/>
  <c r="AK62" i="16"/>
  <c r="AJ72" i="16"/>
  <c r="AI103" i="16"/>
  <c r="AG96" i="16"/>
  <c r="AL63" i="16"/>
  <c r="AK72" i="16"/>
  <c r="AL89" i="16"/>
  <c r="AK90" i="16"/>
  <c r="AG95" i="16"/>
  <c r="AM93" i="16"/>
  <c r="AH88" i="16"/>
  <c r="AH94" i="16" s="1"/>
  <c r="AJ80" i="16"/>
  <c r="AI80" i="16"/>
  <c r="AL73" i="16"/>
  <c r="AK79" i="16"/>
  <c r="AK101" i="16" l="1"/>
  <c r="AK103" i="16" s="1"/>
  <c r="AL62" i="16"/>
  <c r="AH96" i="16"/>
  <c r="AM89" i="16"/>
  <c r="AL90" i="16"/>
  <c r="AM73" i="16"/>
  <c r="AN73" i="16" s="1"/>
  <c r="AN79" i="16" s="1"/>
  <c r="AL79" i="16"/>
  <c r="AK80" i="16"/>
  <c r="AJ88" i="16"/>
  <c r="AJ94" i="16" s="1"/>
  <c r="AH95" i="16"/>
  <c r="AM63" i="16"/>
  <c r="AL101" i="16" l="1"/>
  <c r="AL103" i="16" s="1"/>
  <c r="AL105" i="16" s="1"/>
  <c r="AM62" i="16"/>
  <c r="AN62" i="16" s="1"/>
  <c r="AN101" i="16" s="1"/>
  <c r="AN41" i="12" s="1"/>
  <c r="AL72" i="16"/>
  <c r="AJ96" i="16"/>
  <c r="AK105" i="16"/>
  <c r="AJ95" i="16"/>
  <c r="AM90" i="16"/>
  <c r="AO89" i="16"/>
  <c r="AN89" i="16"/>
  <c r="AN90" i="16" s="1"/>
  <c r="AO63" i="16"/>
  <c r="AN63" i="16"/>
  <c r="AL80" i="16"/>
  <c r="AK88" i="16"/>
  <c r="AK94" i="16" s="1"/>
  <c r="AO73" i="16"/>
  <c r="AM79" i="16"/>
  <c r="AN72" i="16" l="1"/>
  <c r="AM101" i="16"/>
  <c r="AM103" i="16" s="1"/>
  <c r="AM105" i="16" s="1"/>
  <c r="AO62" i="16"/>
  <c r="AM72" i="16"/>
  <c r="AK96" i="16"/>
  <c r="AP73" i="16"/>
  <c r="AO79" i="16"/>
  <c r="AK95" i="16"/>
  <c r="AP63" i="16"/>
  <c r="AO72" i="16"/>
  <c r="AP89" i="16"/>
  <c r="AO90" i="16"/>
  <c r="AQ93" i="16"/>
  <c r="AM80" i="16"/>
  <c r="AL88" i="16"/>
  <c r="AL94" i="16" s="1"/>
  <c r="AN94" i="16"/>
  <c r="AO101" i="16" l="1"/>
  <c r="AO103" i="16" s="1"/>
  <c r="AO105" i="16" s="1"/>
  <c r="AP62" i="16"/>
  <c r="AL96" i="16"/>
  <c r="AN103" i="16"/>
  <c r="AN105" i="16" s="1"/>
  <c r="AO41" i="12" s="1"/>
  <c r="AN96" i="16"/>
  <c r="AL95" i="16"/>
  <c r="AM88" i="16"/>
  <c r="AM94" i="16" s="1"/>
  <c r="AO80" i="16"/>
  <c r="AQ63" i="16"/>
  <c r="AP72" i="16"/>
  <c r="AN80" i="16"/>
  <c r="AR93" i="16"/>
  <c r="AQ89" i="16"/>
  <c r="AP90" i="16"/>
  <c r="AQ73" i="16"/>
  <c r="AP79" i="16"/>
  <c r="AP101" i="16" l="1"/>
  <c r="AP103" i="16" s="1"/>
  <c r="AQ62" i="16"/>
  <c r="AQ72" i="16" s="1"/>
  <c r="AM96" i="16"/>
  <c r="AR63" i="16"/>
  <c r="AR73" i="16"/>
  <c r="AQ79" i="16"/>
  <c r="AP80" i="16"/>
  <c r="AO88" i="16"/>
  <c r="AO94" i="16" s="1"/>
  <c r="AS93" i="16"/>
  <c r="AM95" i="16"/>
  <c r="AQ90" i="16"/>
  <c r="AR89" i="16"/>
  <c r="AQ101" i="16" l="1"/>
  <c r="AQ103" i="16" s="1"/>
  <c r="AQ105" i="16" s="1"/>
  <c r="AR62" i="16"/>
  <c r="AP105" i="16"/>
  <c r="AO96" i="16"/>
  <c r="AS73" i="16"/>
  <c r="AS79" i="16" s="1"/>
  <c r="AR79" i="16"/>
  <c r="AQ80" i="16"/>
  <c r="AP88" i="16"/>
  <c r="AP94" i="16" s="1"/>
  <c r="AS89" i="16"/>
  <c r="AR90" i="16"/>
  <c r="AO95" i="16"/>
  <c r="AS63" i="16"/>
  <c r="AR101" i="16" l="1"/>
  <c r="AR103" i="16" s="1"/>
  <c r="AR105" i="16" s="1"/>
  <c r="AS62" i="16"/>
  <c r="AS101" i="16" s="1"/>
  <c r="AS103" i="16" s="1"/>
  <c r="AS105" i="16" s="1"/>
  <c r="AR72" i="16"/>
  <c r="AP96" i="16"/>
  <c r="AT73" i="16"/>
  <c r="AT79" i="16" s="1"/>
  <c r="AQ88" i="16"/>
  <c r="AQ94" i="16" s="1"/>
  <c r="AR80" i="16"/>
  <c r="AS90" i="16"/>
  <c r="AT89" i="16"/>
  <c r="AT90" i="16" s="1"/>
  <c r="AS72" i="16"/>
  <c r="AT63" i="16"/>
  <c r="AP95" i="16"/>
  <c r="AT62" i="16" l="1"/>
  <c r="AT101" i="16" s="1"/>
  <c r="AP41" i="12" s="1"/>
  <c r="AT72" i="16"/>
  <c r="AT103" i="16"/>
  <c r="AT105" i="16" s="1"/>
  <c r="AQ41" i="12" s="1"/>
  <c r="AQ96" i="16"/>
  <c r="AS80" i="16"/>
  <c r="AR88" i="16"/>
  <c r="AR94" i="16" s="1"/>
  <c r="AT94" i="16"/>
  <c r="AQ95" i="16"/>
  <c r="AR96" i="16" l="1"/>
  <c r="AT96" i="16"/>
  <c r="AR95" i="16"/>
  <c r="AS88" i="16"/>
  <c r="AS94" i="16" s="1"/>
  <c r="AT80" i="16"/>
  <c r="AS96" i="16" l="1"/>
  <c r="AS95" i="16"/>
  <c r="AN5" i="12"/>
  <c r="AN6" i="12"/>
  <c r="AN7" i="12"/>
  <c r="AN18" i="12"/>
  <c r="AN19" i="12"/>
  <c r="AN20" i="12"/>
  <c r="AN21" i="12"/>
  <c r="AN22" i="12"/>
  <c r="AN23" i="12"/>
  <c r="AN24" i="12"/>
  <c r="AN25" i="12"/>
  <c r="AO25" i="12" s="1"/>
  <c r="AN26" i="12"/>
  <c r="AN27" i="12"/>
  <c r="AN28" i="12"/>
  <c r="AN29" i="12"/>
  <c r="AL30" i="12"/>
  <c r="AM30" i="12" s="1"/>
  <c r="AL5" i="12"/>
  <c r="AM5" i="12" s="1"/>
  <c r="AL6" i="12"/>
  <c r="AM6" i="12" s="1"/>
  <c r="AL7" i="12"/>
  <c r="AM7" i="12" s="1"/>
  <c r="AL20" i="12"/>
  <c r="AM20" i="12" s="1"/>
  <c r="AL21" i="12"/>
  <c r="AM21" i="12" s="1"/>
  <c r="AL22" i="12"/>
  <c r="AM22" i="12" s="1"/>
  <c r="AL23" i="12"/>
  <c r="AM23" i="12" s="1"/>
  <c r="AL24" i="12"/>
  <c r="AM24" i="12" s="1"/>
  <c r="AL25" i="12"/>
  <c r="AM25" i="12" s="1"/>
  <c r="AL26" i="12"/>
  <c r="AM26" i="12" s="1"/>
  <c r="AL27" i="12"/>
  <c r="AM27" i="12" s="1"/>
  <c r="AL28" i="12"/>
  <c r="AM28" i="12" s="1"/>
  <c r="AL29" i="12"/>
  <c r="AM29" i="12" s="1"/>
  <c r="AK5" i="12"/>
  <c r="AK6" i="12"/>
  <c r="AK7" i="12"/>
  <c r="AJ5" i="12"/>
  <c r="AJ6" i="12"/>
  <c r="AJ7" i="12"/>
  <c r="D32" i="12"/>
  <c r="M32" i="12"/>
  <c r="N32" i="12"/>
  <c r="O32" i="12"/>
  <c r="E32" i="12"/>
  <c r="U32" i="12"/>
  <c r="AH32" i="12"/>
  <c r="AR30" i="12"/>
  <c r="AR11" i="12"/>
  <c r="AR5" i="12"/>
  <c r="AR6" i="12"/>
  <c r="AR7" i="12"/>
  <c r="AR8" i="12"/>
  <c r="AR9" i="12"/>
  <c r="AR10" i="12"/>
  <c r="AR12" i="12"/>
  <c r="AR13" i="12"/>
  <c r="AR14" i="12"/>
  <c r="AR15" i="12"/>
  <c r="AR16" i="12"/>
  <c r="AR17" i="12"/>
  <c r="AR18" i="12"/>
  <c r="AR19" i="12"/>
  <c r="AR20" i="12"/>
  <c r="AR21" i="12"/>
  <c r="AR22" i="12"/>
  <c r="AR23" i="12"/>
  <c r="AR24" i="12"/>
  <c r="AR25" i="12"/>
  <c r="AR26" i="12"/>
  <c r="AR27" i="12"/>
  <c r="AR28" i="12"/>
  <c r="AR29" i="12"/>
  <c r="AR31" i="12"/>
  <c r="AR4" i="12"/>
  <c r="V32" i="12"/>
  <c r="N2" i="12"/>
  <c r="M2" i="12" s="1"/>
  <c r="F4" i="15"/>
  <c r="G4" i="15"/>
  <c r="H4" i="15"/>
  <c r="F10" i="15"/>
  <c r="O10" i="15" s="1"/>
  <c r="G10" i="15"/>
  <c r="H10" i="15"/>
  <c r="J10" i="15"/>
  <c r="F11" i="15"/>
  <c r="I11" i="15" s="1"/>
  <c r="G11" i="15"/>
  <c r="H11" i="15"/>
  <c r="O11" i="15" s="1"/>
  <c r="F12" i="15"/>
  <c r="P12" i="15" s="1"/>
  <c r="G12" i="15"/>
  <c r="I12" i="15" s="1"/>
  <c r="H12" i="15"/>
  <c r="J12" i="15"/>
  <c r="AO20" i="12" l="1"/>
  <c r="AQ20" i="12" s="1"/>
  <c r="AP20" i="12"/>
  <c r="AO5" i="12"/>
  <c r="AP5" i="12"/>
  <c r="AO23" i="12"/>
  <c r="AQ23" i="12" s="1"/>
  <c r="AP23" i="12"/>
  <c r="AO19" i="12"/>
  <c r="AQ19" i="12" s="1"/>
  <c r="AP19" i="12"/>
  <c r="AO31" i="12"/>
  <c r="AQ31" i="12" s="1"/>
  <c r="AP31" i="12"/>
  <c r="AO26" i="12"/>
  <c r="AQ26" i="12" s="1"/>
  <c r="AP26" i="12"/>
  <c r="AO22" i="12"/>
  <c r="AQ22" i="12" s="1"/>
  <c r="AP22" i="12"/>
  <c r="AO18" i="12"/>
  <c r="AQ18" i="12" s="1"/>
  <c r="AP18" i="12"/>
  <c r="AO7" i="12"/>
  <c r="AQ7" i="12" s="1"/>
  <c r="AP7" i="12"/>
  <c r="AO28" i="12"/>
  <c r="AQ28" i="12" s="1"/>
  <c r="AP28" i="12"/>
  <c r="AO24" i="12"/>
  <c r="AQ24" i="12" s="1"/>
  <c r="AP24" i="12"/>
  <c r="AO27" i="12"/>
  <c r="AQ27" i="12" s="1"/>
  <c r="AP27" i="12"/>
  <c r="AO29" i="12"/>
  <c r="AQ29" i="12" s="1"/>
  <c r="AP29" i="12"/>
  <c r="AQ25" i="12"/>
  <c r="AP25" i="12"/>
  <c r="AO21" i="12"/>
  <c r="AQ21" i="12" s="1"/>
  <c r="AP21" i="12"/>
  <c r="AO6" i="12"/>
  <c r="AQ6" i="12" s="1"/>
  <c r="AP6" i="12"/>
  <c r="AR32" i="12"/>
  <c r="O12" i="15"/>
  <c r="Q11" i="15"/>
  <c r="P11" i="15"/>
  <c r="R11" i="15" s="1"/>
  <c r="T11" i="15" s="1"/>
  <c r="Q10" i="15"/>
  <c r="I10" i="15"/>
  <c r="Q12" i="15"/>
  <c r="R12" i="15" s="1"/>
  <c r="T12" i="15" s="1"/>
  <c r="P10" i="15"/>
  <c r="AE20" i="12"/>
  <c r="AF13" i="12"/>
  <c r="AF15" i="12"/>
  <c r="AF20" i="12"/>
  <c r="AF21" i="12"/>
  <c r="AF22" i="12"/>
  <c r="AF23" i="12"/>
  <c r="AF24" i="12"/>
  <c r="AF25" i="12"/>
  <c r="AJ25" i="12" s="1"/>
  <c r="AK25" i="12" s="1"/>
  <c r="AF26" i="12"/>
  <c r="AF27" i="12"/>
  <c r="AF29" i="12"/>
  <c r="AF30" i="12"/>
  <c r="AJ30" i="12" s="1"/>
  <c r="L20" i="12"/>
  <c r="K13" i="12"/>
  <c r="K14" i="12"/>
  <c r="K15" i="12"/>
  <c r="K16" i="12"/>
  <c r="AB31" i="12"/>
  <c r="AQ5" i="12" l="1"/>
  <c r="AG27" i="12"/>
  <c r="AK27" i="12" s="1"/>
  <c r="AJ27" i="12"/>
  <c r="AG15" i="12"/>
  <c r="AK15" i="12" s="1"/>
  <c r="AJ15" i="12"/>
  <c r="AL15" i="12" s="1"/>
  <c r="AG30" i="12"/>
  <c r="AK30" i="12" s="1"/>
  <c r="AG26" i="12"/>
  <c r="AK26" i="12" s="1"/>
  <c r="AJ26" i="12"/>
  <c r="AG22" i="12"/>
  <c r="AK22" i="12" s="1"/>
  <c r="AJ22" i="12"/>
  <c r="AG13" i="12"/>
  <c r="AK13" i="12" s="1"/>
  <c r="AJ13" i="12"/>
  <c r="AL13" i="12" s="1"/>
  <c r="AG29" i="12"/>
  <c r="AK29" i="12" s="1"/>
  <c r="AJ29" i="12"/>
  <c r="AG25" i="12"/>
  <c r="AG21" i="12"/>
  <c r="AK21" i="12" s="1"/>
  <c r="AJ21" i="12"/>
  <c r="AG23" i="12"/>
  <c r="AK23" i="12" s="1"/>
  <c r="AJ23" i="12"/>
  <c r="AG24" i="12"/>
  <c r="AK24" i="12" s="1"/>
  <c r="AJ24" i="12"/>
  <c r="AG20" i="12"/>
  <c r="AK20" i="12" s="1"/>
  <c r="AJ20" i="12"/>
  <c r="R10" i="15"/>
  <c r="T10" i="15" s="1"/>
  <c r="T13" i="15" s="1"/>
  <c r="AC31" i="12"/>
  <c r="AB30" i="12"/>
  <c r="AC27" i="12"/>
  <c r="AN15" i="12" l="1"/>
  <c r="AM15" i="12"/>
  <c r="AN13" i="12"/>
  <c r="AM13" i="12"/>
  <c r="J10" i="12"/>
  <c r="I10" i="12"/>
  <c r="K10" i="12" s="1"/>
  <c r="AD28" i="12"/>
  <c r="AE23" i="12"/>
  <c r="AE22" i="12"/>
  <c r="AE25" i="12"/>
  <c r="AE24" i="12"/>
  <c r="AE21" i="12"/>
  <c r="AE26" i="12"/>
  <c r="W32" i="12"/>
  <c r="Z32" i="12"/>
  <c r="AA32" i="12"/>
  <c r="AE15" i="12"/>
  <c r="AD12" i="12"/>
  <c r="AD31" i="12"/>
  <c r="AD16" i="12"/>
  <c r="AE13" i="12"/>
  <c r="AD17" i="12"/>
  <c r="AD19" i="12"/>
  <c r="AD18" i="12"/>
  <c r="AD11" i="12"/>
  <c r="AD10" i="12"/>
  <c r="AD9" i="12"/>
  <c r="AD8" i="12"/>
  <c r="AD4" i="12"/>
  <c r="AD34" i="12" l="1"/>
  <c r="AD39" i="12" s="1"/>
  <c r="AD38" i="12"/>
  <c r="AJ12" i="12"/>
  <c r="AL12" i="12"/>
  <c r="AN12" i="12" s="1"/>
  <c r="AF12" i="12"/>
  <c r="AD40" i="12"/>
  <c r="AP13" i="12"/>
  <c r="AO13" i="12"/>
  <c r="AQ13" i="12" s="1"/>
  <c r="AD35" i="12"/>
  <c r="AF8" i="12"/>
  <c r="AP15" i="12"/>
  <c r="AO15" i="12"/>
  <c r="AQ15" i="12" s="1"/>
  <c r="AE8" i="12"/>
  <c r="AE4" i="12"/>
  <c r="AF4" i="12"/>
  <c r="AE17" i="12"/>
  <c r="AF17" i="12"/>
  <c r="AE18" i="12"/>
  <c r="AF18" i="12"/>
  <c r="AE9" i="12"/>
  <c r="AF9" i="12"/>
  <c r="AJ9" i="12" s="1"/>
  <c r="AK9" i="12" s="1"/>
  <c r="AE19" i="12"/>
  <c r="AF19" i="12"/>
  <c r="AE16" i="12"/>
  <c r="AF16" i="12"/>
  <c r="AE11" i="12"/>
  <c r="AF11" i="12"/>
  <c r="AE12" i="12"/>
  <c r="AK12" i="12" s="1"/>
  <c r="AE10" i="12"/>
  <c r="AE14" i="12"/>
  <c r="AK14" i="12" s="1"/>
  <c r="AM14" i="12" s="1"/>
  <c r="AE31" i="12"/>
  <c r="AF31" i="12"/>
  <c r="AE28" i="12"/>
  <c r="AF28" i="12"/>
  <c r="AD32" i="12"/>
  <c r="AF38" i="12" l="1"/>
  <c r="AG31" i="12"/>
  <c r="AJ31" i="12"/>
  <c r="AK31" i="12" s="1"/>
  <c r="AG11" i="12"/>
  <c r="AJ11" i="12"/>
  <c r="AK11" i="12" s="1"/>
  <c r="AJ4" i="12"/>
  <c r="AG4" i="12"/>
  <c r="AF34" i="12"/>
  <c r="AF39" i="12" s="1"/>
  <c r="AF35" i="12"/>
  <c r="AJ8" i="12"/>
  <c r="AK8" i="12" s="1"/>
  <c r="AE35" i="12"/>
  <c r="AE38" i="12"/>
  <c r="AO14" i="12"/>
  <c r="AQ14" i="12" s="1"/>
  <c r="AP14" i="12"/>
  <c r="AE34" i="12"/>
  <c r="AE39" i="12" s="1"/>
  <c r="AE32" i="12"/>
  <c r="AG19" i="12"/>
  <c r="AK19" i="12" s="1"/>
  <c r="AJ19" i="12"/>
  <c r="AG18" i="12"/>
  <c r="AK18" i="12" s="1"/>
  <c r="AJ18" i="12"/>
  <c r="AF32" i="12"/>
  <c r="AG10" i="12"/>
  <c r="AG28" i="12"/>
  <c r="AK28" i="12" s="1"/>
  <c r="AJ28" i="12"/>
  <c r="AG12" i="12"/>
  <c r="AG16" i="12"/>
  <c r="AK16" i="12" s="1"/>
  <c r="AJ16" i="12"/>
  <c r="AL16" i="12" s="1"/>
  <c r="AN16" i="12" s="1"/>
  <c r="AG9" i="12"/>
  <c r="AG17" i="12"/>
  <c r="AK17" i="12" s="1"/>
  <c r="AJ17" i="12"/>
  <c r="AL17" i="12" s="1"/>
  <c r="AG8" i="12"/>
  <c r="AK38" i="12" l="1"/>
  <c r="AJ38" i="12"/>
  <c r="AE40" i="12"/>
  <c r="AN17" i="12"/>
  <c r="AM17" i="12"/>
  <c r="AK4" i="12"/>
  <c r="AK34" i="12" s="1"/>
  <c r="AK39" i="12" s="1"/>
  <c r="AJ34" i="12"/>
  <c r="AJ39" i="12" s="1"/>
  <c r="AG35" i="12"/>
  <c r="AG32" i="12"/>
  <c r="AF40" i="12"/>
  <c r="AG38" i="12"/>
  <c r="AG34" i="12"/>
  <c r="AG39" i="12" s="1"/>
  <c r="AJ35" i="12"/>
  <c r="AJ32" i="12"/>
  <c r="AC29" i="12"/>
  <c r="AC30" i="12"/>
  <c r="AB28" i="12"/>
  <c r="AC28" i="12" s="1"/>
  <c r="AB10" i="12"/>
  <c r="AC10" i="12" s="1"/>
  <c r="AC23" i="12"/>
  <c r="AC22" i="12"/>
  <c r="AC21" i="12"/>
  <c r="AC20" i="12"/>
  <c r="AC25" i="12"/>
  <c r="AC24" i="12"/>
  <c r="AC26" i="12"/>
  <c r="AC13" i="12"/>
  <c r="AB16" i="12"/>
  <c r="AC16" i="12" s="1"/>
  <c r="AC17" i="12"/>
  <c r="AB12" i="12"/>
  <c r="AC14" i="12"/>
  <c r="AB19" i="12"/>
  <c r="AC19" i="12" s="1"/>
  <c r="AB18" i="12"/>
  <c r="AC18" i="12" s="1"/>
  <c r="AB8" i="12"/>
  <c r="AB11" i="12"/>
  <c r="AC11" i="12" s="1"/>
  <c r="AB9" i="12"/>
  <c r="AC9" i="12" s="1"/>
  <c r="AB4" i="12"/>
  <c r="Y27" i="12"/>
  <c r="Y29" i="12"/>
  <c r="Y30" i="12"/>
  <c r="Y28" i="12"/>
  <c r="X10" i="12"/>
  <c r="Y23" i="12"/>
  <c r="Y22" i="12"/>
  <c r="Y20" i="12"/>
  <c r="Y25" i="12"/>
  <c r="Y24" i="12"/>
  <c r="Y21" i="12"/>
  <c r="Y26" i="12"/>
  <c r="Y13" i="12"/>
  <c r="X31" i="12"/>
  <c r="AL31" i="12" s="1"/>
  <c r="X16" i="12"/>
  <c r="Y15" i="12"/>
  <c r="Y17" i="12"/>
  <c r="X12" i="12"/>
  <c r="X19" i="12"/>
  <c r="X18" i="12"/>
  <c r="X11" i="12"/>
  <c r="X8" i="12"/>
  <c r="AL8" i="12" s="1"/>
  <c r="X9" i="12"/>
  <c r="AL9" i="12" s="1"/>
  <c r="X4" i="12"/>
  <c r="AL4" i="12" s="1"/>
  <c r="X38" i="12" l="1"/>
  <c r="AM8" i="12"/>
  <c r="X35" i="12"/>
  <c r="X34" i="12"/>
  <c r="X39" i="12" s="1"/>
  <c r="AP17" i="12"/>
  <c r="AO17" i="12"/>
  <c r="AQ17" i="12" s="1"/>
  <c r="AL19" i="12"/>
  <c r="AM19" i="12" s="1"/>
  <c r="AG40" i="12"/>
  <c r="AK35" i="12"/>
  <c r="AK32" i="12"/>
  <c r="AG37" i="12"/>
  <c r="AC12" i="12"/>
  <c r="AC38" i="12" s="1"/>
  <c r="AB38" i="12"/>
  <c r="AC8" i="12"/>
  <c r="AC35" i="12" s="1"/>
  <c r="AB35" i="12"/>
  <c r="AB34" i="12"/>
  <c r="AB39" i="12" s="1"/>
  <c r="AJ40" i="12"/>
  <c r="AK40" i="12"/>
  <c r="Y31" i="12"/>
  <c r="AM31" i="12"/>
  <c r="Y10" i="12"/>
  <c r="AM10" i="12"/>
  <c r="Y8" i="12"/>
  <c r="Y4" i="12"/>
  <c r="Y18" i="12"/>
  <c r="AL18" i="12"/>
  <c r="AM18" i="12" s="1"/>
  <c r="Y12" i="12"/>
  <c r="Y11" i="12"/>
  <c r="AL11" i="12"/>
  <c r="AM11" i="12" s="1"/>
  <c r="Y9" i="12"/>
  <c r="AM9" i="12"/>
  <c r="Y19" i="12"/>
  <c r="Y16" i="12"/>
  <c r="AM16" i="12"/>
  <c r="AB32" i="12"/>
  <c r="X32" i="12"/>
  <c r="AC4" i="12"/>
  <c r="Y35" i="12" l="1"/>
  <c r="AL34" i="12"/>
  <c r="AL39" i="12" s="1"/>
  <c r="X40" i="12"/>
  <c r="Y34" i="12"/>
  <c r="Y39" i="12" s="1"/>
  <c r="Y38" i="12"/>
  <c r="AK37" i="12"/>
  <c r="AB40" i="12"/>
  <c r="AM12" i="12"/>
  <c r="AM38" i="12" s="1"/>
  <c r="AL38" i="12"/>
  <c r="AL35" i="12"/>
  <c r="AC32" i="12"/>
  <c r="AC34" i="12"/>
  <c r="AC39" i="12" s="1"/>
  <c r="Y32" i="12"/>
  <c r="AM4" i="12"/>
  <c r="AL32" i="12"/>
  <c r="Y40" i="12" l="1"/>
  <c r="AM35" i="12"/>
  <c r="AM32" i="12"/>
  <c r="AC40" i="12"/>
  <c r="AL40" i="12"/>
  <c r="AM34" i="12"/>
  <c r="AM39" i="12" s="1"/>
  <c r="AM40" i="12" s="1"/>
  <c r="J31" i="12"/>
  <c r="I31" i="12"/>
  <c r="J12" i="12"/>
  <c r="I12" i="12"/>
  <c r="K12" i="12" s="1"/>
  <c r="K38" i="12" s="1"/>
  <c r="J11" i="12"/>
  <c r="I11" i="12"/>
  <c r="J9" i="12"/>
  <c r="I9" i="12"/>
  <c r="J8" i="12"/>
  <c r="I8" i="12"/>
  <c r="AM37" i="12" l="1"/>
  <c r="K11" i="12"/>
  <c r="L9" i="12"/>
  <c r="K9" i="12"/>
  <c r="L8" i="12"/>
  <c r="K8" i="12"/>
  <c r="J4" i="12"/>
  <c r="I4" i="12"/>
  <c r="G31" i="12"/>
  <c r="F12" i="12"/>
  <c r="F38" i="12" s="1"/>
  <c r="K35" i="12" l="1"/>
  <c r="L4" i="12"/>
  <c r="K4" i="12"/>
  <c r="K32" i="12" s="1"/>
  <c r="F11" i="12"/>
  <c r="F10" i="12"/>
  <c r="F9" i="12"/>
  <c r="F8" i="12"/>
  <c r="F4" i="12"/>
  <c r="P16" i="12"/>
  <c r="P38" i="12" s="1"/>
  <c r="P11" i="12"/>
  <c r="AN11" i="12" s="1"/>
  <c r="P10" i="12"/>
  <c r="P9" i="12"/>
  <c r="AN9" i="12" s="1"/>
  <c r="P8" i="12"/>
  <c r="AN8" i="12" s="1"/>
  <c r="P4" i="12"/>
  <c r="AN4" i="12" s="1"/>
  <c r="F34" i="12" l="1"/>
  <c r="F39" i="12" s="1"/>
  <c r="F40" i="12" s="1"/>
  <c r="K34" i="12"/>
  <c r="K39" i="12" s="1"/>
  <c r="K40" i="12" s="1"/>
  <c r="AO8" i="12"/>
  <c r="AQ8" i="12" s="1"/>
  <c r="P35" i="12"/>
  <c r="F35" i="12"/>
  <c r="P34" i="12"/>
  <c r="P39" i="12" s="1"/>
  <c r="AN38" i="12"/>
  <c r="AO9" i="12"/>
  <c r="AQ9" i="12" s="1"/>
  <c r="AP9" i="12"/>
  <c r="AO16" i="12"/>
  <c r="AQ16" i="12" s="1"/>
  <c r="AP16" i="12"/>
  <c r="AO10" i="12"/>
  <c r="AQ10" i="12" s="1"/>
  <c r="AP10" i="12"/>
  <c r="AO11" i="12"/>
  <c r="AQ11" i="12" s="1"/>
  <c r="AP11" i="12"/>
  <c r="AP8" i="12"/>
  <c r="AN35" i="12"/>
  <c r="AO12" i="12"/>
  <c r="AO38" i="12" s="1"/>
  <c r="AP12" i="12"/>
  <c r="AN34" i="12"/>
  <c r="AN39" i="12" s="1"/>
  <c r="F32" i="12"/>
  <c r="P40" i="12" l="1"/>
  <c r="AP35" i="12"/>
  <c r="AP4" i="12"/>
  <c r="AP34" i="12" s="1"/>
  <c r="AP39" i="12" s="1"/>
  <c r="AO4" i="12"/>
  <c r="AQ4" i="12" s="1"/>
  <c r="AQ34" i="12" s="1"/>
  <c r="AQ39" i="12" s="1"/>
  <c r="AP38" i="12"/>
  <c r="AQ12" i="12"/>
  <c r="AQ38" i="12" s="1"/>
  <c r="AN40" i="12"/>
  <c r="AO35" i="12"/>
  <c r="AO37" i="12" s="1"/>
  <c r="AQ35" i="12"/>
  <c r="T29" i="12"/>
  <c r="S10" i="12"/>
  <c r="T10" i="12" s="1"/>
  <c r="S30" i="12"/>
  <c r="T30" i="12" s="1"/>
  <c r="T28" i="12"/>
  <c r="T27" i="12"/>
  <c r="T26" i="12"/>
  <c r="T21" i="12"/>
  <c r="T24" i="12"/>
  <c r="T25" i="12"/>
  <c r="T20" i="12"/>
  <c r="T22" i="12"/>
  <c r="T23" i="12"/>
  <c r="S12" i="12"/>
  <c r="S11" i="12"/>
  <c r="T11" i="12" s="1"/>
  <c r="T31" i="12"/>
  <c r="T19" i="12"/>
  <c r="S18" i="12"/>
  <c r="T18" i="12" s="1"/>
  <c r="T13" i="12"/>
  <c r="S16" i="12"/>
  <c r="T16" i="12" s="1"/>
  <c r="S15" i="12"/>
  <c r="T15" i="12" s="1"/>
  <c r="T17" i="12"/>
  <c r="S9" i="12"/>
  <c r="T9" i="12" s="1"/>
  <c r="S8" i="12"/>
  <c r="S4" i="12"/>
  <c r="AQ40" i="12" l="1"/>
  <c r="S34" i="12"/>
  <c r="S39" i="12" s="1"/>
  <c r="AO34" i="12"/>
  <c r="AO39" i="12" s="1"/>
  <c r="AO40" i="12" s="1"/>
  <c r="AR40" i="12" s="1"/>
  <c r="T12" i="12"/>
  <c r="T38" i="12" s="1"/>
  <c r="S38" i="12"/>
  <c r="T8" i="12"/>
  <c r="T35" i="12" s="1"/>
  <c r="S35" i="12"/>
  <c r="AP40" i="12"/>
  <c r="AR38" i="12"/>
  <c r="AR35" i="12"/>
  <c r="AR34" i="12"/>
  <c r="AQ37" i="12"/>
  <c r="AR37" i="12" s="1"/>
  <c r="T4" i="12"/>
  <c r="S32" i="12"/>
  <c r="AR39" i="12" l="1"/>
  <c r="S40" i="12"/>
  <c r="T32" i="12"/>
  <c r="T34" i="12"/>
  <c r="T39" i="12" s="1"/>
  <c r="Q10" i="12"/>
  <c r="J32" i="12"/>
  <c r="P30" i="12"/>
  <c r="Q27" i="12"/>
  <c r="Q20" i="12"/>
  <c r="Q21" i="12"/>
  <c r="Q22" i="12"/>
  <c r="Q23" i="12"/>
  <c r="Q24" i="12"/>
  <c r="Q25" i="12"/>
  <c r="Q26" i="12"/>
  <c r="Q28" i="12"/>
  <c r="Q31" i="12"/>
  <c r="Q17" i="12"/>
  <c r="Q14" i="12"/>
  <c r="Q15" i="12"/>
  <c r="Q16" i="12"/>
  <c r="Q12" i="12"/>
  <c r="Q13" i="12"/>
  <c r="Q11" i="12"/>
  <c r="Q9" i="12"/>
  <c r="Q8" i="12"/>
  <c r="Q4" i="12"/>
  <c r="T40" i="12" l="1"/>
  <c r="Q34" i="12"/>
  <c r="Q39" i="12" s="1"/>
  <c r="Q35" i="12"/>
  <c r="Q38" i="12"/>
  <c r="P32" i="12"/>
  <c r="AN30" i="12"/>
  <c r="AP30" i="12" s="1"/>
  <c r="AP32" i="12" s="1"/>
  <c r="Q30" i="12"/>
  <c r="Q32" i="12" s="1"/>
  <c r="Q40" i="12" l="1"/>
  <c r="AO30" i="12"/>
  <c r="AO32" i="12" s="1"/>
  <c r="AN32" i="12"/>
  <c r="L30" i="12"/>
  <c r="L27" i="12"/>
  <c r="L28" i="12"/>
  <c r="L21" i="12"/>
  <c r="L22" i="12"/>
  <c r="L23" i="12"/>
  <c r="L24" i="12"/>
  <c r="L25" i="12"/>
  <c r="L26" i="12"/>
  <c r="L15" i="12"/>
  <c r="L14" i="12"/>
  <c r="L16" i="12"/>
  <c r="L12" i="12"/>
  <c r="L13" i="12"/>
  <c r="I32" i="12"/>
  <c r="AO44" i="12" l="1"/>
  <c r="L38" i="12"/>
  <c r="AQ30" i="12"/>
  <c r="AQ32" i="12" s="1"/>
  <c r="AQ44" i="12" s="1"/>
  <c r="AX39" i="12" s="1"/>
  <c r="L31" i="12"/>
  <c r="L10" i="12"/>
  <c r="L35" i="12" s="1"/>
  <c r="L11" i="12"/>
  <c r="L34" i="12" l="1"/>
  <c r="L39" i="12" s="1"/>
  <c r="L40" i="12" s="1"/>
  <c r="L32" i="12"/>
  <c r="G28" i="12"/>
  <c r="G27" i="12"/>
  <c r="G21" i="12"/>
  <c r="G22" i="12"/>
  <c r="G23" i="12"/>
  <c r="G24" i="12"/>
  <c r="G25" i="12"/>
  <c r="G26" i="12"/>
  <c r="G20" i="12"/>
  <c r="G12" i="12"/>
  <c r="G16" i="12"/>
  <c r="G14" i="12"/>
  <c r="G13" i="12"/>
  <c r="G11" i="12"/>
  <c r="G10" i="12"/>
  <c r="G9" i="12"/>
  <c r="G8" i="12"/>
  <c r="G4" i="12"/>
  <c r="G38" i="12" l="1"/>
  <c r="G34" i="12"/>
  <c r="G39" i="12" s="1"/>
  <c r="G32" i="12"/>
  <c r="G35" i="12"/>
  <c r="AR33" i="12" l="1"/>
  <c r="G40" i="12"/>
  <c r="AC56" i="16" l="1"/>
  <c r="AC61" i="16" s="1"/>
  <c r="Y61" i="16"/>
  <c r="Y94" i="16" s="1"/>
  <c r="Y96" i="16" l="1"/>
  <c r="Y95" i="16"/>
  <c r="AC94" i="16" l="1"/>
  <c r="AC96" i="16" l="1"/>
  <c r="AI104" i="16" l="1"/>
  <c r="AI105" i="16" l="1"/>
  <c r="AM41" i="12" s="1"/>
  <c r="AU107" i="16"/>
  <c r="AD105" i="16"/>
  <c r="AX34" i="12" l="1"/>
  <c r="AY34" i="12" s="1"/>
  <c r="AR41" i="12"/>
  <c r="AQ46" i="12" l="1"/>
  <c r="AR46" i="12" s="1"/>
  <c r="AS46" i="12" s="1"/>
  <c r="AR4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Uldis Berķis</author>
    <author>Ģirts Lapiņš</author>
    <author>Raitis Apinis</author>
    <author>allan</author>
  </authors>
  <commentList>
    <comment ref="I11" authorId="0" shapeId="0" xr:uid="{1E2F24BD-9A04-4619-801E-B56261D8EFE9}">
      <text>
        <r>
          <rPr>
            <b/>
            <sz val="9"/>
            <color indexed="81"/>
            <rFont val="Tahoma"/>
            <family val="2"/>
            <charset val="186"/>
          </rPr>
          <t>Uldis Berķis:</t>
        </r>
        <r>
          <rPr>
            <sz val="9"/>
            <color indexed="81"/>
            <rFont val="Tahoma"/>
            <family val="2"/>
            <charset val="186"/>
          </rPr>
          <t xml:space="preserve">
Ar pārlicējiem
</t>
        </r>
      </text>
    </comment>
    <comment ref="E15" authorId="0" shapeId="0" xr:uid="{D86EC3C7-9D94-4ACB-BEF4-E3305823C540}">
      <text>
        <r>
          <rPr>
            <b/>
            <sz val="9"/>
            <color indexed="81"/>
            <rFont val="Tahoma"/>
            <family val="2"/>
            <charset val="186"/>
          </rPr>
          <t>Uldis Berķis:</t>
        </r>
        <r>
          <rPr>
            <sz val="9"/>
            <color indexed="81"/>
            <rFont val="Tahoma"/>
            <family val="2"/>
            <charset val="186"/>
          </rPr>
          <t xml:space="preserve">
Šie ir pie CE par maiju
</t>
        </r>
      </text>
    </comment>
    <comment ref="D16" authorId="1" shapeId="0" xr:uid="{681D5806-EBE1-417E-9E09-145116A2AE02}">
      <text>
        <r>
          <rPr>
            <b/>
            <sz val="9"/>
            <color indexed="81"/>
            <rFont val="Tahoma"/>
            <family val="2"/>
            <charset val="186"/>
          </rPr>
          <t>Ģirts Lapiņš:</t>
        </r>
        <r>
          <rPr>
            <sz val="9"/>
            <color indexed="81"/>
            <rFont val="Tahoma"/>
            <family val="2"/>
            <charset val="186"/>
          </rPr>
          <t xml:space="preserve">
Uztriepes tests individuāli! Skolēni, skolotāji! 72 st der</t>
        </r>
      </text>
    </comment>
    <comment ref="I16" authorId="0" shapeId="0" xr:uid="{D0D5102C-D45C-42B4-805F-8CC47039F3D6}">
      <text>
        <r>
          <rPr>
            <b/>
            <sz val="9"/>
            <color indexed="81"/>
            <rFont val="Tahoma"/>
            <family val="2"/>
            <charset val="186"/>
          </rPr>
          <t>Uldis Berķis:</t>
        </r>
        <r>
          <rPr>
            <sz val="9"/>
            <color indexed="81"/>
            <rFont val="Tahoma"/>
            <family val="2"/>
            <charset val="186"/>
          </rPr>
          <t xml:space="preserve">
Svētdiena 6.06 var būt
</t>
        </r>
      </text>
    </comment>
    <comment ref="D53" authorId="2" shapeId="0" xr:uid="{79CE3218-71F4-4C10-975F-BA6133A8993F}">
      <text>
        <r>
          <rPr>
            <b/>
            <sz val="9"/>
            <color indexed="81"/>
            <rFont val="Tahoma"/>
            <family val="2"/>
          </rPr>
          <t>Raitis Apinis:</t>
        </r>
        <r>
          <rPr>
            <sz val="9"/>
            <color indexed="81"/>
            <rFont val="Tahoma"/>
            <family val="2"/>
          </rPr>
          <t xml:space="preserve">
Testēšanas biežums 1 reizi 4 nedēlās. Plānots testēšanu uzsākt ar 1/4 no testēšanai pakļauto darbinieku skaita. Testēšanas biežums 1 reizi četrās nedēļās.</t>
        </r>
      </text>
    </comment>
    <comment ref="I53" authorId="2" shapeId="0" xr:uid="{BD60B870-76BE-4A06-B3F8-C9EB988EC39F}">
      <text>
        <r>
          <rPr>
            <b/>
            <sz val="9"/>
            <color indexed="81"/>
            <rFont val="Tahoma"/>
            <family val="2"/>
          </rPr>
          <t>Raitis Apinis:</t>
        </r>
        <r>
          <rPr>
            <sz val="9"/>
            <color indexed="81"/>
            <rFont val="Tahoma"/>
            <family val="2"/>
          </rPr>
          <t xml:space="preserve">
Samazinājums par 15%, ņemot vērā vakcinācijas ietekmi.</t>
        </r>
      </text>
    </comment>
    <comment ref="T53" authorId="2" shapeId="0" xr:uid="{7149C026-1062-45DC-B320-8B502470607E}">
      <text>
        <r>
          <rPr>
            <b/>
            <sz val="9"/>
            <color indexed="81"/>
            <rFont val="Tahoma"/>
            <family val="2"/>
          </rPr>
          <t>Raitis Apinis:</t>
        </r>
        <r>
          <rPr>
            <sz val="9"/>
            <color indexed="81"/>
            <rFont val="Tahoma"/>
            <family val="2"/>
          </rPr>
          <t xml:space="preserve">
Samazinājums par 30%, ņemot vērā vakcinācijas ietekmi.</t>
        </r>
      </text>
    </comment>
    <comment ref="N91" authorId="3" shapeId="0" xr:uid="{AC13B6CB-EDE6-4E9D-8D2F-5AEBF64C1A82}">
      <text>
        <r>
          <rPr>
            <b/>
            <sz val="9"/>
            <color indexed="81"/>
            <rFont val="Tahoma"/>
            <family val="2"/>
          </rPr>
          <t xml:space="preserve">allan: VARAM </t>
        </r>
        <r>
          <rPr>
            <sz val="9"/>
            <color indexed="81"/>
            <rFont val="Tahoma"/>
            <family val="2"/>
          </rPr>
          <t xml:space="preserve">
Saistībā ar nākošo periodu šobrīd notiek aktīva saziņa ar kolēģiem, kuri komunicē ar pašvaldībām, tāpēc tuvāko dienu laikā ceram saņemt precīzāku informāciju, kā arī informāciju par papildu vakcinētajiem nodarbinātajiem</t>
        </r>
      </text>
    </comment>
  </commentList>
</comments>
</file>

<file path=xl/sharedStrings.xml><?xml version="1.0" encoding="utf-8"?>
<sst xmlns="http://schemas.openxmlformats.org/spreadsheetml/2006/main" count="388" uniqueCount="315">
  <si>
    <t>SARS-CoV-2 RNS (COVID-19) parauga paņemšana mājās</t>
  </si>
  <si>
    <t>SARS-CoV-2 (COVID-19) transporta barotne ar diviem lokaniem tamponiem</t>
  </si>
  <si>
    <t>47077R</t>
  </si>
  <si>
    <t>47064R</t>
  </si>
  <si>
    <t>47051R</t>
  </si>
  <si>
    <t xml:space="preserve">manipulācija 47259 aizvietota  ar 60162 </t>
  </si>
  <si>
    <t>SARS-CoV-2 RNS (COVID-19) noteikšana ar "pooling" metodi (10 paraugi) (bez parauga paņemšanas)</t>
  </si>
  <si>
    <t>SARS-CoV-2 RNS (COVID-19) noteikšana ar "pooling" metodi (5 paraugi) (bez parauga paņemšanas)</t>
  </si>
  <si>
    <t>47076R</t>
  </si>
  <si>
    <t>SARS-CoV-2 RNS (COVID-19) noteikšana ar reālā laika PĶR (bez parauga paņemšanas) ātrai diagnostikai un diferenciāldiagnostikai (bez reaģenta vērtības)</t>
  </si>
  <si>
    <t>Manipulāciju skaits 2020.gada decembrī dienā</t>
  </si>
  <si>
    <t>Manipulāciju skaits 2020.gada martā dienā (proporcija 67/33%)</t>
  </si>
  <si>
    <t>Manipulāciju skaits 2020.gada martā dienā (proporcija 54/46%)</t>
  </si>
  <si>
    <t>Nepieciešamais finansējums testu skaitam 2021.gada janvāris un februāris pie 9036 analīzēm vidēji dienā (59 dienas) euro</t>
  </si>
  <si>
    <t>SARS-CoV-2 (COVID-19) antigēna noteikšana (Ag eksprestests) (bez reaģenta komplekta vērtības)</t>
  </si>
  <si>
    <t>Veikto manipulāciju skaits janvārī (fakts)</t>
  </si>
  <si>
    <t>SARS-CoV-2 RNS (COVID-19) noteikšana ar "pooling" metodi (3 paraugi) (bez parauga paņemšanas)</t>
  </si>
  <si>
    <t>Veikto manipulāciju skaits februārī (fakts)</t>
  </si>
  <si>
    <t>SARS-CoV-2 RNS (COVID-19) noteikšana ar "pooling" metodi (4 paraugi) (bez parauga paņemšanas)</t>
  </si>
  <si>
    <t>Ceļa izdevumi par 10 minūtēm SARS-CoV-2 (COVID-19) parauga paņemšanai pacienta dzīvesvietā</t>
  </si>
  <si>
    <t>SARS-CoV-2 RNS (COVID-19) noteikšana ar "pooling" metodi (2 paraugi) (bez parauga paņemšanas)</t>
  </si>
  <si>
    <t>SARS-CoV-2 vīrusa variantu skrīninga PĶR tests</t>
  </si>
  <si>
    <t>Nometnes skolēniem</t>
  </si>
  <si>
    <t>Jūlijs-augusts</t>
  </si>
  <si>
    <t>I.</t>
  </si>
  <si>
    <t>Dziesmu svētki</t>
  </si>
  <si>
    <t>Iekšlietu resors:</t>
  </si>
  <si>
    <t>Valsts policija</t>
  </si>
  <si>
    <t>II.-III.</t>
  </si>
  <si>
    <t>IeM struktūrvienības</t>
  </si>
  <si>
    <t>III.</t>
  </si>
  <si>
    <t>Valsts robežsardze</t>
  </si>
  <si>
    <t>Zemkopības resors:</t>
  </si>
  <si>
    <t>Sabiedriskās ēdināšanas nozares darbinieki</t>
  </si>
  <si>
    <t>PVD darbinieki</t>
  </si>
  <si>
    <t>Pārtikas ražošanas nozares darbinieki</t>
  </si>
  <si>
    <t>AG testiem piekrita - 1300</t>
  </si>
  <si>
    <t>Siekalu testiem piekrita-  6300</t>
  </si>
  <si>
    <t>Ekonomikas resors:</t>
  </si>
  <si>
    <t>Skaistumkopšanā nodarbinātie[1]</t>
  </si>
  <si>
    <t>Tirdzniecības zālēs nodarbinātie, lielveikalu darbinieki</t>
  </si>
  <si>
    <t>II.</t>
  </si>
  <si>
    <t>Kritiski svarīgie energoapgādes  un  informācijas un komunikācijas tehnoloģiju komersantu darbinieki</t>
  </si>
  <si>
    <t>II. – III.</t>
  </si>
  <si>
    <t>ap/virs 724</t>
  </si>
  <si>
    <t>Satiksmes resors:</t>
  </si>
  <si>
    <t>Starptautiskā lidosta „Rīga”</t>
  </si>
  <si>
    <t>Transporta un sakaru nozarē strādājošajiem darbiniekiem</t>
  </si>
  <si>
    <t>VAS “Latvijas Pasts”</t>
  </si>
  <si>
    <t>Muzeju personāls, kurš strādā tiešā kontaktā ar apmeklētājiem</t>
  </si>
  <si>
    <t>Latvijas Nacionālā arhīva personāls, kurš strādā tiešā kontaktā ar apmeklētājiem</t>
  </si>
  <si>
    <t>Tieslietu resors:</t>
  </si>
  <si>
    <t>Ieslodzījumu vietu darbinieki un ieslodzītie</t>
  </si>
  <si>
    <t xml:space="preserve">Valsts probācijas dienesta darbinieki </t>
  </si>
  <si>
    <t>Augstākā tiesa</t>
  </si>
  <si>
    <t>Zvērināti notāri un viņu darbinieki visā Latvijā</t>
  </si>
  <si>
    <t>Satversmes tiesa</t>
  </si>
  <si>
    <t>Zvērināti tiesu izpildītāji un viņu darbinieki visā Latvijā</t>
  </si>
  <si>
    <t>Latvijas Republikas Prokuratūras</t>
  </si>
  <si>
    <t>Advokatūra</t>
  </si>
  <si>
    <t>Tiesas</t>
  </si>
  <si>
    <t xml:space="preserve">Kājnieku skolas un pārējās NBS MVP mācību iestāžu darbinieki un apmācāmie karavīri, ja mācības notiek klātienē, </t>
  </si>
  <si>
    <t>t.sk. zemessargu testi pirms došanās uz šīm mācību iestādēm</t>
  </si>
  <si>
    <t>15 Ag testi vai 450 – 500 siekalu testi nedēļā</t>
  </si>
  <si>
    <t>Zemessargi, pirms mācībām klātienē</t>
  </si>
  <si>
    <t>NBS Jūras spēku kuģu personāls pirms dalībām militārajās operācijās/mācībās un ātrās reaģēšanas vienībās</t>
  </si>
  <si>
    <t xml:space="preserve">250 gab. testi (siekalu testi vai deguna un rīkles iztriepe SARS-CoV-2 RNS* noteikšanai) </t>
  </si>
  <si>
    <t xml:space="preserve"> reizi divās nedēļās</t>
  </si>
  <si>
    <t>(* pirms došanos jūrā)</t>
  </si>
  <si>
    <t>NBS struktūrvienības</t>
  </si>
  <si>
    <t>Ag testi- 4 000 gab. mēnesī (ZS) vai 2 000 deguna un rīkles iztriepes SARS-CoV-2 RNS* noteikšanai gab. mēnesī</t>
  </si>
  <si>
    <t>Finanšu resors:</t>
  </si>
  <si>
    <t xml:space="preserve">Valsts ieņēmumu dienests </t>
  </si>
  <si>
    <t>VARAM resors</t>
  </si>
  <si>
    <t>Ārlietu resors</t>
  </si>
  <si>
    <t>Tarifs</t>
  </si>
  <si>
    <t>SKRĪNINGS kopā</t>
  </si>
  <si>
    <t>Esošais SKRĪNINGS (siekalu testi) kopā</t>
  </si>
  <si>
    <t>Esošais SKRĪNINGS (nazofaringālais testi) kopā</t>
  </si>
  <si>
    <t>BEZ SAMAZINÄJUMA: Covid-19 izmeklējumu izmaksas, izņemot skrīningu</t>
  </si>
  <si>
    <t>B scenārijs: Covid-19 izmeklējumu izmaksas, izņemot skrīningu</t>
  </si>
  <si>
    <t>(Esošais SKRĪNINGS (nazofaringālais testi) kopā)</t>
  </si>
  <si>
    <t>Maijs</t>
  </si>
  <si>
    <t>Jūnijs</t>
  </si>
  <si>
    <t>Jūlijs</t>
  </si>
  <si>
    <t>Augusts</t>
  </si>
  <si>
    <t>Septembis</t>
  </si>
  <si>
    <t>Oktobris</t>
  </si>
  <si>
    <t>Novembris</t>
  </si>
  <si>
    <t>Decembris</t>
  </si>
  <si>
    <t xml:space="preserve">Resors/ strādājošo grupas </t>
  </si>
  <si>
    <t>Riska grupa</t>
  </si>
  <si>
    <t xml:space="preserve">Testu  skaits nedēļā  </t>
  </si>
  <si>
    <t xml:space="preserve">3.05.-9.05.  </t>
  </si>
  <si>
    <t xml:space="preserve">10.05.-16.05. </t>
  </si>
  <si>
    <t xml:space="preserve">17.05.-23.05.  </t>
  </si>
  <si>
    <t xml:space="preserve">24.05.-30.05 </t>
  </si>
  <si>
    <t>31.05-6.06.</t>
  </si>
  <si>
    <t>07.06.-13.06.</t>
  </si>
  <si>
    <t>14.06.-20.06.</t>
  </si>
  <si>
    <t>21.06.-27.06.</t>
  </si>
  <si>
    <t>28.06.-4.07.</t>
  </si>
  <si>
    <t>05.07.-11.07.</t>
  </si>
  <si>
    <t>12.07.-18.07.</t>
  </si>
  <si>
    <t>19.07.-25.07.</t>
  </si>
  <si>
    <t>26.07.-01.08.</t>
  </si>
  <si>
    <t>02.08.-08.08.</t>
  </si>
  <si>
    <t>09.08.-15.08.</t>
  </si>
  <si>
    <t>16.08.-22.08.</t>
  </si>
  <si>
    <t>23.08.-29.08.</t>
  </si>
  <si>
    <t>30.08.-5.09.</t>
  </si>
  <si>
    <t>06.09.-12.09.</t>
  </si>
  <si>
    <t>13.09.-19.09.</t>
  </si>
  <si>
    <t>20.09.-26.09.</t>
  </si>
  <si>
    <t>Septembris</t>
  </si>
  <si>
    <t>27.09.-3.10.</t>
  </si>
  <si>
    <t>04.10.-10.10.</t>
  </si>
  <si>
    <t>11.10.-17.10.</t>
  </si>
  <si>
    <t>18.10.-24.10.</t>
  </si>
  <si>
    <t>25.10.-31.10.</t>
  </si>
  <si>
    <t xml:space="preserve">01.11.-07.11. </t>
  </si>
  <si>
    <t xml:space="preserve">08.11.-14.11. </t>
  </si>
  <si>
    <t xml:space="preserve">15.11.-21.11. </t>
  </si>
  <si>
    <t xml:space="preserve">22.11.-28.11. </t>
  </si>
  <si>
    <t>29.11.-5.12.</t>
  </si>
  <si>
    <t>06.12.-12.12.</t>
  </si>
  <si>
    <t>13.12.-19.12.</t>
  </si>
  <si>
    <t>20.12.-26.12.</t>
  </si>
  <si>
    <t>27.12.-02.01.</t>
  </si>
  <si>
    <t xml:space="preserve">Slimnīcu darbinieki </t>
  </si>
  <si>
    <t>Ambulatoro iestāžu darbinieki</t>
  </si>
  <si>
    <t>Stacionārā ilgi aprūpējamie pacienti, kuri nav Covid-19 inficēti</t>
  </si>
  <si>
    <t>Pacientus pavadošās personas</t>
  </si>
  <si>
    <t>NMPD darbinieki, kas strādā uz brigādēm</t>
  </si>
  <si>
    <t xml:space="preserve">I. </t>
  </si>
  <si>
    <t xml:space="preserve">Veselības resors: </t>
  </si>
  <si>
    <t>Skolotāji, skolu darbinieki, kad mācību process notiek klātienē (70% vakc! No septembra)</t>
  </si>
  <si>
    <t>Centralizētie eksāmeni - skolotāji, darbinieki, novērotāji, kas nav 11. rindā</t>
  </si>
  <si>
    <t>Kultūras jomas izglītības iestādes</t>
  </si>
  <si>
    <t>Izglītības iestāžu darbinieki, kurās realizē programmas bērniem ar īpašām vajadzībām ar/bez internāta</t>
  </si>
  <si>
    <t>CE maijā!!!</t>
  </si>
  <si>
    <t>Jurista centralizētais eksāmens augstskolās</t>
  </si>
  <si>
    <t>300 / maijā - jūnijā</t>
  </si>
  <si>
    <t>Sporta nometnes t.sk. skolēniem</t>
  </si>
  <si>
    <t xml:space="preserve">Mūzikas, deju skolu beidzēji  un skolotāji, kas sniedz klātienes konsultācijas </t>
  </si>
  <si>
    <t>Izglītības resors:</t>
  </si>
  <si>
    <t>Sociālās aprūpes centra (SAC) darbinieki un klienti, sociālās aprūpes un palīdzības sniedzēji (ārpus SAC)</t>
  </si>
  <si>
    <t>Patversmes (darbinieki)</t>
  </si>
  <si>
    <t>Pašvaldības sociālie darbinieki, pašvaldības dienas centri</t>
  </si>
  <si>
    <t>Labklājības resors:</t>
  </si>
  <si>
    <t xml:space="preserve">Pašvaldības policija  </t>
  </si>
  <si>
    <t>700 </t>
  </si>
  <si>
    <t>Apsardzes darbinieki</t>
  </si>
  <si>
    <t>II</t>
  </si>
  <si>
    <t>II.?</t>
  </si>
  <si>
    <t>166 </t>
  </si>
  <si>
    <t>Zvēraudzētāju nozares darbinieki</t>
  </si>
  <si>
    <t>10 088 </t>
  </si>
  <si>
    <t>86 278 </t>
  </si>
  <si>
    <t>Autoskolu un sabiedriskās braukšanas instruktori braukšanas instruktori[2]</t>
  </si>
  <si>
    <t>Kultūras sfēras pārstāvji (muzikanti, koristi u.c.), kas piedalās koncertos, izrādēs</t>
  </si>
  <si>
    <t>PCR  testi 3x30</t>
  </si>
  <si>
    <t>Kultūras ministrijas pārziņā esošo augstskolu un tās struktūrvienību studenti un pasniedzēji, kas īsteno programmas klātienē</t>
  </si>
  <si>
    <t>Bibliotēku personāls, kurš strādā tiešā kontaktā ar apmeklētājiem</t>
  </si>
  <si>
    <t>I</t>
  </si>
  <si>
    <t>Kultūras resors:</t>
  </si>
  <si>
    <t>1050 </t>
  </si>
  <si>
    <t>Latvijas Republikas Tiesībsarga biroja darbinieki[4]</t>
  </si>
  <si>
    <t>48 </t>
  </si>
  <si>
    <t>Ārlietu ministrijas Valsts Protokola darbinieki</t>
  </si>
  <si>
    <t xml:space="preserve">Valsts prezidenta kanceleja </t>
  </si>
  <si>
    <t xml:space="preserve">Valsts policijas starptautiskais konvojs </t>
  </si>
  <si>
    <t>Latvijas Antidopinga birojs</t>
  </si>
  <si>
    <t xml:space="preserve">Veselības inspekcija </t>
  </si>
  <si>
    <t>SPKC</t>
  </si>
  <si>
    <t xml:space="preserve">Institūcijas, kuras nodrošina valsts  kritiskās funkcijas </t>
  </si>
  <si>
    <t>50 deguna un rīkles iztriepes vai 50 siekalu testi nedēļā</t>
  </si>
  <si>
    <t>2000 Ag testu vai 1000 deguna un rīkles iztriepes, vai 1000 siekalu testi nedēļā</t>
  </si>
  <si>
    <t>(ZS), vai 3 500  siekalu testi mēnesī (t.sk. 2 000 gab. ZS)</t>
  </si>
  <si>
    <t>Aizsardzības resors:</t>
  </si>
  <si>
    <t>600 siekalu testi</t>
  </si>
  <si>
    <t>255 </t>
  </si>
  <si>
    <t>vidēji mēnesī</t>
  </si>
  <si>
    <t>vidēji dienā</t>
  </si>
  <si>
    <t>Testu skaits, ja poolo pa 5 (no jūnija pa 10))</t>
  </si>
  <si>
    <t>Augstskolas</t>
  </si>
  <si>
    <r>
      <t xml:space="preserve">Pirmsskola (bērnudārzi) – darbinieki – </t>
    </r>
    <r>
      <rPr>
        <i/>
        <sz val="12"/>
        <rFont val="Times New Roman"/>
        <family val="1"/>
        <charset val="186"/>
      </rPr>
      <t>rudens 25% no pašr. apjoma, jo vakcinējas</t>
    </r>
  </si>
  <si>
    <r>
      <rPr>
        <b/>
        <i/>
        <strike/>
        <sz val="12"/>
        <rFont val="Times New Roman"/>
        <family val="1"/>
        <charset val="186"/>
      </rPr>
      <t>35.000</t>
    </r>
    <r>
      <rPr>
        <i/>
        <sz val="12"/>
        <rFont val="Times New Roman"/>
        <family val="1"/>
        <charset val="186"/>
      </rPr>
      <t xml:space="preserve"> 10.500 testi periodā augusts-oktobris</t>
    </r>
  </si>
  <si>
    <r>
      <t>Patvēruma meklētāju izmitināšanas centrs (izmitinātie patvēruma meklētājiem un darbinieki)</t>
    </r>
    <r>
      <rPr>
        <b/>
        <i/>
        <sz val="12"/>
        <rFont val="Times New Roman"/>
        <family val="1"/>
        <charset val="186"/>
      </rPr>
      <t xml:space="preserve"> </t>
    </r>
  </si>
  <si>
    <r>
      <t xml:space="preserve">Sabiedriskā transporta </t>
    </r>
    <r>
      <rPr>
        <sz val="12"/>
        <rFont val="Times New Roman"/>
        <family val="1"/>
      </rPr>
      <t>(pilsētu un starppilsētu) dispečeri un citi</t>
    </r>
    <r>
      <rPr>
        <sz val="12"/>
        <rFont val="Times New Roman"/>
        <family val="1"/>
        <charset val="186"/>
      </rPr>
      <t xml:space="preserve"> </t>
    </r>
    <r>
      <rPr>
        <sz val="12"/>
        <rFont val="Times New Roman"/>
        <family val="1"/>
      </rPr>
      <t>pārvadatāju darbinieki</t>
    </r>
    <r>
      <rPr>
        <sz val="12"/>
        <rFont val="Times New Roman"/>
        <family val="1"/>
        <charset val="186"/>
      </rPr>
      <t xml:space="preserve">, </t>
    </r>
    <r>
      <rPr>
        <sz val="12"/>
        <rFont val="Times New Roman"/>
        <family val="1"/>
      </rPr>
      <t>taksometru vadītāji</t>
    </r>
  </si>
  <si>
    <r>
      <t xml:space="preserve">Pasažiervilcienu konduktori, </t>
    </r>
    <r>
      <rPr>
        <sz val="12"/>
        <rFont val="Times New Roman"/>
        <family val="1"/>
      </rPr>
      <t>auobusu un stāvvietu kontrolieri</t>
    </r>
  </si>
  <si>
    <r>
      <t>987/</t>
    </r>
    <r>
      <rPr>
        <sz val="12"/>
        <rFont val="Times New Roman"/>
        <family val="1"/>
      </rPr>
      <t>167</t>
    </r>
  </si>
  <si>
    <r>
      <t>KM koncertorganizācijas VSIA "Kremerata Baltica" PCR</t>
    </r>
    <r>
      <rPr>
        <b/>
        <i/>
        <sz val="12"/>
        <rFont val="Times New Roman"/>
        <family val="1"/>
        <charset val="186"/>
      </rPr>
      <t xml:space="preserve"> testi</t>
    </r>
    <r>
      <rPr>
        <i/>
        <sz val="12"/>
        <rFont val="Times New Roman"/>
        <family val="1"/>
        <charset val="186"/>
      </rPr>
      <t xml:space="preserve"> starpt.darbības nodrošināšanai</t>
    </r>
  </si>
  <si>
    <t>SARS-CoV-2 (COVID-19) ambulatora parauga(nazofaringāla uztriepe) paņemšana laboratorijā</t>
  </si>
  <si>
    <t>SARS-CoV-2 RNS (COVID-19) noteikšana ar reālā laika PĶR (bez parauga paņemšanas)</t>
  </si>
  <si>
    <t>SARS-CoV-2 RNS (COVID-19) apstiprināšana ar reālā laika PĶR (bez parauga paņemšanas)</t>
  </si>
  <si>
    <t>SARS-CoV-2 RNS (COVID-19) noteikšana ar reālā laika PĶR (bez parauga paņemšanas) ātrai diagnostikai un diferenciāldiagnostikai (ar reaģenta vērtību)</t>
  </si>
  <si>
    <t>SARS-CoV-2 (COVID-19) antigēna noteikšana (Ag eksprestests)</t>
  </si>
  <si>
    <t>Manipulācijas kods</t>
  </si>
  <si>
    <t>Manipulācijas nosaukums</t>
  </si>
  <si>
    <t>47405</t>
  </si>
  <si>
    <t>Siekalu parauga paņemšanas komplekts SARS-CoV-2 (COVID-19) izmeklējumam</t>
  </si>
  <si>
    <t>47407</t>
  </si>
  <si>
    <t>47047R</t>
  </si>
  <si>
    <t>47049R</t>
  </si>
  <si>
    <t>47046R</t>
  </si>
  <si>
    <t>Kopējo antivielu pret SARS-CoV-2 (COVID-19) noteikšana ar imūnfermentatīvo metodi (ELISA, CMIA, ECLIA, CLIA)</t>
  </si>
  <si>
    <t>IgM klases antivielu pret SARS-CoV-2 (COVID-19) noteikšana ar imūnfermentatīvo metodi (ELISA, CMIA, ECLIA, CLIA)</t>
  </si>
  <si>
    <t>Asins ņemšana ar slēgtu sistēmu vienā stobriņā antivielu pret SARS-CoV-2 (COVID-19) noteikšanai</t>
  </si>
  <si>
    <t>SARS-CoV-2 RNS (COVID-19) noteikšana ar reālā laika PĶR (bez parauga paņemšanas) ātrai diagnostikai un diferenciāldiagnostikai - izmeklējums ar  Multiplex reaģentiem</t>
  </si>
  <si>
    <t>IgG klases antivielu pret SARS-CoV-2 (COVID-19) noteikšana ar imūnfermentatīvo metodi (ELISA, CMIA, ECLIA, CLIA)</t>
  </si>
  <si>
    <t>IgG klases antivielu pret SARS-CoV-2 (COVID-19) kvantitatīva noteikšana ar imūnfermentatīvo metodi (ELISA, CMIA, ECLIA, CLIA)</t>
  </si>
  <si>
    <t>IgA klases antivielu pret SARS-CoV-2 (COVID-19) noteikšana ar imūnfermentatīvo metodi (ELISA, CMIA, ECLIA, CLIA)</t>
  </si>
  <si>
    <t>COVID-19 transporta barotne ar diviem lokaniem tamponiem ātrajam molekulārajam testam</t>
  </si>
  <si>
    <t>JANVĀRIS</t>
  </si>
  <si>
    <t>Faktiskās izmaksas par februārī veiktajām manipulācijām,euro</t>
  </si>
  <si>
    <t>Veikto manipulāciju skaits februārī (fakts) līdz 21.02.2021</t>
  </si>
  <si>
    <t>Veikto manipulāciju skaits februārī (fakts) no 22.02.2021</t>
  </si>
  <si>
    <t>FEBRUĀRIS</t>
  </si>
  <si>
    <t>Veikto manipulāciju skaits martā (fakts)</t>
  </si>
  <si>
    <t>MARTS</t>
  </si>
  <si>
    <t>Faktiskās izmaksas par aprīlī veiktajām manipulācijām,euro</t>
  </si>
  <si>
    <t>APRĪLIS</t>
  </si>
  <si>
    <t>Tarifs no 22.02.2021</t>
  </si>
  <si>
    <t>Tarifs no 01.04.2021</t>
  </si>
  <si>
    <t>Veikto manipulāciju skaits maijā (fakts)</t>
  </si>
  <si>
    <t>Faktiskās izmaksas par maijā veiktajām manipulācijām,euro</t>
  </si>
  <si>
    <t>Veikto manipulāciju skaits aprīlī (fakts)</t>
  </si>
  <si>
    <t>MAIJS</t>
  </si>
  <si>
    <t>Stacionārā veikto manipulāciju skaits līdz 1.aprīlim (fakts)</t>
  </si>
  <si>
    <t>JŪNIJS</t>
  </si>
  <si>
    <t>Stacionārā veikto manipulāciju skaits līdz 1.aprīlim (fakts), izrakstīšanas datums maijs</t>
  </si>
  <si>
    <t>Stacionārā veikto manipulāciju skaits no 1 aprīļa (fakts), izrakstīšanas datums maijs</t>
  </si>
  <si>
    <t>Veikto manipulāciju skaits jūnijā (fakts)</t>
  </si>
  <si>
    <t>Stacionārā veikto manipulāciju skaits no 1 aprīļa (fakts), izrakstīšanas datums jūnijs</t>
  </si>
  <si>
    <t>Veikto manipulāciju skaits jūlijā (fakts)</t>
  </si>
  <si>
    <t>JŪLIJS</t>
  </si>
  <si>
    <t>Faktiskās izmaksas par martā veiktajām manipulācijām, euro</t>
  </si>
  <si>
    <t>Faktiskās izmaksas par janvārī veiktajām manipulācijām, euro</t>
  </si>
  <si>
    <t>manipulācija 47259 aizvietota ar 6014 - ceļš par 10.min uz pacienta dzīvesvietu.</t>
  </si>
  <si>
    <t>Nepieciešamais finansējums testu skaitam no 2021.gada  septembra līdz decembrim (122 dienas) euro (testēšanas apjoms dienā sastāda 3 935)</t>
  </si>
  <si>
    <t xml:space="preserve">Nepieciešamais finansējums testu skaitam no 2021.gada maijs līdz augustam (123 dienas) euro (testēšanas apjoms dienā sastāda 5 903) </t>
  </si>
  <si>
    <t>Nepieciešamais finansējums testu skaitam no 2021.gada marts, aprīlis (61 dienas) euro (testēšanas apjoms dienā sastāda 11 806)</t>
  </si>
  <si>
    <t>Faktiskās izmaksas par jūnijā veiktajām manipulācijām, euro</t>
  </si>
  <si>
    <t>Veikto manipulāciju skaits augustā (indikatīvi)</t>
  </si>
  <si>
    <t>Veikto manipulāciju skaits septembrī (indikatīvi)</t>
  </si>
  <si>
    <t>Veikto manipulāciju skaits oktobrī (indikatīvi)</t>
  </si>
  <si>
    <t>Veikto manipulāciju skaits novembrī (indikatīvi)</t>
  </si>
  <si>
    <t>Veikto manipulāciju skaits decembrī (indikatīvi)</t>
  </si>
  <si>
    <t>Izmaksas par veiktajām manipulācijām augustā, euro</t>
  </si>
  <si>
    <t>Izmaksas par veiktajām manipulācijām septembrī, euro</t>
  </si>
  <si>
    <t>Izmaksas par veiktajām manipulācijām oktobrī, euro</t>
  </si>
  <si>
    <t>Izmaksas par veiktajām manipulācijām novembrī, euro</t>
  </si>
  <si>
    <t>Izmaksas par veiktajām manipulācijām decembrī, euro</t>
  </si>
  <si>
    <t>Piemaksa ģimenes ārstam par dokumentācijas un nosūtījuma sagatavošanu, un personas pieteikšanu uz Covid-19 vakcinācijas veikšanu dienas stacionārā personām, kurām vakcinācija tiek veikta, ievērojot īpašu piesardzību.</t>
  </si>
  <si>
    <t>JAUNA</t>
  </si>
  <si>
    <r>
      <t>Piemaksa manipulācijai JAUNA</t>
    </r>
    <r>
      <rPr>
        <i/>
        <sz val="11"/>
        <color rgb="FF000000"/>
        <rFont val="Times New Roman"/>
        <family val="1"/>
        <charset val="186"/>
      </rPr>
      <t xml:space="preserve"> </t>
    </r>
    <r>
      <rPr>
        <sz val="11"/>
        <color rgb="FFFF0000"/>
        <rFont val="Times New Roman"/>
        <family val="1"/>
        <charset val="186"/>
      </rPr>
      <t>par katru nākamo speciālistu</t>
    </r>
    <r>
      <rPr>
        <sz val="11"/>
        <color rgb="FF000000"/>
        <rFont val="Times New Roman"/>
        <family val="1"/>
        <charset val="186"/>
      </rPr>
      <t xml:space="preserve"> pirmreizējā vai atkārotā konsīlijā pacientam, kuram ir kontrindicēta Covid-19 vakcinācija. Vienam pacientam vienu reizi norāda konsīlija vadītājs.</t>
    </r>
  </si>
  <si>
    <t>Ārstu konsīlijs (3 speciālisti) pacientam, kuram ir kontrindicēta Covid-19 vakcinācija. Iekļauta samaksa par visu konsīlijā iesaistīto darbu. Vienam pacientam vienu reizi norāda konsīlija vadītājs.</t>
  </si>
  <si>
    <t>10 = 11 + 12</t>
  </si>
  <si>
    <t>Finanšu ietekme</t>
  </si>
  <si>
    <t>Plānoto pacientu skaits</t>
  </si>
  <si>
    <t>Materiāli</t>
  </si>
  <si>
    <t>Medikamenti / reaģenti</t>
  </si>
  <si>
    <t>M kopā</t>
  </si>
  <si>
    <t>ārstam, māsai un jaunākajam personālām kopā</t>
  </si>
  <si>
    <t>jaunākajam personālam</t>
  </si>
  <si>
    <t>māsai</t>
  </si>
  <si>
    <t>ārstam</t>
  </si>
  <si>
    <t>jaunākajam personālām</t>
  </si>
  <si>
    <t>Tarifs, euro</t>
  </si>
  <si>
    <t>Pārējo pamatlīdzekļu amortizācija n, euro</t>
  </si>
  <si>
    <t>Administratīvās izmaksas A, euro</t>
  </si>
  <si>
    <t>Pieskaitāmās un netiešās ražošanas izmaksas U, euro</t>
  </si>
  <si>
    <t>Citi pieskaitāmie izdevumi, u', euro</t>
  </si>
  <si>
    <t>Iekārtu nolietojums N, euro</t>
  </si>
  <si>
    <t>Ārstniecības līdzekļi M, euro</t>
  </si>
  <si>
    <t>Valsts sociālās adrošināšanas obligātās iemaksas S, euro</t>
  </si>
  <si>
    <t>Darba samaksa D, euro</t>
  </si>
  <si>
    <t>Darba laiks (minūtes)</t>
  </si>
  <si>
    <t>Manipulācijas plānotais nosaukums</t>
  </si>
  <si>
    <t>Manip. kods (ja ir iezīmēts)</t>
  </si>
  <si>
    <t>EURO</t>
  </si>
  <si>
    <t>VSAOI</t>
  </si>
  <si>
    <t>n</t>
  </si>
  <si>
    <t>A</t>
  </si>
  <si>
    <t>U</t>
  </si>
  <si>
    <t>ALGA no 2021. gada</t>
  </si>
  <si>
    <t>Pieejamais finansējums līdz gada beigām</t>
  </si>
  <si>
    <t>Izmaksas gadā (plāns), EUR</t>
  </si>
  <si>
    <t>Dabas aizsardzības pārvalde un Valsts vides dienests</t>
  </si>
  <si>
    <t>s475</t>
  </si>
  <si>
    <t>Asistenti</t>
  </si>
  <si>
    <t>Bāriņtiesas/ārpus ģimenes atbalsta centri, krīzes audžeģimenes</t>
  </si>
  <si>
    <r>
      <rPr>
        <b/>
        <sz val="11"/>
        <color rgb="FFFF0000"/>
        <rFont val="Times New Roman"/>
        <family val="1"/>
      </rPr>
      <t>B scenārijs:</t>
    </r>
    <r>
      <rPr>
        <sz val="11"/>
        <color rgb="FFFF0000"/>
        <rFont val="Times New Roman"/>
        <family val="1"/>
      </rPr>
      <t xml:space="preserve">  Covid-19 saslimušie (% pret AUGUSTU)</t>
    </r>
  </si>
  <si>
    <t>Resoru prognoze par nepieciešamo skrīningu (prioritates)</t>
  </si>
  <si>
    <t>pooli pa 10</t>
  </si>
  <si>
    <t>Avanss prioritārajām grupām ar poolo pa 10 (septembris, oktobris, novembris)</t>
  </si>
  <si>
    <t>A VARIANTS</t>
  </si>
  <si>
    <t>Noņemam nost rezervēto atlikumu, sanāk, ka papildus vajag klāt 2021. gadam</t>
  </si>
  <si>
    <t>Pavisam kopā 2021. gada testēšanai nepieciešami</t>
  </si>
  <si>
    <t>Pavisam kopā 2021. gada testēšanai nepieciešami A variantam</t>
  </si>
  <si>
    <t>2022.gadam papildus nepieciešams par decembri A variants</t>
  </si>
  <si>
    <t>-</t>
  </si>
  <si>
    <r>
      <t xml:space="preserve">Pedagogi, skolu tehniskais personāls, </t>
    </r>
    <r>
      <rPr>
        <sz val="14"/>
        <color rgb="FFFF0000"/>
        <rFont val="Times New Roman"/>
        <family val="1"/>
      </rPr>
      <t>t.s. koledžu vid. izglītības programmās, bērnu un jauniešu interešu izglītības iestādēs, pieaugušo neformālās izglītības iestādēs, pirmsskolas izglītības iestādēs, profesionālās ievirzes izglītības iestādēs, profesionālās pamata un vidējās izglītības iestādēs, profesionālās tālākizglītības un pilnveides izglītības iestādēs, speciālās izglītības iestādēs, vispārējās izglītības iestādēs</t>
    </r>
  </si>
  <si>
    <t>Izglītojamie</t>
  </si>
  <si>
    <t>Skolotāji</t>
  </si>
  <si>
    <t>ar jauno tarifu 3.54 euro</t>
  </si>
  <si>
    <t>tikai skoleni kocini</t>
  </si>
  <si>
    <t>Prioritaras grupas (iznemot skolenus)+ konsilijs (A variants)</t>
  </si>
  <si>
    <t>Prioritara grupa (skoleni) (A variants)</t>
  </si>
  <si>
    <t>tarifs poolings pa 10</t>
  </si>
  <si>
    <t>tarifs testesanas kocini skoleniem</t>
  </si>
  <si>
    <t>Kopā nepieciešams finansējums A variantam</t>
  </si>
  <si>
    <t>Starpība piešķirtam</t>
  </si>
  <si>
    <t>Tarifs no 01.09.2021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</si>
</sst>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 #,##0.00\ &quot;€&quot;_-;\-* #,##0.00\ &quot;€&quot;_-;_-* &quot;-&quot;??\ &quot;€&quot;_-;_-@_-"/>
    <numFmt numFmtId="165" formatCode="_(* #,##0.00_);_(* \(#,##0.00\);_(* &quot;-&quot;??_);_(@_)"/>
    <numFmt numFmtId="166" formatCode="#,##0;\(#,##0\);&quot;-&quot;"/>
    <numFmt numFmtId="167" formatCode="_-* #,##0.00\ _€_-;\-* #,##0.00\ _€_-;_-* &quot;-&quot;??\ _€_-;_-@_-"/>
    <numFmt numFmtId="168" formatCode="[$-409]General"/>
    <numFmt numFmtId="169" formatCode="[$-426]General"/>
    <numFmt numFmtId="170" formatCode="#,##0.00000000000"/>
  </numFmts>
  <fonts count="74" x14ac:knownFonts="1">
    <font>
      <sz val="11"/>
      <color theme="1"/>
      <name val="Calibri"/>
      <family val="2"/>
      <charset val="186"/>
      <scheme val="minor"/>
    </font>
    <font>
      <sz val="11"/>
      <color theme="1"/>
      <name val="Calibri"/>
      <family val="2"/>
      <charset val="186"/>
      <scheme val="minor"/>
    </font>
    <font>
      <sz val="11"/>
      <name val="Times New Roman"/>
      <family val="1"/>
      <charset val="186"/>
    </font>
    <font>
      <sz val="11"/>
      <color theme="1"/>
      <name val="Times New Roman"/>
      <family val="1"/>
      <charset val="186"/>
    </font>
    <font>
      <sz val="10"/>
      <name val="Arial"/>
      <family val="2"/>
      <charset val="186"/>
    </font>
    <font>
      <b/>
      <sz val="11"/>
      <color theme="1"/>
      <name val="Times New Roman"/>
      <family val="1"/>
      <charset val="186"/>
    </font>
    <font>
      <b/>
      <sz val="10"/>
      <color theme="1"/>
      <name val="Times New Roman"/>
      <family val="1"/>
      <charset val="186"/>
    </font>
    <font>
      <sz val="11"/>
      <color rgb="FFFF0000"/>
      <name val="Times New Roman"/>
      <family val="1"/>
      <charset val="186"/>
    </font>
    <font>
      <sz val="11"/>
      <color theme="1"/>
      <name val="Calibri"/>
      <family val="2"/>
      <scheme val="minor"/>
    </font>
    <font>
      <b/>
      <sz val="11"/>
      <color theme="1"/>
      <name val="Calibri"/>
      <family val="2"/>
      <charset val="186"/>
      <scheme val="minor"/>
    </font>
    <font>
      <b/>
      <sz val="11"/>
      <name val="Times New Roman"/>
      <family val="1"/>
      <charset val="186"/>
    </font>
    <font>
      <sz val="11"/>
      <color rgb="FF000000"/>
      <name val="Times New Roman"/>
      <family val="1"/>
      <charset val="186"/>
    </font>
    <font>
      <b/>
      <sz val="12"/>
      <color theme="1"/>
      <name val="Times New Roman"/>
      <family val="1"/>
      <charset val="186"/>
    </font>
    <font>
      <sz val="12"/>
      <color theme="1"/>
      <name val="Times New Roman"/>
      <family val="1"/>
      <charset val="186"/>
    </font>
    <font>
      <sz val="12"/>
      <color rgb="FF000000"/>
      <name val="Times New Roman"/>
      <family val="1"/>
      <charset val="186"/>
    </font>
    <font>
      <u/>
      <sz val="11"/>
      <color theme="10"/>
      <name val="Calibri"/>
      <family val="2"/>
      <charset val="186"/>
      <scheme val="minor"/>
    </font>
    <font>
      <b/>
      <sz val="11"/>
      <color rgb="FF000000"/>
      <name val="Times New Roman"/>
      <family val="1"/>
      <charset val="186"/>
    </font>
    <font>
      <b/>
      <sz val="11"/>
      <color theme="1"/>
      <name val="Times New Roman"/>
      <family val="1"/>
    </font>
    <font>
      <b/>
      <sz val="12"/>
      <color rgb="FFFF0000"/>
      <name val="Times New Roman"/>
      <family val="1"/>
    </font>
    <font>
      <sz val="11"/>
      <color theme="1"/>
      <name val="Times New Roman"/>
      <family val="1"/>
    </font>
    <font>
      <sz val="9"/>
      <color indexed="81"/>
      <name val="Tahoma"/>
      <family val="2"/>
      <charset val="186"/>
    </font>
    <font>
      <b/>
      <sz val="9"/>
      <color indexed="81"/>
      <name val="Tahoma"/>
      <family val="2"/>
      <charset val="186"/>
    </font>
    <font>
      <sz val="11"/>
      <color rgb="FF000000"/>
      <name val="Calibri"/>
      <family val="2"/>
      <charset val="186"/>
    </font>
    <font>
      <b/>
      <sz val="14"/>
      <color theme="1"/>
      <name val="Times New Roman"/>
      <family val="1"/>
      <charset val="186"/>
    </font>
    <font>
      <sz val="11"/>
      <color rgb="FFFF0000"/>
      <name val="Calibri"/>
      <family val="2"/>
      <charset val="186"/>
      <scheme val="minor"/>
    </font>
    <font>
      <i/>
      <sz val="12"/>
      <color rgb="FF00B050"/>
      <name val="Times New Roman"/>
      <family val="1"/>
      <charset val="186"/>
    </font>
    <font>
      <b/>
      <sz val="11"/>
      <color rgb="FFFF0000"/>
      <name val="Calibri"/>
      <family val="2"/>
      <charset val="186"/>
      <scheme val="minor"/>
    </font>
    <font>
      <sz val="12"/>
      <color rgb="FF00B050"/>
      <name val="Times New Roman"/>
      <family val="1"/>
      <charset val="186"/>
    </font>
    <font>
      <b/>
      <sz val="12"/>
      <name val="Times New Roman"/>
      <family val="1"/>
      <charset val="186"/>
    </font>
    <font>
      <sz val="12"/>
      <color rgb="FFFF0000"/>
      <name val="Times New Roman"/>
      <family val="1"/>
      <charset val="186"/>
    </font>
    <font>
      <b/>
      <sz val="14"/>
      <color rgb="FFFF0000"/>
      <name val="Calibri"/>
      <family val="2"/>
      <charset val="186"/>
      <scheme val="minor"/>
    </font>
    <font>
      <sz val="12"/>
      <name val="Times New Roman"/>
      <family val="1"/>
      <charset val="186"/>
    </font>
    <font>
      <sz val="11"/>
      <name val="Calibri"/>
      <family val="2"/>
      <charset val="186"/>
      <scheme val="minor"/>
    </font>
    <font>
      <sz val="11"/>
      <color rgb="FFFF0000"/>
      <name val="Times New Roman"/>
      <family val="1"/>
    </font>
    <font>
      <b/>
      <sz val="9"/>
      <color indexed="81"/>
      <name val="Tahoma"/>
      <family val="2"/>
    </font>
    <font>
      <sz val="9"/>
      <color indexed="81"/>
      <name val="Tahoma"/>
      <family val="2"/>
    </font>
    <font>
      <i/>
      <sz val="12"/>
      <name val="Times New Roman"/>
      <family val="1"/>
      <charset val="186"/>
    </font>
    <font>
      <strike/>
      <sz val="12"/>
      <name val="Calibri"/>
      <family val="2"/>
      <charset val="186"/>
      <scheme val="minor"/>
    </font>
    <font>
      <b/>
      <sz val="11"/>
      <name val="Calibri"/>
      <family val="2"/>
      <charset val="186"/>
      <scheme val="minor"/>
    </font>
    <font>
      <sz val="12"/>
      <name val="Calibri"/>
      <family val="2"/>
      <charset val="186"/>
      <scheme val="minor"/>
    </font>
    <font>
      <b/>
      <sz val="14"/>
      <name val="Times New Roman"/>
      <family val="1"/>
      <charset val="186"/>
    </font>
    <font>
      <b/>
      <sz val="12"/>
      <name val="Calibri"/>
      <family val="2"/>
      <charset val="186"/>
      <scheme val="minor"/>
    </font>
    <font>
      <b/>
      <i/>
      <sz val="12"/>
      <name val="Times New Roman"/>
      <family val="1"/>
      <charset val="186"/>
    </font>
    <font>
      <b/>
      <i/>
      <strike/>
      <sz val="12"/>
      <name val="Times New Roman"/>
      <family val="1"/>
      <charset val="186"/>
    </font>
    <font>
      <u/>
      <sz val="11"/>
      <name val="Calibri"/>
      <family val="2"/>
      <charset val="186"/>
      <scheme val="minor"/>
    </font>
    <font>
      <sz val="12"/>
      <name val="Times New Roman"/>
      <family val="1"/>
    </font>
    <font>
      <sz val="11"/>
      <name val="Times New Roman"/>
      <family val="1"/>
    </font>
    <font>
      <sz val="11"/>
      <color rgb="FF9C6500"/>
      <name val="Calibri"/>
      <family val="2"/>
      <charset val="186"/>
    </font>
    <font>
      <sz val="10"/>
      <color rgb="FF000000"/>
      <name val="Arial"/>
      <family val="2"/>
      <charset val="186"/>
    </font>
    <font>
      <sz val="11"/>
      <color indexed="8"/>
      <name val="Calibri"/>
      <family val="2"/>
      <charset val="186"/>
    </font>
    <font>
      <sz val="11"/>
      <color theme="1"/>
      <name val="Arial"/>
      <family val="2"/>
      <charset val="186"/>
    </font>
    <font>
      <sz val="11"/>
      <color indexed="8"/>
      <name val="Calibri"/>
      <family val="2"/>
      <scheme val="minor"/>
    </font>
    <font>
      <sz val="11"/>
      <color rgb="FF000000"/>
      <name val="Arial"/>
      <family val="2"/>
    </font>
    <font>
      <sz val="11"/>
      <color rgb="FF000000"/>
      <name val="Calibri"/>
      <family val="2"/>
    </font>
    <font>
      <b/>
      <sz val="10"/>
      <name val="Times New Roman"/>
      <family val="1"/>
    </font>
    <font>
      <sz val="10"/>
      <name val="Arial"/>
      <family val="2"/>
    </font>
    <font>
      <sz val="9"/>
      <name val="Times New Roman"/>
      <family val="1"/>
    </font>
    <font>
      <sz val="9"/>
      <color theme="1"/>
      <name val="Times New Roman"/>
      <family val="1"/>
    </font>
    <font>
      <b/>
      <sz val="9"/>
      <color theme="1"/>
      <name val="Times New Roman"/>
      <family val="1"/>
    </font>
    <font>
      <sz val="10"/>
      <color rgb="FFFF0000"/>
      <name val="Times New Roman"/>
      <family val="1"/>
    </font>
    <font>
      <sz val="9"/>
      <color rgb="FFFF0000"/>
      <name val="Times New Roman"/>
      <family val="1"/>
    </font>
    <font>
      <b/>
      <sz val="11"/>
      <color theme="1"/>
      <name val="Calibri"/>
      <family val="2"/>
      <scheme val="minor"/>
    </font>
    <font>
      <sz val="10"/>
      <color theme="1"/>
      <name val="Times New Roman"/>
      <family val="1"/>
    </font>
    <font>
      <b/>
      <sz val="9"/>
      <color theme="1"/>
      <name val="Times New Roman"/>
      <family val="1"/>
      <charset val="186"/>
    </font>
    <font>
      <b/>
      <sz val="9"/>
      <name val="Times New Roman"/>
      <family val="1"/>
      <charset val="186"/>
    </font>
    <font>
      <i/>
      <sz val="11"/>
      <color rgb="FF000000"/>
      <name val="Times New Roman"/>
      <family val="1"/>
      <charset val="186"/>
    </font>
    <font>
      <sz val="12"/>
      <color theme="1"/>
      <name val="Times New Roman"/>
      <family val="1"/>
    </font>
    <font>
      <b/>
      <sz val="14"/>
      <color rgb="FFFF0000"/>
      <name val="Times New Roman"/>
      <family val="1"/>
      <charset val="186"/>
    </font>
    <font>
      <b/>
      <sz val="11"/>
      <color rgb="FFFF0000"/>
      <name val="Times New Roman"/>
      <family val="1"/>
    </font>
    <font>
      <sz val="11"/>
      <color rgb="FF00B050"/>
      <name val="Calibri"/>
      <family val="2"/>
      <charset val="186"/>
      <scheme val="minor"/>
    </font>
    <font>
      <sz val="16"/>
      <color theme="1"/>
      <name val="Calibri"/>
      <family val="2"/>
      <charset val="186"/>
      <scheme val="minor"/>
    </font>
    <font>
      <sz val="14"/>
      <color rgb="FFFF0000"/>
      <name val="Times New Roman"/>
      <family val="1"/>
    </font>
    <font>
      <b/>
      <sz val="10"/>
      <name val="Times New Roman"/>
      <family val="1"/>
      <charset val="186"/>
    </font>
    <font>
      <b/>
      <sz val="11"/>
      <name val="Times New Roman"/>
      <family val="1"/>
    </font>
  </fonts>
  <fills count="28">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rgb="FFFFFF00"/>
        <bgColor indexed="64"/>
      </patternFill>
    </fill>
    <fill>
      <patternFill patternType="solid">
        <fgColor theme="5" tint="0.79998168889431442"/>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rgb="FF99FFCC"/>
        <bgColor indexed="64"/>
      </patternFill>
    </fill>
    <fill>
      <patternFill patternType="solid">
        <fgColor rgb="FFFFFFFF"/>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5" tint="0.39997558519241921"/>
        <bgColor indexed="64"/>
      </patternFill>
    </fill>
    <fill>
      <patternFill patternType="solid">
        <fgColor rgb="FFFFCCFF"/>
        <bgColor indexed="64"/>
      </patternFill>
    </fill>
    <fill>
      <patternFill patternType="solid">
        <fgColor rgb="FFFF99CC"/>
        <bgColor indexed="64"/>
      </patternFill>
    </fill>
    <fill>
      <patternFill patternType="solid">
        <fgColor rgb="FFB2B2B2"/>
        <bgColor indexed="64"/>
      </patternFill>
    </fill>
    <fill>
      <patternFill patternType="solid">
        <fgColor rgb="FF00B0F0"/>
        <bgColor indexed="64"/>
      </patternFill>
    </fill>
    <fill>
      <patternFill patternType="solid">
        <fgColor theme="9"/>
        <bgColor indexed="64"/>
      </patternFill>
    </fill>
    <fill>
      <patternFill patternType="solid">
        <fgColor rgb="FFFFEB9C"/>
        <bgColor rgb="FFFFCC99"/>
      </patternFill>
    </fill>
    <fill>
      <patternFill patternType="solid">
        <fgColor theme="9" tint="0.79998168889431442"/>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rgb="FFFF9933"/>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theme="1"/>
      </left>
      <right style="thin">
        <color theme="1"/>
      </right>
      <top style="thin">
        <color theme="1"/>
      </top>
      <bottom style="thin">
        <color theme="1"/>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thin">
        <color indexed="64"/>
      </top>
      <bottom/>
      <diagonal/>
    </border>
    <border>
      <left/>
      <right style="thin">
        <color indexed="64"/>
      </right>
      <top/>
      <bottom/>
      <diagonal/>
    </border>
    <border>
      <left style="thin">
        <color indexed="64"/>
      </left>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s>
  <cellStyleXfs count="65">
    <xf numFmtId="0" fontId="0" fillId="0" borderId="0"/>
    <xf numFmtId="165" fontId="1" fillId="0" borderId="0" applyFont="0" applyFill="0" applyBorder="0" applyAlignment="0" applyProtection="0"/>
    <xf numFmtId="0" fontId="4" fillId="0" borderId="0"/>
    <xf numFmtId="164" fontId="1" fillId="0" borderId="0" applyFont="0" applyFill="0" applyBorder="0" applyAlignment="0" applyProtection="0"/>
    <xf numFmtId="0" fontId="8" fillId="0" borderId="0"/>
    <xf numFmtId="0" fontId="15" fillId="0" borderId="0" applyNumberFormat="0" applyFill="0" applyBorder="0" applyAlignment="0" applyProtection="0"/>
    <xf numFmtId="0" fontId="8" fillId="0" borderId="0"/>
    <xf numFmtId="0" fontId="47" fillId="23" borderId="0" applyBorder="0" applyProtection="0"/>
    <xf numFmtId="0" fontId="4" fillId="0" borderId="0"/>
    <xf numFmtId="0" fontId="48" fillId="0" borderId="0" applyNumberFormat="0" applyBorder="0" applyProtection="0"/>
    <xf numFmtId="0" fontId="48" fillId="0" borderId="0" applyNumberFormat="0" applyBorder="0" applyProtection="0"/>
    <xf numFmtId="0" fontId="4" fillId="0" borderId="0"/>
    <xf numFmtId="0" fontId="4" fillId="0" borderId="0"/>
    <xf numFmtId="0" fontId="49" fillId="0" borderId="0"/>
    <xf numFmtId="167" fontId="1" fillId="0" borderId="0" applyFont="0" applyFill="0" applyBorder="0" applyAlignment="0" applyProtection="0"/>
    <xf numFmtId="0" fontId="4" fillId="0" borderId="0"/>
    <xf numFmtId="0" fontId="4" fillId="0" borderId="0"/>
    <xf numFmtId="167" fontId="1" fillId="0" borderId="0" applyFont="0" applyFill="0" applyBorder="0" applyAlignment="0" applyProtection="0"/>
    <xf numFmtId="0" fontId="4" fillId="0" borderId="0"/>
    <xf numFmtId="43" fontId="8" fillId="0" borderId="0" applyFont="0" applyFill="0" applyBorder="0" applyAlignment="0" applyProtection="0"/>
    <xf numFmtId="0" fontId="50" fillId="0" borderId="0"/>
    <xf numFmtId="0" fontId="1" fillId="0" borderId="0"/>
    <xf numFmtId="0" fontId="4" fillId="0" borderId="0"/>
    <xf numFmtId="0" fontId="1" fillId="0" borderId="0"/>
    <xf numFmtId="0" fontId="51" fillId="0" borderId="0"/>
    <xf numFmtId="0" fontId="22" fillId="0" borderId="0"/>
    <xf numFmtId="0" fontId="1" fillId="0" borderId="0"/>
    <xf numFmtId="168" fontId="52" fillId="0" borderId="0" applyFont="0" applyBorder="0" applyProtection="0"/>
    <xf numFmtId="168" fontId="52" fillId="0" borderId="0"/>
    <xf numFmtId="169" fontId="53" fillId="0" borderId="0"/>
    <xf numFmtId="43" fontId="8" fillId="0" borderId="0" applyFont="0" applyFill="0" applyBorder="0" applyAlignment="0" applyProtection="0"/>
    <xf numFmtId="0" fontId="4" fillId="0" borderId="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0" fontId="8" fillId="0" borderId="0"/>
    <xf numFmtId="0" fontId="55" fillId="0" borderId="0"/>
    <xf numFmtId="43" fontId="8"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0" fontId="1" fillId="0" borderId="0"/>
    <xf numFmtId="0" fontId="55" fillId="0" borderId="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435">
    <xf numFmtId="0" fontId="0" fillId="0" borderId="0" xfId="0"/>
    <xf numFmtId="0" fontId="0" fillId="0" borderId="0" xfId="0" applyAlignment="1">
      <alignment vertical="center"/>
    </xf>
    <xf numFmtId="0" fontId="0" fillId="0" borderId="0" xfId="0" applyAlignment="1">
      <alignment horizontal="right"/>
    </xf>
    <xf numFmtId="3" fontId="0" fillId="0" borderId="0" xfId="0" applyNumberFormat="1"/>
    <xf numFmtId="0" fontId="0" fillId="0" borderId="1" xfId="0" applyBorder="1"/>
    <xf numFmtId="0" fontId="0" fillId="0" borderId="3" xfId="0" applyBorder="1"/>
    <xf numFmtId="3" fontId="0" fillId="0" borderId="1" xfId="0" applyNumberFormat="1" applyBorder="1"/>
    <xf numFmtId="0" fontId="0" fillId="6" borderId="0" xfId="0" applyFill="1" applyAlignment="1">
      <alignment horizontal="right"/>
    </xf>
    <xf numFmtId="9" fontId="0" fillId="6" borderId="0" xfId="0" applyNumberFormat="1" applyFill="1" applyAlignment="1">
      <alignment horizontal="center"/>
    </xf>
    <xf numFmtId="0" fontId="9" fillId="2" borderId="0" xfId="0" applyFont="1" applyFill="1" applyAlignment="1">
      <alignment horizontal="center" wrapText="1"/>
    </xf>
    <xf numFmtId="0" fontId="9" fillId="2" borderId="0" xfId="0" applyFont="1" applyFill="1" applyAlignment="1">
      <alignment horizontal="center"/>
    </xf>
    <xf numFmtId="0" fontId="12" fillId="0" borderId="1" xfId="0" applyFont="1" applyBorder="1" applyAlignment="1">
      <alignment horizontal="justify" vertical="center" wrapText="1"/>
    </xf>
    <xf numFmtId="0" fontId="12"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0" fontId="14" fillId="13" borderId="15" xfId="0" applyFont="1" applyFill="1" applyBorder="1" applyAlignment="1">
      <alignment horizontal="justify" vertical="center" wrapText="1"/>
    </xf>
    <xf numFmtId="0" fontId="13" fillId="13" borderId="10" xfId="0" applyFont="1" applyFill="1" applyBorder="1" applyAlignment="1">
      <alignment horizontal="center" vertical="center" wrapText="1"/>
    </xf>
    <xf numFmtId="166" fontId="0" fillId="9" borderId="1" xfId="0" applyNumberFormat="1" applyFill="1" applyBorder="1" applyAlignment="1">
      <alignment horizontal="center"/>
    </xf>
    <xf numFmtId="0" fontId="13" fillId="0" borderId="10" xfId="0" applyFont="1" applyBorder="1" applyAlignment="1">
      <alignment horizontal="center" vertical="center" wrapText="1"/>
    </xf>
    <xf numFmtId="0" fontId="13" fillId="0" borderId="16" xfId="0" applyFont="1" applyBorder="1" applyAlignment="1">
      <alignment horizontal="justify" vertical="center" wrapText="1"/>
    </xf>
    <xf numFmtId="0" fontId="13" fillId="0" borderId="5" xfId="0" applyFont="1" applyBorder="1" applyAlignment="1">
      <alignment horizontal="center" vertical="center" wrapText="1"/>
    </xf>
    <xf numFmtId="0" fontId="13" fillId="0" borderId="0" xfId="0" applyFont="1" applyAlignment="1">
      <alignment horizontal="center" vertical="center" wrapText="1"/>
    </xf>
    <xf numFmtId="0" fontId="12" fillId="4" borderId="1" xfId="0" applyFont="1" applyFill="1" applyBorder="1" applyAlignment="1">
      <alignment horizontal="justify" vertical="center" wrapText="1"/>
    </xf>
    <xf numFmtId="0" fontId="13" fillId="4" borderId="1" xfId="0" applyFont="1" applyFill="1" applyBorder="1" applyAlignment="1">
      <alignment horizontal="center" vertical="center" wrapText="1"/>
    </xf>
    <xf numFmtId="166" fontId="0" fillId="4" borderId="1" xfId="0" applyNumberFormat="1" applyFill="1" applyBorder="1" applyAlignment="1">
      <alignment horizontal="center"/>
    </xf>
    <xf numFmtId="3" fontId="24" fillId="0" borderId="1" xfId="0" applyNumberFormat="1" applyFont="1" applyBorder="1"/>
    <xf numFmtId="0" fontId="0" fillId="9" borderId="1" xfId="0" applyFill="1" applyBorder="1"/>
    <xf numFmtId="0" fontId="24" fillId="0" borderId="0" xfId="0" applyFont="1"/>
    <xf numFmtId="0" fontId="26" fillId="0" borderId="0" xfId="0" applyFont="1"/>
    <xf numFmtId="0" fontId="0" fillId="0" borderId="0" xfId="0" applyAlignment="1">
      <alignment horizontal="center" vertical="center" wrapText="1"/>
    </xf>
    <xf numFmtId="0" fontId="26" fillId="0" borderId="0" xfId="0" applyFont="1" applyAlignment="1">
      <alignment wrapText="1"/>
    </xf>
    <xf numFmtId="0" fontId="29" fillId="4" borderId="1" xfId="0" applyFont="1" applyFill="1" applyBorder="1" applyAlignment="1">
      <alignment horizontal="center" vertical="center" wrapText="1"/>
    </xf>
    <xf numFmtId="3" fontId="29" fillId="4" borderId="1" xfId="0" applyNumberFormat="1" applyFont="1" applyFill="1" applyBorder="1" applyAlignment="1">
      <alignment horizontal="center" vertical="center" wrapText="1"/>
    </xf>
    <xf numFmtId="0" fontId="0" fillId="10" borderId="1" xfId="0" applyFill="1" applyBorder="1"/>
    <xf numFmtId="3" fontId="0" fillId="10" borderId="1" xfId="0" applyNumberFormat="1" applyFill="1" applyBorder="1"/>
    <xf numFmtId="0" fontId="14" fillId="4" borderId="1" xfId="0" applyFont="1" applyFill="1" applyBorder="1" applyAlignment="1">
      <alignment horizontal="center" vertical="center" wrapText="1"/>
    </xf>
    <xf numFmtId="0" fontId="27" fillId="4" borderId="1" xfId="0" applyFont="1" applyFill="1" applyBorder="1" applyAlignment="1">
      <alignment horizontal="center" vertical="center" wrapText="1"/>
    </xf>
    <xf numFmtId="0" fontId="0" fillId="2" borderId="0" xfId="0" applyFill="1"/>
    <xf numFmtId="0" fontId="25" fillId="4" borderId="1" xfId="0" applyFont="1" applyFill="1" applyBorder="1" applyAlignment="1">
      <alignment horizontal="center" vertical="center" wrapText="1"/>
    </xf>
    <xf numFmtId="0" fontId="0" fillId="19" borderId="1" xfId="0" applyFill="1" applyBorder="1"/>
    <xf numFmtId="3" fontId="0" fillId="9" borderId="1" xfId="0" applyNumberFormat="1" applyFill="1" applyBorder="1" applyAlignment="1">
      <alignment horizontal="center"/>
    </xf>
    <xf numFmtId="0" fontId="31" fillId="5" borderId="1" xfId="0" applyFont="1" applyFill="1" applyBorder="1" applyAlignment="1">
      <alignment horizontal="center" vertical="center" wrapText="1"/>
    </xf>
    <xf numFmtId="0" fontId="32" fillId="5" borderId="1" xfId="0" applyFont="1" applyFill="1" applyBorder="1"/>
    <xf numFmtId="0" fontId="24" fillId="5" borderId="1" xfId="0" applyFont="1" applyFill="1" applyBorder="1"/>
    <xf numFmtId="0" fontId="0" fillId="5" borderId="1" xfId="0" applyFill="1" applyBorder="1"/>
    <xf numFmtId="0" fontId="33" fillId="5" borderId="3" xfId="0" applyFont="1" applyFill="1" applyBorder="1" applyAlignment="1">
      <alignment horizontal="center" vertical="center"/>
    </xf>
    <xf numFmtId="0" fontId="33" fillId="4" borderId="1" xfId="0" applyFont="1" applyFill="1" applyBorder="1" applyAlignment="1">
      <alignment horizontal="center" vertical="center"/>
    </xf>
    <xf numFmtId="0" fontId="0" fillId="8" borderId="1" xfId="0" applyFill="1" applyBorder="1"/>
    <xf numFmtId="0" fontId="32" fillId="8" borderId="1" xfId="0" applyFont="1" applyFill="1" applyBorder="1"/>
    <xf numFmtId="0" fontId="12" fillId="4" borderId="21" xfId="0" applyFont="1" applyFill="1" applyBorder="1" applyAlignment="1">
      <alignment horizontal="justify" vertical="center" wrapText="1"/>
    </xf>
    <xf numFmtId="0" fontId="13" fillId="0" borderId="22" xfId="0" applyFont="1" applyBorder="1" applyAlignment="1">
      <alignment horizontal="justify" vertical="center" wrapText="1"/>
    </xf>
    <xf numFmtId="0" fontId="13" fillId="11" borderId="1" xfId="0" applyFont="1" applyFill="1" applyBorder="1" applyAlignment="1">
      <alignment horizontal="center" vertical="center" wrapText="1"/>
    </xf>
    <xf numFmtId="0" fontId="0" fillId="11" borderId="1" xfId="0" applyFill="1" applyBorder="1"/>
    <xf numFmtId="0" fontId="0" fillId="4" borderId="1" xfId="0" applyFill="1" applyBorder="1"/>
    <xf numFmtId="0" fontId="24" fillId="4" borderId="1" xfId="0" applyFont="1" applyFill="1" applyBorder="1"/>
    <xf numFmtId="0" fontId="0" fillId="15" borderId="0" xfId="0" applyFill="1" applyAlignment="1">
      <alignment horizontal="right"/>
    </xf>
    <xf numFmtId="166" fontId="0" fillId="15" borderId="0" xfId="0" applyNumberFormat="1" applyFill="1"/>
    <xf numFmtId="166" fontId="9" fillId="15" borderId="0" xfId="0" applyNumberFormat="1" applyFont="1" applyFill="1"/>
    <xf numFmtId="3" fontId="0" fillId="6" borderId="0" xfId="0" applyNumberFormat="1" applyFill="1"/>
    <xf numFmtId="0" fontId="0" fillId="2" borderId="0" xfId="0" applyFill="1" applyAlignment="1">
      <alignment horizontal="right"/>
    </xf>
    <xf numFmtId="166" fontId="0" fillId="2" borderId="0" xfId="0" applyNumberFormat="1" applyFill="1" applyAlignment="1">
      <alignment horizontal="center"/>
    </xf>
    <xf numFmtId="0" fontId="0" fillId="2" borderId="0" xfId="0" applyFill="1" applyAlignment="1">
      <alignment horizontal="center"/>
    </xf>
    <xf numFmtId="3" fontId="9" fillId="12" borderId="0" xfId="0" applyNumberFormat="1" applyFont="1" applyFill="1" applyAlignment="1">
      <alignment horizontal="center"/>
    </xf>
    <xf numFmtId="0" fontId="13" fillId="0" borderId="1" xfId="0" applyFont="1" applyBorder="1" applyAlignment="1">
      <alignment horizontal="center" vertical="center" wrapText="1"/>
    </xf>
    <xf numFmtId="0" fontId="31" fillId="13" borderId="1" xfId="0" applyFont="1" applyFill="1" applyBorder="1" applyAlignment="1">
      <alignment horizontal="justify" vertical="center" wrapText="1"/>
    </xf>
    <xf numFmtId="3" fontId="32" fillId="0" borderId="1" xfId="0" applyNumberFormat="1" applyFont="1" applyBorder="1"/>
    <xf numFmtId="166" fontId="32" fillId="9" borderId="1" xfId="0" applyNumberFormat="1" applyFont="1" applyFill="1" applyBorder="1" applyAlignment="1">
      <alignment horizontal="center"/>
    </xf>
    <xf numFmtId="3" fontId="32" fillId="9" borderId="1" xfId="0" applyNumberFormat="1" applyFont="1" applyFill="1" applyBorder="1"/>
    <xf numFmtId="0" fontId="32" fillId="9" borderId="1" xfId="0" applyFont="1" applyFill="1" applyBorder="1"/>
    <xf numFmtId="0" fontId="32" fillId="0" borderId="1" xfId="0" applyFont="1" applyBorder="1"/>
    <xf numFmtId="0" fontId="36" fillId="13" borderId="1" xfId="0" applyFont="1" applyFill="1" applyBorder="1" applyAlignment="1">
      <alignment horizontal="justify" vertical="center" wrapText="1"/>
    </xf>
    <xf numFmtId="0" fontId="37" fillId="0" borderId="1" xfId="0" applyFont="1" applyBorder="1"/>
    <xf numFmtId="0" fontId="38" fillId="0" borderId="1" xfId="0" applyFont="1" applyBorder="1"/>
    <xf numFmtId="17" fontId="36" fillId="0" borderId="1" xfId="0" applyNumberFormat="1" applyFont="1" applyBorder="1" applyAlignment="1">
      <alignment horizontal="center" vertical="center" wrapText="1"/>
    </xf>
    <xf numFmtId="0" fontId="39" fillId="0" borderId="1" xfId="0" applyFont="1" applyBorder="1"/>
    <xf numFmtId="0" fontId="40" fillId="13" borderId="1" xfId="0" applyFont="1" applyFill="1" applyBorder="1" applyAlignment="1">
      <alignment horizontal="justify" vertical="center" wrapText="1"/>
    </xf>
    <xf numFmtId="0" fontId="41" fillId="0" borderId="21" xfId="0" applyFont="1" applyBorder="1" applyAlignment="1">
      <alignment horizontal="center" wrapText="1"/>
    </xf>
    <xf numFmtId="0" fontId="41" fillId="0" borderId="3" xfId="0" applyFont="1" applyBorder="1" applyAlignment="1">
      <alignment horizontal="center" wrapText="1"/>
    </xf>
    <xf numFmtId="0" fontId="38" fillId="8" borderId="1" xfId="0" applyFont="1" applyFill="1" applyBorder="1"/>
    <xf numFmtId="0" fontId="32" fillId="16" borderId="1" xfId="0" applyFont="1" applyFill="1" applyBorder="1"/>
    <xf numFmtId="0" fontId="32" fillId="15" borderId="1" xfId="0" applyFont="1" applyFill="1" applyBorder="1"/>
    <xf numFmtId="0" fontId="42" fillId="0" borderId="1" xfId="0" applyFont="1" applyBorder="1" applyAlignment="1">
      <alignment horizontal="center" vertical="center" wrapText="1"/>
    </xf>
    <xf numFmtId="0" fontId="31" fillId="9" borderId="1" xfId="0" applyFont="1" applyFill="1" applyBorder="1" applyAlignment="1">
      <alignment horizontal="justify" vertical="center" wrapText="1"/>
    </xf>
    <xf numFmtId="0" fontId="31" fillId="9" borderId="1" xfId="0" applyFont="1" applyFill="1" applyBorder="1" applyAlignment="1">
      <alignment horizontal="center" vertical="center" wrapText="1"/>
    </xf>
    <xf numFmtId="3" fontId="31" fillId="9" borderId="1" xfId="0" applyNumberFormat="1" applyFont="1" applyFill="1" applyBorder="1" applyAlignment="1">
      <alignment horizontal="center" vertical="center" wrapText="1"/>
    </xf>
    <xf numFmtId="0" fontId="32" fillId="20" borderId="1" xfId="0" applyFont="1" applyFill="1" applyBorder="1"/>
    <xf numFmtId="3" fontId="32" fillId="10" borderId="1" xfId="0" applyNumberFormat="1" applyFont="1" applyFill="1" applyBorder="1"/>
    <xf numFmtId="3" fontId="32" fillId="20" borderId="1" xfId="0" applyNumberFormat="1" applyFont="1" applyFill="1" applyBorder="1" applyAlignment="1">
      <alignment horizontal="right"/>
    </xf>
    <xf numFmtId="0" fontId="36" fillId="9" borderId="1" xfId="0" applyFont="1" applyFill="1" applyBorder="1" applyAlignment="1">
      <alignment horizontal="justify" vertical="center" wrapText="1"/>
    </xf>
    <xf numFmtId="0" fontId="44" fillId="0" borderId="1" xfId="5" applyFont="1" applyBorder="1" applyAlignment="1">
      <alignment horizontal="justify" vertical="center" wrapText="1"/>
    </xf>
    <xf numFmtId="0" fontId="31" fillId="0" borderId="1" xfId="0" applyFont="1" applyBorder="1" applyAlignment="1">
      <alignment horizontal="justify" vertical="center" wrapText="1"/>
    </xf>
    <xf numFmtId="0" fontId="46" fillId="5" borderId="1" xfId="0" applyFont="1" applyFill="1" applyBorder="1" applyAlignment="1">
      <alignment horizontal="center" vertical="center"/>
    </xf>
    <xf numFmtId="0" fontId="44" fillId="0" borderId="15" xfId="5" applyFont="1" applyFill="1" applyBorder="1" applyAlignment="1">
      <alignment horizontal="justify" vertical="center" wrapText="1"/>
    </xf>
    <xf numFmtId="0" fontId="44" fillId="0" borderId="22" xfId="5" applyFont="1" applyFill="1" applyBorder="1" applyAlignment="1">
      <alignment horizontal="justify" vertical="center" wrapText="1"/>
    </xf>
    <xf numFmtId="16" fontId="31" fillId="0" borderId="1" xfId="0" applyNumberFormat="1" applyFont="1" applyBorder="1" applyAlignment="1">
      <alignment horizontal="center" vertical="center" wrapText="1"/>
    </xf>
    <xf numFmtId="0" fontId="31" fillId="0" borderId="25" xfId="0" applyFont="1" applyBorder="1" applyAlignment="1">
      <alignment horizontal="justify" vertical="center" wrapText="1"/>
    </xf>
    <xf numFmtId="0" fontId="57" fillId="0" borderId="0" xfId="0" applyFont="1"/>
    <xf numFmtId="0" fontId="57" fillId="0" borderId="0" xfId="0" applyFont="1" applyAlignment="1">
      <alignment horizontal="center" vertical="center" wrapText="1"/>
    </xf>
    <xf numFmtId="0" fontId="60" fillId="0" borderId="0" xfId="0" applyFont="1"/>
    <xf numFmtId="3" fontId="0" fillId="2" borderId="1" xfId="0" applyNumberFormat="1" applyFill="1" applyBorder="1"/>
    <xf numFmtId="3" fontId="61" fillId="15" borderId="1" xfId="0" applyNumberFormat="1" applyFont="1" applyFill="1" applyBorder="1"/>
    <xf numFmtId="0" fontId="0" fillId="0" borderId="24" xfId="0" applyBorder="1"/>
    <xf numFmtId="0" fontId="0" fillId="0" borderId="23" xfId="0" applyBorder="1"/>
    <xf numFmtId="0" fontId="0" fillId="0" borderId="31" xfId="0" applyBorder="1"/>
    <xf numFmtId="0" fontId="0" fillId="0" borderId="26" xfId="0" applyBorder="1"/>
    <xf numFmtId="0" fontId="0" fillId="0" borderId="0" xfId="0" applyBorder="1"/>
    <xf numFmtId="0" fontId="0" fillId="0" borderId="5" xfId="0" applyBorder="1"/>
    <xf numFmtId="9" fontId="0" fillId="0" borderId="0" xfId="64" applyFont="1" applyBorder="1"/>
    <xf numFmtId="0" fontId="0" fillId="0" borderId="25" xfId="0" applyBorder="1"/>
    <xf numFmtId="0" fontId="0" fillId="0" borderId="22" xfId="0" applyBorder="1"/>
    <xf numFmtId="3" fontId="0" fillId="16" borderId="10" xfId="0" applyNumberFormat="1" applyFill="1" applyBorder="1"/>
    <xf numFmtId="9" fontId="0" fillId="0" borderId="10" xfId="64" applyFont="1" applyBorder="1"/>
    <xf numFmtId="0" fontId="0" fillId="0" borderId="10" xfId="0" applyBorder="1"/>
    <xf numFmtId="0" fontId="0" fillId="0" borderId="17" xfId="0" applyBorder="1"/>
    <xf numFmtId="4" fontId="0" fillId="0" borderId="0" xfId="0" applyNumberFormat="1"/>
    <xf numFmtId="4" fontId="61" fillId="0" borderId="0" xfId="0" applyNumberFormat="1" applyFont="1"/>
    <xf numFmtId="170" fontId="0" fillId="0" borderId="0" xfId="0" applyNumberFormat="1"/>
    <xf numFmtId="0" fontId="57" fillId="2" borderId="7" xfId="0" applyFont="1" applyFill="1" applyBorder="1" applyAlignment="1"/>
    <xf numFmtId="0" fontId="57" fillId="2" borderId="6" xfId="0" applyFont="1" applyFill="1" applyBorder="1" applyAlignment="1"/>
    <xf numFmtId="0" fontId="56" fillId="25" borderId="24" xfId="0" applyFont="1" applyFill="1" applyBorder="1" applyAlignment="1">
      <alignment horizontal="center"/>
    </xf>
    <xf numFmtId="0" fontId="54" fillId="25" borderId="42" xfId="2" applyFont="1" applyFill="1" applyBorder="1" applyAlignment="1">
      <alignment horizontal="center" vertical="center" wrapText="1"/>
    </xf>
    <xf numFmtId="0" fontId="54" fillId="25" borderId="33" xfId="2" applyFont="1" applyFill="1" applyBorder="1" applyAlignment="1">
      <alignment horizontal="center" vertical="center" wrapText="1"/>
    </xf>
    <xf numFmtId="0" fontId="54" fillId="25" borderId="33" xfId="2" applyFont="1" applyFill="1" applyBorder="1" applyAlignment="1">
      <alignment horizontal="center" vertical="center"/>
    </xf>
    <xf numFmtId="0" fontId="54" fillId="24" borderId="34" xfId="2" applyFont="1" applyFill="1" applyBorder="1" applyAlignment="1">
      <alignment horizontal="center" vertical="center" wrapText="1"/>
    </xf>
    <xf numFmtId="0" fontId="62" fillId="24" borderId="35" xfId="0" applyFont="1" applyFill="1" applyBorder="1" applyAlignment="1">
      <alignment horizontal="center" vertical="center" wrapText="1"/>
    </xf>
    <xf numFmtId="0" fontId="54" fillId="24" borderId="33" xfId="2" applyFont="1" applyFill="1" applyBorder="1" applyAlignment="1">
      <alignment horizontal="center" vertical="center" wrapText="1"/>
    </xf>
    <xf numFmtId="0" fontId="62" fillId="24" borderId="36" xfId="0" applyFont="1" applyFill="1" applyBorder="1" applyAlignment="1">
      <alignment horizontal="center" vertical="center" wrapText="1"/>
    </xf>
    <xf numFmtId="0" fontId="58" fillId="24" borderId="33" xfId="0" applyFont="1" applyFill="1" applyBorder="1" applyAlignment="1">
      <alignment horizontal="center" vertical="center" wrapText="1"/>
    </xf>
    <xf numFmtId="0" fontId="58" fillId="24" borderId="36" xfId="0" applyFont="1" applyFill="1" applyBorder="1" applyAlignment="1">
      <alignment horizontal="center" vertical="center" wrapText="1"/>
    </xf>
    <xf numFmtId="0" fontId="36" fillId="13" borderId="1" xfId="0" applyFont="1" applyFill="1" applyBorder="1" applyAlignment="1">
      <alignment horizontal="center" vertical="center" wrapText="1"/>
    </xf>
    <xf numFmtId="0" fontId="31" fillId="0" borderId="1" xfId="0" applyFont="1" applyBorder="1" applyAlignment="1">
      <alignment horizontal="center" vertical="center" wrapText="1"/>
    </xf>
    <xf numFmtId="0" fontId="9" fillId="0" borderId="0" xfId="0" applyFont="1" applyAlignment="1">
      <alignment horizontal="center"/>
    </xf>
    <xf numFmtId="0" fontId="31" fillId="0" borderId="22" xfId="0" applyFont="1" applyBorder="1" applyAlignment="1">
      <alignment horizontal="justify" vertical="center" wrapText="1"/>
    </xf>
    <xf numFmtId="0" fontId="36" fillId="0" borderId="25" xfId="0" applyFont="1" applyBorder="1" applyAlignment="1">
      <alignment horizontal="justify" vertical="center" wrapText="1"/>
    </xf>
    <xf numFmtId="0" fontId="36" fillId="0" borderId="22" xfId="0" applyFont="1" applyBorder="1" applyAlignment="1">
      <alignment horizontal="justify" vertical="center" wrapText="1"/>
    </xf>
    <xf numFmtId="0" fontId="36" fillId="0" borderId="1" xfId="0" applyFont="1" applyBorder="1" applyAlignment="1">
      <alignment horizontal="center" vertical="center" wrapText="1"/>
    </xf>
    <xf numFmtId="0" fontId="0" fillId="0" borderId="0" xfId="0" applyAlignment="1">
      <alignment horizontal="center"/>
    </xf>
    <xf numFmtId="0" fontId="57" fillId="0" borderId="1" xfId="0" applyFont="1" applyBorder="1"/>
    <xf numFmtId="0" fontId="57" fillId="0" borderId="0" xfId="0" applyFont="1" applyBorder="1"/>
    <xf numFmtId="0" fontId="56" fillId="0" borderId="0" xfId="0" applyFont="1"/>
    <xf numFmtId="0" fontId="56" fillId="5" borderId="2" xfId="2" applyFont="1" applyFill="1" applyBorder="1" applyAlignment="1">
      <alignment horizontal="center"/>
    </xf>
    <xf numFmtId="0" fontId="56" fillId="5" borderId="20" xfId="2" applyFont="1" applyFill="1" applyBorder="1" applyAlignment="1">
      <alignment horizontal="left" vertical="center" wrapText="1"/>
    </xf>
    <xf numFmtId="0" fontId="56" fillId="5" borderId="1" xfId="2" applyFont="1" applyFill="1" applyBorder="1" applyAlignment="1">
      <alignment horizontal="center"/>
    </xf>
    <xf numFmtId="0" fontId="2" fillId="0" borderId="1" xfId="0" applyFont="1" applyBorder="1" applyAlignment="1">
      <alignment vertical="center" wrapText="1"/>
    </xf>
    <xf numFmtId="0" fontId="13" fillId="22" borderId="0" xfId="0" applyFont="1" applyFill="1" applyAlignment="1">
      <alignment horizontal="center" vertical="center"/>
    </xf>
    <xf numFmtId="4" fontId="46" fillId="25" borderId="39" xfId="2" applyNumberFormat="1" applyFont="1" applyFill="1" applyBorder="1" applyAlignment="1">
      <alignment horizontal="right"/>
    </xf>
    <xf numFmtId="4" fontId="19" fillId="24" borderId="2" xfId="0" applyNumberFormat="1" applyFont="1" applyFill="1" applyBorder="1" applyAlignment="1">
      <alignment horizontal="right"/>
    </xf>
    <xf numFmtId="4" fontId="19" fillId="24" borderId="40" xfId="0" applyNumberFormat="1" applyFont="1" applyFill="1" applyBorder="1" applyAlignment="1">
      <alignment horizontal="right"/>
    </xf>
    <xf numFmtId="4" fontId="46" fillId="25" borderId="9" xfId="2" applyNumberFormat="1" applyFont="1" applyFill="1" applyBorder="1" applyAlignment="1">
      <alignment horizontal="right"/>
    </xf>
    <xf numFmtId="4" fontId="19" fillId="25" borderId="41" xfId="0" applyNumberFormat="1" applyFont="1" applyFill="1" applyBorder="1" applyAlignment="1">
      <alignment horizontal="right"/>
    </xf>
    <xf numFmtId="4" fontId="46" fillId="25" borderId="26" xfId="2" applyNumberFormat="1" applyFont="1" applyFill="1" applyBorder="1" applyAlignment="1">
      <alignment horizontal="right"/>
    </xf>
    <xf numFmtId="4" fontId="19" fillId="24" borderId="1" xfId="0" applyNumberFormat="1" applyFont="1" applyFill="1" applyBorder="1" applyAlignment="1">
      <alignment horizontal="right"/>
    </xf>
    <xf numFmtId="4" fontId="19" fillId="24" borderId="27" xfId="0" applyNumberFormat="1" applyFont="1" applyFill="1" applyBorder="1" applyAlignment="1">
      <alignment horizontal="right"/>
    </xf>
    <xf numFmtId="4" fontId="46" fillId="25" borderId="3" xfId="2" applyNumberFormat="1" applyFont="1" applyFill="1" applyBorder="1" applyAlignment="1">
      <alignment horizontal="right"/>
    </xf>
    <xf numFmtId="4" fontId="19" fillId="25" borderId="30" xfId="0" applyNumberFormat="1" applyFont="1" applyFill="1" applyBorder="1" applyAlignment="1">
      <alignment horizontal="right"/>
    </xf>
    <xf numFmtId="4" fontId="19" fillId="25" borderId="3" xfId="0" applyNumberFormat="1" applyFont="1" applyFill="1" applyBorder="1" applyAlignment="1">
      <alignment horizontal="right"/>
    </xf>
    <xf numFmtId="4" fontId="19" fillId="25" borderId="26" xfId="0" applyNumberFormat="1" applyFont="1" applyFill="1" applyBorder="1" applyAlignment="1">
      <alignment horizontal="right"/>
    </xf>
    <xf numFmtId="4" fontId="19" fillId="25" borderId="28" xfId="0" applyNumberFormat="1" applyFont="1" applyFill="1" applyBorder="1" applyAlignment="1">
      <alignment horizontal="right"/>
    </xf>
    <xf numFmtId="4" fontId="19" fillId="24" borderId="4" xfId="0" applyNumberFormat="1" applyFont="1" applyFill="1" applyBorder="1" applyAlignment="1">
      <alignment horizontal="right"/>
    </xf>
    <xf numFmtId="4" fontId="19" fillId="24" borderId="29" xfId="0" applyNumberFormat="1" applyFont="1" applyFill="1" applyBorder="1" applyAlignment="1">
      <alignment horizontal="right"/>
    </xf>
    <xf numFmtId="4" fontId="46" fillId="25" borderId="26" xfId="0" applyNumberFormat="1" applyFont="1" applyFill="1" applyBorder="1" applyAlignment="1">
      <alignment horizontal="right"/>
    </xf>
    <xf numFmtId="4" fontId="46" fillId="24" borderId="1" xfId="0" applyNumberFormat="1" applyFont="1" applyFill="1" applyBorder="1" applyAlignment="1">
      <alignment horizontal="right"/>
    </xf>
    <xf numFmtId="4" fontId="46" fillId="24" borderId="27" xfId="0" applyNumberFormat="1" applyFont="1" applyFill="1" applyBorder="1" applyAlignment="1">
      <alignment horizontal="right"/>
    </xf>
    <xf numFmtId="4" fontId="46" fillId="25" borderId="3" xfId="0" applyNumberFormat="1" applyFont="1" applyFill="1" applyBorder="1" applyAlignment="1">
      <alignment horizontal="right"/>
    </xf>
    <xf numFmtId="4" fontId="46" fillId="25" borderId="30" xfId="0" applyNumberFormat="1" applyFont="1" applyFill="1" applyBorder="1" applyAlignment="1">
      <alignment horizontal="right"/>
    </xf>
    <xf numFmtId="4" fontId="46" fillId="25" borderId="28" xfId="0" applyNumberFormat="1" applyFont="1" applyFill="1" applyBorder="1" applyAlignment="1">
      <alignment horizontal="right"/>
    </xf>
    <xf numFmtId="4" fontId="19" fillId="25" borderId="19" xfId="0" applyNumberFormat="1" applyFont="1" applyFill="1" applyBorder="1" applyAlignment="1">
      <alignment horizontal="right"/>
    </xf>
    <xf numFmtId="4" fontId="19" fillId="25" borderId="32" xfId="0" applyNumberFormat="1" applyFont="1" applyFill="1" applyBorder="1" applyAlignment="1">
      <alignment horizontal="right"/>
    </xf>
    <xf numFmtId="4" fontId="46" fillId="24" borderId="1" xfId="2" applyNumberFormat="1" applyFont="1" applyFill="1" applyBorder="1" applyAlignment="1">
      <alignment horizontal="right"/>
    </xf>
    <xf numFmtId="4" fontId="19" fillId="24" borderId="39" xfId="0" applyNumberFormat="1" applyFont="1" applyFill="1" applyBorder="1" applyAlignment="1">
      <alignment horizontal="right"/>
    </xf>
    <xf numFmtId="4" fontId="19" fillId="24" borderId="26" xfId="0" applyNumberFormat="1" applyFont="1" applyFill="1" applyBorder="1" applyAlignment="1">
      <alignment horizontal="right"/>
    </xf>
    <xf numFmtId="4" fontId="46" fillId="24" borderId="26" xfId="2" applyNumberFormat="1" applyFont="1" applyFill="1" applyBorder="1" applyAlignment="1">
      <alignment horizontal="right"/>
    </xf>
    <xf numFmtId="4" fontId="19" fillId="24" borderId="28" xfId="0" applyNumberFormat="1" applyFont="1" applyFill="1" applyBorder="1" applyAlignment="1">
      <alignment horizontal="right"/>
    </xf>
    <xf numFmtId="4" fontId="46" fillId="24" borderId="26" xfId="0" applyNumberFormat="1" applyFont="1" applyFill="1" applyBorder="1" applyAlignment="1">
      <alignment horizontal="right"/>
    </xf>
    <xf numFmtId="0" fontId="54" fillId="24" borderId="26" xfId="2" applyFont="1" applyFill="1" applyBorder="1" applyAlignment="1">
      <alignment horizontal="center" vertical="center" wrapText="1"/>
    </xf>
    <xf numFmtId="0" fontId="54" fillId="24" borderId="27" xfId="2" applyFont="1" applyFill="1" applyBorder="1" applyAlignment="1">
      <alignment horizontal="center" vertical="center" wrapText="1"/>
    </xf>
    <xf numFmtId="2" fontId="16" fillId="14" borderId="43" xfId="0" applyNumberFormat="1" applyFont="1" applyFill="1" applyBorder="1" applyAlignment="1">
      <alignment horizontal="center" vertical="center"/>
    </xf>
    <xf numFmtId="2" fontId="16" fillId="14" borderId="4" xfId="0" applyNumberFormat="1" applyFont="1" applyFill="1" applyBorder="1" applyAlignment="1">
      <alignment horizontal="center" vertical="center"/>
    </xf>
    <xf numFmtId="0" fontId="11" fillId="0" borderId="1" xfId="0" applyFont="1" applyBorder="1" applyAlignment="1">
      <alignment horizontal="center" vertical="center"/>
    </xf>
    <xf numFmtId="0" fontId="16" fillId="0" borderId="1" xfId="0" applyFont="1" applyBorder="1" applyAlignment="1">
      <alignment horizontal="center" vertical="center"/>
    </xf>
    <xf numFmtId="0" fontId="3" fillId="0" borderId="1" xfId="0" applyFont="1" applyBorder="1" applyAlignment="1">
      <alignment horizontal="center" vertical="center"/>
    </xf>
    <xf numFmtId="0" fontId="3" fillId="5" borderId="1" xfId="0" applyFont="1" applyFill="1" applyBorder="1" applyAlignment="1">
      <alignment horizontal="center" vertical="center"/>
    </xf>
    <xf numFmtId="49" fontId="31" fillId="0" borderId="44" xfId="2" applyNumberFormat="1" applyFont="1" applyBorder="1" applyAlignment="1">
      <alignment vertical="center" wrapText="1"/>
    </xf>
    <xf numFmtId="2" fontId="16" fillId="14" borderId="1" xfId="0" applyNumberFormat="1" applyFont="1" applyFill="1" applyBorder="1" applyAlignment="1">
      <alignment horizontal="center" vertical="center"/>
    </xf>
    <xf numFmtId="0" fontId="11" fillId="5" borderId="1" xfId="0" applyFont="1" applyFill="1" applyBorder="1" applyAlignment="1">
      <alignment horizontal="center" vertical="center"/>
    </xf>
    <xf numFmtId="0" fontId="7" fillId="0" borderId="1" xfId="0" applyFont="1" applyBorder="1" applyAlignment="1">
      <alignment vertical="center" wrapText="1"/>
    </xf>
    <xf numFmtId="0" fontId="0" fillId="14" borderId="1" xfId="0" applyFill="1" applyBorder="1"/>
    <xf numFmtId="0" fontId="16" fillId="24" borderId="1" xfId="0" applyFont="1" applyFill="1" applyBorder="1" applyAlignment="1">
      <alignment horizontal="center" vertical="center"/>
    </xf>
    <xf numFmtId="0" fontId="11" fillId="24" borderId="1" xfId="0" applyFont="1" applyFill="1" applyBorder="1" applyAlignment="1">
      <alignment horizontal="center" vertical="center"/>
    </xf>
    <xf numFmtId="0" fontId="11" fillId="14" borderId="1" xfId="0" applyFont="1" applyFill="1" applyBorder="1" applyAlignment="1">
      <alignment horizontal="center" vertical="center" wrapText="1"/>
    </xf>
    <xf numFmtId="0" fontId="11" fillId="24" borderId="1" xfId="0" applyFont="1" applyFill="1" applyBorder="1" applyAlignment="1">
      <alignment horizontal="center" vertical="center" wrapText="1"/>
    </xf>
    <xf numFmtId="0" fontId="28" fillId="0" borderId="1" xfId="2" applyFont="1" applyBorder="1" applyAlignment="1" applyProtection="1">
      <alignment horizontal="center" wrapText="1"/>
      <protection locked="0"/>
    </xf>
    <xf numFmtId="0" fontId="31" fillId="0" borderId="1" xfId="2" applyFont="1" applyBorder="1" applyAlignment="1" applyProtection="1">
      <alignment horizontal="center" wrapText="1"/>
      <protection locked="0"/>
    </xf>
    <xf numFmtId="0" fontId="42" fillId="0" borderId="0" xfId="2" applyFont="1" applyAlignment="1" applyProtection="1">
      <alignment horizontal="right" wrapText="1"/>
      <protection locked="0"/>
    </xf>
    <xf numFmtId="0" fontId="28" fillId="0" borderId="1" xfId="2" applyFont="1" applyBorder="1" applyAlignment="1" applyProtection="1">
      <alignment horizontal="center" vertical="center" wrapText="1"/>
      <protection locked="0"/>
    </xf>
    <xf numFmtId="2" fontId="28" fillId="22" borderId="1" xfId="2" applyNumberFormat="1" applyFont="1" applyFill="1" applyBorder="1" applyAlignment="1" applyProtection="1">
      <alignment horizontal="center" vertical="center" wrapText="1"/>
      <protection locked="0"/>
    </xf>
    <xf numFmtId="2" fontId="28" fillId="0" borderId="1" xfId="2" applyNumberFormat="1" applyFont="1" applyBorder="1" applyAlignment="1" applyProtection="1">
      <alignment horizontal="center" wrapText="1"/>
      <protection locked="0"/>
    </xf>
    <xf numFmtId="0" fontId="31" fillId="0" borderId="0" xfId="2" applyFont="1" applyAlignment="1" applyProtection="1">
      <alignment horizontal="center" wrapText="1"/>
      <protection locked="0"/>
    </xf>
    <xf numFmtId="0" fontId="31" fillId="22" borderId="1" xfId="2" applyFont="1" applyFill="1" applyBorder="1" applyAlignment="1">
      <alignment horizontal="center" vertical="center"/>
    </xf>
    <xf numFmtId="2" fontId="31" fillId="22" borderId="1" xfId="2" applyNumberFormat="1" applyFont="1" applyFill="1" applyBorder="1" applyAlignment="1">
      <alignment horizontal="center" vertical="center"/>
    </xf>
    <xf numFmtId="2" fontId="31" fillId="0" borderId="0" xfId="2" applyNumberFormat="1" applyFont="1" applyAlignment="1" applyProtection="1">
      <alignment horizontal="center" vertical="center" wrapText="1"/>
      <protection locked="0"/>
    </xf>
    <xf numFmtId="4" fontId="19" fillId="9" borderId="40" xfId="0" applyNumberFormat="1" applyFont="1" applyFill="1" applyBorder="1" applyAlignment="1">
      <alignment horizontal="right"/>
    </xf>
    <xf numFmtId="0" fontId="66" fillId="0" borderId="0" xfId="0" applyFont="1"/>
    <xf numFmtId="3" fontId="57" fillId="0" borderId="0" xfId="0" applyNumberFormat="1" applyFont="1"/>
    <xf numFmtId="4" fontId="46" fillId="8" borderId="9" xfId="2" applyNumberFormat="1" applyFont="1" applyFill="1" applyBorder="1" applyAlignment="1">
      <alignment horizontal="right"/>
    </xf>
    <xf numFmtId="4" fontId="46" fillId="8" borderId="3" xfId="2" applyNumberFormat="1" applyFont="1" applyFill="1" applyBorder="1" applyAlignment="1">
      <alignment horizontal="right"/>
    </xf>
    <xf numFmtId="4" fontId="19" fillId="8" borderId="3" xfId="0" applyNumberFormat="1" applyFont="1" applyFill="1" applyBorder="1" applyAlignment="1">
      <alignment horizontal="right"/>
    </xf>
    <xf numFmtId="4" fontId="19" fillId="8" borderId="19" xfId="0" applyNumberFormat="1" applyFont="1" applyFill="1" applyBorder="1" applyAlignment="1">
      <alignment horizontal="right"/>
    </xf>
    <xf numFmtId="4" fontId="46" fillId="8" borderId="3" xfId="0" applyNumberFormat="1" applyFont="1" applyFill="1" applyBorder="1" applyAlignment="1">
      <alignment horizontal="right"/>
    </xf>
    <xf numFmtId="4" fontId="46" fillId="8" borderId="19" xfId="0" applyNumberFormat="1" applyFont="1" applyFill="1" applyBorder="1" applyAlignment="1">
      <alignment horizontal="right"/>
    </xf>
    <xf numFmtId="0" fontId="2" fillId="8" borderId="1" xfId="0" applyFont="1" applyFill="1" applyBorder="1" applyAlignment="1">
      <alignment horizontal="center" vertical="center" wrapText="1"/>
    </xf>
    <xf numFmtId="0" fontId="64" fillId="25" borderId="23" xfId="0" applyFont="1" applyFill="1" applyBorder="1" applyAlignment="1">
      <alignment horizontal="center"/>
    </xf>
    <xf numFmtId="0" fontId="57" fillId="2" borderId="0" xfId="0" applyFont="1" applyFill="1" applyBorder="1" applyAlignment="1"/>
    <xf numFmtId="0" fontId="63" fillId="25" borderId="0" xfId="0" applyFont="1" applyFill="1" applyBorder="1" applyAlignment="1">
      <alignment horizontal="center"/>
    </xf>
    <xf numFmtId="0" fontId="64" fillId="25" borderId="31" xfId="0" applyFont="1" applyFill="1" applyBorder="1" applyAlignment="1">
      <alignment horizontal="center"/>
    </xf>
    <xf numFmtId="0" fontId="63" fillId="25" borderId="12" xfId="0" applyFont="1" applyFill="1" applyBorder="1" applyAlignment="1">
      <alignment horizontal="center"/>
    </xf>
    <xf numFmtId="0" fontId="64" fillId="25" borderId="13" xfId="0" applyFont="1" applyFill="1" applyBorder="1" applyAlignment="1">
      <alignment horizontal="center"/>
    </xf>
    <xf numFmtId="0" fontId="64" fillId="25" borderId="12" xfId="0" applyFont="1" applyFill="1" applyBorder="1" applyAlignment="1">
      <alignment horizontal="center"/>
    </xf>
    <xf numFmtId="0" fontId="64" fillId="25" borderId="24" xfId="0" applyFont="1" applyFill="1" applyBorder="1" applyAlignment="1">
      <alignment horizontal="center" vertical="center"/>
    </xf>
    <xf numFmtId="0" fontId="64" fillId="25" borderId="23" xfId="0" applyFont="1" applyFill="1" applyBorder="1" applyAlignment="1">
      <alignment horizontal="center" vertical="center"/>
    </xf>
    <xf numFmtId="0" fontId="64" fillId="25" borderId="31" xfId="0" applyFont="1" applyFill="1" applyBorder="1" applyAlignment="1">
      <alignment horizontal="center" vertical="center"/>
    </xf>
    <xf numFmtId="0" fontId="64" fillId="25" borderId="37" xfId="0" applyFont="1" applyFill="1" applyBorder="1" applyAlignment="1">
      <alignment horizontal="center"/>
    </xf>
    <xf numFmtId="0" fontId="64" fillId="25" borderId="38" xfId="0" applyFont="1" applyFill="1" applyBorder="1" applyAlignment="1">
      <alignment horizontal="center"/>
    </xf>
    <xf numFmtId="0" fontId="63" fillId="17" borderId="25" xfId="0" applyFont="1" applyFill="1" applyBorder="1" applyAlignment="1">
      <alignment horizontal="center"/>
    </xf>
    <xf numFmtId="0" fontId="63" fillId="17" borderId="5" xfId="0" applyFont="1" applyFill="1" applyBorder="1" applyAlignment="1">
      <alignment horizontal="center"/>
    </xf>
    <xf numFmtId="0" fontId="63" fillId="14" borderId="14" xfId="0" applyFont="1" applyFill="1" applyBorder="1" applyAlignment="1">
      <alignment horizontal="center"/>
    </xf>
    <xf numFmtId="0" fontId="63" fillId="14" borderId="41" xfId="0" applyFont="1" applyFill="1" applyBorder="1" applyAlignment="1">
      <alignment horizontal="center"/>
    </xf>
    <xf numFmtId="0" fontId="63" fillId="14" borderId="45" xfId="0" applyFont="1" applyFill="1" applyBorder="1" applyAlignment="1">
      <alignment horizontal="center"/>
    </xf>
    <xf numFmtId="0" fontId="63" fillId="14" borderId="25" xfId="0" applyFont="1" applyFill="1" applyBorder="1" applyAlignment="1">
      <alignment horizontal="center"/>
    </xf>
    <xf numFmtId="0" fontId="63" fillId="14" borderId="5" xfId="0" applyFont="1" applyFill="1" applyBorder="1" applyAlignment="1">
      <alignment horizontal="center"/>
    </xf>
    <xf numFmtId="0" fontId="2" fillId="15" borderId="46" xfId="0" applyFont="1" applyFill="1" applyBorder="1" applyAlignment="1">
      <alignment horizontal="center" vertical="center" wrapText="1"/>
    </xf>
    <xf numFmtId="4" fontId="19" fillId="8" borderId="41" xfId="0" applyNumberFormat="1" applyFont="1" applyFill="1" applyBorder="1" applyAlignment="1">
      <alignment horizontal="right"/>
    </xf>
    <xf numFmtId="4" fontId="19" fillId="8" borderId="20" xfId="0" applyNumberFormat="1" applyFont="1" applyFill="1" applyBorder="1" applyAlignment="1">
      <alignment horizontal="right"/>
    </xf>
    <xf numFmtId="4" fontId="19" fillId="8" borderId="21" xfId="0" applyNumberFormat="1" applyFont="1" applyFill="1" applyBorder="1" applyAlignment="1">
      <alignment horizontal="right"/>
    </xf>
    <xf numFmtId="4" fontId="19" fillId="8" borderId="7" xfId="0" applyNumberFormat="1" applyFont="1" applyFill="1" applyBorder="1" applyAlignment="1">
      <alignment horizontal="right"/>
    </xf>
    <xf numFmtId="4" fontId="46" fillId="8" borderId="21" xfId="0" applyNumberFormat="1" applyFont="1" applyFill="1" applyBorder="1" applyAlignment="1">
      <alignment horizontal="right"/>
    </xf>
    <xf numFmtId="0" fontId="63" fillId="25" borderId="25" xfId="0" applyFont="1" applyFill="1" applyBorder="1" applyAlignment="1">
      <alignment horizontal="center"/>
    </xf>
    <xf numFmtId="0" fontId="63" fillId="25" borderId="5" xfId="0" applyFont="1" applyFill="1" applyBorder="1" applyAlignment="1">
      <alignment horizontal="center"/>
    </xf>
    <xf numFmtId="3" fontId="24" fillId="2" borderId="1" xfId="0" applyNumberFormat="1" applyFont="1" applyFill="1" applyBorder="1"/>
    <xf numFmtId="0" fontId="24" fillId="0" borderId="26" xfId="0" applyFont="1" applyBorder="1"/>
    <xf numFmtId="166" fontId="0" fillId="8" borderId="1" xfId="0" applyNumberFormat="1" applyFill="1" applyBorder="1" applyAlignment="1">
      <alignment horizontal="center"/>
    </xf>
    <xf numFmtId="0" fontId="12" fillId="18" borderId="21" xfId="0" applyFont="1" applyFill="1" applyBorder="1" applyAlignment="1">
      <alignment horizontal="justify" vertical="center" wrapText="1"/>
    </xf>
    <xf numFmtId="0" fontId="66" fillId="4" borderId="21" xfId="0" applyFont="1" applyFill="1" applyBorder="1" applyAlignment="1">
      <alignment horizontal="justify" vertical="center" wrapText="1"/>
    </xf>
    <xf numFmtId="3" fontId="0" fillId="8" borderId="1" xfId="0" applyNumberFormat="1" applyFill="1" applyBorder="1"/>
    <xf numFmtId="166" fontId="69" fillId="8" borderId="1" xfId="0" applyNumberFormat="1" applyFont="1" applyFill="1" applyBorder="1" applyAlignment="1">
      <alignment horizontal="center"/>
    </xf>
    <xf numFmtId="0" fontId="69" fillId="8" borderId="1" xfId="0" applyFont="1" applyFill="1" applyBorder="1"/>
    <xf numFmtId="0" fontId="36" fillId="0" borderId="0" xfId="0" applyFont="1" applyAlignment="1">
      <alignment horizontal="center" vertical="center" wrapText="1"/>
    </xf>
    <xf numFmtId="0" fontId="36" fillId="0" borderId="5" xfId="0" applyFont="1" applyBorder="1" applyAlignment="1">
      <alignment horizontal="center" vertical="center" wrapText="1"/>
    </xf>
    <xf numFmtId="0" fontId="36" fillId="0" borderId="15" xfId="0" applyFont="1" applyBorder="1" applyAlignment="1">
      <alignment horizontal="justify" vertical="center" wrapText="1"/>
    </xf>
    <xf numFmtId="0" fontId="36" fillId="0" borderId="10" xfId="0" applyFont="1" applyBorder="1" applyAlignment="1">
      <alignment horizontal="center" vertical="center" wrapText="1"/>
    </xf>
    <xf numFmtId="0" fontId="36" fillId="0" borderId="17" xfId="0" applyFont="1" applyBorder="1" applyAlignment="1">
      <alignment horizontal="center" vertical="center" wrapText="1"/>
    </xf>
    <xf numFmtId="3" fontId="69" fillId="8" borderId="1" xfId="0" applyNumberFormat="1" applyFont="1" applyFill="1" applyBorder="1"/>
    <xf numFmtId="0" fontId="31" fillId="0" borderId="10" xfId="0" applyFont="1" applyBorder="1" applyAlignment="1">
      <alignment horizontal="center" vertical="center" wrapText="1"/>
    </xf>
    <xf numFmtId="0" fontId="31" fillId="0" borderId="17" xfId="0" applyFont="1" applyBorder="1" applyAlignment="1">
      <alignment horizontal="center" vertical="center" wrapText="1"/>
    </xf>
    <xf numFmtId="0" fontId="31" fillId="0" borderId="15" xfId="0" applyFont="1" applyBorder="1" applyAlignment="1">
      <alignment horizontal="justify" vertical="center" wrapText="1"/>
    </xf>
    <xf numFmtId="0" fontId="12" fillId="18" borderId="1" xfId="0" applyFont="1" applyFill="1" applyBorder="1" applyAlignment="1">
      <alignment horizontal="justify" vertical="center" wrapText="1"/>
    </xf>
    <xf numFmtId="0" fontId="66" fillId="4" borderId="1" xfId="0" applyFont="1" applyFill="1" applyBorder="1" applyAlignment="1">
      <alignment horizontal="justify" vertical="center" wrapText="1"/>
    </xf>
    <xf numFmtId="4" fontId="19" fillId="5" borderId="37" xfId="0" applyNumberFormat="1" applyFont="1" applyFill="1" applyBorder="1" applyAlignment="1">
      <alignment horizontal="right"/>
    </xf>
    <xf numFmtId="4" fontId="19" fillId="8" borderId="48" xfId="0" applyNumberFormat="1" applyFont="1" applyFill="1" applyBorder="1" applyAlignment="1">
      <alignment horizontal="right"/>
    </xf>
    <xf numFmtId="4" fontId="19" fillId="15" borderId="49" xfId="0" applyNumberFormat="1" applyFont="1" applyFill="1" applyBorder="1" applyAlignment="1">
      <alignment horizontal="right" wrapText="1"/>
    </xf>
    <xf numFmtId="4" fontId="17" fillId="15" borderId="38" xfId="0" applyNumberFormat="1" applyFont="1" applyFill="1" applyBorder="1" applyAlignment="1">
      <alignment horizontal="right"/>
    </xf>
    <xf numFmtId="4" fontId="17" fillId="5" borderId="31" xfId="0" applyNumberFormat="1" applyFont="1" applyFill="1" applyBorder="1" applyAlignment="1">
      <alignment horizontal="right"/>
    </xf>
    <xf numFmtId="4" fontId="17" fillId="8" borderId="50" xfId="0" applyNumberFormat="1" applyFont="1" applyFill="1" applyBorder="1" applyAlignment="1">
      <alignment horizontal="right"/>
    </xf>
    <xf numFmtId="4" fontId="17" fillId="5" borderId="50" xfId="0" applyNumberFormat="1" applyFont="1" applyFill="1" applyBorder="1" applyAlignment="1">
      <alignment horizontal="right"/>
    </xf>
    <xf numFmtId="4" fontId="19" fillId="15" borderId="37" xfId="0" applyNumberFormat="1" applyFont="1" applyFill="1" applyBorder="1" applyAlignment="1">
      <alignment horizontal="right" wrapText="1"/>
    </xf>
    <xf numFmtId="4" fontId="17" fillId="8" borderId="25" xfId="0" applyNumberFormat="1" applyFont="1" applyFill="1" applyBorder="1" applyAlignment="1">
      <alignment horizontal="right"/>
    </xf>
    <xf numFmtId="4" fontId="6" fillId="15" borderId="51" xfId="0" applyNumberFormat="1" applyFont="1" applyFill="1" applyBorder="1"/>
    <xf numFmtId="4" fontId="62" fillId="0" borderId="1" xfId="0" applyNumberFormat="1" applyFont="1" applyBorder="1"/>
    <xf numFmtId="0" fontId="62" fillId="0" borderId="1" xfId="0" applyFont="1" applyBorder="1"/>
    <xf numFmtId="0" fontId="60" fillId="0" borderId="1" xfId="0" applyFont="1" applyBorder="1"/>
    <xf numFmtId="0" fontId="59" fillId="0" borderId="1" xfId="0" applyFont="1" applyBorder="1"/>
    <xf numFmtId="9" fontId="59" fillId="0" borderId="1" xfId="0" applyNumberFormat="1" applyFont="1" applyBorder="1"/>
    <xf numFmtId="4" fontId="59" fillId="0" borderId="1" xfId="0" applyNumberFormat="1" applyFont="1" applyBorder="1"/>
    <xf numFmtId="0" fontId="33" fillId="6" borderId="1" xfId="0" applyFont="1" applyFill="1" applyBorder="1" applyAlignment="1">
      <alignment horizontal="right"/>
    </xf>
    <xf numFmtId="0" fontId="68" fillId="6" borderId="1" xfId="0" applyFont="1" applyFill="1" applyBorder="1" applyAlignment="1">
      <alignment horizontal="right"/>
    </xf>
    <xf numFmtId="0" fontId="60" fillId="6" borderId="1" xfId="0" applyFont="1" applyFill="1" applyBorder="1"/>
    <xf numFmtId="0" fontId="57" fillId="0" borderId="0" xfId="0" applyFont="1" applyFill="1" applyBorder="1"/>
    <xf numFmtId="0" fontId="5" fillId="0" borderId="0" xfId="0" applyFont="1" applyFill="1" applyBorder="1" applyAlignment="1">
      <alignment horizontal="right" vertical="center"/>
    </xf>
    <xf numFmtId="4" fontId="6" fillId="0" borderId="0" xfId="0" applyNumberFormat="1" applyFont="1" applyFill="1" applyBorder="1"/>
    <xf numFmtId="0" fontId="57" fillId="0" borderId="0" xfId="0" applyFont="1" applyFill="1"/>
    <xf numFmtId="0" fontId="57" fillId="21" borderId="0" xfId="0" applyFont="1" applyFill="1"/>
    <xf numFmtId="0" fontId="57" fillId="21" borderId="0" xfId="0" applyFont="1" applyFill="1" applyAlignment="1">
      <alignment horizontal="center" vertical="center" wrapText="1"/>
    </xf>
    <xf numFmtId="4" fontId="19" fillId="21" borderId="52" xfId="0" applyNumberFormat="1" applyFont="1" applyFill="1" applyBorder="1" applyAlignment="1">
      <alignment horizontal="right"/>
    </xf>
    <xf numFmtId="4" fontId="19" fillId="21" borderId="8" xfId="0" applyNumberFormat="1" applyFont="1" applyFill="1" applyBorder="1" applyAlignment="1">
      <alignment horizontal="right" wrapText="1"/>
    </xf>
    <xf numFmtId="4" fontId="17" fillId="21" borderId="53" xfId="0" applyNumberFormat="1" applyFont="1" applyFill="1" applyBorder="1" applyAlignment="1">
      <alignment horizontal="right"/>
    </xf>
    <xf numFmtId="4" fontId="17" fillId="21" borderId="0" xfId="0" applyNumberFormat="1" applyFont="1" applyFill="1" applyBorder="1" applyAlignment="1">
      <alignment horizontal="right"/>
    </xf>
    <xf numFmtId="4" fontId="19" fillId="21" borderId="52" xfId="0" applyNumberFormat="1" applyFont="1" applyFill="1" applyBorder="1" applyAlignment="1">
      <alignment horizontal="right" wrapText="1"/>
    </xf>
    <xf numFmtId="4" fontId="33" fillId="21" borderId="52" xfId="0" applyNumberFormat="1" applyFont="1" applyFill="1" applyBorder="1" applyAlignment="1">
      <alignment horizontal="right" wrapText="1"/>
    </xf>
    <xf numFmtId="4" fontId="68" fillId="21" borderId="53" xfId="0" applyNumberFormat="1" applyFont="1" applyFill="1" applyBorder="1" applyAlignment="1">
      <alignment horizontal="right"/>
    </xf>
    <xf numFmtId="4" fontId="40" fillId="21" borderId="0" xfId="0" applyNumberFormat="1" applyFont="1" applyFill="1"/>
    <xf numFmtId="0" fontId="67" fillId="13" borderId="1" xfId="0" applyFont="1" applyFill="1" applyBorder="1" applyAlignment="1">
      <alignment horizontal="justify" vertical="center" wrapText="1"/>
    </xf>
    <xf numFmtId="0" fontId="57" fillId="0" borderId="1" xfId="0" applyFont="1" applyFill="1" applyBorder="1"/>
    <xf numFmtId="0" fontId="23" fillId="0" borderId="1" xfId="0" applyFont="1" applyBorder="1"/>
    <xf numFmtId="4" fontId="23" fillId="0" borderId="1" xfId="0" applyNumberFormat="1" applyFont="1" applyBorder="1"/>
    <xf numFmtId="4" fontId="12" fillId="18" borderId="0" xfId="0" applyNumberFormat="1" applyFont="1" applyFill="1"/>
    <xf numFmtId="0" fontId="12" fillId="18" borderId="0" xfId="0" applyFont="1" applyFill="1"/>
    <xf numFmtId="4" fontId="19" fillId="0" borderId="47" xfId="0" applyNumberFormat="1" applyFont="1" applyBorder="1"/>
    <xf numFmtId="4" fontId="19" fillId="9" borderId="26" xfId="0" applyNumberFormat="1" applyFont="1" applyFill="1" applyBorder="1" applyAlignment="1">
      <alignment horizontal="right"/>
    </xf>
    <xf numFmtId="0" fontId="23" fillId="0" borderId="1" xfId="0" applyFont="1" applyFill="1" applyBorder="1"/>
    <xf numFmtId="4" fontId="23" fillId="0" borderId="1" xfId="0" applyNumberFormat="1" applyFont="1" applyFill="1" applyBorder="1"/>
    <xf numFmtId="0" fontId="33" fillId="0" borderId="0" xfId="0" applyFont="1" applyAlignment="1">
      <alignment wrapText="1"/>
    </xf>
    <xf numFmtId="4" fontId="23" fillId="16" borderId="0" xfId="0" applyNumberFormat="1" applyFont="1" applyFill="1"/>
    <xf numFmtId="4" fontId="28" fillId="16" borderId="1" xfId="0" applyNumberFormat="1" applyFont="1" applyFill="1" applyBorder="1"/>
    <xf numFmtId="0" fontId="12" fillId="7" borderId="0" xfId="0" applyFont="1" applyFill="1"/>
    <xf numFmtId="4" fontId="12" fillId="7" borderId="0" xfId="0" applyNumberFormat="1" applyFont="1" applyFill="1"/>
    <xf numFmtId="0" fontId="13" fillId="26" borderId="15" xfId="0" applyFont="1" applyFill="1" applyBorder="1" applyAlignment="1">
      <alignment horizontal="justify" vertical="center" wrapText="1"/>
    </xf>
    <xf numFmtId="0" fontId="18" fillId="26" borderId="1" xfId="0" applyFont="1" applyFill="1" applyBorder="1" applyAlignment="1">
      <alignment horizontal="justify" vertical="center" wrapText="1"/>
    </xf>
    <xf numFmtId="0" fontId="66" fillId="26" borderId="1" xfId="0" applyFont="1" applyFill="1" applyBorder="1" applyAlignment="1">
      <alignment horizontal="justify" vertical="center" wrapText="1"/>
    </xf>
    <xf numFmtId="0" fontId="36" fillId="26" borderId="1" xfId="0" applyFont="1" applyFill="1" applyBorder="1" applyAlignment="1">
      <alignment horizontal="justify" vertical="center" wrapText="1"/>
    </xf>
    <xf numFmtId="0" fontId="31" fillId="26" borderId="22" xfId="0" applyFont="1" applyFill="1" applyBorder="1" applyAlignment="1">
      <alignment horizontal="justify" vertical="center" wrapText="1"/>
    </xf>
    <xf numFmtId="0" fontId="0" fillId="0" borderId="0" xfId="0" applyAlignment="1">
      <alignment horizontal="center"/>
    </xf>
    <xf numFmtId="166" fontId="0" fillId="0" borderId="0" xfId="0" applyNumberFormat="1"/>
    <xf numFmtId="0" fontId="0" fillId="25" borderId="0" xfId="0" applyFill="1"/>
    <xf numFmtId="0" fontId="0" fillId="25" borderId="0" xfId="0" applyFill="1" applyAlignment="1">
      <alignment horizontal="center"/>
    </xf>
    <xf numFmtId="166" fontId="0" fillId="25" borderId="0" xfId="0" applyNumberFormat="1" applyFill="1"/>
    <xf numFmtId="166" fontId="0" fillId="25" borderId="0" xfId="0" applyNumberFormat="1" applyFill="1" applyAlignment="1">
      <alignment horizontal="center"/>
    </xf>
    <xf numFmtId="3" fontId="9" fillId="25" borderId="0" xfId="0" applyNumberFormat="1" applyFont="1" applyFill="1" applyAlignment="1">
      <alignment horizontal="center"/>
    </xf>
    <xf numFmtId="0" fontId="0" fillId="0" borderId="0" xfId="0" applyFill="1"/>
    <xf numFmtId="0" fontId="0" fillId="0" borderId="0" xfId="0" applyFill="1" applyAlignment="1">
      <alignment horizontal="center"/>
    </xf>
    <xf numFmtId="0" fontId="9" fillId="0" borderId="0" xfId="0" applyFont="1" applyFill="1" applyAlignment="1">
      <alignment horizontal="right"/>
    </xf>
    <xf numFmtId="3" fontId="9" fillId="0" borderId="0" xfId="0" applyNumberFormat="1" applyFont="1" applyFill="1" applyAlignment="1">
      <alignment horizontal="center"/>
    </xf>
    <xf numFmtId="3" fontId="0" fillId="0" borderId="0" xfId="0" applyNumberFormat="1" applyFill="1"/>
    <xf numFmtId="166" fontId="0" fillId="12" borderId="0" xfId="0" applyNumberFormat="1" applyFill="1"/>
    <xf numFmtId="0" fontId="0" fillId="21" borderId="0" xfId="0" applyFill="1"/>
    <xf numFmtId="166" fontId="0" fillId="0" borderId="0" xfId="0" applyNumberFormat="1" applyFill="1"/>
    <xf numFmtId="166" fontId="9" fillId="21" borderId="0" xfId="0" applyNumberFormat="1" applyFont="1" applyFill="1"/>
    <xf numFmtId="0" fontId="23" fillId="0" borderId="0" xfId="0" applyFont="1" applyFill="1" applyBorder="1"/>
    <xf numFmtId="0" fontId="12" fillId="0" borderId="0" xfId="0" applyFont="1" applyFill="1" applyBorder="1"/>
    <xf numFmtId="166" fontId="0" fillId="10" borderId="1" xfId="0" applyNumberFormat="1" applyFill="1" applyBorder="1" applyAlignment="1">
      <alignment horizontal="center"/>
    </xf>
    <xf numFmtId="4" fontId="46" fillId="10" borderId="3" xfId="2" applyNumberFormat="1" applyFont="1" applyFill="1" applyBorder="1" applyAlignment="1">
      <alignment horizontal="right"/>
    </xf>
    <xf numFmtId="4" fontId="19" fillId="10" borderId="21" xfId="0" applyNumberFormat="1" applyFont="1" applyFill="1" applyBorder="1" applyAlignment="1">
      <alignment horizontal="right"/>
    </xf>
    <xf numFmtId="4" fontId="19" fillId="10" borderId="41" xfId="0" applyNumberFormat="1" applyFont="1" applyFill="1" applyBorder="1" applyAlignment="1">
      <alignment horizontal="right"/>
    </xf>
    <xf numFmtId="0" fontId="57" fillId="10" borderId="0" xfId="0" applyFont="1" applyFill="1"/>
    <xf numFmtId="0" fontId="57" fillId="0" borderId="0" xfId="0" applyFont="1" applyBorder="1" applyAlignment="1">
      <alignment horizontal="center" vertical="center" wrapText="1"/>
    </xf>
    <xf numFmtId="0" fontId="70" fillId="0" borderId="0" xfId="0" applyFont="1" applyBorder="1"/>
    <xf numFmtId="4" fontId="62" fillId="0" borderId="0" xfId="0" applyNumberFormat="1" applyFont="1" applyBorder="1"/>
    <xf numFmtId="4" fontId="19" fillId="0" borderId="0" xfId="0" applyNumberFormat="1" applyFont="1" applyBorder="1"/>
    <xf numFmtId="0" fontId="19" fillId="0" borderId="0" xfId="0" applyFont="1" applyBorder="1"/>
    <xf numFmtId="4" fontId="57" fillId="0" borderId="0" xfId="0" applyNumberFormat="1" applyFont="1" applyFill="1" applyBorder="1"/>
    <xf numFmtId="0" fontId="57" fillId="0" borderId="0" xfId="0" applyFont="1" applyFill="1" applyBorder="1" applyAlignment="1">
      <alignment horizontal="center" vertical="center" wrapText="1"/>
    </xf>
    <xf numFmtId="4" fontId="63" fillId="0" borderId="0" xfId="0" applyNumberFormat="1" applyFont="1" applyFill="1" applyBorder="1"/>
    <xf numFmtId="4" fontId="60" fillId="0" borderId="0" xfId="0" applyNumberFormat="1" applyFont="1" applyFill="1" applyBorder="1"/>
    <xf numFmtId="4" fontId="17" fillId="0" borderId="0" xfId="0" applyNumberFormat="1" applyFont="1" applyFill="1" applyBorder="1"/>
    <xf numFmtId="4" fontId="58" fillId="0" borderId="0" xfId="0" applyNumberFormat="1" applyFont="1" applyFill="1" applyBorder="1"/>
    <xf numFmtId="4" fontId="24" fillId="0" borderId="0" xfId="0" applyNumberFormat="1" applyFont="1" applyFill="1" applyBorder="1"/>
    <xf numFmtId="4" fontId="46" fillId="9" borderId="26" xfId="0" applyNumberFormat="1" applyFont="1" applyFill="1" applyBorder="1" applyAlignment="1">
      <alignment horizontal="right"/>
    </xf>
    <xf numFmtId="4" fontId="46" fillId="9" borderId="40" xfId="0" applyNumberFormat="1" applyFont="1" applyFill="1" applyBorder="1" applyAlignment="1">
      <alignment horizontal="right"/>
    </xf>
    <xf numFmtId="4" fontId="46" fillId="8" borderId="41" xfId="0" applyNumberFormat="1" applyFont="1" applyFill="1" applyBorder="1" applyAlignment="1">
      <alignment horizontal="right"/>
    </xf>
    <xf numFmtId="4" fontId="46" fillId="3" borderId="1" xfId="0" applyNumberFormat="1" applyFont="1" applyFill="1" applyBorder="1" applyAlignment="1">
      <alignment horizontal="right"/>
    </xf>
    <xf numFmtId="4" fontId="46" fillId="3" borderId="27" xfId="0" applyNumberFormat="1" applyFont="1" applyFill="1" applyBorder="1" applyAlignment="1">
      <alignment horizontal="right"/>
    </xf>
    <xf numFmtId="4" fontId="46" fillId="3" borderId="26" xfId="0" applyNumberFormat="1" applyFont="1" applyFill="1" applyBorder="1" applyAlignment="1">
      <alignment horizontal="right"/>
    </xf>
    <xf numFmtId="4" fontId="46" fillId="3" borderId="40" xfId="0" applyNumberFormat="1" applyFont="1" applyFill="1" applyBorder="1" applyAlignment="1">
      <alignment horizontal="right"/>
    </xf>
    <xf numFmtId="4" fontId="46" fillId="0" borderId="47" xfId="0" applyNumberFormat="1" applyFont="1" applyBorder="1"/>
    <xf numFmtId="0" fontId="57" fillId="2" borderId="0" xfId="0" applyFont="1" applyFill="1" applyBorder="1"/>
    <xf numFmtId="4" fontId="19" fillId="0" borderId="51" xfId="0" applyNumberFormat="1" applyFont="1" applyBorder="1"/>
    <xf numFmtId="4" fontId="19" fillId="0" borderId="54" xfId="0" applyNumberFormat="1" applyFont="1" applyBorder="1"/>
    <xf numFmtId="4" fontId="19" fillId="0" borderId="46" xfId="0" applyNumberFormat="1" applyFont="1" applyBorder="1"/>
    <xf numFmtId="4" fontId="19" fillId="0" borderId="55" xfId="0" applyNumberFormat="1" applyFont="1" applyBorder="1"/>
    <xf numFmtId="4" fontId="72" fillId="27" borderId="1" xfId="0" applyNumberFormat="1" applyFont="1" applyFill="1" applyBorder="1"/>
    <xf numFmtId="0" fontId="54" fillId="3" borderId="1" xfId="2" applyFont="1" applyFill="1" applyBorder="1" applyAlignment="1">
      <alignment horizontal="center" vertical="center" wrapText="1"/>
    </xf>
    <xf numFmtId="0" fontId="54" fillId="3" borderId="27" xfId="2" applyFont="1" applyFill="1" applyBorder="1" applyAlignment="1">
      <alignment horizontal="center" vertical="center" wrapText="1"/>
    </xf>
    <xf numFmtId="0" fontId="54" fillId="3" borderId="26" xfId="2" applyFont="1" applyFill="1" applyBorder="1" applyAlignment="1">
      <alignment horizontal="center" vertical="center" wrapText="1"/>
    </xf>
    <xf numFmtId="0" fontId="54" fillId="3" borderId="21" xfId="2" applyFont="1" applyFill="1" applyBorder="1" applyAlignment="1">
      <alignment horizontal="center" vertical="center" wrapText="1"/>
    </xf>
    <xf numFmtId="4" fontId="46" fillId="3" borderId="20" xfId="0" applyNumberFormat="1" applyFont="1" applyFill="1" applyBorder="1" applyAlignment="1">
      <alignment horizontal="right"/>
    </xf>
    <xf numFmtId="4" fontId="46" fillId="3" borderId="21" xfId="0" applyNumberFormat="1" applyFont="1" applyFill="1" applyBorder="1" applyAlignment="1">
      <alignment horizontal="right"/>
    </xf>
    <xf numFmtId="4" fontId="46" fillId="15" borderId="37" xfId="0" applyNumberFormat="1" applyFont="1" applyFill="1" applyBorder="1" applyAlignment="1">
      <alignment horizontal="right" wrapText="1"/>
    </xf>
    <xf numFmtId="4" fontId="73" fillId="15" borderId="38" xfId="0" applyNumberFormat="1" applyFont="1" applyFill="1" applyBorder="1" applyAlignment="1">
      <alignment horizontal="right"/>
    </xf>
    <xf numFmtId="0" fontId="5" fillId="6" borderId="21"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10" fillId="6" borderId="21"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5" fillId="6" borderId="21" xfId="0" applyFont="1" applyFill="1" applyBorder="1" applyAlignment="1">
      <alignment horizontal="center" vertical="center"/>
    </xf>
    <xf numFmtId="0" fontId="5" fillId="6" borderId="3" xfId="0" applyFont="1" applyFill="1" applyBorder="1" applyAlignment="1">
      <alignment horizontal="center" vertical="center"/>
    </xf>
    <xf numFmtId="0" fontId="10" fillId="6" borderId="1" xfId="0" applyFont="1" applyFill="1" applyBorder="1" applyAlignment="1">
      <alignment horizontal="center" vertical="center" wrapText="1"/>
    </xf>
    <xf numFmtId="0" fontId="11" fillId="6" borderId="21" xfId="0" applyFont="1" applyFill="1" applyBorder="1" applyAlignment="1">
      <alignment horizontal="center" wrapText="1"/>
    </xf>
    <xf numFmtId="0" fontId="11" fillId="6" borderId="3" xfId="0" applyFont="1" applyFill="1" applyBorder="1" applyAlignment="1">
      <alignment horizontal="center" wrapText="1"/>
    </xf>
    <xf numFmtId="0" fontId="16" fillId="6" borderId="21" xfId="0" applyFont="1" applyFill="1" applyBorder="1" applyAlignment="1">
      <alignment horizontal="center" wrapText="1"/>
    </xf>
    <xf numFmtId="0" fontId="16" fillId="6" borderId="3" xfId="0" applyFont="1" applyFill="1" applyBorder="1" applyAlignment="1">
      <alignment horizontal="center" wrapText="1"/>
    </xf>
    <xf numFmtId="0" fontId="63" fillId="17" borderId="13" xfId="0" applyFont="1" applyFill="1" applyBorder="1" applyAlignment="1">
      <alignment horizontal="center"/>
    </xf>
    <xf numFmtId="0" fontId="63" fillId="17" borderId="11" xfId="0" applyFont="1" applyFill="1" applyBorder="1" applyAlignment="1">
      <alignment horizontal="center"/>
    </xf>
    <xf numFmtId="0" fontId="63" fillId="14" borderId="13" xfId="0" applyFont="1" applyFill="1" applyBorder="1" applyAlignment="1">
      <alignment horizontal="center"/>
    </xf>
    <xf numFmtId="0" fontId="63" fillId="14" borderId="11" xfId="0" applyFont="1" applyFill="1" applyBorder="1" applyAlignment="1">
      <alignment horizontal="center"/>
    </xf>
    <xf numFmtId="0" fontId="63" fillId="14" borderId="12" xfId="0" applyFont="1" applyFill="1" applyBorder="1" applyAlignment="1">
      <alignment horizontal="center"/>
    </xf>
    <xf numFmtId="0" fontId="64" fillId="25" borderId="24" xfId="0" applyFont="1" applyFill="1" applyBorder="1" applyAlignment="1">
      <alignment horizontal="center" vertical="center"/>
    </xf>
    <xf numFmtId="0" fontId="64" fillId="25" borderId="23" xfId="0" applyFont="1" applyFill="1" applyBorder="1" applyAlignment="1">
      <alignment horizontal="center" vertical="center"/>
    </xf>
    <xf numFmtId="0" fontId="64" fillId="25" borderId="31" xfId="0" applyFont="1" applyFill="1" applyBorder="1" applyAlignment="1">
      <alignment horizontal="center" vertical="center"/>
    </xf>
    <xf numFmtId="0" fontId="64" fillId="25" borderId="37" xfId="0" applyFont="1" applyFill="1" applyBorder="1" applyAlignment="1">
      <alignment horizontal="center"/>
    </xf>
    <xf numFmtId="0" fontId="64" fillId="25" borderId="38" xfId="0" applyFont="1" applyFill="1" applyBorder="1" applyAlignment="1">
      <alignment horizontal="center"/>
    </xf>
    <xf numFmtId="0" fontId="64" fillId="25" borderId="13" xfId="0" applyFont="1" applyFill="1" applyBorder="1" applyAlignment="1">
      <alignment horizontal="center"/>
    </xf>
    <xf numFmtId="0" fontId="64" fillId="25" borderId="12" xfId="0" applyFont="1" applyFill="1" applyBorder="1" applyAlignment="1">
      <alignment horizontal="center"/>
    </xf>
    <xf numFmtId="0" fontId="64" fillId="25" borderId="11" xfId="0" applyFont="1" applyFill="1" applyBorder="1" applyAlignment="1">
      <alignment horizontal="center"/>
    </xf>
    <xf numFmtId="0" fontId="63" fillId="25" borderId="13" xfId="0" applyFont="1" applyFill="1" applyBorder="1" applyAlignment="1">
      <alignment horizontal="center"/>
    </xf>
    <xf numFmtId="0" fontId="63" fillId="25" borderId="12" xfId="0" applyFont="1" applyFill="1" applyBorder="1" applyAlignment="1">
      <alignment horizontal="center"/>
    </xf>
    <xf numFmtId="0" fontId="63" fillId="25" borderId="11" xfId="0" applyFont="1" applyFill="1" applyBorder="1" applyAlignment="1">
      <alignment horizontal="center"/>
    </xf>
    <xf numFmtId="0" fontId="64" fillId="25" borderId="23" xfId="0" applyFont="1" applyFill="1" applyBorder="1" applyAlignment="1">
      <alignment horizontal="center"/>
    </xf>
    <xf numFmtId="0" fontId="64" fillId="25" borderId="31" xfId="0" applyFont="1" applyFill="1" applyBorder="1" applyAlignment="1">
      <alignment horizontal="center"/>
    </xf>
    <xf numFmtId="0" fontId="12" fillId="0" borderId="0" xfId="0" applyFont="1" applyAlignment="1">
      <alignment horizontal="center" wrapText="1"/>
    </xf>
    <xf numFmtId="0" fontId="33" fillId="0" borderId="0" xfId="0" applyFont="1" applyAlignment="1">
      <alignment horizontal="center" wrapText="1"/>
    </xf>
    <xf numFmtId="0" fontId="23" fillId="0" borderId="1" xfId="0" applyFont="1" applyBorder="1" applyAlignment="1">
      <alignment horizontal="center" wrapText="1"/>
    </xf>
    <xf numFmtId="4" fontId="40" fillId="21" borderId="0" xfId="0" applyNumberFormat="1" applyFont="1" applyFill="1" applyAlignment="1">
      <alignment horizontal="center"/>
    </xf>
    <xf numFmtId="0" fontId="31" fillId="0" borderId="1" xfId="0" applyFont="1" applyBorder="1" applyAlignment="1">
      <alignment horizontal="center" vertical="center" wrapText="1"/>
    </xf>
    <xf numFmtId="0" fontId="9" fillId="0" borderId="0" xfId="0" applyFont="1" applyAlignment="1">
      <alignment horizontal="center"/>
    </xf>
    <xf numFmtId="0" fontId="14" fillId="13" borderId="18" xfId="0" applyFont="1" applyFill="1" applyBorder="1" applyAlignment="1">
      <alignment horizontal="center" vertical="center" wrapText="1"/>
    </xf>
    <xf numFmtId="0" fontId="14" fillId="13" borderId="16" xfId="0" applyFont="1" applyFill="1" applyBorder="1" applyAlignment="1">
      <alignment horizontal="center" vertical="center" wrapText="1"/>
    </xf>
    <xf numFmtId="0" fontId="14" fillId="13" borderId="15" xfId="0" applyFont="1" applyFill="1" applyBorder="1" applyAlignment="1">
      <alignment horizontal="center" vertical="center" wrapText="1"/>
    </xf>
    <xf numFmtId="0" fontId="36" fillId="13" borderId="1" xfId="0" applyFont="1" applyFill="1" applyBorder="1" applyAlignment="1">
      <alignment horizontal="center" vertical="center" wrapText="1"/>
    </xf>
    <xf numFmtId="0" fontId="13" fillId="26" borderId="18" xfId="0" applyFont="1" applyFill="1" applyBorder="1" applyAlignment="1">
      <alignment horizontal="justify" vertical="center" wrapText="1"/>
    </xf>
    <xf numFmtId="0" fontId="13" fillId="26" borderId="15" xfId="0" applyFont="1" applyFill="1" applyBorder="1" applyAlignment="1">
      <alignment horizontal="justify" vertical="center" wrapText="1"/>
    </xf>
    <xf numFmtId="0" fontId="13" fillId="0" borderId="18"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2" xfId="0" applyFont="1" applyBorder="1" applyAlignment="1">
      <alignment horizontal="center" vertical="center" wrapText="1"/>
    </xf>
    <xf numFmtId="0" fontId="9" fillId="0" borderId="0" xfId="0" applyFont="1" applyAlignment="1">
      <alignment horizontal="center" wrapText="1"/>
    </xf>
    <xf numFmtId="0" fontId="26" fillId="0" borderId="0" xfId="0" applyFont="1" applyAlignment="1">
      <alignment horizontal="center" wrapText="1"/>
    </xf>
    <xf numFmtId="0" fontId="30" fillId="0" borderId="0" xfId="0" applyFont="1" applyAlignment="1">
      <alignment horizontal="center" vertical="top" wrapText="1"/>
    </xf>
    <xf numFmtId="0" fontId="25" fillId="4" borderId="4" xfId="0" applyFont="1" applyFill="1" applyBorder="1" applyAlignment="1">
      <alignment horizontal="center" vertical="center" wrapText="1"/>
    </xf>
    <xf numFmtId="0" fontId="25" fillId="4" borderId="8" xfId="0" applyFont="1" applyFill="1" applyBorder="1" applyAlignment="1">
      <alignment horizontal="center" vertical="center" wrapText="1"/>
    </xf>
    <xf numFmtId="0" fontId="25" fillId="4" borderId="2" xfId="0" applyFont="1" applyFill="1" applyBorder="1" applyAlignment="1">
      <alignment horizontal="center" vertical="center" wrapText="1"/>
    </xf>
    <xf numFmtId="0" fontId="31" fillId="0" borderId="24" xfId="0" applyFont="1" applyBorder="1" applyAlignment="1">
      <alignment horizontal="justify" vertical="center" wrapText="1"/>
    </xf>
    <xf numFmtId="0" fontId="31" fillId="0" borderId="22" xfId="0" applyFont="1" applyBorder="1" applyAlignment="1">
      <alignment horizontal="justify" vertical="center" wrapText="1"/>
    </xf>
    <xf numFmtId="0" fontId="36" fillId="0" borderId="24" xfId="0" applyFont="1" applyBorder="1" applyAlignment="1">
      <alignment horizontal="justify" vertical="center" wrapText="1"/>
    </xf>
    <xf numFmtId="0" fontId="36" fillId="0" borderId="25" xfId="0" applyFont="1" applyBorder="1" applyAlignment="1">
      <alignment horizontal="justify" vertical="center" wrapText="1"/>
    </xf>
    <xf numFmtId="0" fontId="36" fillId="0" borderId="22" xfId="0" applyFont="1" applyBorder="1" applyAlignment="1">
      <alignment horizontal="justify" vertical="center" wrapText="1"/>
    </xf>
    <xf numFmtId="0" fontId="36" fillId="0" borderId="1" xfId="0" applyFont="1" applyBorder="1" applyAlignment="1">
      <alignment horizontal="center" vertical="center" wrapText="1"/>
    </xf>
    <xf numFmtId="0" fontId="11" fillId="24" borderId="1" xfId="0" applyFont="1" applyFill="1" applyBorder="1" applyAlignment="1">
      <alignment horizontal="center" vertical="center" wrapText="1"/>
    </xf>
    <xf numFmtId="0" fontId="16" fillId="24" borderId="1" xfId="0" applyFont="1" applyFill="1" applyBorder="1" applyAlignment="1">
      <alignment horizontal="center" vertical="center" wrapText="1"/>
    </xf>
    <xf numFmtId="0" fontId="28" fillId="22" borderId="14" xfId="2" applyFont="1" applyFill="1" applyBorder="1" applyAlignment="1" applyProtection="1">
      <alignment horizontal="center" wrapText="1"/>
      <protection locked="0"/>
    </xf>
    <xf numFmtId="0" fontId="12" fillId="0" borderId="0" xfId="0" applyFont="1" applyFill="1" applyBorder="1" applyAlignment="1">
      <alignment wrapText="1"/>
    </xf>
    <xf numFmtId="4" fontId="12" fillId="0" borderId="0" xfId="0" applyNumberFormat="1" applyFont="1" applyFill="1" applyBorder="1"/>
    <xf numFmtId="0" fontId="12" fillId="0" borderId="1" xfId="0" applyFont="1" applyBorder="1" applyAlignment="1">
      <alignment horizontal="center" wrapText="1"/>
    </xf>
    <xf numFmtId="0" fontId="23" fillId="0" borderId="0" xfId="0" applyFont="1" applyBorder="1" applyAlignment="1">
      <alignment wrapText="1"/>
    </xf>
    <xf numFmtId="0" fontId="23" fillId="0" borderId="0" xfId="0" applyFont="1" applyBorder="1"/>
    <xf numFmtId="4" fontId="23" fillId="0" borderId="0" xfId="0" applyNumberFormat="1" applyFont="1" applyBorder="1"/>
    <xf numFmtId="4" fontId="12" fillId="0" borderId="0" xfId="0" applyNumberFormat="1" applyFont="1" applyFill="1"/>
    <xf numFmtId="0" fontId="31" fillId="0" borderId="2" xfId="0" applyFont="1" applyBorder="1" applyAlignment="1">
      <alignment horizontal="justify" vertical="center" wrapText="1"/>
    </xf>
    <xf numFmtId="0" fontId="14" fillId="13" borderId="1" xfId="0" applyFont="1" applyFill="1" applyBorder="1" applyAlignment="1">
      <alignment horizontal="justify" vertical="center" wrapText="1"/>
    </xf>
  </cellXfs>
  <cellStyles count="65">
    <cellStyle name="Comma 2" xfId="14" xr:uid="{66FE4C44-3609-4393-973D-2729B2BDBCB9}"/>
    <cellStyle name="Comma 2 2" xfId="17" xr:uid="{4D8CF083-AA87-4E4D-905E-EF28DF18B6ED}"/>
    <cellStyle name="Comma 2 2 2" xfId="61" xr:uid="{77A113C4-872D-42B8-A12A-901F828952A5}"/>
    <cellStyle name="Comma 2 3" xfId="42" xr:uid="{25963AE3-E5D6-4FFE-91CC-2D5923BE9D4C}"/>
    <cellStyle name="Comma 3" xfId="19" xr:uid="{3F56D422-5152-4746-9548-6126A2D14468}"/>
    <cellStyle name="Comma 3 2" xfId="30" xr:uid="{1F653B5F-CB82-4F4A-B549-17FB7B3845FD}"/>
    <cellStyle name="Comma 3 2 2" xfId="33" xr:uid="{7996879B-E2A7-40E6-B277-E19D75E4C1EC}"/>
    <cellStyle name="Comma 3 2 2 2" xfId="52" xr:uid="{FCF9F512-2752-4808-9E46-5C263DA52B08}"/>
    <cellStyle name="Comma 3 2 3" xfId="36" xr:uid="{97B7128B-845F-47D9-BEA5-CB3FA90802C7}"/>
    <cellStyle name="Comma 3 2 3 2" xfId="55" xr:uid="{9AF04393-3F82-4228-9737-F8B3E17D61B8}"/>
    <cellStyle name="Comma 3 2 4" xfId="50" xr:uid="{7750CE15-EBE2-4875-AA6D-1A21AE9E2566}"/>
    <cellStyle name="Comma 3 2 5" xfId="62" xr:uid="{6DAAFADB-6DEE-47A2-9B89-1A3FB04A9C05}"/>
    <cellStyle name="Comma 3 3" xfId="32" xr:uid="{9FFCBD79-5915-46B3-A4C0-1199553C992A}"/>
    <cellStyle name="Comma 3 3 2" xfId="51" xr:uid="{5217FE69-E55A-4D65-B340-D514F3926E95}"/>
    <cellStyle name="Comma 3 4" xfId="35" xr:uid="{6B3C0ABA-6CDB-4CCD-870B-B052B4276757}"/>
    <cellStyle name="Comma 3 4 2" xfId="54" xr:uid="{A56D1FC7-AF8B-4254-96E0-C30E53CB3A21}"/>
    <cellStyle name="Comma 3 5" xfId="41" xr:uid="{D5C38D04-C37A-4508-87C8-A1B53E778A27}"/>
    <cellStyle name="Comma 3 5 2" xfId="58" xr:uid="{B7DD08BF-6852-417F-800C-FE797C95CE4B}"/>
    <cellStyle name="Comma 3 6" xfId="49" xr:uid="{1233EE4B-1432-46C6-AAE4-AF01324DE516}"/>
    <cellStyle name="Comma 3 7" xfId="60" xr:uid="{BEBF9378-0BB2-45A0-9A49-0ED8F70DD612}"/>
    <cellStyle name="Comma 4" xfId="1" xr:uid="{D192EA61-A303-476D-A0B7-AC2698BCFD41}"/>
    <cellStyle name="Comma 4 2" xfId="46" xr:uid="{5E99D81C-5222-44F1-BE0A-75D749BA6F5B}"/>
    <cellStyle name="Comma 4 2 2" xfId="59" xr:uid="{A286E0B1-E19B-4982-96F4-BE6452BBB81B}"/>
    <cellStyle name="Comma 4 3" xfId="53" xr:uid="{1BF54918-A33C-4172-BDC9-F324CED1DA60}"/>
    <cellStyle name="Comma 4 4" xfId="34" xr:uid="{AACD268C-C4F1-40AA-B6D2-9D76FE57BDD6}"/>
    <cellStyle name="Comma 5" xfId="37" xr:uid="{7BFF76DD-FB73-40E4-80FD-89E11BE83E30}"/>
    <cellStyle name="Comma 5 2" xfId="40" xr:uid="{536B181F-8D35-4B2D-8471-583F36B8A61C}"/>
    <cellStyle name="Comma 5 2 2" xfId="57" xr:uid="{15D7D495-CEA0-4825-956C-56BBE2935554}"/>
    <cellStyle name="Comma 5 3" xfId="56" xr:uid="{20032804-FE42-4080-BD74-29122F48F7C1}"/>
    <cellStyle name="Comma 6" xfId="63" xr:uid="{6C132A8C-D82C-42FF-A37E-A3272CA32AEE}"/>
    <cellStyle name="Currency 2" xfId="3" xr:uid="{D3C5396D-119D-4E3B-8CA8-409402CBD837}"/>
    <cellStyle name="Excel Built-in Neutral" xfId="7" xr:uid="{D13F97CE-A1BB-43D3-BF50-718492E1868F}"/>
    <cellStyle name="Excel Built-in Normal" xfId="13" xr:uid="{F513C386-EFE7-4932-B7F1-3C345F7125F7}"/>
    <cellStyle name="Excel Built-in Normal 1" xfId="29" xr:uid="{9D9B25F9-BB28-4108-9BFA-5530E7796806}"/>
    <cellStyle name="Hyperlink" xfId="5" builtinId="8"/>
    <cellStyle name="Normal" xfId="0" builtinId="0"/>
    <cellStyle name="Normal 10 2 2" xfId="2" xr:uid="{0CE5E76B-2E26-4051-8A08-EAA1F960F298}"/>
    <cellStyle name="Normal 10 7" xfId="4" xr:uid="{B029D1E0-8EE2-4FB6-B26C-3E6BF06F8836}"/>
    <cellStyle name="Normal 2" xfId="6" xr:uid="{3AC57880-595C-4699-8A1D-81E3642C50D8}"/>
    <cellStyle name="Normal 2 2" xfId="18" xr:uid="{82926777-4A24-471C-A6E3-2890E0F350FA}"/>
    <cellStyle name="Normal 2 2 2" xfId="26" xr:uid="{8BD8C74B-E418-4EAD-B721-04E608429A2C}"/>
    <cellStyle name="Normal 2 2 3" xfId="44" xr:uid="{10B7D299-E714-4041-88A1-694A230210E0}"/>
    <cellStyle name="Normal 2 3" xfId="21" xr:uid="{CDF069C6-5708-4726-A672-186DFC6F7726}"/>
    <cellStyle name="Normal 2 4" xfId="39" xr:uid="{D59CED54-B5E3-4D43-B475-93D3AD4CB04D}"/>
    <cellStyle name="Normal 3" xfId="8" xr:uid="{122C9CC7-455C-4F40-84F7-2FF6336E8F9B}"/>
    <cellStyle name="Normal 3 2" xfId="23" xr:uid="{D714A35A-7294-4708-8140-B0B16F2F1D3F}"/>
    <cellStyle name="Normal 4" xfId="11" xr:uid="{9BFF0537-67C1-41A4-A69E-E3F0473166B0}"/>
    <cellStyle name="Normal 4 2" xfId="15" xr:uid="{D561462D-E299-4F19-8EAC-B9A3B2DEB0EB}"/>
    <cellStyle name="Normal 4 2 2" xfId="47" xr:uid="{9D74F0D6-8DBE-43A7-A15F-A293F672DF47}"/>
    <cellStyle name="Normal 4 3" xfId="43" xr:uid="{1042EE9B-3E16-49EC-AEF0-D25A32F4DD4A}"/>
    <cellStyle name="Normal 5" xfId="12" xr:uid="{4A0E5589-BC9B-4192-8C23-F778DC43D065}"/>
    <cellStyle name="Normal 5 2" xfId="16" xr:uid="{D973DA4D-54AD-4A0A-B96B-DF016F9706FB}"/>
    <cellStyle name="Normal 5 3" xfId="45" xr:uid="{601CD87E-101E-4F72-ADB1-7EEB571FF141}"/>
    <cellStyle name="Normal 6" xfId="20" xr:uid="{D792D7B9-A352-4A4F-9EC2-754BE09C0040}"/>
    <cellStyle name="Normal 6 2" xfId="28" xr:uid="{3DB92377-DCA6-444E-ADCB-14E8E892DD60}"/>
    <cellStyle name="Normal 6 3" xfId="27" xr:uid="{88F4F660-50D3-4522-9201-ED6B2E852E38}"/>
    <cellStyle name="Normal 6 4" xfId="38" xr:uid="{7F26CBEE-65B8-4484-A5CA-0AC11A265B1D}"/>
    <cellStyle name="Normal 7" xfId="22" xr:uid="{920E4215-97AD-4F8C-A6CA-033533E791CD}"/>
    <cellStyle name="Normal 7 2" xfId="31" xr:uid="{CA678052-3C5B-4359-8CA6-1537A5CD7F32}"/>
    <cellStyle name="Normal 8" xfId="24" xr:uid="{1F0EDBFB-56C5-45D5-996B-B4FAB357B3B8}"/>
    <cellStyle name="Normal 9" xfId="25" xr:uid="{CF26FA2C-8D18-4868-8A5B-1FEEC2B364E9}"/>
    <cellStyle name="Parasts 2" xfId="9" xr:uid="{DF16EEA7-2C53-472A-9063-4A3216367E15}"/>
    <cellStyle name="Parasts 3" xfId="10" xr:uid="{2FCC318D-F141-4ADD-9ABB-0A67EE61DEFC}"/>
    <cellStyle name="Percent" xfId="64" builtinId="5"/>
    <cellStyle name="Percent 2" xfId="48" xr:uid="{07A4A7AC-EF3E-4BCB-B334-31FCA6CF94A3}"/>
  </cellStyles>
  <dxfs count="0"/>
  <tableStyles count="0" defaultTableStyle="TableStyleMedium2" defaultPivotStyle="PivotStyleLight16"/>
  <colors>
    <mruColors>
      <color rgb="FFFF9933"/>
      <color rgb="FF99FFCC"/>
      <color rgb="FFFFCCFF"/>
      <color rgb="FFFF33CC"/>
      <color rgb="FFFFCC66"/>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C:\Documents%20and%20Settings\Svetlana.Supulniece\Local%20Settings\Temporary%20Internet%20Files\Content.Outlook\J21U5MYL\LIC%20PP%20parrekins%20pec%202012%209m%20DB\LIC%20laboratorija\R0032%20-LIC%20darbs%20laboratorija%20citam%20ar%20palidz%20veidu%20AI%2031102012.xls?73E465BC" TargetMode="External"/><Relationship Id="rId1" Type="http://schemas.openxmlformats.org/officeDocument/2006/relationships/externalLinkPath" Target="file:///\\73E465BC\R0032%20-LIC%20darbs%20laboratorija%20citam%20ar%20palidz%20veidu%20AI%20311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A117E-1414-48B1-A73A-44F16F23F16A}">
  <sheetPr>
    <tabColor rgb="FF92D050"/>
  </sheetPr>
  <dimension ref="A1:BRZ99"/>
  <sheetViews>
    <sheetView tabSelected="1" topLeftCell="A25" zoomScale="88" zoomScaleNormal="88" workbookViewId="0">
      <selection activeCell="A34" sqref="A34:B34"/>
    </sheetView>
  </sheetViews>
  <sheetFormatPr defaultColWidth="9.140625" defaultRowHeight="12" x14ac:dyDescent="0.2"/>
  <cols>
    <col min="1" max="1" width="13.28515625" style="95" customWidth="1"/>
    <col min="2" max="2" width="37" style="95" customWidth="1"/>
    <col min="3" max="3" width="9.140625" style="95" customWidth="1"/>
    <col min="4" max="4" width="15.140625" style="95" hidden="1" customWidth="1"/>
    <col min="5" max="5" width="26.140625" style="95" hidden="1" customWidth="1"/>
    <col min="6" max="6" width="13.85546875" style="95" customWidth="1"/>
    <col min="7" max="7" width="15.42578125" style="95" customWidth="1"/>
    <col min="8" max="8" width="11.42578125" style="95" customWidth="1"/>
    <col min="9" max="9" width="14.42578125" style="95" customWidth="1"/>
    <col min="10" max="10" width="13.42578125" style="95" customWidth="1"/>
    <col min="11" max="11" width="15.85546875" style="95" customWidth="1"/>
    <col min="12" max="12" width="24.140625" style="95" customWidth="1"/>
    <col min="13" max="15" width="20.7109375" style="95" hidden="1" customWidth="1"/>
    <col min="16" max="16" width="13.42578125" style="95" customWidth="1"/>
    <col min="17" max="17" width="16.5703125" style="95" customWidth="1"/>
    <col min="18" max="18" width="12.85546875" style="95" customWidth="1"/>
    <col min="19" max="19" width="14.5703125" style="95" customWidth="1"/>
    <col min="20" max="20" width="13.85546875" style="95" customWidth="1"/>
    <col min="21" max="21" width="22.28515625" style="95" hidden="1" customWidth="1"/>
    <col min="22" max="27" width="13.85546875" style="95" customWidth="1"/>
    <col min="28" max="28" width="14.5703125" style="95" customWidth="1"/>
    <col min="29" max="29" width="16.7109375" style="95" customWidth="1"/>
    <col min="30" max="30" width="15.7109375" style="95" customWidth="1"/>
    <col min="31" max="31" width="13" style="95" customWidth="1"/>
    <col min="32" max="32" width="13.7109375" style="95" customWidth="1"/>
    <col min="33" max="33" width="21.7109375" style="95" customWidth="1"/>
    <col min="34" max="34" width="21.7109375" style="95" hidden="1" customWidth="1"/>
    <col min="35" max="35" width="13.140625" style="95" customWidth="1"/>
    <col min="36" max="36" width="15.7109375" style="95" customWidth="1"/>
    <col min="37" max="37" width="16.28515625" style="95" customWidth="1"/>
    <col min="38" max="38" width="14.5703125" style="95" customWidth="1"/>
    <col min="39" max="39" width="19.28515625" style="95" customWidth="1"/>
    <col min="40" max="40" width="14.5703125" style="95" customWidth="1"/>
    <col min="41" max="41" width="21.7109375" style="95" customWidth="1"/>
    <col min="42" max="42" width="14.5703125" style="95" customWidth="1"/>
    <col min="43" max="43" width="17.5703125" style="95" customWidth="1"/>
    <col min="44" max="44" width="19.5703125" style="95" customWidth="1"/>
    <col min="45" max="45" width="19.7109375" style="95" customWidth="1"/>
    <col min="46" max="48" width="9.140625" style="95"/>
    <col min="49" max="49" width="13.42578125" style="95" customWidth="1"/>
    <col min="50" max="50" width="18" style="95" bestFit="1" customWidth="1"/>
    <col min="51" max="51" width="16.5703125" style="95" bestFit="1" customWidth="1"/>
    <col min="52" max="16384" width="9.140625" style="95"/>
  </cols>
  <sheetData>
    <row r="1" spans="1:44" ht="15" customHeight="1" thickBot="1" x14ac:dyDescent="0.25">
      <c r="A1" s="116"/>
      <c r="B1" s="117"/>
      <c r="C1" s="390" t="s">
        <v>214</v>
      </c>
      <c r="D1" s="391"/>
      <c r="E1" s="391"/>
      <c r="F1" s="391"/>
      <c r="G1" s="392"/>
      <c r="H1" s="393" t="s">
        <v>218</v>
      </c>
      <c r="I1" s="393"/>
      <c r="J1" s="393"/>
      <c r="K1" s="393"/>
      <c r="L1" s="394"/>
      <c r="M1" s="390" t="s">
        <v>220</v>
      </c>
      <c r="N1" s="391"/>
      <c r="O1" s="391"/>
      <c r="P1" s="391"/>
      <c r="Q1" s="392"/>
      <c r="R1" s="387" t="s">
        <v>222</v>
      </c>
      <c r="S1" s="388"/>
      <c r="T1" s="389"/>
      <c r="U1" s="387" t="s">
        <v>228</v>
      </c>
      <c r="V1" s="388"/>
      <c r="W1" s="388"/>
      <c r="X1" s="388"/>
      <c r="Y1" s="389"/>
      <c r="Z1" s="382" t="s">
        <v>230</v>
      </c>
      <c r="AA1" s="383"/>
      <c r="AB1" s="383"/>
      <c r="AC1" s="384"/>
      <c r="AD1" s="385" t="s">
        <v>236</v>
      </c>
      <c r="AE1" s="386"/>
      <c r="AF1" s="377" t="s">
        <v>85</v>
      </c>
      <c r="AG1" s="378"/>
      <c r="AH1" s="379" t="s">
        <v>114</v>
      </c>
      <c r="AI1" s="381"/>
      <c r="AJ1" s="381"/>
      <c r="AK1" s="380"/>
      <c r="AL1" s="379" t="s">
        <v>87</v>
      </c>
      <c r="AM1" s="380"/>
      <c r="AN1" s="379" t="s">
        <v>88</v>
      </c>
      <c r="AO1" s="380"/>
      <c r="AP1" s="379" t="s">
        <v>89</v>
      </c>
      <c r="AQ1" s="380"/>
    </row>
    <row r="2" spans="1:44" ht="15" customHeight="1" thickBot="1" x14ac:dyDescent="0.25">
      <c r="A2" s="211"/>
      <c r="B2" s="211"/>
      <c r="C2" s="235"/>
      <c r="D2" s="212"/>
      <c r="E2" s="212">
        <v>1.1669895389384</v>
      </c>
      <c r="F2" s="212"/>
      <c r="G2" s="236"/>
      <c r="H2" s="210"/>
      <c r="I2" s="210"/>
      <c r="J2" s="210"/>
      <c r="K2" s="210"/>
      <c r="L2" s="213"/>
      <c r="M2" s="143">
        <f>N2/7743</f>
        <v>1.5247320160144646</v>
      </c>
      <c r="N2" s="143">
        <f>ROUND(SUM(((16300*5)+(10900*2))/7)*0.8,0)</f>
        <v>11806</v>
      </c>
      <c r="O2" s="212"/>
      <c r="P2" s="214"/>
      <c r="Q2" s="214"/>
      <c r="R2" s="215"/>
      <c r="S2" s="216"/>
      <c r="T2" s="216"/>
      <c r="U2" s="210"/>
      <c r="V2" s="118"/>
      <c r="W2" s="210"/>
      <c r="X2" s="210"/>
      <c r="Y2" s="210"/>
      <c r="Z2" s="217"/>
      <c r="AA2" s="218"/>
      <c r="AB2" s="218"/>
      <c r="AC2" s="219"/>
      <c r="AD2" s="220"/>
      <c r="AE2" s="221"/>
      <c r="AF2" s="222"/>
      <c r="AG2" s="223"/>
      <c r="AH2" s="225"/>
      <c r="AI2" s="224"/>
      <c r="AJ2" s="224"/>
      <c r="AK2" s="226"/>
      <c r="AL2" s="225"/>
      <c r="AM2" s="226"/>
      <c r="AN2" s="225"/>
      <c r="AO2" s="226"/>
      <c r="AP2" s="227"/>
      <c r="AQ2" s="228"/>
    </row>
    <row r="3" spans="1:44" ht="105.75" thickBot="1" x14ac:dyDescent="0.25">
      <c r="A3" s="126" t="s">
        <v>198</v>
      </c>
      <c r="B3" s="127" t="s">
        <v>199</v>
      </c>
      <c r="C3" s="121" t="s">
        <v>75</v>
      </c>
      <c r="D3" s="209" t="s">
        <v>10</v>
      </c>
      <c r="E3" s="209" t="s">
        <v>13</v>
      </c>
      <c r="F3" s="122" t="s">
        <v>15</v>
      </c>
      <c r="G3" s="123" t="s">
        <v>238</v>
      </c>
      <c r="H3" s="119" t="s">
        <v>223</v>
      </c>
      <c r="I3" s="122" t="s">
        <v>216</v>
      </c>
      <c r="J3" s="122" t="s">
        <v>217</v>
      </c>
      <c r="K3" s="122" t="s">
        <v>17</v>
      </c>
      <c r="L3" s="123" t="s">
        <v>215</v>
      </c>
      <c r="M3" s="209" t="s">
        <v>11</v>
      </c>
      <c r="N3" s="209" t="s">
        <v>12</v>
      </c>
      <c r="O3" s="209" t="s">
        <v>242</v>
      </c>
      <c r="P3" s="124" t="s">
        <v>219</v>
      </c>
      <c r="Q3" s="125" t="s">
        <v>237</v>
      </c>
      <c r="R3" s="120" t="s">
        <v>224</v>
      </c>
      <c r="S3" s="124" t="s">
        <v>227</v>
      </c>
      <c r="T3" s="125" t="s">
        <v>221</v>
      </c>
      <c r="U3" s="209" t="s">
        <v>241</v>
      </c>
      <c r="V3" s="124" t="s">
        <v>231</v>
      </c>
      <c r="W3" s="124" t="s">
        <v>232</v>
      </c>
      <c r="X3" s="124" t="s">
        <v>225</v>
      </c>
      <c r="Y3" s="125" t="s">
        <v>226</v>
      </c>
      <c r="Z3" s="124" t="s">
        <v>229</v>
      </c>
      <c r="AA3" s="124" t="s">
        <v>234</v>
      </c>
      <c r="AB3" s="124" t="s">
        <v>233</v>
      </c>
      <c r="AC3" s="123" t="s">
        <v>243</v>
      </c>
      <c r="AD3" s="124" t="s">
        <v>235</v>
      </c>
      <c r="AE3" s="123" t="s">
        <v>221</v>
      </c>
      <c r="AF3" s="173" t="s">
        <v>244</v>
      </c>
      <c r="AG3" s="174" t="s">
        <v>249</v>
      </c>
      <c r="AH3" s="209" t="s">
        <v>240</v>
      </c>
      <c r="AI3" s="120" t="s">
        <v>314</v>
      </c>
      <c r="AJ3" s="358" t="s">
        <v>245</v>
      </c>
      <c r="AK3" s="359" t="s">
        <v>250</v>
      </c>
      <c r="AL3" s="360" t="s">
        <v>246</v>
      </c>
      <c r="AM3" s="359" t="s">
        <v>251</v>
      </c>
      <c r="AN3" s="360" t="s">
        <v>247</v>
      </c>
      <c r="AO3" s="359" t="s">
        <v>252</v>
      </c>
      <c r="AP3" s="360" t="s">
        <v>248</v>
      </c>
      <c r="AQ3" s="361" t="s">
        <v>253</v>
      </c>
      <c r="AR3" s="229" t="s">
        <v>288</v>
      </c>
    </row>
    <row r="4" spans="1:44" ht="42.75" customHeight="1" x14ac:dyDescent="0.25">
      <c r="A4" s="139">
        <v>47060</v>
      </c>
      <c r="B4" s="140" t="s">
        <v>193</v>
      </c>
      <c r="C4" s="144">
        <v>4.8600000000000003</v>
      </c>
      <c r="D4" s="203">
        <v>3349</v>
      </c>
      <c r="E4" s="203">
        <v>1120651.0217435141</v>
      </c>
      <c r="F4" s="145">
        <f>7775+9693+20878+2651+53191+31533</f>
        <v>125721</v>
      </c>
      <c r="G4" s="146">
        <f>C4*F4</f>
        <v>611004.06000000006</v>
      </c>
      <c r="H4" s="147">
        <v>4.8600000000000003</v>
      </c>
      <c r="I4" s="145">
        <f>6679+4857+13306+2099+32141+19878</f>
        <v>78960</v>
      </c>
      <c r="J4" s="146">
        <f>1591+1400+4522+812+10163+6288</f>
        <v>24776</v>
      </c>
      <c r="K4" s="145">
        <f>I4+J4</f>
        <v>103736</v>
      </c>
      <c r="L4" s="146">
        <f>(C4*I4)+(H4*J4)</f>
        <v>504156.96000000008</v>
      </c>
      <c r="M4" s="231">
        <v>5106</v>
      </c>
      <c r="N4" s="231">
        <v>4442</v>
      </c>
      <c r="O4" s="231">
        <v>1316875.32</v>
      </c>
      <c r="P4" s="145">
        <f>6329+8261+20619+3258+43055+26874+1</f>
        <v>108397</v>
      </c>
      <c r="Q4" s="146">
        <f>H4*P4</f>
        <v>526809.42000000004</v>
      </c>
      <c r="R4" s="148">
        <v>4.13</v>
      </c>
      <c r="S4" s="145">
        <f>4529+6184+20809+1355+38094+21287+242</f>
        <v>92500</v>
      </c>
      <c r="T4" s="146">
        <f>R4*S4</f>
        <v>382025</v>
      </c>
      <c r="U4" s="231">
        <v>1327669.3800000001</v>
      </c>
      <c r="V4" s="145"/>
      <c r="W4" s="146"/>
      <c r="X4" s="145">
        <f>2201+3746+682+20974+4+34903+18208</f>
        <v>80718</v>
      </c>
      <c r="Y4" s="146">
        <f>X4*R4</f>
        <v>333365.33999999997</v>
      </c>
      <c r="Z4" s="168"/>
      <c r="AA4" s="146"/>
      <c r="AB4" s="145">
        <f>1363+4000+13032+22059+11399+1+91</f>
        <v>51945</v>
      </c>
      <c r="AC4" s="146">
        <f>AB4*R4</f>
        <v>214532.85</v>
      </c>
      <c r="AD4" s="168">
        <f>1239+4296+12369+21453+11848+360</f>
        <v>51565</v>
      </c>
      <c r="AE4" s="146">
        <f>AD4*R4</f>
        <v>212963.44999999998</v>
      </c>
      <c r="AF4" s="296">
        <f>AD4</f>
        <v>51565</v>
      </c>
      <c r="AG4" s="200">
        <f>AF4*R4</f>
        <v>212963.44999999998</v>
      </c>
      <c r="AH4" s="230">
        <v>877916.88000000012</v>
      </c>
      <c r="AI4" s="148"/>
      <c r="AJ4" s="347">
        <f>(AF4)+(AF4/2)</f>
        <v>77347.5</v>
      </c>
      <c r="AK4" s="348">
        <f>AJ4*R4</f>
        <v>319445.17499999999</v>
      </c>
      <c r="AL4" s="349">
        <f>X4+(246493*0.1)*2</f>
        <v>130016.6</v>
      </c>
      <c r="AM4" s="348">
        <f>AL4*R4</f>
        <v>536968.55799999996</v>
      </c>
      <c r="AN4" s="349">
        <f>P4+(246493*0.1)*2</f>
        <v>157695.6</v>
      </c>
      <c r="AO4" s="350">
        <f>R4*AN4</f>
        <v>651282.82799999998</v>
      </c>
      <c r="AP4" s="349">
        <f>AN4</f>
        <v>157695.6</v>
      </c>
      <c r="AQ4" s="350">
        <f>AO4</f>
        <v>651282.82799999998</v>
      </c>
      <c r="AR4" s="295">
        <f t="shared" ref="AR4:AR31" si="0">E4+O4+U4+AH4</f>
        <v>4643112.6017435137</v>
      </c>
    </row>
    <row r="5" spans="1:44" ht="27.75" customHeight="1" x14ac:dyDescent="0.25">
      <c r="A5" s="139">
        <v>47259</v>
      </c>
      <c r="B5" s="140" t="s">
        <v>0</v>
      </c>
      <c r="C5" s="144">
        <v>25.83</v>
      </c>
      <c r="D5" s="203">
        <v>175</v>
      </c>
      <c r="E5" s="203"/>
      <c r="F5" s="145"/>
      <c r="G5" s="146"/>
      <c r="H5" s="147"/>
      <c r="I5" s="145"/>
      <c r="J5" s="146"/>
      <c r="K5" s="145"/>
      <c r="L5" s="146"/>
      <c r="M5" s="231"/>
      <c r="N5" s="231"/>
      <c r="O5" s="231"/>
      <c r="P5" s="145"/>
      <c r="Q5" s="146"/>
      <c r="R5" s="148"/>
      <c r="S5" s="145"/>
      <c r="T5" s="146"/>
      <c r="U5" s="231"/>
      <c r="V5" s="145"/>
      <c r="W5" s="146"/>
      <c r="X5" s="145"/>
      <c r="Y5" s="146"/>
      <c r="Z5" s="168"/>
      <c r="AA5" s="146"/>
      <c r="AB5" s="145"/>
      <c r="AC5" s="146"/>
      <c r="AD5" s="168"/>
      <c r="AE5" s="146"/>
      <c r="AF5" s="296"/>
      <c r="AG5" s="200"/>
      <c r="AH5" s="230"/>
      <c r="AI5" s="148"/>
      <c r="AJ5" s="347">
        <f t="shared" ref="AJ5:AK7" si="1">AF5</f>
        <v>0</v>
      </c>
      <c r="AK5" s="348">
        <f t="shared" si="1"/>
        <v>0</v>
      </c>
      <c r="AL5" s="349">
        <f>X5</f>
        <v>0</v>
      </c>
      <c r="AM5" s="348">
        <f>AL5*R5</f>
        <v>0</v>
      </c>
      <c r="AN5" s="349">
        <f>P5</f>
        <v>0</v>
      </c>
      <c r="AO5" s="350">
        <f>R5*AN5</f>
        <v>0</v>
      </c>
      <c r="AP5" s="349">
        <f t="shared" ref="AP5:AP31" si="2">AN5</f>
        <v>0</v>
      </c>
      <c r="AQ5" s="350">
        <f t="shared" ref="AQ5:AQ31" si="3">AO5</f>
        <v>0</v>
      </c>
      <c r="AR5" s="295">
        <f t="shared" si="0"/>
        <v>0</v>
      </c>
    </row>
    <row r="6" spans="1:44" ht="27.75" customHeight="1" x14ac:dyDescent="0.25">
      <c r="A6" s="139">
        <v>60162</v>
      </c>
      <c r="B6" s="140" t="s">
        <v>5</v>
      </c>
      <c r="C6" s="144">
        <v>5.13</v>
      </c>
      <c r="D6" s="203"/>
      <c r="E6" s="203">
        <v>61812.226656334969</v>
      </c>
      <c r="F6" s="145"/>
      <c r="G6" s="146"/>
      <c r="H6" s="147"/>
      <c r="I6" s="145"/>
      <c r="J6" s="146"/>
      <c r="K6" s="145"/>
      <c r="L6" s="146"/>
      <c r="M6" s="231">
        <v>267</v>
      </c>
      <c r="N6" s="231">
        <v>232</v>
      </c>
      <c r="O6" s="231">
        <v>72599.760000000009</v>
      </c>
      <c r="P6" s="145"/>
      <c r="Q6" s="146"/>
      <c r="R6" s="148"/>
      <c r="S6" s="145"/>
      <c r="T6" s="146"/>
      <c r="U6" s="231">
        <v>73194.840000000011</v>
      </c>
      <c r="V6" s="145"/>
      <c r="W6" s="146"/>
      <c r="X6" s="145"/>
      <c r="Y6" s="146"/>
      <c r="Z6" s="168"/>
      <c r="AA6" s="146"/>
      <c r="AB6" s="145"/>
      <c r="AC6" s="146"/>
      <c r="AD6" s="168"/>
      <c r="AE6" s="146"/>
      <c r="AF6" s="296"/>
      <c r="AG6" s="200"/>
      <c r="AH6" s="230">
        <v>48399.839999999997</v>
      </c>
      <c r="AI6" s="148"/>
      <c r="AJ6" s="347">
        <f t="shared" si="1"/>
        <v>0</v>
      </c>
      <c r="AK6" s="348">
        <f t="shared" si="1"/>
        <v>0</v>
      </c>
      <c r="AL6" s="349">
        <f>X6</f>
        <v>0</v>
      </c>
      <c r="AM6" s="348">
        <f>AL6*R6</f>
        <v>0</v>
      </c>
      <c r="AN6" s="349">
        <f>P6</f>
        <v>0</v>
      </c>
      <c r="AO6" s="350">
        <f>R6*AN6</f>
        <v>0</v>
      </c>
      <c r="AP6" s="349">
        <f t="shared" si="2"/>
        <v>0</v>
      </c>
      <c r="AQ6" s="350">
        <f t="shared" si="3"/>
        <v>0</v>
      </c>
      <c r="AR6" s="295">
        <f t="shared" si="0"/>
        <v>256006.66665633497</v>
      </c>
    </row>
    <row r="7" spans="1:44" ht="27.75" customHeight="1" x14ac:dyDescent="0.25">
      <c r="A7" s="139">
        <v>6014</v>
      </c>
      <c r="B7" s="140" t="s">
        <v>239</v>
      </c>
      <c r="C7" s="144">
        <v>2.73</v>
      </c>
      <c r="D7" s="203"/>
      <c r="E7" s="203">
        <v>32894.225881441416</v>
      </c>
      <c r="F7" s="145"/>
      <c r="G7" s="146"/>
      <c r="H7" s="147"/>
      <c r="I7" s="145"/>
      <c r="J7" s="146"/>
      <c r="K7" s="145"/>
      <c r="L7" s="146"/>
      <c r="M7" s="231">
        <v>267</v>
      </c>
      <c r="N7" s="231">
        <v>232</v>
      </c>
      <c r="O7" s="231">
        <v>38634.959999999999</v>
      </c>
      <c r="P7" s="145"/>
      <c r="Q7" s="146"/>
      <c r="R7" s="148"/>
      <c r="S7" s="145"/>
      <c r="T7" s="146"/>
      <c r="U7" s="231">
        <v>38951.64</v>
      </c>
      <c r="V7" s="145"/>
      <c r="W7" s="146"/>
      <c r="X7" s="145"/>
      <c r="Y7" s="146"/>
      <c r="Z7" s="168"/>
      <c r="AA7" s="146"/>
      <c r="AB7" s="145"/>
      <c r="AC7" s="146"/>
      <c r="AD7" s="168"/>
      <c r="AE7" s="146"/>
      <c r="AF7" s="296"/>
      <c r="AG7" s="200"/>
      <c r="AH7" s="230">
        <v>25756.639999999996</v>
      </c>
      <c r="AI7" s="148"/>
      <c r="AJ7" s="347">
        <f t="shared" si="1"/>
        <v>0</v>
      </c>
      <c r="AK7" s="348">
        <f t="shared" si="1"/>
        <v>0</v>
      </c>
      <c r="AL7" s="349">
        <f>X7</f>
        <v>0</v>
      </c>
      <c r="AM7" s="348">
        <f>AL7*R7</f>
        <v>0</v>
      </c>
      <c r="AN7" s="349">
        <f>P7</f>
        <v>0</v>
      </c>
      <c r="AO7" s="350">
        <f>R7*AN7</f>
        <v>0</v>
      </c>
      <c r="AP7" s="349">
        <f t="shared" si="2"/>
        <v>0</v>
      </c>
      <c r="AQ7" s="350">
        <f t="shared" si="3"/>
        <v>0</v>
      </c>
      <c r="AR7" s="295">
        <f t="shared" si="0"/>
        <v>136237.4658814414</v>
      </c>
    </row>
    <row r="8" spans="1:44" s="138" customFormat="1" ht="31.5" customHeight="1" x14ac:dyDescent="0.25">
      <c r="A8" s="141">
        <v>47073</v>
      </c>
      <c r="B8" s="140" t="s">
        <v>194</v>
      </c>
      <c r="C8" s="149">
        <v>34.81</v>
      </c>
      <c r="D8" s="204">
        <v>5121</v>
      </c>
      <c r="E8" s="204">
        <v>12273764.150747815</v>
      </c>
      <c r="F8" s="160">
        <f>15507+8179+19927+5273+81422+60710+88</f>
        <v>191106</v>
      </c>
      <c r="G8" s="161">
        <f t="shared" ref="G8:G11" si="4">C8*F8</f>
        <v>6652399.8600000003</v>
      </c>
      <c r="H8" s="152">
        <v>26.68</v>
      </c>
      <c r="I8" s="160">
        <f>12786+5426+13306+3550+51159+35120+198</f>
        <v>121545</v>
      </c>
      <c r="J8" s="161">
        <f>3287+4533+4522+1263+15406+10730+108</f>
        <v>39849</v>
      </c>
      <c r="K8" s="160">
        <f t="shared" ref="K8:K16" si="5">I8+J8</f>
        <v>161394</v>
      </c>
      <c r="L8" s="161">
        <f>(C8*I8)+(H8*J8)</f>
        <v>5294152.7700000005</v>
      </c>
      <c r="M8" s="234">
        <v>7808</v>
      </c>
      <c r="N8" s="234">
        <v>6793</v>
      </c>
      <c r="O8" s="234">
        <v>14424324.130000001</v>
      </c>
      <c r="P8" s="160">
        <f>15469+21959+20619+4831+67964+47832+661+73</f>
        <v>179408</v>
      </c>
      <c r="Q8" s="161">
        <f t="shared" ref="Q8:Q16" si="6">H8*P8</f>
        <v>4786605.4400000004</v>
      </c>
      <c r="R8" s="163"/>
      <c r="S8" s="160">
        <f>13821+7966+20809+4042+59739+44344+783+81+176</f>
        <v>151761</v>
      </c>
      <c r="T8" s="161">
        <f>H8*S8</f>
        <v>4048983.48</v>
      </c>
      <c r="U8" s="234">
        <v>14542556.295000002</v>
      </c>
      <c r="V8" s="160"/>
      <c r="W8" s="161"/>
      <c r="X8" s="160">
        <f>11937+4217+156+555+20974+4157+58442+38775+707</f>
        <v>139920</v>
      </c>
      <c r="Y8" s="161">
        <f>X8*H8</f>
        <v>3733065.6</v>
      </c>
      <c r="Z8" s="172"/>
      <c r="AA8" s="161"/>
      <c r="AB8" s="160">
        <f>9481+4150+13032+2839+39437+24739+118+76+653</f>
        <v>94525</v>
      </c>
      <c r="AC8" s="161">
        <f>AB8*H8</f>
        <v>2521927</v>
      </c>
      <c r="AD8" s="172">
        <f>8727+4637+12369+2574+33172+22258+623+230+342</f>
        <v>84932</v>
      </c>
      <c r="AE8" s="161">
        <f>AD8*H8</f>
        <v>2265985.7599999998</v>
      </c>
      <c r="AF8" s="344">
        <f>AD8+3275</f>
        <v>88207</v>
      </c>
      <c r="AG8" s="345">
        <f>AF8*H8</f>
        <v>2353362.7599999998</v>
      </c>
      <c r="AH8" s="346">
        <v>9616216.0866666697</v>
      </c>
      <c r="AI8" s="163"/>
      <c r="AJ8" s="347">
        <f>(AF8)+(AF8/2)</f>
        <v>132310.5</v>
      </c>
      <c r="AK8" s="348">
        <f>AJ8*H8</f>
        <v>3530044.14</v>
      </c>
      <c r="AL8" s="349">
        <f>X8+(146493*0.1)*2</f>
        <v>169218.6</v>
      </c>
      <c r="AM8" s="348">
        <f>AL8*H8</f>
        <v>4514752.2479999997</v>
      </c>
      <c r="AN8" s="349">
        <f>P8+(246493*0.1)*2</f>
        <v>228706.6</v>
      </c>
      <c r="AO8" s="350">
        <f>H8*AN8</f>
        <v>6101892.0880000005</v>
      </c>
      <c r="AP8" s="349">
        <f t="shared" si="2"/>
        <v>228706.6</v>
      </c>
      <c r="AQ8" s="350">
        <f>AO8</f>
        <v>6101892.0880000005</v>
      </c>
      <c r="AR8" s="351">
        <f t="shared" si="0"/>
        <v>50856860.662414491</v>
      </c>
    </row>
    <row r="9" spans="1:44" s="138" customFormat="1" ht="29.25" customHeight="1" x14ac:dyDescent="0.25">
      <c r="A9" s="141">
        <v>47075</v>
      </c>
      <c r="B9" s="140" t="s">
        <v>195</v>
      </c>
      <c r="C9" s="149">
        <v>41.84</v>
      </c>
      <c r="D9" s="204">
        <v>678</v>
      </c>
      <c r="E9" s="204">
        <v>1953171.3460519246</v>
      </c>
      <c r="F9" s="160">
        <f>98+2439+1349+8477+11231+4</f>
        <v>23598</v>
      </c>
      <c r="G9" s="161">
        <f t="shared" si="4"/>
        <v>987340.32000000007</v>
      </c>
      <c r="H9" s="152">
        <v>33.4</v>
      </c>
      <c r="I9" s="160">
        <f>264+1085+1866+7233+5117+1</f>
        <v>15566</v>
      </c>
      <c r="J9" s="161">
        <f>45+329+549+2472+1303</f>
        <v>4698</v>
      </c>
      <c r="K9" s="160">
        <f t="shared" si="5"/>
        <v>20264</v>
      </c>
      <c r="L9" s="161">
        <f>(C9*I9)+(H9*J9)</f>
        <v>808194.64</v>
      </c>
      <c r="M9" s="234">
        <v>1034</v>
      </c>
      <c r="N9" s="234">
        <v>900</v>
      </c>
      <c r="O9" s="234">
        <v>2297016</v>
      </c>
      <c r="P9" s="160">
        <f>2159+1773+2156+6+8323+4429+4</f>
        <v>18850</v>
      </c>
      <c r="Q9" s="161">
        <f t="shared" si="6"/>
        <v>629590</v>
      </c>
      <c r="R9" s="163"/>
      <c r="S9" s="160">
        <f>243+2001+1303+2858+7555+4279+66</f>
        <v>18305</v>
      </c>
      <c r="T9" s="161">
        <f>H9*S9</f>
        <v>611387</v>
      </c>
      <c r="U9" s="234">
        <v>2315844</v>
      </c>
      <c r="V9" s="160"/>
      <c r="W9" s="161"/>
      <c r="X9" s="160">
        <f>2989+1034+132+2937+7443+3284</f>
        <v>17819</v>
      </c>
      <c r="Y9" s="161">
        <f>X9*H9</f>
        <v>595154.6</v>
      </c>
      <c r="Z9" s="172"/>
      <c r="AA9" s="161"/>
      <c r="AB9" s="160">
        <f>2601+240+740+2116+949+15</f>
        <v>6661</v>
      </c>
      <c r="AC9" s="161">
        <f>AB9*H9</f>
        <v>222477.4</v>
      </c>
      <c r="AD9" s="172">
        <f>73+53+291+593+388+23</f>
        <v>1421</v>
      </c>
      <c r="AE9" s="161">
        <f>AD9*H9</f>
        <v>47461.4</v>
      </c>
      <c r="AF9" s="344">
        <f t="shared" ref="AF9:AF31" si="7">AD9</f>
        <v>1421</v>
      </c>
      <c r="AG9" s="345">
        <f>AF9*H9</f>
        <v>47461.4</v>
      </c>
      <c r="AH9" s="346">
        <v>1531344.0000000002</v>
      </c>
      <c r="AI9" s="163"/>
      <c r="AJ9" s="347">
        <f>(AF9)+(AF9/2)</f>
        <v>2131.5</v>
      </c>
      <c r="AK9" s="348">
        <f>AJ9*H9</f>
        <v>71192.099999999991</v>
      </c>
      <c r="AL9" s="349">
        <f>X9*2</f>
        <v>35638</v>
      </c>
      <c r="AM9" s="348">
        <f>AL9*H9</f>
        <v>1190309.2</v>
      </c>
      <c r="AN9" s="349">
        <f>P9*2</f>
        <v>37700</v>
      </c>
      <c r="AO9" s="350">
        <f>H9*AN9</f>
        <v>1259180</v>
      </c>
      <c r="AP9" s="349">
        <f t="shared" si="2"/>
        <v>37700</v>
      </c>
      <c r="AQ9" s="350">
        <f t="shared" si="3"/>
        <v>1259180</v>
      </c>
      <c r="AR9" s="351">
        <f t="shared" si="0"/>
        <v>8097375.3460519249</v>
      </c>
    </row>
    <row r="10" spans="1:44" s="138" customFormat="1" ht="52.5" customHeight="1" x14ac:dyDescent="0.25">
      <c r="A10" s="141">
        <v>47078</v>
      </c>
      <c r="B10" s="140" t="s">
        <v>196</v>
      </c>
      <c r="C10" s="149">
        <v>55.76</v>
      </c>
      <c r="D10" s="204">
        <v>17</v>
      </c>
      <c r="E10" s="204">
        <v>65266.550701278793</v>
      </c>
      <c r="F10" s="160">
        <f>147+370+1201+1</f>
        <v>1719</v>
      </c>
      <c r="G10" s="161">
        <f t="shared" si="4"/>
        <v>95851.44</v>
      </c>
      <c r="H10" s="152">
        <v>55.76</v>
      </c>
      <c r="I10" s="160">
        <f>28+114</f>
        <v>142</v>
      </c>
      <c r="J10" s="161">
        <f>14+55+1340</f>
        <v>1409</v>
      </c>
      <c r="K10" s="160">
        <f t="shared" si="5"/>
        <v>1551</v>
      </c>
      <c r="L10" s="161">
        <f t="shared" ref="L10:L16" si="8">(C10*I10)+(H10*J10)</f>
        <v>86483.76</v>
      </c>
      <c r="M10" s="234">
        <v>26</v>
      </c>
      <c r="N10" s="234">
        <v>23</v>
      </c>
      <c r="O10" s="234">
        <v>78231.28</v>
      </c>
      <c r="P10" s="160">
        <f>48+217+1590</f>
        <v>1855</v>
      </c>
      <c r="Q10" s="161">
        <f t="shared" si="6"/>
        <v>103434.8</v>
      </c>
      <c r="R10" s="163">
        <v>48.2</v>
      </c>
      <c r="S10" s="160">
        <f>50+261+5+1135</f>
        <v>1451</v>
      </c>
      <c r="T10" s="161">
        <f>R10*S10</f>
        <v>69938.2</v>
      </c>
      <c r="U10" s="234">
        <v>78872.52</v>
      </c>
      <c r="V10" s="160">
        <v>14</v>
      </c>
      <c r="W10" s="161">
        <v>1363</v>
      </c>
      <c r="X10" s="160">
        <f>61+2+309</f>
        <v>372</v>
      </c>
      <c r="Y10" s="161">
        <f>(X10*R10)+(V10*C10)+(W10*R10)</f>
        <v>84407.640000000014</v>
      </c>
      <c r="Z10" s="172">
        <v>3</v>
      </c>
      <c r="AA10" s="161">
        <v>378</v>
      </c>
      <c r="AB10" s="160">
        <f>76+61+332+1018</f>
        <v>1487</v>
      </c>
      <c r="AC10" s="161">
        <f>(AB10*R10)+(Z10*H10)+(AA10*R10)</f>
        <v>90060.280000000013</v>
      </c>
      <c r="AD10" s="172">
        <f>80+329+11+52</f>
        <v>472</v>
      </c>
      <c r="AE10" s="161">
        <f>AD10*R10</f>
        <v>22750.400000000001</v>
      </c>
      <c r="AF10" s="344">
        <v>4472</v>
      </c>
      <c r="AG10" s="345">
        <f>AF10*R10</f>
        <v>215550.40000000002</v>
      </c>
      <c r="AH10" s="346">
        <v>52154.186666666668</v>
      </c>
      <c r="AI10" s="163"/>
      <c r="AJ10" s="347">
        <v>5208</v>
      </c>
      <c r="AK10" s="348">
        <f>AJ10*R10</f>
        <v>251025.6</v>
      </c>
      <c r="AL10" s="347">
        <v>5208</v>
      </c>
      <c r="AM10" s="348">
        <f>AL10*R10</f>
        <v>251025.6</v>
      </c>
      <c r="AN10" s="347">
        <v>5208</v>
      </c>
      <c r="AO10" s="350">
        <f>R10*AN10</f>
        <v>251025.6</v>
      </c>
      <c r="AP10" s="349">
        <f t="shared" si="2"/>
        <v>5208</v>
      </c>
      <c r="AQ10" s="350">
        <f t="shared" si="3"/>
        <v>251025.6</v>
      </c>
      <c r="AR10" s="351">
        <f t="shared" si="0"/>
        <v>274524.53736794542</v>
      </c>
    </row>
    <row r="11" spans="1:44" s="138" customFormat="1" ht="25.5" customHeight="1" x14ac:dyDescent="0.25">
      <c r="A11" s="141">
        <v>47079</v>
      </c>
      <c r="B11" s="140" t="s">
        <v>1</v>
      </c>
      <c r="C11" s="149">
        <v>1.86</v>
      </c>
      <c r="D11" s="204">
        <v>3613</v>
      </c>
      <c r="E11" s="204">
        <v>462700.40582720033</v>
      </c>
      <c r="F11" s="160">
        <f>10680+9693+23369+4039+81115+15527</f>
        <v>144423</v>
      </c>
      <c r="G11" s="161">
        <f t="shared" si="4"/>
        <v>268626.78000000003</v>
      </c>
      <c r="H11" s="152">
        <v>1.86</v>
      </c>
      <c r="I11" s="160">
        <f>9815+4857+13306+2924+45248+8927</f>
        <v>85077</v>
      </c>
      <c r="J11" s="161">
        <f>2713+1400+4522+1029+4288+3078</f>
        <v>17030</v>
      </c>
      <c r="K11" s="160">
        <f t="shared" si="5"/>
        <v>102107</v>
      </c>
      <c r="L11" s="161">
        <f t="shared" si="8"/>
        <v>189919.02000000002</v>
      </c>
      <c r="M11" s="234">
        <v>5509</v>
      </c>
      <c r="N11" s="234">
        <v>4793</v>
      </c>
      <c r="O11" s="234">
        <v>543813.78</v>
      </c>
      <c r="P11" s="160">
        <f>11704+8261+20619+4752+21839+15975</f>
        <v>83150</v>
      </c>
      <c r="Q11" s="161">
        <f t="shared" si="6"/>
        <v>154659</v>
      </c>
      <c r="R11" s="163">
        <v>1.5</v>
      </c>
      <c r="S11" s="160">
        <f>9840+6184+20809+4232+20896+17203+242</f>
        <v>79406</v>
      </c>
      <c r="T11" s="161">
        <f>R11*S11</f>
        <v>119109</v>
      </c>
      <c r="U11" s="234">
        <v>548271.27</v>
      </c>
      <c r="V11" s="160"/>
      <c r="W11" s="161"/>
      <c r="X11" s="160">
        <f>8869+3746+687+20974+22693+16866+4391</f>
        <v>78226</v>
      </c>
      <c r="Y11" s="161">
        <f>X11*R11</f>
        <v>117339</v>
      </c>
      <c r="Z11" s="172"/>
      <c r="AA11" s="161"/>
      <c r="AB11" s="160">
        <f>6926+4001+13032+3164+16996+11863+91</f>
        <v>56073</v>
      </c>
      <c r="AC11" s="161">
        <f>AB11*R11</f>
        <v>84109.5</v>
      </c>
      <c r="AD11" s="172">
        <f>7034+4296+12369+2936+11171+9468+365</f>
        <v>47639</v>
      </c>
      <c r="AE11" s="161">
        <f>AD11*R11</f>
        <v>71458.5</v>
      </c>
      <c r="AF11" s="344">
        <f t="shared" si="7"/>
        <v>47639</v>
      </c>
      <c r="AG11" s="345">
        <f>AF11*R11</f>
        <v>71458.5</v>
      </c>
      <c r="AH11" s="346">
        <v>362542.52</v>
      </c>
      <c r="AI11" s="163"/>
      <c r="AJ11" s="347">
        <f>(AF11)+(AF11/2)</f>
        <v>71458.5</v>
      </c>
      <c r="AK11" s="348">
        <f>AJ11*R11</f>
        <v>107187.75</v>
      </c>
      <c r="AL11" s="349">
        <f>X11</f>
        <v>78226</v>
      </c>
      <c r="AM11" s="348">
        <f>AL11*R11</f>
        <v>117339</v>
      </c>
      <c r="AN11" s="349">
        <f>P11</f>
        <v>83150</v>
      </c>
      <c r="AO11" s="350">
        <f>R11*AN11</f>
        <v>124725</v>
      </c>
      <c r="AP11" s="349">
        <f t="shared" si="2"/>
        <v>83150</v>
      </c>
      <c r="AQ11" s="350">
        <f t="shared" si="3"/>
        <v>124725</v>
      </c>
      <c r="AR11" s="351">
        <f t="shared" si="0"/>
        <v>1917327.9758272003</v>
      </c>
    </row>
    <row r="12" spans="1:44" s="138" customFormat="1" ht="24.75" customHeight="1" x14ac:dyDescent="0.25">
      <c r="A12" s="141" t="s">
        <v>200</v>
      </c>
      <c r="B12" s="140" t="s">
        <v>201</v>
      </c>
      <c r="C12" s="149">
        <v>3.36</v>
      </c>
      <c r="D12" s="204">
        <v>2545</v>
      </c>
      <c r="E12" s="204">
        <v>588770.49577683269</v>
      </c>
      <c r="F12" s="160">
        <f>925+317+19698+75743</f>
        <v>96683</v>
      </c>
      <c r="G12" s="161">
        <f>C12*F12</f>
        <v>324854.88</v>
      </c>
      <c r="H12" s="162">
        <v>3.36</v>
      </c>
      <c r="I12" s="160">
        <f>1654+15337+51424</f>
        <v>68415</v>
      </c>
      <c r="J12" s="161">
        <f>3464+735+5632+17815</f>
        <v>27646</v>
      </c>
      <c r="K12" s="160">
        <f t="shared" si="5"/>
        <v>96061</v>
      </c>
      <c r="L12" s="161">
        <f t="shared" si="8"/>
        <v>322764.95999999996</v>
      </c>
      <c r="M12" s="234">
        <v>3880</v>
      </c>
      <c r="N12" s="234">
        <v>4384</v>
      </c>
      <c r="O12" s="234">
        <v>898544.64000000001</v>
      </c>
      <c r="P12" s="160">
        <f>44479+18096+47736+102041</f>
        <v>212352</v>
      </c>
      <c r="Q12" s="161">
        <f t="shared" si="6"/>
        <v>713502.71999999997</v>
      </c>
      <c r="R12" s="163"/>
      <c r="S12" s="160">
        <f>54421+18230+47619+94480</f>
        <v>214750</v>
      </c>
      <c r="T12" s="161">
        <f>S12*H12</f>
        <v>721560</v>
      </c>
      <c r="U12" s="234">
        <v>905909.76000000001</v>
      </c>
      <c r="V12" s="160"/>
      <c r="W12" s="161"/>
      <c r="X12" s="160">
        <f>44364+24136+38989+73071</f>
        <v>180560</v>
      </c>
      <c r="Y12" s="161">
        <f>X12*H12</f>
        <v>606681.59999999998</v>
      </c>
      <c r="Z12" s="172"/>
      <c r="AA12" s="161"/>
      <c r="AB12" s="160">
        <f>15736+9390+16551+41311</f>
        <v>82988</v>
      </c>
      <c r="AC12" s="161">
        <f>AB12*H12</f>
        <v>278839.67999999999</v>
      </c>
      <c r="AD12" s="172">
        <f>9914+9228+13083+47928</f>
        <v>80153</v>
      </c>
      <c r="AE12" s="161">
        <f>AD12*H12</f>
        <v>269314.08</v>
      </c>
      <c r="AF12" s="344">
        <f>AD12+136000+(101619/2)</f>
        <v>266962.5</v>
      </c>
      <c r="AG12" s="345">
        <f>AF12*H12</f>
        <v>896994</v>
      </c>
      <c r="AH12" s="346">
        <v>599029.76000000001</v>
      </c>
      <c r="AI12" s="163"/>
      <c r="AJ12" s="347">
        <f>AD12</f>
        <v>80153</v>
      </c>
      <c r="AK12" s="348">
        <f>AE12</f>
        <v>269314.08</v>
      </c>
      <c r="AL12" s="349">
        <f>AD12</f>
        <v>80153</v>
      </c>
      <c r="AM12" s="348">
        <f>AL12*H12</f>
        <v>269314.08</v>
      </c>
      <c r="AN12" s="349">
        <f t="shared" ref="AN12:AN17" si="9">AL12</f>
        <v>80153</v>
      </c>
      <c r="AO12" s="350">
        <f>H12*AN12</f>
        <v>269314.08</v>
      </c>
      <c r="AP12" s="349">
        <f t="shared" si="2"/>
        <v>80153</v>
      </c>
      <c r="AQ12" s="350">
        <f t="shared" si="3"/>
        <v>269314.08</v>
      </c>
      <c r="AR12" s="351">
        <f t="shared" si="0"/>
        <v>2992254.6557768323</v>
      </c>
    </row>
    <row r="13" spans="1:44" s="138" customFormat="1" ht="48" customHeight="1" x14ac:dyDescent="0.25">
      <c r="A13" s="141" t="s">
        <v>202</v>
      </c>
      <c r="B13" s="140" t="s">
        <v>16</v>
      </c>
      <c r="C13" s="149">
        <v>15.14</v>
      </c>
      <c r="D13" s="204"/>
      <c r="E13" s="204"/>
      <c r="F13" s="160">
        <v>274</v>
      </c>
      <c r="G13" s="161">
        <f>C13*F13</f>
        <v>4148.3600000000006</v>
      </c>
      <c r="H13" s="162">
        <v>12.41</v>
      </c>
      <c r="I13" s="160">
        <v>0</v>
      </c>
      <c r="J13" s="161">
        <v>735</v>
      </c>
      <c r="K13" s="160">
        <f t="shared" si="5"/>
        <v>735</v>
      </c>
      <c r="L13" s="161">
        <f t="shared" si="8"/>
        <v>9121.35</v>
      </c>
      <c r="M13" s="234"/>
      <c r="N13" s="234"/>
      <c r="O13" s="234"/>
      <c r="P13" s="160">
        <v>223</v>
      </c>
      <c r="Q13" s="161">
        <f t="shared" si="6"/>
        <v>2767.43</v>
      </c>
      <c r="R13" s="163"/>
      <c r="S13" s="160">
        <v>174</v>
      </c>
      <c r="T13" s="161">
        <f>H13*S13</f>
        <v>2159.34</v>
      </c>
      <c r="U13" s="234"/>
      <c r="V13" s="160"/>
      <c r="W13" s="161"/>
      <c r="X13" s="160">
        <v>183</v>
      </c>
      <c r="Y13" s="161">
        <f>X13*H13</f>
        <v>2271.0300000000002</v>
      </c>
      <c r="Z13" s="172"/>
      <c r="AA13" s="161"/>
      <c r="AB13" s="160">
        <v>11</v>
      </c>
      <c r="AC13" s="161">
        <f>AB13*H13</f>
        <v>136.51</v>
      </c>
      <c r="AD13" s="172">
        <v>3</v>
      </c>
      <c r="AE13" s="161">
        <f>AD13*H13</f>
        <v>37.230000000000004</v>
      </c>
      <c r="AF13" s="344">
        <f t="shared" si="7"/>
        <v>3</v>
      </c>
      <c r="AG13" s="345">
        <f>AF13*H13</f>
        <v>37.230000000000004</v>
      </c>
      <c r="AH13" s="346"/>
      <c r="AI13" s="163"/>
      <c r="AJ13" s="347">
        <f>AF13</f>
        <v>3</v>
      </c>
      <c r="AK13" s="348">
        <f>AG13</f>
        <v>37.230000000000004</v>
      </c>
      <c r="AL13" s="349">
        <f>AJ13</f>
        <v>3</v>
      </c>
      <c r="AM13" s="348">
        <f>AL13*H13</f>
        <v>37.230000000000004</v>
      </c>
      <c r="AN13" s="349">
        <f t="shared" si="9"/>
        <v>3</v>
      </c>
      <c r="AO13" s="350">
        <f>H13*AN13</f>
        <v>37.230000000000004</v>
      </c>
      <c r="AP13" s="349">
        <f t="shared" si="2"/>
        <v>3</v>
      </c>
      <c r="AQ13" s="350">
        <f t="shared" si="3"/>
        <v>37.230000000000004</v>
      </c>
      <c r="AR13" s="351">
        <f t="shared" si="0"/>
        <v>0</v>
      </c>
    </row>
    <row r="14" spans="1:44" s="138" customFormat="1" ht="37.5" customHeight="1" x14ac:dyDescent="0.25">
      <c r="A14" s="141">
        <v>47403</v>
      </c>
      <c r="B14" s="140" t="s">
        <v>6</v>
      </c>
      <c r="C14" s="149">
        <v>8.26</v>
      </c>
      <c r="D14" s="204">
        <v>287</v>
      </c>
      <c r="E14" s="204">
        <v>163222.83570709082</v>
      </c>
      <c r="F14" s="160">
        <v>19698</v>
      </c>
      <c r="G14" s="161">
        <f>C14*F14</f>
        <v>162705.47999999998</v>
      </c>
      <c r="H14" s="162">
        <v>7.42</v>
      </c>
      <c r="I14" s="160">
        <v>13377</v>
      </c>
      <c r="J14" s="161">
        <v>1</v>
      </c>
      <c r="K14" s="160">
        <f t="shared" si="5"/>
        <v>13378</v>
      </c>
      <c r="L14" s="161">
        <f t="shared" si="8"/>
        <v>110501.44</v>
      </c>
      <c r="M14" s="234">
        <v>438</v>
      </c>
      <c r="N14" s="234">
        <v>495</v>
      </c>
      <c r="O14" s="234">
        <v>249410.69999999998</v>
      </c>
      <c r="P14" s="160"/>
      <c r="Q14" s="161">
        <f t="shared" si="6"/>
        <v>0</v>
      </c>
      <c r="R14" s="163"/>
      <c r="S14" s="160"/>
      <c r="T14" s="161"/>
      <c r="U14" s="234">
        <v>251455.05</v>
      </c>
      <c r="V14" s="160"/>
      <c r="W14" s="161"/>
      <c r="X14" s="160"/>
      <c r="Y14" s="161"/>
      <c r="Z14" s="172"/>
      <c r="AA14" s="161"/>
      <c r="AB14" s="160">
        <f>5028+3508+18642</f>
        <v>27178</v>
      </c>
      <c r="AC14" s="161">
        <f>AB14*H14</f>
        <v>201660.76</v>
      </c>
      <c r="AD14" s="172">
        <f>9620+9205+47928</f>
        <v>66753</v>
      </c>
      <c r="AE14" s="161">
        <f>AD14*H14</f>
        <v>495307.26</v>
      </c>
      <c r="AF14" s="344">
        <f>AD14+136000+(101619/2)</f>
        <v>253562.5</v>
      </c>
      <c r="AG14" s="345">
        <f>AF14*H14</f>
        <v>1881433.75</v>
      </c>
      <c r="AH14" s="346">
        <v>166273.79999999999</v>
      </c>
      <c r="AI14" s="163"/>
      <c r="AJ14" s="347">
        <f>AD14</f>
        <v>66753</v>
      </c>
      <c r="AK14" s="348">
        <f>AE14</f>
        <v>495307.26</v>
      </c>
      <c r="AL14" s="349">
        <f>AD14</f>
        <v>66753</v>
      </c>
      <c r="AM14" s="348">
        <f>AK14</f>
        <v>495307.26</v>
      </c>
      <c r="AN14" s="349">
        <f t="shared" si="9"/>
        <v>66753</v>
      </c>
      <c r="AO14" s="350">
        <f>H14*AN14</f>
        <v>495307.26</v>
      </c>
      <c r="AP14" s="349">
        <f t="shared" si="2"/>
        <v>66753</v>
      </c>
      <c r="AQ14" s="350">
        <f t="shared" si="3"/>
        <v>495307.26</v>
      </c>
      <c r="AR14" s="351">
        <f t="shared" si="0"/>
        <v>830362.38570709084</v>
      </c>
    </row>
    <row r="15" spans="1:44" ht="44.25" customHeight="1" x14ac:dyDescent="0.25">
      <c r="A15" s="139">
        <v>47408</v>
      </c>
      <c r="B15" s="140" t="s">
        <v>18</v>
      </c>
      <c r="C15" s="149">
        <v>12.69</v>
      </c>
      <c r="D15" s="204"/>
      <c r="E15" s="204"/>
      <c r="F15" s="150"/>
      <c r="G15" s="151"/>
      <c r="H15" s="154">
        <v>10.63</v>
      </c>
      <c r="I15" s="150">
        <v>1937</v>
      </c>
      <c r="J15" s="151">
        <v>5609</v>
      </c>
      <c r="K15" s="150">
        <f t="shared" si="5"/>
        <v>7546</v>
      </c>
      <c r="L15" s="151">
        <f t="shared" si="8"/>
        <v>84204.200000000012</v>
      </c>
      <c r="M15" s="232"/>
      <c r="N15" s="232"/>
      <c r="O15" s="232"/>
      <c r="P15" s="150">
        <v>47736</v>
      </c>
      <c r="Q15" s="151">
        <f t="shared" si="6"/>
        <v>507433.68000000005</v>
      </c>
      <c r="R15" s="153"/>
      <c r="S15" s="150">
        <f>5382+15924</f>
        <v>21306</v>
      </c>
      <c r="T15" s="151">
        <f>H15*S15</f>
        <v>226482.78000000003</v>
      </c>
      <c r="U15" s="232"/>
      <c r="V15" s="150"/>
      <c r="W15" s="151"/>
      <c r="X15" s="150">
        <v>20</v>
      </c>
      <c r="Y15" s="151">
        <f>X15*H15</f>
        <v>212.60000000000002</v>
      </c>
      <c r="Z15" s="169"/>
      <c r="AA15" s="151"/>
      <c r="AB15" s="150"/>
      <c r="AC15" s="151"/>
      <c r="AD15" s="169">
        <v>3</v>
      </c>
      <c r="AE15" s="151">
        <f>AD15*H15</f>
        <v>31.89</v>
      </c>
      <c r="AF15" s="296">
        <f t="shared" si="7"/>
        <v>3</v>
      </c>
      <c r="AG15" s="200">
        <f>AF15*H15</f>
        <v>31.89</v>
      </c>
      <c r="AH15" s="230"/>
      <c r="AI15" s="153"/>
      <c r="AJ15" s="347">
        <f t="shared" ref="AJ15:AJ24" si="10">AF15</f>
        <v>3</v>
      </c>
      <c r="AK15" s="348">
        <f t="shared" ref="AK15:AK24" si="11">AG15</f>
        <v>31.89</v>
      </c>
      <c r="AL15" s="349">
        <f>AJ15</f>
        <v>3</v>
      </c>
      <c r="AM15" s="348">
        <f>AL15*H15</f>
        <v>31.89</v>
      </c>
      <c r="AN15" s="349">
        <f t="shared" si="9"/>
        <v>3</v>
      </c>
      <c r="AO15" s="350">
        <f>H15*AN15</f>
        <v>31.89</v>
      </c>
      <c r="AP15" s="349">
        <f t="shared" si="2"/>
        <v>3</v>
      </c>
      <c r="AQ15" s="350">
        <f t="shared" si="3"/>
        <v>31.89</v>
      </c>
      <c r="AR15" s="295">
        <f t="shared" si="0"/>
        <v>0</v>
      </c>
    </row>
    <row r="16" spans="1:44" ht="42" customHeight="1" x14ac:dyDescent="0.25">
      <c r="A16" s="139">
        <v>47409</v>
      </c>
      <c r="B16" s="140" t="s">
        <v>7</v>
      </c>
      <c r="C16" s="149">
        <v>11.21</v>
      </c>
      <c r="D16" s="204">
        <v>2257</v>
      </c>
      <c r="E16" s="204">
        <v>1742032.0715846634</v>
      </c>
      <c r="F16" s="150">
        <v>75743</v>
      </c>
      <c r="G16" s="151">
        <f>C16*F16</f>
        <v>849079.03</v>
      </c>
      <c r="H16" s="154">
        <v>9.56</v>
      </c>
      <c r="I16" s="150">
        <v>51424</v>
      </c>
      <c r="J16" s="151">
        <v>17815</v>
      </c>
      <c r="K16" s="150">
        <f t="shared" si="5"/>
        <v>69239</v>
      </c>
      <c r="L16" s="151">
        <f t="shared" si="8"/>
        <v>746774.44000000006</v>
      </c>
      <c r="M16" s="232">
        <v>3441</v>
      </c>
      <c r="N16" s="232">
        <v>3888</v>
      </c>
      <c r="O16" s="232">
        <v>2658653.2800000003</v>
      </c>
      <c r="P16" s="150">
        <f>7250+17873+102041</f>
        <v>127164</v>
      </c>
      <c r="Q16" s="151">
        <f t="shared" si="6"/>
        <v>1215687.8400000001</v>
      </c>
      <c r="R16" s="153"/>
      <c r="S16" s="150">
        <f>45745+18056+31695+94480</f>
        <v>189976</v>
      </c>
      <c r="T16" s="151">
        <f>S16*H16</f>
        <v>1816170.56</v>
      </c>
      <c r="U16" s="232">
        <v>2680445.52</v>
      </c>
      <c r="V16" s="150"/>
      <c r="W16" s="151"/>
      <c r="X16" s="150">
        <f>44169+23953+38989+73071</f>
        <v>180182</v>
      </c>
      <c r="Y16" s="151">
        <f>X16*H16</f>
        <v>1722539.9200000002</v>
      </c>
      <c r="Z16" s="169"/>
      <c r="AA16" s="151"/>
      <c r="AB16" s="150">
        <f>10530+7369+16551+22669</f>
        <v>57119</v>
      </c>
      <c r="AC16" s="151">
        <f>AB16*H16</f>
        <v>546057.64</v>
      </c>
      <c r="AD16" s="169">
        <f>20+13083</f>
        <v>13103</v>
      </c>
      <c r="AE16" s="151">
        <f>AD16*H16</f>
        <v>125264.68000000001</v>
      </c>
      <c r="AF16" s="296">
        <f t="shared" si="7"/>
        <v>13103</v>
      </c>
      <c r="AG16" s="200">
        <f>AF16*H16</f>
        <v>125264.68000000001</v>
      </c>
      <c r="AH16" s="230">
        <v>1772435.5200000003</v>
      </c>
      <c r="AI16" s="153"/>
      <c r="AJ16" s="347">
        <f t="shared" si="10"/>
        <v>13103</v>
      </c>
      <c r="AK16" s="348">
        <f t="shared" si="11"/>
        <v>125264.68000000001</v>
      </c>
      <c r="AL16" s="349">
        <f>AJ16</f>
        <v>13103</v>
      </c>
      <c r="AM16" s="348">
        <f>AL16*H16</f>
        <v>125264.68000000001</v>
      </c>
      <c r="AN16" s="349">
        <f t="shared" si="9"/>
        <v>13103</v>
      </c>
      <c r="AO16" s="350">
        <f>H16*AN16</f>
        <v>125264.68000000001</v>
      </c>
      <c r="AP16" s="349">
        <f t="shared" si="2"/>
        <v>13103</v>
      </c>
      <c r="AQ16" s="350">
        <f t="shared" si="3"/>
        <v>125264.68000000001</v>
      </c>
      <c r="AR16" s="295">
        <f t="shared" si="0"/>
        <v>8853566.3915846627</v>
      </c>
    </row>
    <row r="17" spans="1:1846" ht="45" customHeight="1" x14ac:dyDescent="0.25">
      <c r="A17" s="139">
        <v>47406</v>
      </c>
      <c r="B17" s="140" t="s">
        <v>20</v>
      </c>
      <c r="C17" s="149">
        <v>15.98</v>
      </c>
      <c r="D17" s="204"/>
      <c r="E17" s="204"/>
      <c r="F17" s="150"/>
      <c r="G17" s="151"/>
      <c r="H17" s="154"/>
      <c r="I17" s="150"/>
      <c r="J17" s="151"/>
      <c r="K17" s="150"/>
      <c r="L17" s="151"/>
      <c r="M17" s="232"/>
      <c r="N17" s="232"/>
      <c r="O17" s="232"/>
      <c r="P17" s="150">
        <v>23332</v>
      </c>
      <c r="Q17" s="151">
        <f>P17*C17</f>
        <v>372845.36</v>
      </c>
      <c r="R17" s="153"/>
      <c r="S17" s="150">
        <v>1902</v>
      </c>
      <c r="T17" s="151">
        <f>C17*S17</f>
        <v>30393.96</v>
      </c>
      <c r="U17" s="232"/>
      <c r="V17" s="150"/>
      <c r="W17" s="151"/>
      <c r="X17" s="150">
        <v>9</v>
      </c>
      <c r="Y17" s="151">
        <f>X17*C17</f>
        <v>143.82</v>
      </c>
      <c r="Z17" s="169"/>
      <c r="AA17" s="151"/>
      <c r="AB17" s="150">
        <v>2</v>
      </c>
      <c r="AC17" s="151">
        <f>AB17*C17</f>
        <v>31.96</v>
      </c>
      <c r="AD17" s="169">
        <f>20</f>
        <v>20</v>
      </c>
      <c r="AE17" s="151">
        <f>AD17*C17</f>
        <v>319.60000000000002</v>
      </c>
      <c r="AF17" s="296">
        <f t="shared" si="7"/>
        <v>20</v>
      </c>
      <c r="AG17" s="200">
        <f>AF17*C17</f>
        <v>319.60000000000002</v>
      </c>
      <c r="AH17" s="230"/>
      <c r="AI17" s="153"/>
      <c r="AJ17" s="347">
        <f t="shared" si="10"/>
        <v>20</v>
      </c>
      <c r="AK17" s="348">
        <f t="shared" si="11"/>
        <v>319.60000000000002</v>
      </c>
      <c r="AL17" s="349">
        <f>AJ17</f>
        <v>20</v>
      </c>
      <c r="AM17" s="348">
        <f>AL17*C17</f>
        <v>319.60000000000002</v>
      </c>
      <c r="AN17" s="349">
        <f t="shared" si="9"/>
        <v>20</v>
      </c>
      <c r="AO17" s="350">
        <f>C17*AN17</f>
        <v>319.60000000000002</v>
      </c>
      <c r="AP17" s="349">
        <f t="shared" si="2"/>
        <v>20</v>
      </c>
      <c r="AQ17" s="350">
        <f t="shared" si="3"/>
        <v>319.60000000000002</v>
      </c>
      <c r="AR17" s="295">
        <f t="shared" si="0"/>
        <v>0</v>
      </c>
    </row>
    <row r="18" spans="1:1846" ht="25.5" customHeight="1" x14ac:dyDescent="0.25">
      <c r="A18" s="139">
        <v>47416</v>
      </c>
      <c r="B18" s="140" t="s">
        <v>195</v>
      </c>
      <c r="C18" s="149"/>
      <c r="D18" s="204"/>
      <c r="E18" s="204"/>
      <c r="F18" s="150"/>
      <c r="G18" s="151"/>
      <c r="H18" s="154"/>
      <c r="I18" s="150"/>
      <c r="J18" s="151"/>
      <c r="K18" s="150"/>
      <c r="L18" s="151"/>
      <c r="M18" s="232"/>
      <c r="N18" s="232"/>
      <c r="O18" s="232"/>
      <c r="P18" s="150"/>
      <c r="Q18" s="151"/>
      <c r="R18" s="153">
        <v>2.85</v>
      </c>
      <c r="S18" s="150">
        <f>2783+1161</f>
        <v>3944</v>
      </c>
      <c r="T18" s="151">
        <f>R18*S18</f>
        <v>11240.4</v>
      </c>
      <c r="U18" s="232"/>
      <c r="V18" s="150"/>
      <c r="W18" s="151"/>
      <c r="X18" s="150">
        <f>2022+2270</f>
        <v>4292</v>
      </c>
      <c r="Y18" s="151">
        <f>X18*R18</f>
        <v>12232.2</v>
      </c>
      <c r="Z18" s="169"/>
      <c r="AA18" s="151"/>
      <c r="AB18" s="150">
        <f>1536+1446</f>
        <v>2982</v>
      </c>
      <c r="AC18" s="151">
        <f>AB18*R18</f>
        <v>8498.7000000000007</v>
      </c>
      <c r="AD18" s="169">
        <f>2055+1490</f>
        <v>3545</v>
      </c>
      <c r="AE18" s="151">
        <f>AD18*2.85</f>
        <v>10103.25</v>
      </c>
      <c r="AF18" s="296">
        <f t="shared" si="7"/>
        <v>3545</v>
      </c>
      <c r="AG18" s="200">
        <f>AF18*R18</f>
        <v>10103.25</v>
      </c>
      <c r="AH18" s="230"/>
      <c r="AI18" s="153"/>
      <c r="AJ18" s="347">
        <f t="shared" si="10"/>
        <v>3545</v>
      </c>
      <c r="AK18" s="348">
        <f t="shared" si="11"/>
        <v>10103.25</v>
      </c>
      <c r="AL18" s="349">
        <f t="shared" ref="AL18:AL30" si="12">X18</f>
        <v>4292</v>
      </c>
      <c r="AM18" s="348">
        <f>AL18*R18</f>
        <v>12232.2</v>
      </c>
      <c r="AN18" s="349">
        <f t="shared" ref="AN18:AN30" si="13">P18</f>
        <v>0</v>
      </c>
      <c r="AO18" s="350">
        <f>R18*AN18</f>
        <v>0</v>
      </c>
      <c r="AP18" s="349">
        <f t="shared" si="2"/>
        <v>0</v>
      </c>
      <c r="AQ18" s="350">
        <f t="shared" si="3"/>
        <v>0</v>
      </c>
      <c r="AR18" s="295">
        <f t="shared" si="0"/>
        <v>0</v>
      </c>
    </row>
    <row r="19" spans="1:1846" ht="24.75" customHeight="1" x14ac:dyDescent="0.25">
      <c r="A19" s="139">
        <v>47417</v>
      </c>
      <c r="B19" s="140" t="s">
        <v>21</v>
      </c>
      <c r="C19" s="149"/>
      <c r="D19" s="204"/>
      <c r="E19" s="204"/>
      <c r="F19" s="150"/>
      <c r="G19" s="151"/>
      <c r="H19" s="154"/>
      <c r="I19" s="150"/>
      <c r="J19" s="151"/>
      <c r="K19" s="150"/>
      <c r="L19" s="151"/>
      <c r="M19" s="232"/>
      <c r="N19" s="232"/>
      <c r="O19" s="232"/>
      <c r="P19" s="150"/>
      <c r="Q19" s="151"/>
      <c r="R19" s="153">
        <v>33.4</v>
      </c>
      <c r="S19" s="150">
        <v>128</v>
      </c>
      <c r="T19" s="151">
        <f>R19*S19</f>
        <v>4275.2</v>
      </c>
      <c r="U19" s="232"/>
      <c r="V19" s="150"/>
      <c r="W19" s="151"/>
      <c r="X19" s="150">
        <f>86+347+173</f>
        <v>606</v>
      </c>
      <c r="Y19" s="151">
        <f>X19*R19</f>
        <v>20240.399999999998</v>
      </c>
      <c r="Z19" s="169"/>
      <c r="AA19" s="151"/>
      <c r="AB19" s="150">
        <f>76+87</f>
        <v>163</v>
      </c>
      <c r="AC19" s="151">
        <f>AB19*R19</f>
        <v>5444.2</v>
      </c>
      <c r="AD19" s="169">
        <f>222+25</f>
        <v>247</v>
      </c>
      <c r="AE19" s="151">
        <f>AD19*R19</f>
        <v>8249.7999999999993</v>
      </c>
      <c r="AF19" s="296">
        <f t="shared" si="7"/>
        <v>247</v>
      </c>
      <c r="AG19" s="200">
        <f>AF19*R19</f>
        <v>8249.7999999999993</v>
      </c>
      <c r="AH19" s="230"/>
      <c r="AI19" s="153"/>
      <c r="AJ19" s="347">
        <f t="shared" si="10"/>
        <v>247</v>
      </c>
      <c r="AK19" s="348">
        <f t="shared" si="11"/>
        <v>8249.7999999999993</v>
      </c>
      <c r="AL19" s="349">
        <f t="shared" si="12"/>
        <v>606</v>
      </c>
      <c r="AM19" s="348">
        <f>AL19*R19</f>
        <v>20240.399999999998</v>
      </c>
      <c r="AN19" s="349">
        <f t="shared" si="13"/>
        <v>0</v>
      </c>
      <c r="AO19" s="350">
        <f>H19*AN19</f>
        <v>0</v>
      </c>
      <c r="AP19" s="349">
        <f t="shared" si="2"/>
        <v>0</v>
      </c>
      <c r="AQ19" s="350">
        <f t="shared" si="3"/>
        <v>0</v>
      </c>
      <c r="AR19" s="295">
        <f t="shared" si="0"/>
        <v>0</v>
      </c>
    </row>
    <row r="20" spans="1:1846" ht="39" customHeight="1" x14ac:dyDescent="0.25">
      <c r="A20" s="139" t="s">
        <v>3</v>
      </c>
      <c r="B20" s="140" t="s">
        <v>206</v>
      </c>
      <c r="C20" s="149">
        <v>6.79</v>
      </c>
      <c r="D20" s="204">
        <v>2</v>
      </c>
      <c r="E20" s="204">
        <v>935.01535838822474</v>
      </c>
      <c r="F20" s="167">
        <v>69</v>
      </c>
      <c r="G20" s="151">
        <f>C20*F20</f>
        <v>468.51</v>
      </c>
      <c r="H20" s="154"/>
      <c r="I20" s="167"/>
      <c r="J20" s="151"/>
      <c r="K20" s="167">
        <v>168</v>
      </c>
      <c r="L20" s="151">
        <f>C20*K20</f>
        <v>1140.72</v>
      </c>
      <c r="M20" s="232">
        <v>3.0494640320289292</v>
      </c>
      <c r="N20" s="232">
        <v>3</v>
      </c>
      <c r="O20" s="232">
        <v>1242.5700000000002</v>
      </c>
      <c r="P20" s="167">
        <v>225</v>
      </c>
      <c r="Q20" s="151">
        <f t="shared" ref="Q20:Q31" si="14">P20*C20</f>
        <v>1527.75</v>
      </c>
      <c r="R20" s="153"/>
      <c r="S20" s="167">
        <v>228</v>
      </c>
      <c r="T20" s="151">
        <f t="shared" ref="T20:T26" si="15">C20*S20</f>
        <v>1548.1200000000001</v>
      </c>
      <c r="U20" s="232">
        <v>1252.7550000000001</v>
      </c>
      <c r="V20" s="167"/>
      <c r="W20" s="151"/>
      <c r="X20" s="167">
        <v>174</v>
      </c>
      <c r="Y20" s="151">
        <f t="shared" ref="Y20:Y26" si="16">X20*C20</f>
        <v>1181.46</v>
      </c>
      <c r="Z20" s="170"/>
      <c r="AA20" s="151"/>
      <c r="AB20" s="167">
        <v>114</v>
      </c>
      <c r="AC20" s="151">
        <f t="shared" ref="AC20:AC26" si="17">AB20*C20</f>
        <v>774.06000000000006</v>
      </c>
      <c r="AD20" s="170">
        <v>1050</v>
      </c>
      <c r="AE20" s="151">
        <f t="shared" ref="AE20:AE26" si="18">AD20*C20</f>
        <v>7129.5</v>
      </c>
      <c r="AF20" s="296">
        <f t="shared" si="7"/>
        <v>1050</v>
      </c>
      <c r="AG20" s="200">
        <f>AF20*C20</f>
        <v>7129.5</v>
      </c>
      <c r="AH20" s="230">
        <v>828.38</v>
      </c>
      <c r="AI20" s="153"/>
      <c r="AJ20" s="347">
        <f t="shared" si="10"/>
        <v>1050</v>
      </c>
      <c r="AK20" s="348">
        <f t="shared" si="11"/>
        <v>7129.5</v>
      </c>
      <c r="AL20" s="349">
        <f t="shared" si="12"/>
        <v>174</v>
      </c>
      <c r="AM20" s="348">
        <f>AL20*C20</f>
        <v>1181.46</v>
      </c>
      <c r="AN20" s="349">
        <f t="shared" si="13"/>
        <v>225</v>
      </c>
      <c r="AO20" s="350">
        <f>C20*AN20</f>
        <v>1527.75</v>
      </c>
      <c r="AP20" s="349">
        <f t="shared" si="2"/>
        <v>225</v>
      </c>
      <c r="AQ20" s="350">
        <f t="shared" si="3"/>
        <v>1527.75</v>
      </c>
      <c r="AR20" s="295">
        <f t="shared" si="0"/>
        <v>4258.7203583882247</v>
      </c>
    </row>
    <row r="21" spans="1:1846" ht="39" customHeight="1" x14ac:dyDescent="0.25">
      <c r="A21" s="139" t="s">
        <v>203</v>
      </c>
      <c r="B21" s="140" t="s">
        <v>207</v>
      </c>
      <c r="C21" s="149">
        <v>13.32</v>
      </c>
      <c r="D21" s="204"/>
      <c r="E21" s="204"/>
      <c r="F21" s="167">
        <v>814</v>
      </c>
      <c r="G21" s="151">
        <f t="shared" ref="G21:G26" si="19">C21*F21</f>
        <v>10842.48</v>
      </c>
      <c r="H21" s="154"/>
      <c r="I21" s="167"/>
      <c r="J21" s="151"/>
      <c r="K21" s="167">
        <v>696</v>
      </c>
      <c r="L21" s="151">
        <f t="shared" ref="L21:L30" si="20">C21*K21</f>
        <v>9270.7199999999993</v>
      </c>
      <c r="M21" s="232"/>
      <c r="N21" s="232"/>
      <c r="O21" s="232"/>
      <c r="P21" s="167">
        <v>614</v>
      </c>
      <c r="Q21" s="151">
        <f t="shared" si="14"/>
        <v>8178.4800000000005</v>
      </c>
      <c r="R21" s="153"/>
      <c r="S21" s="167">
        <v>690</v>
      </c>
      <c r="T21" s="151">
        <f t="shared" si="15"/>
        <v>9190.8000000000011</v>
      </c>
      <c r="U21" s="232"/>
      <c r="V21" s="167"/>
      <c r="W21" s="151"/>
      <c r="X21" s="167">
        <v>498</v>
      </c>
      <c r="Y21" s="151">
        <f t="shared" si="16"/>
        <v>6633.3600000000006</v>
      </c>
      <c r="Z21" s="170"/>
      <c r="AA21" s="151"/>
      <c r="AB21" s="167">
        <v>217</v>
      </c>
      <c r="AC21" s="151">
        <f t="shared" si="17"/>
        <v>2890.44</v>
      </c>
      <c r="AD21" s="170">
        <v>3565</v>
      </c>
      <c r="AE21" s="151">
        <f t="shared" si="18"/>
        <v>47485.8</v>
      </c>
      <c r="AF21" s="296">
        <f t="shared" si="7"/>
        <v>3565</v>
      </c>
      <c r="AG21" s="200">
        <f t="shared" ref="AG21:AG27" si="21">AF21*C21</f>
        <v>47485.8</v>
      </c>
      <c r="AH21" s="230"/>
      <c r="AI21" s="153"/>
      <c r="AJ21" s="347">
        <f t="shared" si="10"/>
        <v>3565</v>
      </c>
      <c r="AK21" s="348">
        <f t="shared" si="11"/>
        <v>47485.8</v>
      </c>
      <c r="AL21" s="349">
        <f t="shared" si="12"/>
        <v>498</v>
      </c>
      <c r="AM21" s="348">
        <f>AL21*C21</f>
        <v>6633.3600000000006</v>
      </c>
      <c r="AN21" s="349">
        <f t="shared" si="13"/>
        <v>614</v>
      </c>
      <c r="AO21" s="350">
        <f>C21*AN21</f>
        <v>8178.4800000000005</v>
      </c>
      <c r="AP21" s="349">
        <f t="shared" si="2"/>
        <v>614</v>
      </c>
      <c r="AQ21" s="350">
        <f t="shared" si="3"/>
        <v>8178.4800000000005</v>
      </c>
      <c r="AR21" s="295">
        <f t="shared" si="0"/>
        <v>0</v>
      </c>
    </row>
    <row r="22" spans="1:1846" ht="33.75" customHeight="1" x14ac:dyDescent="0.25">
      <c r="A22" s="139" t="s">
        <v>8</v>
      </c>
      <c r="B22" s="140" t="s">
        <v>208</v>
      </c>
      <c r="C22" s="149">
        <v>1.3</v>
      </c>
      <c r="D22" s="204">
        <v>17</v>
      </c>
      <c r="E22" s="204">
        <v>1521.6376598217796</v>
      </c>
      <c r="F22" s="167">
        <v>665</v>
      </c>
      <c r="G22" s="151">
        <f t="shared" si="19"/>
        <v>864.5</v>
      </c>
      <c r="H22" s="154"/>
      <c r="I22" s="167"/>
      <c r="J22" s="151"/>
      <c r="K22" s="167">
        <v>370</v>
      </c>
      <c r="L22" s="151">
        <f t="shared" si="20"/>
        <v>481</v>
      </c>
      <c r="M22" s="232">
        <v>26</v>
      </c>
      <c r="N22" s="232">
        <v>23</v>
      </c>
      <c r="O22" s="232">
        <v>1823.9</v>
      </c>
      <c r="P22" s="167">
        <v>348</v>
      </c>
      <c r="Q22" s="151">
        <f t="shared" si="14"/>
        <v>452.40000000000003</v>
      </c>
      <c r="R22" s="153"/>
      <c r="S22" s="167">
        <v>245</v>
      </c>
      <c r="T22" s="151">
        <f t="shared" si="15"/>
        <v>318.5</v>
      </c>
      <c r="U22" s="232">
        <v>1838.8500000000001</v>
      </c>
      <c r="V22" s="167"/>
      <c r="W22" s="151"/>
      <c r="X22" s="167">
        <v>535</v>
      </c>
      <c r="Y22" s="151">
        <f t="shared" si="16"/>
        <v>695.5</v>
      </c>
      <c r="Z22" s="170"/>
      <c r="AA22" s="151"/>
      <c r="AB22" s="167">
        <v>329</v>
      </c>
      <c r="AC22" s="151">
        <f t="shared" si="17"/>
        <v>427.7</v>
      </c>
      <c r="AD22" s="170">
        <v>2560</v>
      </c>
      <c r="AE22" s="151">
        <f t="shared" si="18"/>
        <v>3328</v>
      </c>
      <c r="AF22" s="296">
        <f t="shared" si="7"/>
        <v>2560</v>
      </c>
      <c r="AG22" s="200">
        <f t="shared" si="21"/>
        <v>3328</v>
      </c>
      <c r="AH22" s="230">
        <v>1215.9333333333334</v>
      </c>
      <c r="AI22" s="153"/>
      <c r="AJ22" s="347">
        <f t="shared" si="10"/>
        <v>2560</v>
      </c>
      <c r="AK22" s="348">
        <f t="shared" si="11"/>
        <v>3328</v>
      </c>
      <c r="AL22" s="349">
        <f t="shared" si="12"/>
        <v>535</v>
      </c>
      <c r="AM22" s="348">
        <f>AL22*C22</f>
        <v>695.5</v>
      </c>
      <c r="AN22" s="349">
        <f t="shared" si="13"/>
        <v>348</v>
      </c>
      <c r="AO22" s="350">
        <f>C22*AN22</f>
        <v>452.40000000000003</v>
      </c>
      <c r="AP22" s="349">
        <f t="shared" si="2"/>
        <v>348</v>
      </c>
      <c r="AQ22" s="350">
        <f t="shared" si="3"/>
        <v>452.40000000000003</v>
      </c>
      <c r="AR22" s="295">
        <f t="shared" si="0"/>
        <v>6400.3209931551137</v>
      </c>
    </row>
    <row r="23" spans="1:1846" ht="54.75" customHeight="1" thickBot="1" x14ac:dyDescent="0.3">
      <c r="A23" s="139" t="s">
        <v>2</v>
      </c>
      <c r="B23" s="140" t="s">
        <v>209</v>
      </c>
      <c r="C23" s="149">
        <v>171.06</v>
      </c>
      <c r="D23" s="204">
        <v>4</v>
      </c>
      <c r="E23" s="204">
        <v>47111.554405269431</v>
      </c>
      <c r="F23" s="167">
        <v>128</v>
      </c>
      <c r="G23" s="151">
        <f t="shared" si="19"/>
        <v>21895.68</v>
      </c>
      <c r="H23" s="154"/>
      <c r="I23" s="167"/>
      <c r="J23" s="151"/>
      <c r="K23" s="167">
        <v>74</v>
      </c>
      <c r="L23" s="151">
        <f t="shared" si="20"/>
        <v>12658.44</v>
      </c>
      <c r="M23" s="232">
        <v>6</v>
      </c>
      <c r="N23" s="232">
        <v>5</v>
      </c>
      <c r="O23" s="232">
        <v>52173.299999999996</v>
      </c>
      <c r="P23" s="167">
        <v>109</v>
      </c>
      <c r="Q23" s="151">
        <f t="shared" si="14"/>
        <v>18645.54</v>
      </c>
      <c r="R23" s="153"/>
      <c r="S23" s="167">
        <v>130</v>
      </c>
      <c r="T23" s="151">
        <f t="shared" si="15"/>
        <v>22237.8</v>
      </c>
      <c r="U23" s="232">
        <v>52600.95</v>
      </c>
      <c r="V23" s="167"/>
      <c r="W23" s="151"/>
      <c r="X23" s="167">
        <v>182</v>
      </c>
      <c r="Y23" s="151">
        <f t="shared" si="16"/>
        <v>31132.920000000002</v>
      </c>
      <c r="Z23" s="170"/>
      <c r="AA23" s="151"/>
      <c r="AB23" s="167">
        <v>160</v>
      </c>
      <c r="AC23" s="151">
        <f t="shared" si="17"/>
        <v>27369.599999999999</v>
      </c>
      <c r="AD23" s="170">
        <v>912</v>
      </c>
      <c r="AE23" s="151">
        <f t="shared" si="18"/>
        <v>156006.72</v>
      </c>
      <c r="AF23" s="296">
        <f t="shared" si="7"/>
        <v>912</v>
      </c>
      <c r="AG23" s="200">
        <f t="shared" si="21"/>
        <v>156006.72</v>
      </c>
      <c r="AH23" s="230">
        <v>34782.200000000004</v>
      </c>
      <c r="AI23" s="153"/>
      <c r="AJ23" s="347">
        <f t="shared" si="10"/>
        <v>912</v>
      </c>
      <c r="AK23" s="348">
        <f t="shared" si="11"/>
        <v>156006.72</v>
      </c>
      <c r="AL23" s="349">
        <f t="shared" si="12"/>
        <v>182</v>
      </c>
      <c r="AM23" s="348">
        <f>AL23*C23</f>
        <v>31132.920000000002</v>
      </c>
      <c r="AN23" s="349">
        <f t="shared" si="13"/>
        <v>109</v>
      </c>
      <c r="AO23" s="350">
        <f>C23*AN23</f>
        <v>18645.54</v>
      </c>
      <c r="AP23" s="349">
        <f t="shared" si="2"/>
        <v>109</v>
      </c>
      <c r="AQ23" s="350">
        <f t="shared" si="3"/>
        <v>18645.54</v>
      </c>
      <c r="AR23" s="353">
        <f t="shared" si="0"/>
        <v>186668.00440526946</v>
      </c>
    </row>
    <row r="24" spans="1:1846" ht="42" customHeight="1" x14ac:dyDescent="0.25">
      <c r="A24" s="139" t="s">
        <v>204</v>
      </c>
      <c r="B24" s="140" t="s">
        <v>210</v>
      </c>
      <c r="C24" s="149">
        <v>13.32</v>
      </c>
      <c r="D24" s="204">
        <v>49</v>
      </c>
      <c r="E24" s="204">
        <v>44938.573204184577</v>
      </c>
      <c r="F24" s="167">
        <v>896</v>
      </c>
      <c r="G24" s="151">
        <f t="shared" si="19"/>
        <v>11934.720000000001</v>
      </c>
      <c r="H24" s="154"/>
      <c r="I24" s="167"/>
      <c r="J24" s="151"/>
      <c r="K24" s="167">
        <v>853</v>
      </c>
      <c r="L24" s="151">
        <f t="shared" si="20"/>
        <v>11361.960000000001</v>
      </c>
      <c r="M24" s="232">
        <v>75</v>
      </c>
      <c r="N24" s="232">
        <v>65</v>
      </c>
      <c r="O24" s="232">
        <v>52813.8</v>
      </c>
      <c r="P24" s="167">
        <v>701</v>
      </c>
      <c r="Q24" s="151">
        <f t="shared" si="14"/>
        <v>9337.32</v>
      </c>
      <c r="R24" s="153"/>
      <c r="S24" s="167">
        <v>682</v>
      </c>
      <c r="T24" s="151">
        <f t="shared" si="15"/>
        <v>9084.24</v>
      </c>
      <c r="U24" s="232">
        <v>53246.700000000004</v>
      </c>
      <c r="V24" s="167"/>
      <c r="W24" s="151"/>
      <c r="X24" s="167">
        <v>546</v>
      </c>
      <c r="Y24" s="151">
        <f t="shared" si="16"/>
        <v>7272.72</v>
      </c>
      <c r="Z24" s="170"/>
      <c r="AA24" s="151"/>
      <c r="AB24" s="167">
        <v>279</v>
      </c>
      <c r="AC24" s="151">
        <f t="shared" si="17"/>
        <v>3716.28</v>
      </c>
      <c r="AD24" s="170">
        <v>4061</v>
      </c>
      <c r="AE24" s="151">
        <f t="shared" si="18"/>
        <v>54092.520000000004</v>
      </c>
      <c r="AF24" s="296">
        <f t="shared" si="7"/>
        <v>4061</v>
      </c>
      <c r="AG24" s="200">
        <f t="shared" si="21"/>
        <v>54092.520000000004</v>
      </c>
      <c r="AH24" s="230">
        <v>35209.200000000004</v>
      </c>
      <c r="AI24" s="153"/>
      <c r="AJ24" s="347">
        <f t="shared" si="10"/>
        <v>4061</v>
      </c>
      <c r="AK24" s="348">
        <f t="shared" si="11"/>
        <v>54092.520000000004</v>
      </c>
      <c r="AL24" s="349">
        <f t="shared" si="12"/>
        <v>546</v>
      </c>
      <c r="AM24" s="348">
        <f>AL24*C24</f>
        <v>7272.72</v>
      </c>
      <c r="AN24" s="349">
        <f t="shared" si="13"/>
        <v>701</v>
      </c>
      <c r="AO24" s="350">
        <f>C24*AN24</f>
        <v>9337.32</v>
      </c>
      <c r="AP24" s="349">
        <f t="shared" si="2"/>
        <v>701</v>
      </c>
      <c r="AQ24" s="362">
        <f t="shared" si="3"/>
        <v>9337.32</v>
      </c>
      <c r="AR24" s="355">
        <f t="shared" si="0"/>
        <v>186208.2732041846</v>
      </c>
    </row>
    <row r="25" spans="1:1846" s="331" customFormat="1" ht="46.5" customHeight="1" x14ac:dyDescent="0.25">
      <c r="A25" s="139" t="s">
        <v>4</v>
      </c>
      <c r="B25" s="140" t="s">
        <v>211</v>
      </c>
      <c r="C25" s="149">
        <v>20.48</v>
      </c>
      <c r="D25" s="328">
        <v>8</v>
      </c>
      <c r="E25" s="328">
        <v>11280.774397520379</v>
      </c>
      <c r="F25" s="167">
        <v>168</v>
      </c>
      <c r="G25" s="151">
        <f t="shared" si="19"/>
        <v>3440.64</v>
      </c>
      <c r="H25" s="154"/>
      <c r="I25" s="167"/>
      <c r="J25" s="151"/>
      <c r="K25" s="167">
        <v>349</v>
      </c>
      <c r="L25" s="151">
        <f t="shared" si="20"/>
        <v>7147.52</v>
      </c>
      <c r="M25" s="232">
        <v>12</v>
      </c>
      <c r="N25" s="232">
        <v>10</v>
      </c>
      <c r="O25" s="232">
        <v>12492.800000000001</v>
      </c>
      <c r="P25" s="167">
        <v>428</v>
      </c>
      <c r="Q25" s="151">
        <f t="shared" si="14"/>
        <v>8765.44</v>
      </c>
      <c r="R25" s="153"/>
      <c r="S25" s="167">
        <v>453</v>
      </c>
      <c r="T25" s="151">
        <f t="shared" si="15"/>
        <v>9277.44</v>
      </c>
      <c r="U25" s="329">
        <v>12595.2</v>
      </c>
      <c r="V25" s="167"/>
      <c r="W25" s="151"/>
      <c r="X25" s="167">
        <v>278</v>
      </c>
      <c r="Y25" s="151">
        <f t="shared" si="16"/>
        <v>5693.4400000000005</v>
      </c>
      <c r="Z25" s="170"/>
      <c r="AA25" s="151"/>
      <c r="AB25" s="167">
        <v>155</v>
      </c>
      <c r="AC25" s="151">
        <f t="shared" si="17"/>
        <v>3174.4</v>
      </c>
      <c r="AD25" s="170">
        <v>1865</v>
      </c>
      <c r="AE25" s="151">
        <f t="shared" si="18"/>
        <v>38195.200000000004</v>
      </c>
      <c r="AF25" s="296">
        <f t="shared" si="7"/>
        <v>1865</v>
      </c>
      <c r="AG25" s="200">
        <f t="shared" si="21"/>
        <v>38195.200000000004</v>
      </c>
      <c r="AH25" s="330">
        <v>8328.5333333333328</v>
      </c>
      <c r="AI25" s="153">
        <v>11.63</v>
      </c>
      <c r="AJ25" s="347">
        <f t="shared" ref="AJ25:AJ30" si="22">AF25</f>
        <v>1865</v>
      </c>
      <c r="AK25" s="347">
        <f>AJ25*11.63</f>
        <v>21689.95</v>
      </c>
      <c r="AL25" s="347">
        <f t="shared" si="12"/>
        <v>278</v>
      </c>
      <c r="AM25" s="347">
        <f>AL25*11.63</f>
        <v>3233.1400000000003</v>
      </c>
      <c r="AN25" s="347">
        <f t="shared" si="13"/>
        <v>428</v>
      </c>
      <c r="AO25" s="347">
        <f>AN25*11.63</f>
        <v>4977.6400000000003</v>
      </c>
      <c r="AP25" s="347">
        <f t="shared" si="2"/>
        <v>428</v>
      </c>
      <c r="AQ25" s="363">
        <f t="shared" si="3"/>
        <v>4977.6400000000003</v>
      </c>
      <c r="AR25" s="295">
        <f t="shared" si="0"/>
        <v>44697.30773085371</v>
      </c>
      <c r="AS25" s="352"/>
      <c r="AT25" s="352"/>
      <c r="AU25" s="352"/>
      <c r="AV25" s="352"/>
      <c r="AW25" s="352"/>
      <c r="AX25" s="352"/>
      <c r="AY25" s="352"/>
      <c r="AZ25" s="352"/>
      <c r="BA25" s="352"/>
      <c r="BB25" s="352"/>
      <c r="BC25" s="352"/>
      <c r="BD25" s="352"/>
      <c r="BE25" s="352"/>
      <c r="BF25" s="352"/>
      <c r="BG25" s="352"/>
      <c r="BH25" s="352"/>
      <c r="BI25" s="352"/>
      <c r="BJ25" s="352"/>
      <c r="BK25" s="352"/>
      <c r="BL25" s="352"/>
      <c r="BM25" s="352"/>
      <c r="BN25" s="352"/>
      <c r="BO25" s="352"/>
      <c r="BP25" s="352"/>
      <c r="BQ25" s="352"/>
      <c r="BR25" s="352"/>
      <c r="BS25" s="352"/>
      <c r="BT25" s="352"/>
      <c r="BU25" s="352"/>
      <c r="BV25" s="352"/>
      <c r="BW25" s="352"/>
      <c r="BX25" s="352"/>
      <c r="BY25" s="352"/>
      <c r="BZ25" s="352"/>
      <c r="CA25" s="352"/>
      <c r="CB25" s="352"/>
      <c r="CC25" s="352"/>
      <c r="CD25" s="352"/>
      <c r="CE25" s="352"/>
      <c r="CF25" s="352"/>
      <c r="CG25" s="352"/>
      <c r="CH25" s="352"/>
      <c r="CI25" s="352"/>
      <c r="CJ25" s="352"/>
      <c r="CK25" s="352"/>
      <c r="CL25" s="352"/>
      <c r="CM25" s="352"/>
      <c r="CN25" s="352"/>
      <c r="CO25" s="352"/>
      <c r="CP25" s="352"/>
      <c r="CQ25" s="352"/>
      <c r="CR25" s="352"/>
      <c r="CS25" s="352"/>
      <c r="CT25" s="352"/>
      <c r="CU25" s="352"/>
      <c r="CV25" s="352"/>
      <c r="CW25" s="352"/>
      <c r="CX25" s="352"/>
      <c r="CY25" s="352"/>
      <c r="CZ25" s="352"/>
      <c r="DA25" s="352"/>
      <c r="DB25" s="352"/>
      <c r="DC25" s="352"/>
      <c r="DD25" s="352"/>
      <c r="DE25" s="352"/>
      <c r="DF25" s="352"/>
      <c r="DG25" s="352"/>
      <c r="DH25" s="352"/>
      <c r="DI25" s="352"/>
      <c r="DJ25" s="352"/>
      <c r="DK25" s="352"/>
      <c r="DL25" s="352"/>
      <c r="DM25" s="352"/>
      <c r="DN25" s="352"/>
      <c r="DO25" s="352"/>
      <c r="DP25" s="352"/>
      <c r="DQ25" s="352"/>
      <c r="DR25" s="352"/>
      <c r="DS25" s="352"/>
      <c r="DT25" s="352"/>
      <c r="DU25" s="352"/>
      <c r="DV25" s="352"/>
      <c r="DW25" s="352"/>
      <c r="DX25" s="352"/>
      <c r="DY25" s="352"/>
      <c r="DZ25" s="352"/>
      <c r="EA25" s="352"/>
      <c r="EB25" s="352"/>
      <c r="EC25" s="352"/>
      <c r="ED25" s="352"/>
      <c r="EE25" s="352"/>
      <c r="EF25" s="352"/>
      <c r="EG25" s="352"/>
      <c r="EH25" s="352"/>
      <c r="EI25" s="352"/>
      <c r="EJ25" s="352"/>
      <c r="EK25" s="352"/>
      <c r="EL25" s="352"/>
      <c r="EM25" s="352"/>
      <c r="EN25" s="352"/>
      <c r="EO25" s="352"/>
      <c r="EP25" s="352"/>
      <c r="EQ25" s="352"/>
      <c r="ER25" s="352"/>
      <c r="ES25" s="352"/>
      <c r="ET25" s="352"/>
      <c r="EU25" s="352"/>
      <c r="EV25" s="352"/>
      <c r="EW25" s="352"/>
      <c r="EX25" s="352"/>
      <c r="EY25" s="352"/>
      <c r="EZ25" s="352"/>
      <c r="FA25" s="352"/>
      <c r="FB25" s="352"/>
      <c r="FC25" s="352"/>
      <c r="FD25" s="352"/>
      <c r="FE25" s="352"/>
      <c r="FF25" s="352"/>
      <c r="FG25" s="352"/>
      <c r="FH25" s="352"/>
      <c r="FI25" s="352"/>
      <c r="FJ25" s="352"/>
      <c r="FK25" s="352"/>
      <c r="FL25" s="352"/>
      <c r="FM25" s="352"/>
      <c r="FN25" s="352"/>
      <c r="FO25" s="352"/>
      <c r="FP25" s="352"/>
      <c r="FQ25" s="352"/>
      <c r="FR25" s="352"/>
      <c r="FS25" s="352"/>
      <c r="FT25" s="352"/>
      <c r="FU25" s="352"/>
      <c r="FV25" s="352"/>
      <c r="FW25" s="352"/>
      <c r="FX25" s="352"/>
      <c r="FY25" s="352"/>
      <c r="FZ25" s="352"/>
      <c r="GA25" s="352"/>
      <c r="GB25" s="352"/>
      <c r="GC25" s="352"/>
      <c r="GD25" s="352"/>
      <c r="GE25" s="352"/>
      <c r="GF25" s="352"/>
      <c r="GG25" s="352"/>
      <c r="GH25" s="352"/>
      <c r="GI25" s="352"/>
      <c r="GJ25" s="352"/>
      <c r="GK25" s="352"/>
      <c r="GL25" s="352"/>
      <c r="GM25" s="352"/>
      <c r="GN25" s="352"/>
      <c r="GO25" s="352"/>
      <c r="GP25" s="352"/>
      <c r="GQ25" s="352"/>
      <c r="GR25" s="352"/>
      <c r="GS25" s="352"/>
      <c r="GT25" s="352"/>
      <c r="GU25" s="352"/>
      <c r="GV25" s="352"/>
      <c r="GW25" s="352"/>
      <c r="GX25" s="352"/>
      <c r="GY25" s="352"/>
      <c r="GZ25" s="352"/>
      <c r="HA25" s="352"/>
      <c r="HB25" s="352"/>
      <c r="HC25" s="352"/>
      <c r="HD25" s="352"/>
      <c r="HE25" s="352"/>
      <c r="HF25" s="352"/>
      <c r="HG25" s="352"/>
      <c r="HH25" s="352"/>
      <c r="HI25" s="352"/>
      <c r="HJ25" s="352"/>
      <c r="HK25" s="352"/>
      <c r="HL25" s="352"/>
      <c r="HM25" s="352"/>
      <c r="HN25" s="352"/>
      <c r="HO25" s="352"/>
      <c r="HP25" s="352"/>
      <c r="HQ25" s="352"/>
      <c r="HR25" s="352"/>
      <c r="HS25" s="352"/>
      <c r="HT25" s="352"/>
      <c r="HU25" s="352"/>
      <c r="HV25" s="352"/>
      <c r="HW25" s="352"/>
      <c r="HX25" s="352"/>
      <c r="HY25" s="352"/>
      <c r="HZ25" s="352"/>
      <c r="IA25" s="352"/>
      <c r="IB25" s="352"/>
      <c r="IC25" s="352"/>
      <c r="ID25" s="352"/>
      <c r="IE25" s="352"/>
      <c r="IF25" s="352"/>
      <c r="IG25" s="352"/>
      <c r="IH25" s="352"/>
      <c r="II25" s="352"/>
      <c r="IJ25" s="352"/>
      <c r="IK25" s="352"/>
      <c r="IL25" s="352"/>
      <c r="IM25" s="352"/>
      <c r="IN25" s="352"/>
      <c r="IO25" s="352"/>
      <c r="IP25" s="352"/>
      <c r="IQ25" s="352"/>
      <c r="IR25" s="352"/>
      <c r="IS25" s="352"/>
      <c r="IT25" s="352"/>
      <c r="IU25" s="352"/>
      <c r="IV25" s="352"/>
      <c r="IW25" s="352"/>
      <c r="IX25" s="352"/>
      <c r="IY25" s="352"/>
      <c r="IZ25" s="352"/>
      <c r="JA25" s="352"/>
      <c r="JB25" s="352"/>
      <c r="JC25" s="352"/>
      <c r="JD25" s="352"/>
      <c r="JE25" s="352"/>
      <c r="JF25" s="352"/>
      <c r="JG25" s="352"/>
      <c r="JH25" s="352"/>
      <c r="JI25" s="352"/>
      <c r="JJ25" s="352"/>
      <c r="JK25" s="352"/>
      <c r="JL25" s="352"/>
      <c r="JM25" s="352"/>
      <c r="JN25" s="352"/>
      <c r="JO25" s="352"/>
      <c r="JP25" s="352"/>
      <c r="JQ25" s="352"/>
      <c r="JR25" s="352"/>
      <c r="JS25" s="352"/>
      <c r="JT25" s="352"/>
      <c r="JU25" s="352"/>
      <c r="JV25" s="352"/>
      <c r="JW25" s="352"/>
      <c r="JX25" s="352"/>
      <c r="JY25" s="352"/>
      <c r="JZ25" s="352"/>
      <c r="KA25" s="352"/>
      <c r="KB25" s="352"/>
      <c r="KC25" s="352"/>
      <c r="KD25" s="352"/>
      <c r="KE25" s="352"/>
      <c r="KF25" s="352"/>
      <c r="KG25" s="352"/>
      <c r="KH25" s="352"/>
      <c r="KI25" s="352"/>
      <c r="KJ25" s="352"/>
      <c r="KK25" s="352"/>
      <c r="KL25" s="352"/>
      <c r="KM25" s="352"/>
      <c r="KN25" s="352"/>
      <c r="KO25" s="352"/>
      <c r="KP25" s="352"/>
      <c r="KQ25" s="352"/>
      <c r="KR25" s="352"/>
      <c r="KS25" s="352"/>
      <c r="KT25" s="352"/>
      <c r="KU25" s="352"/>
      <c r="KV25" s="352"/>
      <c r="KW25" s="352"/>
      <c r="KX25" s="352"/>
      <c r="KY25" s="352"/>
      <c r="KZ25" s="352"/>
      <c r="LA25" s="352"/>
      <c r="LB25" s="352"/>
      <c r="LC25" s="352"/>
      <c r="LD25" s="352"/>
      <c r="LE25" s="352"/>
      <c r="LF25" s="352"/>
      <c r="LG25" s="352"/>
      <c r="LH25" s="352"/>
      <c r="LI25" s="352"/>
      <c r="LJ25" s="352"/>
      <c r="LK25" s="352"/>
      <c r="LL25" s="352"/>
      <c r="LM25" s="352"/>
      <c r="LN25" s="352"/>
      <c r="LO25" s="352"/>
      <c r="LP25" s="352"/>
      <c r="LQ25" s="352"/>
      <c r="LR25" s="352"/>
      <c r="LS25" s="352"/>
      <c r="LT25" s="352"/>
      <c r="LU25" s="352"/>
      <c r="LV25" s="352"/>
      <c r="LW25" s="352"/>
      <c r="LX25" s="352"/>
      <c r="LY25" s="352"/>
      <c r="LZ25" s="352"/>
      <c r="MA25" s="352"/>
      <c r="MB25" s="352"/>
      <c r="MC25" s="352"/>
      <c r="MD25" s="352"/>
      <c r="ME25" s="352"/>
      <c r="MF25" s="352"/>
      <c r="MG25" s="352"/>
      <c r="MH25" s="352"/>
      <c r="MI25" s="352"/>
      <c r="MJ25" s="352"/>
      <c r="MK25" s="352"/>
      <c r="ML25" s="352"/>
      <c r="MM25" s="352"/>
      <c r="MN25" s="352"/>
      <c r="MO25" s="352"/>
      <c r="MP25" s="352"/>
      <c r="MQ25" s="352"/>
      <c r="MR25" s="352"/>
      <c r="MS25" s="352"/>
      <c r="MT25" s="352"/>
      <c r="MU25" s="352"/>
      <c r="MV25" s="352"/>
      <c r="MW25" s="352"/>
      <c r="MX25" s="352"/>
      <c r="MY25" s="352"/>
      <c r="MZ25" s="352"/>
      <c r="NA25" s="352"/>
      <c r="NB25" s="352"/>
      <c r="NC25" s="352"/>
      <c r="ND25" s="352"/>
      <c r="NE25" s="352"/>
      <c r="NF25" s="352"/>
      <c r="NG25" s="352"/>
      <c r="NH25" s="352"/>
      <c r="NI25" s="352"/>
      <c r="NJ25" s="352"/>
      <c r="NK25" s="352"/>
      <c r="NL25" s="352"/>
      <c r="NM25" s="352"/>
      <c r="NN25" s="352"/>
      <c r="NO25" s="352"/>
      <c r="NP25" s="352"/>
      <c r="NQ25" s="352"/>
      <c r="NR25" s="352"/>
      <c r="NS25" s="352"/>
      <c r="NT25" s="352"/>
      <c r="NU25" s="352"/>
      <c r="NV25" s="352"/>
      <c r="NW25" s="352"/>
      <c r="NX25" s="352"/>
      <c r="NY25" s="352"/>
      <c r="NZ25" s="352"/>
      <c r="OA25" s="352"/>
      <c r="OB25" s="352"/>
      <c r="OC25" s="352"/>
      <c r="OD25" s="352"/>
      <c r="OE25" s="352"/>
      <c r="OF25" s="352"/>
      <c r="OG25" s="352"/>
      <c r="OH25" s="352"/>
      <c r="OI25" s="352"/>
      <c r="OJ25" s="352"/>
      <c r="OK25" s="352"/>
      <c r="OL25" s="352"/>
      <c r="OM25" s="352"/>
      <c r="ON25" s="352"/>
      <c r="OO25" s="352"/>
      <c r="OP25" s="352"/>
      <c r="OQ25" s="352"/>
      <c r="OR25" s="352"/>
      <c r="OS25" s="352"/>
      <c r="OT25" s="352"/>
      <c r="OU25" s="352"/>
      <c r="OV25" s="352"/>
      <c r="OW25" s="352"/>
      <c r="OX25" s="352"/>
      <c r="OY25" s="352"/>
      <c r="OZ25" s="352"/>
      <c r="PA25" s="352"/>
      <c r="PB25" s="352"/>
      <c r="PC25" s="352"/>
      <c r="PD25" s="352"/>
      <c r="PE25" s="352"/>
      <c r="PF25" s="352"/>
      <c r="PG25" s="352"/>
      <c r="PH25" s="352"/>
      <c r="PI25" s="352"/>
      <c r="PJ25" s="352"/>
      <c r="PK25" s="352"/>
      <c r="PL25" s="352"/>
      <c r="PM25" s="352"/>
      <c r="PN25" s="352"/>
      <c r="PO25" s="352"/>
      <c r="PP25" s="352"/>
      <c r="PQ25" s="352"/>
      <c r="PR25" s="352"/>
      <c r="PS25" s="352"/>
      <c r="PT25" s="352"/>
      <c r="PU25" s="352"/>
      <c r="PV25" s="352"/>
      <c r="PW25" s="352"/>
      <c r="PX25" s="352"/>
      <c r="PY25" s="352"/>
      <c r="PZ25" s="352"/>
      <c r="QA25" s="352"/>
      <c r="QB25" s="352"/>
      <c r="QC25" s="352"/>
      <c r="QD25" s="352"/>
      <c r="QE25" s="352"/>
      <c r="QF25" s="352"/>
      <c r="QG25" s="352"/>
      <c r="QH25" s="352"/>
      <c r="QI25" s="352"/>
      <c r="QJ25" s="352"/>
      <c r="QK25" s="352"/>
      <c r="QL25" s="352"/>
      <c r="QM25" s="352"/>
      <c r="QN25" s="352"/>
      <c r="QO25" s="352"/>
      <c r="QP25" s="352"/>
      <c r="QQ25" s="352"/>
      <c r="QR25" s="352"/>
      <c r="QS25" s="352"/>
      <c r="QT25" s="352"/>
      <c r="QU25" s="352"/>
      <c r="QV25" s="352"/>
      <c r="QW25" s="352"/>
      <c r="QX25" s="352"/>
      <c r="QY25" s="352"/>
      <c r="QZ25" s="352"/>
      <c r="RA25" s="352"/>
      <c r="RB25" s="352"/>
      <c r="RC25" s="352"/>
      <c r="RD25" s="352"/>
      <c r="RE25" s="352"/>
      <c r="RF25" s="352"/>
      <c r="RG25" s="352"/>
      <c r="RH25" s="352"/>
      <c r="RI25" s="352"/>
      <c r="RJ25" s="352"/>
      <c r="RK25" s="352"/>
      <c r="RL25" s="352"/>
      <c r="RM25" s="352"/>
      <c r="RN25" s="352"/>
      <c r="RO25" s="352"/>
      <c r="RP25" s="352"/>
      <c r="RQ25" s="352"/>
      <c r="RR25" s="352"/>
      <c r="RS25" s="352"/>
      <c r="RT25" s="352"/>
      <c r="RU25" s="352"/>
      <c r="RV25" s="352"/>
      <c r="RW25" s="352"/>
      <c r="RX25" s="352"/>
      <c r="RY25" s="352"/>
      <c r="RZ25" s="352"/>
      <c r="SA25" s="352"/>
      <c r="SB25" s="352"/>
      <c r="SC25" s="352"/>
      <c r="SD25" s="352"/>
      <c r="SE25" s="352"/>
      <c r="SF25" s="352"/>
      <c r="SG25" s="352"/>
      <c r="SH25" s="352"/>
      <c r="SI25" s="352"/>
      <c r="SJ25" s="352"/>
      <c r="SK25" s="352"/>
      <c r="SL25" s="352"/>
      <c r="SM25" s="352"/>
      <c r="SN25" s="352"/>
      <c r="SO25" s="352"/>
      <c r="SP25" s="352"/>
      <c r="SQ25" s="352"/>
      <c r="SR25" s="352"/>
      <c r="SS25" s="352"/>
      <c r="ST25" s="352"/>
      <c r="SU25" s="352"/>
      <c r="SV25" s="352"/>
      <c r="SW25" s="352"/>
      <c r="SX25" s="352"/>
      <c r="SY25" s="352"/>
      <c r="SZ25" s="352"/>
      <c r="TA25" s="352"/>
      <c r="TB25" s="352"/>
      <c r="TC25" s="352"/>
      <c r="TD25" s="352"/>
      <c r="TE25" s="352"/>
      <c r="TF25" s="352"/>
      <c r="TG25" s="352"/>
      <c r="TH25" s="352"/>
      <c r="TI25" s="352"/>
      <c r="TJ25" s="352"/>
      <c r="TK25" s="352"/>
      <c r="TL25" s="352"/>
      <c r="TM25" s="352"/>
      <c r="TN25" s="352"/>
      <c r="TO25" s="352"/>
      <c r="TP25" s="352"/>
      <c r="TQ25" s="352"/>
      <c r="TR25" s="352"/>
      <c r="TS25" s="352"/>
      <c r="TT25" s="352"/>
      <c r="TU25" s="352"/>
      <c r="TV25" s="352"/>
      <c r="TW25" s="352"/>
      <c r="TX25" s="352"/>
      <c r="TY25" s="352"/>
      <c r="TZ25" s="352"/>
      <c r="UA25" s="352"/>
      <c r="UB25" s="352"/>
      <c r="UC25" s="352"/>
      <c r="UD25" s="352"/>
      <c r="UE25" s="352"/>
      <c r="UF25" s="352"/>
      <c r="UG25" s="352"/>
      <c r="UH25" s="352"/>
      <c r="UI25" s="352"/>
      <c r="UJ25" s="352"/>
      <c r="UK25" s="352"/>
      <c r="UL25" s="352"/>
      <c r="UM25" s="352"/>
      <c r="UN25" s="352"/>
      <c r="UO25" s="352"/>
      <c r="UP25" s="352"/>
      <c r="UQ25" s="352"/>
      <c r="UR25" s="352"/>
      <c r="US25" s="352"/>
      <c r="UT25" s="352"/>
      <c r="UU25" s="352"/>
      <c r="UV25" s="352"/>
      <c r="UW25" s="352"/>
      <c r="UX25" s="352"/>
      <c r="UY25" s="352"/>
      <c r="UZ25" s="352"/>
      <c r="VA25" s="352"/>
      <c r="VB25" s="352"/>
      <c r="VC25" s="352"/>
      <c r="VD25" s="352"/>
      <c r="VE25" s="352"/>
      <c r="VF25" s="352"/>
      <c r="VG25" s="352"/>
      <c r="VH25" s="352"/>
      <c r="VI25" s="352"/>
      <c r="VJ25" s="352"/>
      <c r="VK25" s="352"/>
      <c r="VL25" s="352"/>
      <c r="VM25" s="352"/>
      <c r="VN25" s="352"/>
      <c r="VO25" s="352"/>
      <c r="VP25" s="352"/>
      <c r="VQ25" s="352"/>
      <c r="VR25" s="352"/>
      <c r="VS25" s="352"/>
      <c r="VT25" s="352"/>
      <c r="VU25" s="352"/>
      <c r="VV25" s="352"/>
      <c r="VW25" s="352"/>
      <c r="VX25" s="352"/>
      <c r="VY25" s="352"/>
      <c r="VZ25" s="352"/>
      <c r="WA25" s="352"/>
      <c r="WB25" s="352"/>
      <c r="WC25" s="352"/>
      <c r="WD25" s="352"/>
      <c r="WE25" s="352"/>
      <c r="WF25" s="352"/>
      <c r="WG25" s="352"/>
      <c r="WH25" s="352"/>
      <c r="WI25" s="352"/>
      <c r="WJ25" s="352"/>
      <c r="WK25" s="352"/>
      <c r="WL25" s="352"/>
      <c r="WM25" s="352"/>
      <c r="WN25" s="352"/>
      <c r="WO25" s="352"/>
      <c r="WP25" s="352"/>
      <c r="WQ25" s="352"/>
      <c r="WR25" s="352"/>
      <c r="WS25" s="352"/>
      <c r="WT25" s="352"/>
      <c r="WU25" s="352"/>
      <c r="WV25" s="352"/>
      <c r="WW25" s="352"/>
      <c r="WX25" s="352"/>
      <c r="WY25" s="352"/>
      <c r="WZ25" s="352"/>
      <c r="XA25" s="352"/>
      <c r="XB25" s="352"/>
      <c r="XC25" s="352"/>
      <c r="XD25" s="352"/>
      <c r="XE25" s="352"/>
      <c r="XF25" s="352"/>
      <c r="XG25" s="352"/>
      <c r="XH25" s="352"/>
      <c r="XI25" s="352"/>
      <c r="XJ25" s="352"/>
      <c r="XK25" s="352"/>
      <c r="XL25" s="352"/>
      <c r="XM25" s="352"/>
      <c r="XN25" s="352"/>
      <c r="XO25" s="352"/>
      <c r="XP25" s="352"/>
      <c r="XQ25" s="352"/>
      <c r="XR25" s="352"/>
      <c r="XS25" s="352"/>
      <c r="XT25" s="352"/>
      <c r="XU25" s="352"/>
      <c r="XV25" s="352"/>
      <c r="XW25" s="352"/>
      <c r="XX25" s="352"/>
      <c r="XY25" s="352"/>
      <c r="XZ25" s="352"/>
      <c r="YA25" s="352"/>
      <c r="YB25" s="352"/>
      <c r="YC25" s="352"/>
      <c r="YD25" s="352"/>
      <c r="YE25" s="352"/>
      <c r="YF25" s="352"/>
      <c r="YG25" s="352"/>
      <c r="YH25" s="352"/>
      <c r="YI25" s="352"/>
      <c r="YJ25" s="352"/>
      <c r="YK25" s="352"/>
      <c r="YL25" s="352"/>
      <c r="YM25" s="352"/>
      <c r="YN25" s="352"/>
      <c r="YO25" s="352"/>
      <c r="YP25" s="352"/>
      <c r="YQ25" s="352"/>
      <c r="YR25" s="352"/>
      <c r="YS25" s="352"/>
      <c r="YT25" s="352"/>
      <c r="YU25" s="352"/>
      <c r="YV25" s="352"/>
      <c r="YW25" s="352"/>
      <c r="YX25" s="352"/>
      <c r="YY25" s="352"/>
      <c r="YZ25" s="352"/>
      <c r="ZA25" s="352"/>
      <c r="ZB25" s="352"/>
      <c r="ZC25" s="352"/>
      <c r="ZD25" s="352"/>
      <c r="ZE25" s="352"/>
      <c r="ZF25" s="352"/>
      <c r="ZG25" s="352"/>
      <c r="ZH25" s="352"/>
      <c r="ZI25" s="352"/>
      <c r="ZJ25" s="352"/>
      <c r="ZK25" s="352"/>
      <c r="ZL25" s="352"/>
      <c r="ZM25" s="352"/>
      <c r="ZN25" s="352"/>
      <c r="ZO25" s="352"/>
      <c r="ZP25" s="352"/>
      <c r="ZQ25" s="352"/>
      <c r="ZR25" s="352"/>
      <c r="ZS25" s="352"/>
      <c r="ZT25" s="352"/>
      <c r="ZU25" s="352"/>
      <c r="ZV25" s="352"/>
      <c r="ZW25" s="352"/>
      <c r="ZX25" s="352"/>
      <c r="ZY25" s="352"/>
      <c r="ZZ25" s="352"/>
      <c r="AAA25" s="352"/>
      <c r="AAB25" s="352"/>
      <c r="AAC25" s="352"/>
      <c r="AAD25" s="352"/>
      <c r="AAE25" s="352"/>
      <c r="AAF25" s="352"/>
      <c r="AAG25" s="352"/>
      <c r="AAH25" s="352"/>
      <c r="AAI25" s="352"/>
      <c r="AAJ25" s="352"/>
      <c r="AAK25" s="352"/>
      <c r="AAL25" s="352"/>
      <c r="AAM25" s="352"/>
      <c r="AAN25" s="352"/>
      <c r="AAO25" s="352"/>
      <c r="AAP25" s="352"/>
      <c r="AAQ25" s="352"/>
      <c r="AAR25" s="352"/>
      <c r="AAS25" s="352"/>
      <c r="AAT25" s="352"/>
      <c r="AAU25" s="352"/>
      <c r="AAV25" s="352"/>
      <c r="AAW25" s="352"/>
      <c r="AAX25" s="352"/>
      <c r="AAY25" s="352"/>
      <c r="AAZ25" s="352"/>
      <c r="ABA25" s="352"/>
      <c r="ABB25" s="352"/>
      <c r="ABC25" s="352"/>
      <c r="ABD25" s="352"/>
      <c r="ABE25" s="352"/>
      <c r="ABF25" s="352"/>
      <c r="ABG25" s="352"/>
      <c r="ABH25" s="352"/>
      <c r="ABI25" s="352"/>
      <c r="ABJ25" s="352"/>
      <c r="ABK25" s="352"/>
      <c r="ABL25" s="352"/>
      <c r="ABM25" s="352"/>
      <c r="ABN25" s="352"/>
      <c r="ABO25" s="352"/>
      <c r="ABP25" s="352"/>
      <c r="ABQ25" s="352"/>
      <c r="ABR25" s="352"/>
      <c r="ABS25" s="352"/>
      <c r="ABT25" s="352"/>
      <c r="ABU25" s="352"/>
      <c r="ABV25" s="352"/>
      <c r="ABW25" s="352"/>
      <c r="ABX25" s="352"/>
      <c r="ABY25" s="352"/>
      <c r="ABZ25" s="352"/>
      <c r="ACA25" s="352"/>
      <c r="ACB25" s="352"/>
      <c r="ACC25" s="352"/>
      <c r="ACD25" s="352"/>
      <c r="ACE25" s="352"/>
      <c r="ACF25" s="352"/>
      <c r="ACG25" s="352"/>
      <c r="ACH25" s="352"/>
      <c r="ACI25" s="352"/>
      <c r="ACJ25" s="352"/>
      <c r="ACK25" s="352"/>
      <c r="ACL25" s="352"/>
      <c r="ACM25" s="352"/>
      <c r="ACN25" s="352"/>
      <c r="ACO25" s="352"/>
      <c r="ACP25" s="352"/>
      <c r="ACQ25" s="352"/>
      <c r="ACR25" s="352"/>
      <c r="ACS25" s="352"/>
      <c r="ACT25" s="352"/>
      <c r="ACU25" s="352"/>
      <c r="ACV25" s="352"/>
      <c r="ACW25" s="352"/>
      <c r="ACX25" s="352"/>
      <c r="ACY25" s="352"/>
      <c r="ACZ25" s="352"/>
      <c r="ADA25" s="352"/>
      <c r="ADB25" s="352"/>
      <c r="ADC25" s="352"/>
      <c r="ADD25" s="352"/>
      <c r="ADE25" s="352"/>
      <c r="ADF25" s="352"/>
      <c r="ADG25" s="352"/>
      <c r="ADH25" s="352"/>
      <c r="ADI25" s="352"/>
      <c r="ADJ25" s="352"/>
      <c r="ADK25" s="352"/>
      <c r="ADL25" s="352"/>
      <c r="ADM25" s="352"/>
      <c r="ADN25" s="352"/>
      <c r="ADO25" s="352"/>
      <c r="ADP25" s="352"/>
      <c r="ADQ25" s="352"/>
      <c r="ADR25" s="352"/>
      <c r="ADS25" s="352"/>
      <c r="ADT25" s="352"/>
      <c r="ADU25" s="352"/>
      <c r="ADV25" s="352"/>
      <c r="ADW25" s="352"/>
      <c r="ADX25" s="352"/>
      <c r="ADY25" s="352"/>
      <c r="ADZ25" s="352"/>
      <c r="AEA25" s="352"/>
      <c r="AEB25" s="352"/>
      <c r="AEC25" s="352"/>
      <c r="AED25" s="352"/>
      <c r="AEE25" s="352"/>
      <c r="AEF25" s="352"/>
      <c r="AEG25" s="352"/>
      <c r="AEH25" s="352"/>
      <c r="AEI25" s="352"/>
      <c r="AEJ25" s="352"/>
      <c r="AEK25" s="352"/>
      <c r="AEL25" s="352"/>
      <c r="AEM25" s="352"/>
      <c r="AEN25" s="352"/>
      <c r="AEO25" s="352"/>
      <c r="AEP25" s="352"/>
      <c r="AEQ25" s="352"/>
      <c r="AER25" s="352"/>
      <c r="AES25" s="352"/>
      <c r="AET25" s="352"/>
      <c r="AEU25" s="352"/>
      <c r="AEV25" s="352"/>
      <c r="AEW25" s="352"/>
      <c r="AEX25" s="352"/>
      <c r="AEY25" s="352"/>
      <c r="AEZ25" s="352"/>
      <c r="AFA25" s="352"/>
      <c r="AFB25" s="352"/>
      <c r="AFC25" s="352"/>
      <c r="AFD25" s="352"/>
      <c r="AFE25" s="352"/>
      <c r="AFF25" s="352"/>
      <c r="AFG25" s="352"/>
      <c r="AFH25" s="352"/>
      <c r="AFI25" s="352"/>
      <c r="AFJ25" s="352"/>
      <c r="AFK25" s="352"/>
      <c r="AFL25" s="352"/>
      <c r="AFM25" s="352"/>
      <c r="AFN25" s="352"/>
      <c r="AFO25" s="352"/>
      <c r="AFP25" s="352"/>
      <c r="AFQ25" s="352"/>
      <c r="AFR25" s="352"/>
      <c r="AFS25" s="352"/>
      <c r="AFT25" s="352"/>
      <c r="AFU25" s="352"/>
      <c r="AFV25" s="352"/>
      <c r="AFW25" s="352"/>
      <c r="AFX25" s="352"/>
      <c r="AFY25" s="352"/>
      <c r="AFZ25" s="352"/>
      <c r="AGA25" s="352"/>
      <c r="AGB25" s="352"/>
      <c r="AGC25" s="352"/>
      <c r="AGD25" s="352"/>
      <c r="AGE25" s="352"/>
      <c r="AGF25" s="352"/>
      <c r="AGG25" s="352"/>
      <c r="AGH25" s="352"/>
      <c r="AGI25" s="352"/>
      <c r="AGJ25" s="352"/>
      <c r="AGK25" s="352"/>
      <c r="AGL25" s="352"/>
      <c r="AGM25" s="352"/>
      <c r="AGN25" s="352"/>
      <c r="AGO25" s="352"/>
      <c r="AGP25" s="352"/>
      <c r="AGQ25" s="352"/>
      <c r="AGR25" s="352"/>
      <c r="AGS25" s="352"/>
      <c r="AGT25" s="352"/>
      <c r="AGU25" s="352"/>
      <c r="AGV25" s="352"/>
      <c r="AGW25" s="352"/>
      <c r="AGX25" s="352"/>
      <c r="AGY25" s="352"/>
      <c r="AGZ25" s="352"/>
      <c r="AHA25" s="352"/>
      <c r="AHB25" s="352"/>
      <c r="AHC25" s="352"/>
      <c r="AHD25" s="352"/>
      <c r="AHE25" s="352"/>
      <c r="AHF25" s="352"/>
      <c r="AHG25" s="352"/>
      <c r="AHH25" s="352"/>
      <c r="AHI25" s="352"/>
      <c r="AHJ25" s="352"/>
      <c r="AHK25" s="352"/>
      <c r="AHL25" s="352"/>
      <c r="AHM25" s="352"/>
      <c r="AHN25" s="352"/>
      <c r="AHO25" s="352"/>
      <c r="AHP25" s="352"/>
      <c r="AHQ25" s="352"/>
      <c r="AHR25" s="352"/>
      <c r="AHS25" s="352"/>
      <c r="AHT25" s="352"/>
      <c r="AHU25" s="352"/>
      <c r="AHV25" s="352"/>
      <c r="AHW25" s="352"/>
      <c r="AHX25" s="352"/>
      <c r="AHY25" s="352"/>
      <c r="AHZ25" s="352"/>
      <c r="AIA25" s="352"/>
      <c r="AIB25" s="352"/>
      <c r="AIC25" s="352"/>
      <c r="AID25" s="352"/>
      <c r="AIE25" s="352"/>
      <c r="AIF25" s="352"/>
      <c r="AIG25" s="352"/>
      <c r="AIH25" s="352"/>
      <c r="AII25" s="352"/>
      <c r="AIJ25" s="352"/>
      <c r="AIK25" s="352"/>
      <c r="AIL25" s="352"/>
      <c r="AIM25" s="352"/>
      <c r="AIN25" s="352"/>
      <c r="AIO25" s="352"/>
      <c r="AIP25" s="352"/>
      <c r="AIQ25" s="352"/>
      <c r="AIR25" s="352"/>
      <c r="AIS25" s="352"/>
      <c r="AIT25" s="352"/>
      <c r="AIU25" s="352"/>
      <c r="AIV25" s="352"/>
      <c r="AIW25" s="352"/>
      <c r="AIX25" s="352"/>
      <c r="AIY25" s="352"/>
      <c r="AIZ25" s="352"/>
      <c r="AJA25" s="352"/>
      <c r="AJB25" s="352"/>
      <c r="AJC25" s="352"/>
      <c r="AJD25" s="352"/>
      <c r="AJE25" s="352"/>
      <c r="AJF25" s="352"/>
      <c r="AJG25" s="352"/>
      <c r="AJH25" s="352"/>
      <c r="AJI25" s="352"/>
      <c r="AJJ25" s="352"/>
      <c r="AJK25" s="352"/>
      <c r="AJL25" s="352"/>
      <c r="AJM25" s="352"/>
      <c r="AJN25" s="352"/>
      <c r="AJO25" s="352"/>
      <c r="AJP25" s="352"/>
      <c r="AJQ25" s="352"/>
      <c r="AJR25" s="352"/>
      <c r="AJS25" s="352"/>
      <c r="AJT25" s="352"/>
      <c r="AJU25" s="352"/>
      <c r="AJV25" s="352"/>
      <c r="AJW25" s="352"/>
      <c r="AJX25" s="352"/>
      <c r="AJY25" s="352"/>
      <c r="AJZ25" s="352"/>
      <c r="AKA25" s="352"/>
      <c r="AKB25" s="352"/>
      <c r="AKC25" s="352"/>
      <c r="AKD25" s="352"/>
      <c r="AKE25" s="352"/>
      <c r="AKF25" s="352"/>
      <c r="AKG25" s="352"/>
      <c r="AKH25" s="352"/>
      <c r="AKI25" s="352"/>
      <c r="AKJ25" s="352"/>
      <c r="AKK25" s="352"/>
      <c r="AKL25" s="352"/>
      <c r="AKM25" s="352"/>
      <c r="AKN25" s="352"/>
      <c r="AKO25" s="352"/>
      <c r="AKP25" s="352"/>
      <c r="AKQ25" s="352"/>
      <c r="AKR25" s="352"/>
      <c r="AKS25" s="352"/>
      <c r="AKT25" s="352"/>
      <c r="AKU25" s="352"/>
      <c r="AKV25" s="352"/>
      <c r="AKW25" s="352"/>
      <c r="AKX25" s="352"/>
      <c r="AKY25" s="352"/>
      <c r="AKZ25" s="352"/>
      <c r="ALA25" s="352"/>
      <c r="ALB25" s="352"/>
      <c r="ALC25" s="352"/>
      <c r="ALD25" s="352"/>
      <c r="ALE25" s="352"/>
      <c r="ALF25" s="352"/>
      <c r="ALG25" s="352"/>
      <c r="ALH25" s="352"/>
      <c r="ALI25" s="352"/>
      <c r="ALJ25" s="352"/>
      <c r="ALK25" s="352"/>
      <c r="ALL25" s="352"/>
      <c r="ALM25" s="352"/>
      <c r="ALN25" s="352"/>
      <c r="ALO25" s="352"/>
      <c r="ALP25" s="352"/>
      <c r="ALQ25" s="352"/>
      <c r="ALR25" s="352"/>
      <c r="ALS25" s="352"/>
      <c r="ALT25" s="352"/>
      <c r="ALU25" s="352"/>
      <c r="ALV25" s="352"/>
      <c r="ALW25" s="352"/>
      <c r="ALX25" s="352"/>
      <c r="ALY25" s="352"/>
      <c r="ALZ25" s="352"/>
      <c r="AMA25" s="352"/>
      <c r="AMB25" s="352"/>
      <c r="AMC25" s="352"/>
      <c r="AMD25" s="352"/>
      <c r="AME25" s="352"/>
      <c r="AMF25" s="352"/>
      <c r="AMG25" s="352"/>
      <c r="AMH25" s="352"/>
      <c r="AMI25" s="352"/>
      <c r="AMJ25" s="352"/>
      <c r="AMK25" s="352"/>
      <c r="AML25" s="352"/>
      <c r="AMM25" s="352"/>
      <c r="AMN25" s="352"/>
      <c r="AMO25" s="352"/>
      <c r="AMP25" s="352"/>
      <c r="AMQ25" s="352"/>
      <c r="AMR25" s="352"/>
      <c r="AMS25" s="352"/>
      <c r="AMT25" s="352"/>
      <c r="AMU25" s="352"/>
      <c r="AMV25" s="352"/>
      <c r="AMW25" s="352"/>
      <c r="AMX25" s="352"/>
      <c r="AMY25" s="352"/>
      <c r="AMZ25" s="352"/>
      <c r="ANA25" s="352"/>
      <c r="ANB25" s="352"/>
      <c r="ANC25" s="352"/>
      <c r="AND25" s="352"/>
      <c r="ANE25" s="352"/>
      <c r="ANF25" s="352"/>
      <c r="ANG25" s="352"/>
      <c r="ANH25" s="352"/>
      <c r="ANI25" s="352"/>
      <c r="ANJ25" s="352"/>
      <c r="ANK25" s="352"/>
      <c r="ANL25" s="352"/>
      <c r="ANM25" s="352"/>
      <c r="ANN25" s="352"/>
      <c r="ANO25" s="352"/>
      <c r="ANP25" s="352"/>
      <c r="ANQ25" s="352"/>
      <c r="ANR25" s="352"/>
      <c r="ANS25" s="352"/>
      <c r="ANT25" s="352"/>
      <c r="ANU25" s="352"/>
      <c r="ANV25" s="352"/>
      <c r="ANW25" s="352"/>
      <c r="ANX25" s="352"/>
      <c r="ANY25" s="352"/>
      <c r="ANZ25" s="352"/>
      <c r="AOA25" s="352"/>
      <c r="AOB25" s="352"/>
      <c r="AOC25" s="352"/>
      <c r="AOD25" s="352"/>
      <c r="AOE25" s="352"/>
      <c r="AOF25" s="352"/>
      <c r="AOG25" s="352"/>
      <c r="AOH25" s="352"/>
      <c r="AOI25" s="352"/>
      <c r="AOJ25" s="352"/>
      <c r="AOK25" s="352"/>
      <c r="AOL25" s="352"/>
      <c r="AOM25" s="352"/>
      <c r="AON25" s="352"/>
      <c r="AOO25" s="352"/>
      <c r="AOP25" s="352"/>
      <c r="AOQ25" s="352"/>
      <c r="AOR25" s="352"/>
      <c r="AOS25" s="352"/>
      <c r="AOT25" s="352"/>
      <c r="AOU25" s="352"/>
      <c r="AOV25" s="352"/>
      <c r="AOW25" s="352"/>
      <c r="AOX25" s="352"/>
      <c r="AOY25" s="352"/>
      <c r="AOZ25" s="352"/>
      <c r="APA25" s="352"/>
      <c r="APB25" s="352"/>
      <c r="APC25" s="352"/>
      <c r="APD25" s="352"/>
      <c r="APE25" s="352"/>
      <c r="APF25" s="352"/>
      <c r="APG25" s="352"/>
      <c r="APH25" s="352"/>
      <c r="API25" s="352"/>
      <c r="APJ25" s="352"/>
      <c r="APK25" s="352"/>
      <c r="APL25" s="352"/>
      <c r="APM25" s="352"/>
      <c r="APN25" s="352"/>
      <c r="APO25" s="352"/>
      <c r="APP25" s="352"/>
      <c r="APQ25" s="352"/>
      <c r="APR25" s="352"/>
      <c r="APS25" s="352"/>
      <c r="APT25" s="352"/>
      <c r="APU25" s="352"/>
      <c r="APV25" s="352"/>
      <c r="APW25" s="352"/>
      <c r="APX25" s="352"/>
      <c r="APY25" s="352"/>
      <c r="APZ25" s="352"/>
      <c r="AQA25" s="352"/>
      <c r="AQB25" s="352"/>
      <c r="AQC25" s="352"/>
      <c r="AQD25" s="352"/>
      <c r="AQE25" s="352"/>
      <c r="AQF25" s="352"/>
      <c r="AQG25" s="352"/>
      <c r="AQH25" s="352"/>
      <c r="AQI25" s="352"/>
      <c r="AQJ25" s="352"/>
      <c r="AQK25" s="352"/>
      <c r="AQL25" s="352"/>
      <c r="AQM25" s="352"/>
      <c r="AQN25" s="352"/>
      <c r="AQO25" s="352"/>
      <c r="AQP25" s="352"/>
      <c r="AQQ25" s="352"/>
      <c r="AQR25" s="352"/>
      <c r="AQS25" s="352"/>
      <c r="AQT25" s="352"/>
      <c r="AQU25" s="352"/>
      <c r="AQV25" s="352"/>
      <c r="AQW25" s="352"/>
      <c r="AQX25" s="352"/>
      <c r="AQY25" s="352"/>
      <c r="AQZ25" s="352"/>
      <c r="ARA25" s="352"/>
      <c r="ARB25" s="352"/>
      <c r="ARC25" s="352"/>
      <c r="ARD25" s="352"/>
      <c r="ARE25" s="352"/>
      <c r="ARF25" s="352"/>
      <c r="ARG25" s="352"/>
      <c r="ARH25" s="352"/>
      <c r="ARI25" s="352"/>
      <c r="ARJ25" s="352"/>
      <c r="ARK25" s="352"/>
      <c r="ARL25" s="352"/>
      <c r="ARM25" s="352"/>
      <c r="ARN25" s="352"/>
      <c r="ARO25" s="352"/>
      <c r="ARP25" s="352"/>
      <c r="ARQ25" s="352"/>
      <c r="ARR25" s="352"/>
      <c r="ARS25" s="352"/>
      <c r="ART25" s="352"/>
      <c r="ARU25" s="352"/>
      <c r="ARV25" s="352"/>
      <c r="ARW25" s="352"/>
      <c r="ARX25" s="352"/>
      <c r="ARY25" s="352"/>
      <c r="ARZ25" s="352"/>
      <c r="ASA25" s="352"/>
      <c r="ASB25" s="352"/>
      <c r="ASC25" s="352"/>
      <c r="ASD25" s="352"/>
      <c r="ASE25" s="352"/>
      <c r="ASF25" s="352"/>
      <c r="ASG25" s="352"/>
      <c r="ASH25" s="352"/>
      <c r="ASI25" s="352"/>
      <c r="ASJ25" s="352"/>
      <c r="ASK25" s="352"/>
      <c r="ASL25" s="352"/>
      <c r="ASM25" s="352"/>
      <c r="ASN25" s="352"/>
      <c r="ASO25" s="352"/>
      <c r="ASP25" s="352"/>
      <c r="ASQ25" s="352"/>
      <c r="ASR25" s="352"/>
      <c r="ASS25" s="352"/>
      <c r="AST25" s="352"/>
      <c r="ASU25" s="352"/>
      <c r="ASV25" s="352"/>
      <c r="ASW25" s="352"/>
      <c r="ASX25" s="352"/>
      <c r="ASY25" s="352"/>
      <c r="ASZ25" s="352"/>
      <c r="ATA25" s="352"/>
      <c r="ATB25" s="352"/>
      <c r="ATC25" s="352"/>
      <c r="ATD25" s="352"/>
      <c r="ATE25" s="352"/>
      <c r="ATF25" s="352"/>
      <c r="ATG25" s="352"/>
      <c r="ATH25" s="352"/>
      <c r="ATI25" s="352"/>
      <c r="ATJ25" s="352"/>
      <c r="ATK25" s="352"/>
      <c r="ATL25" s="352"/>
      <c r="ATM25" s="352"/>
      <c r="ATN25" s="352"/>
      <c r="ATO25" s="352"/>
      <c r="ATP25" s="352"/>
      <c r="ATQ25" s="352"/>
      <c r="ATR25" s="352"/>
      <c r="ATS25" s="352"/>
      <c r="ATT25" s="352"/>
      <c r="ATU25" s="352"/>
      <c r="ATV25" s="352"/>
      <c r="ATW25" s="352"/>
      <c r="ATX25" s="352"/>
      <c r="ATY25" s="352"/>
      <c r="ATZ25" s="352"/>
      <c r="AUA25" s="352"/>
      <c r="AUB25" s="352"/>
      <c r="AUC25" s="352"/>
      <c r="AUD25" s="352"/>
      <c r="AUE25" s="352"/>
      <c r="AUF25" s="352"/>
      <c r="AUG25" s="352"/>
      <c r="AUH25" s="352"/>
      <c r="AUI25" s="352"/>
      <c r="AUJ25" s="352"/>
      <c r="AUK25" s="352"/>
      <c r="AUL25" s="352"/>
      <c r="AUM25" s="352"/>
      <c r="AUN25" s="352"/>
      <c r="AUO25" s="352"/>
      <c r="AUP25" s="352"/>
      <c r="AUQ25" s="352"/>
      <c r="AUR25" s="352"/>
      <c r="AUS25" s="352"/>
      <c r="AUT25" s="352"/>
      <c r="AUU25" s="352"/>
      <c r="AUV25" s="352"/>
      <c r="AUW25" s="352"/>
      <c r="AUX25" s="352"/>
      <c r="AUY25" s="352"/>
      <c r="AUZ25" s="352"/>
      <c r="AVA25" s="352"/>
      <c r="AVB25" s="352"/>
      <c r="AVC25" s="352"/>
      <c r="AVD25" s="352"/>
      <c r="AVE25" s="352"/>
      <c r="AVF25" s="352"/>
      <c r="AVG25" s="352"/>
      <c r="AVH25" s="352"/>
      <c r="AVI25" s="352"/>
      <c r="AVJ25" s="352"/>
      <c r="AVK25" s="352"/>
      <c r="AVL25" s="352"/>
      <c r="AVM25" s="352"/>
      <c r="AVN25" s="352"/>
      <c r="AVO25" s="352"/>
      <c r="AVP25" s="352"/>
      <c r="AVQ25" s="352"/>
      <c r="AVR25" s="352"/>
      <c r="AVS25" s="352"/>
      <c r="AVT25" s="352"/>
      <c r="AVU25" s="352"/>
      <c r="AVV25" s="352"/>
      <c r="AVW25" s="352"/>
      <c r="AVX25" s="352"/>
      <c r="AVY25" s="352"/>
      <c r="AVZ25" s="352"/>
      <c r="AWA25" s="352"/>
      <c r="AWB25" s="352"/>
      <c r="AWC25" s="352"/>
      <c r="AWD25" s="352"/>
      <c r="AWE25" s="352"/>
      <c r="AWF25" s="352"/>
      <c r="AWG25" s="352"/>
      <c r="AWH25" s="352"/>
      <c r="AWI25" s="352"/>
      <c r="AWJ25" s="352"/>
      <c r="AWK25" s="352"/>
      <c r="AWL25" s="352"/>
      <c r="AWM25" s="352"/>
      <c r="AWN25" s="352"/>
      <c r="AWO25" s="352"/>
      <c r="AWP25" s="352"/>
      <c r="AWQ25" s="352"/>
      <c r="AWR25" s="352"/>
      <c r="AWS25" s="352"/>
      <c r="AWT25" s="352"/>
      <c r="AWU25" s="352"/>
      <c r="AWV25" s="352"/>
      <c r="AWW25" s="352"/>
      <c r="AWX25" s="352"/>
      <c r="AWY25" s="352"/>
      <c r="AWZ25" s="352"/>
      <c r="AXA25" s="352"/>
      <c r="AXB25" s="352"/>
      <c r="AXC25" s="352"/>
      <c r="AXD25" s="352"/>
      <c r="AXE25" s="352"/>
      <c r="AXF25" s="352"/>
      <c r="AXG25" s="352"/>
      <c r="AXH25" s="352"/>
      <c r="AXI25" s="352"/>
      <c r="AXJ25" s="352"/>
      <c r="AXK25" s="352"/>
      <c r="AXL25" s="352"/>
      <c r="AXM25" s="352"/>
      <c r="AXN25" s="352"/>
      <c r="AXO25" s="352"/>
      <c r="AXP25" s="352"/>
      <c r="AXQ25" s="352"/>
      <c r="AXR25" s="352"/>
      <c r="AXS25" s="352"/>
      <c r="AXT25" s="352"/>
      <c r="AXU25" s="352"/>
      <c r="AXV25" s="352"/>
      <c r="AXW25" s="352"/>
      <c r="AXX25" s="352"/>
      <c r="AXY25" s="352"/>
      <c r="AXZ25" s="352"/>
      <c r="AYA25" s="352"/>
      <c r="AYB25" s="352"/>
      <c r="AYC25" s="352"/>
      <c r="AYD25" s="352"/>
      <c r="AYE25" s="352"/>
      <c r="AYF25" s="352"/>
      <c r="AYG25" s="352"/>
      <c r="AYH25" s="352"/>
      <c r="AYI25" s="352"/>
      <c r="AYJ25" s="352"/>
      <c r="AYK25" s="352"/>
      <c r="AYL25" s="352"/>
      <c r="AYM25" s="352"/>
      <c r="AYN25" s="352"/>
      <c r="AYO25" s="352"/>
      <c r="AYP25" s="352"/>
      <c r="AYQ25" s="352"/>
      <c r="AYR25" s="352"/>
      <c r="AYS25" s="352"/>
      <c r="AYT25" s="352"/>
      <c r="AYU25" s="352"/>
      <c r="AYV25" s="352"/>
      <c r="AYW25" s="352"/>
      <c r="AYX25" s="352"/>
      <c r="AYY25" s="352"/>
      <c r="AYZ25" s="352"/>
      <c r="AZA25" s="352"/>
      <c r="AZB25" s="352"/>
      <c r="AZC25" s="352"/>
      <c r="AZD25" s="352"/>
      <c r="AZE25" s="352"/>
      <c r="AZF25" s="352"/>
      <c r="AZG25" s="352"/>
      <c r="AZH25" s="352"/>
      <c r="AZI25" s="352"/>
      <c r="AZJ25" s="352"/>
      <c r="AZK25" s="352"/>
      <c r="AZL25" s="352"/>
      <c r="AZM25" s="352"/>
      <c r="AZN25" s="352"/>
      <c r="AZO25" s="352"/>
      <c r="AZP25" s="352"/>
      <c r="AZQ25" s="352"/>
      <c r="AZR25" s="352"/>
      <c r="AZS25" s="352"/>
      <c r="AZT25" s="352"/>
      <c r="AZU25" s="352"/>
      <c r="AZV25" s="352"/>
      <c r="AZW25" s="352"/>
      <c r="AZX25" s="352"/>
      <c r="AZY25" s="352"/>
      <c r="AZZ25" s="352"/>
      <c r="BAA25" s="352"/>
      <c r="BAB25" s="352"/>
      <c r="BAC25" s="352"/>
      <c r="BAD25" s="352"/>
      <c r="BAE25" s="352"/>
      <c r="BAF25" s="352"/>
      <c r="BAG25" s="352"/>
      <c r="BAH25" s="352"/>
      <c r="BAI25" s="352"/>
      <c r="BAJ25" s="352"/>
      <c r="BAK25" s="352"/>
      <c r="BAL25" s="352"/>
      <c r="BAM25" s="352"/>
      <c r="BAN25" s="352"/>
      <c r="BAO25" s="352"/>
      <c r="BAP25" s="352"/>
      <c r="BAQ25" s="352"/>
      <c r="BAR25" s="352"/>
      <c r="BAS25" s="352"/>
      <c r="BAT25" s="352"/>
      <c r="BAU25" s="352"/>
      <c r="BAV25" s="352"/>
      <c r="BAW25" s="352"/>
      <c r="BAX25" s="352"/>
      <c r="BAY25" s="352"/>
      <c r="BAZ25" s="352"/>
      <c r="BBA25" s="352"/>
      <c r="BBB25" s="352"/>
      <c r="BBC25" s="352"/>
      <c r="BBD25" s="352"/>
      <c r="BBE25" s="352"/>
      <c r="BBF25" s="352"/>
      <c r="BBG25" s="352"/>
      <c r="BBH25" s="352"/>
      <c r="BBI25" s="352"/>
      <c r="BBJ25" s="352"/>
      <c r="BBK25" s="352"/>
      <c r="BBL25" s="352"/>
      <c r="BBM25" s="352"/>
      <c r="BBN25" s="352"/>
      <c r="BBO25" s="352"/>
      <c r="BBP25" s="352"/>
      <c r="BBQ25" s="352"/>
      <c r="BBR25" s="352"/>
      <c r="BBS25" s="352"/>
      <c r="BBT25" s="352"/>
      <c r="BBU25" s="352"/>
      <c r="BBV25" s="352"/>
      <c r="BBW25" s="352"/>
      <c r="BBX25" s="352"/>
      <c r="BBY25" s="352"/>
      <c r="BBZ25" s="352"/>
      <c r="BCA25" s="352"/>
      <c r="BCB25" s="352"/>
      <c r="BCC25" s="352"/>
      <c r="BCD25" s="352"/>
      <c r="BCE25" s="352"/>
      <c r="BCF25" s="352"/>
      <c r="BCG25" s="352"/>
      <c r="BCH25" s="352"/>
      <c r="BCI25" s="352"/>
      <c r="BCJ25" s="352"/>
      <c r="BCK25" s="352"/>
      <c r="BCL25" s="352"/>
      <c r="BCM25" s="352"/>
      <c r="BCN25" s="352"/>
      <c r="BCO25" s="352"/>
      <c r="BCP25" s="352"/>
      <c r="BCQ25" s="352"/>
      <c r="BCR25" s="352"/>
      <c r="BCS25" s="352"/>
      <c r="BCT25" s="352"/>
      <c r="BCU25" s="352"/>
      <c r="BCV25" s="352"/>
      <c r="BCW25" s="352"/>
      <c r="BCX25" s="352"/>
      <c r="BCY25" s="352"/>
      <c r="BCZ25" s="352"/>
      <c r="BDA25" s="352"/>
      <c r="BDB25" s="352"/>
      <c r="BDC25" s="352"/>
      <c r="BDD25" s="352"/>
      <c r="BDE25" s="352"/>
      <c r="BDF25" s="352"/>
      <c r="BDG25" s="352"/>
      <c r="BDH25" s="352"/>
      <c r="BDI25" s="352"/>
      <c r="BDJ25" s="352"/>
      <c r="BDK25" s="352"/>
      <c r="BDL25" s="352"/>
      <c r="BDM25" s="352"/>
      <c r="BDN25" s="352"/>
      <c r="BDO25" s="352"/>
      <c r="BDP25" s="352"/>
      <c r="BDQ25" s="352"/>
      <c r="BDR25" s="352"/>
      <c r="BDS25" s="352"/>
      <c r="BDT25" s="352"/>
      <c r="BDU25" s="352"/>
      <c r="BDV25" s="352"/>
      <c r="BDW25" s="352"/>
      <c r="BDX25" s="352"/>
      <c r="BDY25" s="352"/>
      <c r="BDZ25" s="352"/>
      <c r="BEA25" s="352"/>
      <c r="BEB25" s="352"/>
      <c r="BEC25" s="352"/>
      <c r="BED25" s="352"/>
      <c r="BEE25" s="352"/>
      <c r="BEF25" s="352"/>
      <c r="BEG25" s="352"/>
      <c r="BEH25" s="352"/>
      <c r="BEI25" s="352"/>
      <c r="BEJ25" s="352"/>
      <c r="BEK25" s="352"/>
      <c r="BEL25" s="352"/>
      <c r="BEM25" s="352"/>
      <c r="BEN25" s="352"/>
      <c r="BEO25" s="352"/>
      <c r="BEP25" s="352"/>
      <c r="BEQ25" s="352"/>
      <c r="BER25" s="352"/>
      <c r="BES25" s="352"/>
      <c r="BET25" s="352"/>
      <c r="BEU25" s="352"/>
      <c r="BEV25" s="352"/>
      <c r="BEW25" s="352"/>
      <c r="BEX25" s="352"/>
      <c r="BEY25" s="352"/>
      <c r="BEZ25" s="352"/>
      <c r="BFA25" s="352"/>
      <c r="BFB25" s="352"/>
      <c r="BFC25" s="352"/>
      <c r="BFD25" s="352"/>
      <c r="BFE25" s="352"/>
      <c r="BFF25" s="352"/>
      <c r="BFG25" s="352"/>
      <c r="BFH25" s="352"/>
      <c r="BFI25" s="352"/>
      <c r="BFJ25" s="352"/>
      <c r="BFK25" s="352"/>
      <c r="BFL25" s="352"/>
      <c r="BFM25" s="352"/>
      <c r="BFN25" s="352"/>
      <c r="BFO25" s="352"/>
      <c r="BFP25" s="352"/>
      <c r="BFQ25" s="352"/>
      <c r="BFR25" s="352"/>
      <c r="BFS25" s="352"/>
      <c r="BFT25" s="352"/>
      <c r="BFU25" s="352"/>
      <c r="BFV25" s="352"/>
      <c r="BFW25" s="352"/>
      <c r="BFX25" s="352"/>
      <c r="BFY25" s="352"/>
      <c r="BFZ25" s="352"/>
      <c r="BGA25" s="352"/>
      <c r="BGB25" s="352"/>
      <c r="BGC25" s="352"/>
      <c r="BGD25" s="352"/>
      <c r="BGE25" s="352"/>
      <c r="BGF25" s="352"/>
      <c r="BGG25" s="352"/>
      <c r="BGH25" s="352"/>
      <c r="BGI25" s="352"/>
      <c r="BGJ25" s="352"/>
      <c r="BGK25" s="352"/>
      <c r="BGL25" s="352"/>
      <c r="BGM25" s="352"/>
      <c r="BGN25" s="352"/>
      <c r="BGO25" s="352"/>
      <c r="BGP25" s="352"/>
      <c r="BGQ25" s="352"/>
      <c r="BGR25" s="352"/>
      <c r="BGS25" s="352"/>
      <c r="BGT25" s="352"/>
      <c r="BGU25" s="352"/>
      <c r="BGV25" s="352"/>
      <c r="BGW25" s="352"/>
      <c r="BGX25" s="352"/>
      <c r="BGY25" s="352"/>
      <c r="BGZ25" s="352"/>
      <c r="BHA25" s="352"/>
      <c r="BHB25" s="352"/>
      <c r="BHC25" s="352"/>
      <c r="BHD25" s="352"/>
      <c r="BHE25" s="352"/>
      <c r="BHF25" s="352"/>
      <c r="BHG25" s="352"/>
      <c r="BHH25" s="352"/>
      <c r="BHI25" s="352"/>
      <c r="BHJ25" s="352"/>
      <c r="BHK25" s="352"/>
      <c r="BHL25" s="352"/>
      <c r="BHM25" s="352"/>
      <c r="BHN25" s="352"/>
      <c r="BHO25" s="352"/>
      <c r="BHP25" s="352"/>
      <c r="BHQ25" s="352"/>
      <c r="BHR25" s="352"/>
      <c r="BHS25" s="352"/>
      <c r="BHT25" s="352"/>
      <c r="BHU25" s="352"/>
      <c r="BHV25" s="352"/>
      <c r="BHW25" s="352"/>
      <c r="BHX25" s="352"/>
      <c r="BHY25" s="352"/>
      <c r="BHZ25" s="352"/>
      <c r="BIA25" s="352"/>
      <c r="BIB25" s="352"/>
      <c r="BIC25" s="352"/>
      <c r="BID25" s="352"/>
      <c r="BIE25" s="352"/>
      <c r="BIF25" s="352"/>
      <c r="BIG25" s="352"/>
      <c r="BIH25" s="352"/>
      <c r="BII25" s="352"/>
      <c r="BIJ25" s="352"/>
      <c r="BIK25" s="352"/>
      <c r="BIL25" s="352"/>
      <c r="BIM25" s="352"/>
      <c r="BIN25" s="352"/>
      <c r="BIO25" s="352"/>
      <c r="BIP25" s="352"/>
      <c r="BIQ25" s="352"/>
      <c r="BIR25" s="352"/>
      <c r="BIS25" s="352"/>
      <c r="BIT25" s="352"/>
      <c r="BIU25" s="352"/>
      <c r="BIV25" s="352"/>
      <c r="BIW25" s="352"/>
      <c r="BIX25" s="352"/>
      <c r="BIY25" s="352"/>
      <c r="BIZ25" s="352"/>
      <c r="BJA25" s="352"/>
      <c r="BJB25" s="352"/>
      <c r="BJC25" s="352"/>
      <c r="BJD25" s="352"/>
      <c r="BJE25" s="352"/>
      <c r="BJF25" s="352"/>
      <c r="BJG25" s="352"/>
      <c r="BJH25" s="352"/>
      <c r="BJI25" s="352"/>
      <c r="BJJ25" s="352"/>
      <c r="BJK25" s="352"/>
      <c r="BJL25" s="352"/>
      <c r="BJM25" s="352"/>
      <c r="BJN25" s="352"/>
      <c r="BJO25" s="352"/>
      <c r="BJP25" s="352"/>
      <c r="BJQ25" s="352"/>
      <c r="BJR25" s="352"/>
      <c r="BJS25" s="352"/>
      <c r="BJT25" s="352"/>
      <c r="BJU25" s="352"/>
      <c r="BJV25" s="352"/>
      <c r="BJW25" s="352"/>
      <c r="BJX25" s="352"/>
      <c r="BJY25" s="352"/>
      <c r="BJZ25" s="352"/>
      <c r="BKA25" s="352"/>
      <c r="BKB25" s="352"/>
      <c r="BKC25" s="352"/>
      <c r="BKD25" s="352"/>
      <c r="BKE25" s="352"/>
      <c r="BKF25" s="352"/>
      <c r="BKG25" s="352"/>
      <c r="BKH25" s="352"/>
      <c r="BKI25" s="352"/>
      <c r="BKJ25" s="352"/>
      <c r="BKK25" s="352"/>
      <c r="BKL25" s="352"/>
      <c r="BKM25" s="352"/>
      <c r="BKN25" s="352"/>
      <c r="BKO25" s="352"/>
      <c r="BKP25" s="352"/>
      <c r="BKQ25" s="352"/>
      <c r="BKR25" s="352"/>
      <c r="BKS25" s="352"/>
      <c r="BKT25" s="352"/>
      <c r="BKU25" s="352"/>
      <c r="BKV25" s="352"/>
      <c r="BKW25" s="352"/>
      <c r="BKX25" s="352"/>
      <c r="BKY25" s="352"/>
      <c r="BKZ25" s="352"/>
      <c r="BLA25" s="352"/>
      <c r="BLB25" s="352"/>
      <c r="BLC25" s="352"/>
      <c r="BLD25" s="352"/>
      <c r="BLE25" s="352"/>
      <c r="BLF25" s="352"/>
      <c r="BLG25" s="352"/>
      <c r="BLH25" s="352"/>
      <c r="BLI25" s="352"/>
      <c r="BLJ25" s="352"/>
      <c r="BLK25" s="352"/>
      <c r="BLL25" s="352"/>
      <c r="BLM25" s="352"/>
      <c r="BLN25" s="352"/>
      <c r="BLO25" s="352"/>
      <c r="BLP25" s="352"/>
      <c r="BLQ25" s="352"/>
      <c r="BLR25" s="352"/>
      <c r="BLS25" s="352"/>
      <c r="BLT25" s="352"/>
      <c r="BLU25" s="352"/>
      <c r="BLV25" s="352"/>
      <c r="BLW25" s="352"/>
      <c r="BLX25" s="352"/>
      <c r="BLY25" s="352"/>
      <c r="BLZ25" s="352"/>
      <c r="BMA25" s="352"/>
      <c r="BMB25" s="352"/>
      <c r="BMC25" s="352"/>
      <c r="BMD25" s="352"/>
      <c r="BME25" s="352"/>
      <c r="BMF25" s="352"/>
      <c r="BMG25" s="352"/>
      <c r="BMH25" s="352"/>
      <c r="BMI25" s="352"/>
      <c r="BMJ25" s="352"/>
      <c r="BMK25" s="352"/>
      <c r="BML25" s="352"/>
      <c r="BMM25" s="352"/>
      <c r="BMN25" s="352"/>
      <c r="BMO25" s="352"/>
      <c r="BMP25" s="352"/>
      <c r="BMQ25" s="352"/>
      <c r="BMR25" s="352"/>
      <c r="BMS25" s="352"/>
      <c r="BMT25" s="352"/>
      <c r="BMU25" s="352"/>
      <c r="BMV25" s="352"/>
      <c r="BMW25" s="352"/>
      <c r="BMX25" s="352"/>
      <c r="BMY25" s="352"/>
      <c r="BMZ25" s="352"/>
      <c r="BNA25" s="352"/>
      <c r="BNB25" s="352"/>
      <c r="BNC25" s="352"/>
      <c r="BND25" s="352"/>
      <c r="BNE25" s="352"/>
      <c r="BNF25" s="352"/>
      <c r="BNG25" s="352"/>
      <c r="BNH25" s="352"/>
      <c r="BNI25" s="352"/>
      <c r="BNJ25" s="352"/>
      <c r="BNK25" s="352"/>
      <c r="BNL25" s="352"/>
      <c r="BNM25" s="352"/>
      <c r="BNN25" s="352"/>
      <c r="BNO25" s="352"/>
      <c r="BNP25" s="352"/>
      <c r="BNQ25" s="352"/>
      <c r="BNR25" s="352"/>
      <c r="BNS25" s="352"/>
      <c r="BNT25" s="352"/>
      <c r="BNU25" s="352"/>
      <c r="BNV25" s="352"/>
      <c r="BNW25" s="352"/>
      <c r="BNX25" s="352"/>
      <c r="BNY25" s="352"/>
      <c r="BNZ25" s="352"/>
      <c r="BOA25" s="352"/>
      <c r="BOB25" s="352"/>
      <c r="BOC25" s="352"/>
      <c r="BOD25" s="352"/>
      <c r="BOE25" s="352"/>
      <c r="BOF25" s="352"/>
      <c r="BOG25" s="352"/>
      <c r="BOH25" s="352"/>
      <c r="BOI25" s="352"/>
      <c r="BOJ25" s="352"/>
      <c r="BOK25" s="352"/>
      <c r="BOL25" s="352"/>
      <c r="BOM25" s="352"/>
      <c r="BON25" s="352"/>
      <c r="BOO25" s="352"/>
      <c r="BOP25" s="352"/>
      <c r="BOQ25" s="352"/>
      <c r="BOR25" s="352"/>
      <c r="BOS25" s="352"/>
      <c r="BOT25" s="352"/>
      <c r="BOU25" s="352"/>
      <c r="BOV25" s="352"/>
      <c r="BOW25" s="352"/>
      <c r="BOX25" s="352"/>
      <c r="BOY25" s="352"/>
      <c r="BOZ25" s="352"/>
      <c r="BPA25" s="352"/>
      <c r="BPB25" s="352"/>
      <c r="BPC25" s="352"/>
      <c r="BPD25" s="352"/>
      <c r="BPE25" s="352"/>
      <c r="BPF25" s="352"/>
      <c r="BPG25" s="352"/>
      <c r="BPH25" s="352"/>
      <c r="BPI25" s="352"/>
      <c r="BPJ25" s="352"/>
      <c r="BPK25" s="352"/>
      <c r="BPL25" s="352"/>
      <c r="BPM25" s="352"/>
      <c r="BPN25" s="352"/>
      <c r="BPO25" s="352"/>
      <c r="BPP25" s="352"/>
      <c r="BPQ25" s="352"/>
      <c r="BPR25" s="352"/>
      <c r="BPS25" s="352"/>
      <c r="BPT25" s="352"/>
      <c r="BPU25" s="352"/>
      <c r="BPV25" s="352"/>
      <c r="BPW25" s="352"/>
      <c r="BPX25" s="352"/>
      <c r="BPY25" s="352"/>
      <c r="BPZ25" s="352"/>
      <c r="BQA25" s="352"/>
      <c r="BQB25" s="352"/>
      <c r="BQC25" s="352"/>
      <c r="BQD25" s="352"/>
      <c r="BQE25" s="352"/>
      <c r="BQF25" s="352"/>
      <c r="BQG25" s="352"/>
      <c r="BQH25" s="352"/>
      <c r="BQI25" s="352"/>
      <c r="BQJ25" s="352"/>
      <c r="BQK25" s="352"/>
      <c r="BQL25" s="352"/>
      <c r="BQM25" s="352"/>
      <c r="BQN25" s="352"/>
      <c r="BQO25" s="352"/>
      <c r="BQP25" s="352"/>
      <c r="BQQ25" s="352"/>
      <c r="BQR25" s="352"/>
      <c r="BQS25" s="352"/>
      <c r="BQT25" s="352"/>
      <c r="BQU25" s="352"/>
      <c r="BQV25" s="352"/>
      <c r="BQW25" s="352"/>
      <c r="BQX25" s="352"/>
      <c r="BQY25" s="352"/>
      <c r="BQZ25" s="352"/>
      <c r="BRA25" s="352"/>
      <c r="BRB25" s="352"/>
      <c r="BRC25" s="352"/>
      <c r="BRD25" s="352"/>
      <c r="BRE25" s="352"/>
      <c r="BRF25" s="352"/>
      <c r="BRG25" s="352"/>
      <c r="BRH25" s="352"/>
      <c r="BRI25" s="352"/>
      <c r="BRJ25" s="352"/>
      <c r="BRK25" s="352"/>
      <c r="BRL25" s="352"/>
      <c r="BRM25" s="352"/>
      <c r="BRN25" s="352"/>
      <c r="BRO25" s="352"/>
      <c r="BRP25" s="352"/>
      <c r="BRQ25" s="352"/>
      <c r="BRR25" s="352"/>
      <c r="BRS25" s="352"/>
      <c r="BRT25" s="352"/>
      <c r="BRU25" s="352"/>
      <c r="BRV25" s="352"/>
      <c r="BRW25" s="352"/>
      <c r="BRX25" s="352"/>
      <c r="BRY25" s="352"/>
      <c r="BRZ25" s="352"/>
    </row>
    <row r="26" spans="1:1846" ht="36.75" customHeight="1" thickBot="1" x14ac:dyDescent="0.3">
      <c r="A26" s="139" t="s">
        <v>205</v>
      </c>
      <c r="B26" s="140" t="s">
        <v>212</v>
      </c>
      <c r="C26" s="149">
        <v>13.32</v>
      </c>
      <c r="D26" s="204"/>
      <c r="E26" s="204"/>
      <c r="F26" s="167">
        <v>43</v>
      </c>
      <c r="G26" s="151">
        <f t="shared" si="19"/>
        <v>572.76</v>
      </c>
      <c r="H26" s="154"/>
      <c r="I26" s="167"/>
      <c r="J26" s="151"/>
      <c r="K26" s="167">
        <v>42</v>
      </c>
      <c r="L26" s="151">
        <f t="shared" si="20"/>
        <v>559.44000000000005</v>
      </c>
      <c r="M26" s="232"/>
      <c r="N26" s="232"/>
      <c r="O26" s="232"/>
      <c r="P26" s="167">
        <v>29</v>
      </c>
      <c r="Q26" s="151">
        <f t="shared" si="14"/>
        <v>386.28000000000003</v>
      </c>
      <c r="R26" s="153"/>
      <c r="S26" s="167">
        <v>17</v>
      </c>
      <c r="T26" s="151">
        <f t="shared" si="15"/>
        <v>226.44</v>
      </c>
      <c r="U26" s="232"/>
      <c r="V26" s="167"/>
      <c r="W26" s="151"/>
      <c r="X26" s="167">
        <v>22</v>
      </c>
      <c r="Y26" s="151">
        <f t="shared" si="16"/>
        <v>293.04000000000002</v>
      </c>
      <c r="Z26" s="170"/>
      <c r="AA26" s="151"/>
      <c r="AB26" s="167">
        <v>6</v>
      </c>
      <c r="AC26" s="151">
        <f t="shared" si="17"/>
        <v>79.92</v>
      </c>
      <c r="AD26" s="170">
        <v>165</v>
      </c>
      <c r="AE26" s="151">
        <f t="shared" si="18"/>
        <v>2197.8000000000002</v>
      </c>
      <c r="AF26" s="296">
        <f t="shared" si="7"/>
        <v>165</v>
      </c>
      <c r="AG26" s="200">
        <f t="shared" si="21"/>
        <v>2197.8000000000002</v>
      </c>
      <c r="AH26" s="230"/>
      <c r="AI26" s="153"/>
      <c r="AJ26" s="347">
        <f t="shared" si="22"/>
        <v>165</v>
      </c>
      <c r="AK26" s="348">
        <f>AG26</f>
        <v>2197.8000000000002</v>
      </c>
      <c r="AL26" s="349">
        <f t="shared" si="12"/>
        <v>22</v>
      </c>
      <c r="AM26" s="348">
        <f>AL26*C26</f>
        <v>293.04000000000002</v>
      </c>
      <c r="AN26" s="349">
        <f t="shared" si="13"/>
        <v>29</v>
      </c>
      <c r="AO26" s="350">
        <f>C26*AN26</f>
        <v>386.28000000000003</v>
      </c>
      <c r="AP26" s="349">
        <f t="shared" si="2"/>
        <v>29</v>
      </c>
      <c r="AQ26" s="362">
        <f t="shared" si="3"/>
        <v>386.28000000000003</v>
      </c>
      <c r="AR26" s="356">
        <f t="shared" si="0"/>
        <v>0</v>
      </c>
    </row>
    <row r="27" spans="1:1846" ht="42" customHeight="1" x14ac:dyDescent="0.25">
      <c r="A27" s="139">
        <v>60046</v>
      </c>
      <c r="B27" s="140" t="s">
        <v>213</v>
      </c>
      <c r="C27" s="155">
        <v>1.49</v>
      </c>
      <c r="D27" s="205"/>
      <c r="E27" s="205"/>
      <c r="F27" s="150">
        <v>471</v>
      </c>
      <c r="G27" s="151">
        <f>C27*F27</f>
        <v>701.79</v>
      </c>
      <c r="H27" s="154"/>
      <c r="I27" s="150"/>
      <c r="J27" s="151"/>
      <c r="K27" s="150">
        <v>483</v>
      </c>
      <c r="L27" s="151">
        <f t="shared" si="20"/>
        <v>719.67</v>
      </c>
      <c r="M27" s="232"/>
      <c r="N27" s="232"/>
      <c r="O27" s="232"/>
      <c r="P27" s="150">
        <v>574</v>
      </c>
      <c r="Q27" s="151">
        <f t="shared" si="14"/>
        <v>855.26</v>
      </c>
      <c r="R27" s="153">
        <v>1.5</v>
      </c>
      <c r="S27" s="150">
        <v>479</v>
      </c>
      <c r="T27" s="151">
        <f>R27*S27</f>
        <v>718.5</v>
      </c>
      <c r="U27" s="232"/>
      <c r="V27" s="150">
        <v>5</v>
      </c>
      <c r="W27" s="151">
        <v>93</v>
      </c>
      <c r="X27" s="150">
        <v>371</v>
      </c>
      <c r="Y27" s="151">
        <f>(V27*C27)+((W27+X27)*R27)</f>
        <v>703.45</v>
      </c>
      <c r="Z27" s="169">
        <v>1</v>
      </c>
      <c r="AA27" s="151">
        <v>81</v>
      </c>
      <c r="AB27" s="150">
        <v>336</v>
      </c>
      <c r="AC27" s="151">
        <f>(AB27*R27)+(Z27*C27)+(AA27*R27)</f>
        <v>626.99</v>
      </c>
      <c r="AD27" s="169"/>
      <c r="AE27" s="151"/>
      <c r="AF27" s="296">
        <f t="shared" si="7"/>
        <v>0</v>
      </c>
      <c r="AG27" s="200">
        <f t="shared" si="21"/>
        <v>0</v>
      </c>
      <c r="AH27" s="230"/>
      <c r="AI27" s="153"/>
      <c r="AJ27" s="347">
        <f t="shared" si="22"/>
        <v>0</v>
      </c>
      <c r="AK27" s="348">
        <f>AG27</f>
        <v>0</v>
      </c>
      <c r="AL27" s="349">
        <f t="shared" si="12"/>
        <v>371</v>
      </c>
      <c r="AM27" s="348">
        <f>AL27*C27</f>
        <v>552.79</v>
      </c>
      <c r="AN27" s="349">
        <f t="shared" si="13"/>
        <v>574</v>
      </c>
      <c r="AO27" s="350">
        <f>R27*AN27</f>
        <v>861</v>
      </c>
      <c r="AP27" s="349">
        <f t="shared" si="2"/>
        <v>574</v>
      </c>
      <c r="AQ27" s="350">
        <f t="shared" si="3"/>
        <v>861</v>
      </c>
      <c r="AR27" s="354">
        <f t="shared" si="0"/>
        <v>0</v>
      </c>
    </row>
    <row r="28" spans="1:1846" ht="30" customHeight="1" x14ac:dyDescent="0.25">
      <c r="A28" s="139">
        <v>47268</v>
      </c>
      <c r="B28" s="140" t="s">
        <v>197</v>
      </c>
      <c r="C28" s="155">
        <v>14.04</v>
      </c>
      <c r="D28" s="205"/>
      <c r="E28" s="205">
        <v>11232</v>
      </c>
      <c r="F28" s="150">
        <v>2218</v>
      </c>
      <c r="G28" s="151">
        <f t="shared" ref="G28" si="23">C28*F28</f>
        <v>31140.719999999998</v>
      </c>
      <c r="H28" s="154"/>
      <c r="I28" s="150"/>
      <c r="J28" s="151"/>
      <c r="K28" s="150">
        <v>4055</v>
      </c>
      <c r="L28" s="151">
        <f t="shared" si="20"/>
        <v>56932.2</v>
      </c>
      <c r="M28" s="232">
        <v>2000</v>
      </c>
      <c r="N28" s="232">
        <v>2000</v>
      </c>
      <c r="O28" s="232">
        <v>28080</v>
      </c>
      <c r="P28" s="150">
        <v>6357</v>
      </c>
      <c r="Q28" s="151">
        <f t="shared" si="14"/>
        <v>89252.28</v>
      </c>
      <c r="R28" s="153">
        <v>9.36</v>
      </c>
      <c r="S28" s="150">
        <v>4289</v>
      </c>
      <c r="T28" s="151">
        <f>R28*S28</f>
        <v>40145.040000000001</v>
      </c>
      <c r="U28" s="232">
        <v>28080</v>
      </c>
      <c r="V28" s="150">
        <v>158</v>
      </c>
      <c r="W28" s="151">
        <v>5359</v>
      </c>
      <c r="X28" s="150"/>
      <c r="Y28" s="151">
        <f>(V28*C28)+(W28*R28)</f>
        <v>52378.559999999998</v>
      </c>
      <c r="Z28" s="169">
        <v>136</v>
      </c>
      <c r="AA28" s="151">
        <v>1318</v>
      </c>
      <c r="AB28" s="150">
        <f>23+225+107+21+718+3886</f>
        <v>4980</v>
      </c>
      <c r="AC28" s="151">
        <f>(AB28*R28)+(Z28*C28)+(AA28*R28)</f>
        <v>60858.720000000001</v>
      </c>
      <c r="AD28" s="169">
        <f>25+2285+1381+73+3904+704</f>
        <v>8372</v>
      </c>
      <c r="AE28" s="151">
        <f>AD28*R28</f>
        <v>78361.919999999998</v>
      </c>
      <c r="AF28" s="296">
        <f t="shared" si="7"/>
        <v>8372</v>
      </c>
      <c r="AG28" s="200">
        <f>AF28*R28</f>
        <v>78361.919999999998</v>
      </c>
      <c r="AH28" s="230">
        <v>16848</v>
      </c>
      <c r="AI28" s="153"/>
      <c r="AJ28" s="347">
        <f t="shared" si="22"/>
        <v>8372</v>
      </c>
      <c r="AK28" s="348">
        <f>AG28</f>
        <v>78361.919999999998</v>
      </c>
      <c r="AL28" s="349">
        <f t="shared" si="12"/>
        <v>0</v>
      </c>
      <c r="AM28" s="348">
        <f>AL28*C28</f>
        <v>0</v>
      </c>
      <c r="AN28" s="349">
        <f t="shared" si="13"/>
        <v>6357</v>
      </c>
      <c r="AO28" s="350">
        <f>R28*AN28</f>
        <v>59501.52</v>
      </c>
      <c r="AP28" s="349">
        <f t="shared" si="2"/>
        <v>6357</v>
      </c>
      <c r="AQ28" s="350">
        <f t="shared" si="3"/>
        <v>59501.52</v>
      </c>
      <c r="AR28" s="295">
        <f t="shared" si="0"/>
        <v>84240</v>
      </c>
      <c r="AT28" s="95" t="s">
        <v>299</v>
      </c>
      <c r="AY28" s="396" t="s">
        <v>298</v>
      </c>
      <c r="AZ28" s="396"/>
      <c r="BA28" s="396"/>
      <c r="BB28" s="396"/>
    </row>
    <row r="29" spans="1:1846" ht="34.5" customHeight="1" x14ac:dyDescent="0.25">
      <c r="A29" s="139">
        <v>47328</v>
      </c>
      <c r="B29" s="140" t="s">
        <v>14</v>
      </c>
      <c r="C29" s="156"/>
      <c r="D29" s="206"/>
      <c r="E29" s="206"/>
      <c r="F29" s="157"/>
      <c r="G29" s="158"/>
      <c r="H29" s="154"/>
      <c r="I29" s="157"/>
      <c r="J29" s="158"/>
      <c r="K29" s="157"/>
      <c r="L29" s="158"/>
      <c r="M29" s="233"/>
      <c r="N29" s="233"/>
      <c r="O29" s="233"/>
      <c r="P29" s="157"/>
      <c r="Q29" s="158"/>
      <c r="R29" s="153">
        <v>3.67</v>
      </c>
      <c r="S29" s="157">
        <v>5</v>
      </c>
      <c r="T29" s="158">
        <f>R29*S29</f>
        <v>18.350000000000001</v>
      </c>
      <c r="U29" s="233"/>
      <c r="V29" s="157"/>
      <c r="W29" s="158">
        <v>5</v>
      </c>
      <c r="X29" s="157">
        <v>4</v>
      </c>
      <c r="Y29" s="158">
        <f>(W29+X29)*R29</f>
        <v>33.03</v>
      </c>
      <c r="Z29" s="171"/>
      <c r="AA29" s="158">
        <v>2</v>
      </c>
      <c r="AB29" s="157">
        <v>288</v>
      </c>
      <c r="AC29" s="158">
        <f>(AB29*R29)+(AA29*R29)</f>
        <v>1064.3</v>
      </c>
      <c r="AD29" s="171"/>
      <c r="AE29" s="158"/>
      <c r="AF29" s="296">
        <f t="shared" si="7"/>
        <v>0</v>
      </c>
      <c r="AG29" s="200">
        <f>AF29*R29</f>
        <v>0</v>
      </c>
      <c r="AH29" s="230"/>
      <c r="AI29" s="153"/>
      <c r="AJ29" s="347">
        <f t="shared" si="22"/>
        <v>0</v>
      </c>
      <c r="AK29" s="348">
        <f>AG29</f>
        <v>0</v>
      </c>
      <c r="AL29" s="349">
        <f t="shared" si="12"/>
        <v>4</v>
      </c>
      <c r="AM29" s="348">
        <f>AL29*R29</f>
        <v>14.68</v>
      </c>
      <c r="AN29" s="349">
        <f t="shared" si="13"/>
        <v>0</v>
      </c>
      <c r="AO29" s="350">
        <f>R29*AN29</f>
        <v>0</v>
      </c>
      <c r="AP29" s="349">
        <f t="shared" si="2"/>
        <v>0</v>
      </c>
      <c r="AQ29" s="350">
        <f t="shared" si="3"/>
        <v>0</v>
      </c>
      <c r="AR29" s="295">
        <f t="shared" si="0"/>
        <v>0</v>
      </c>
      <c r="AY29" s="396"/>
      <c r="AZ29" s="396"/>
      <c r="BA29" s="396"/>
      <c r="BB29" s="396"/>
    </row>
    <row r="30" spans="1:1846" s="138" customFormat="1" ht="50.25" customHeight="1" x14ac:dyDescent="0.25">
      <c r="A30" s="139">
        <v>47269</v>
      </c>
      <c r="B30" s="140" t="s">
        <v>9</v>
      </c>
      <c r="C30" s="159">
        <v>12.2</v>
      </c>
      <c r="D30" s="207"/>
      <c r="E30" s="207">
        <v>9760</v>
      </c>
      <c r="F30" s="160"/>
      <c r="G30" s="161"/>
      <c r="H30" s="162"/>
      <c r="I30" s="160"/>
      <c r="J30" s="161"/>
      <c r="K30" s="160">
        <v>97</v>
      </c>
      <c r="L30" s="161">
        <f t="shared" si="20"/>
        <v>1183.3999999999999</v>
      </c>
      <c r="M30" s="234">
        <v>2000</v>
      </c>
      <c r="N30" s="234">
        <v>2000</v>
      </c>
      <c r="O30" s="234">
        <v>24400.000000000004</v>
      </c>
      <c r="P30" s="160">
        <f>30+225</f>
        <v>255</v>
      </c>
      <c r="Q30" s="161">
        <f t="shared" si="14"/>
        <v>3111</v>
      </c>
      <c r="R30" s="163"/>
      <c r="S30" s="160">
        <f>18+289</f>
        <v>307</v>
      </c>
      <c r="T30" s="161">
        <f>C30*S30</f>
        <v>3745.3999999999996</v>
      </c>
      <c r="U30" s="234">
        <v>24400.000000000004</v>
      </c>
      <c r="V30" s="160">
        <v>2</v>
      </c>
      <c r="W30" s="161">
        <v>596</v>
      </c>
      <c r="X30" s="160">
        <v>118</v>
      </c>
      <c r="Y30" s="161">
        <f>(X30*C30)+(V30*C30)+(W30*C30)</f>
        <v>8735.2000000000007</v>
      </c>
      <c r="Z30" s="172"/>
      <c r="AA30" s="161">
        <v>48</v>
      </c>
      <c r="AB30" s="160">
        <f>88+184</f>
        <v>272</v>
      </c>
      <c r="AC30" s="161">
        <f>(AB30*C30)+(AA30*C30)</f>
        <v>3903.9999999999995</v>
      </c>
      <c r="AD30" s="172"/>
      <c r="AE30" s="161"/>
      <c r="AF30" s="296">
        <f t="shared" si="7"/>
        <v>0</v>
      </c>
      <c r="AG30" s="200">
        <f>AF30*R30</f>
        <v>0</v>
      </c>
      <c r="AH30" s="230">
        <v>14640.000000000002</v>
      </c>
      <c r="AI30" s="163"/>
      <c r="AJ30" s="347">
        <f t="shared" si="22"/>
        <v>0</v>
      </c>
      <c r="AK30" s="348">
        <f>AG30</f>
        <v>0</v>
      </c>
      <c r="AL30" s="349">
        <f t="shared" si="12"/>
        <v>118</v>
      </c>
      <c r="AM30" s="348">
        <f>AL30*C30</f>
        <v>1439.6</v>
      </c>
      <c r="AN30" s="349">
        <f t="shared" si="13"/>
        <v>255</v>
      </c>
      <c r="AO30" s="350">
        <f>C30*AN30</f>
        <v>3111</v>
      </c>
      <c r="AP30" s="349">
        <f t="shared" si="2"/>
        <v>255</v>
      </c>
      <c r="AQ30" s="350">
        <f t="shared" si="3"/>
        <v>3111</v>
      </c>
      <c r="AR30" s="295">
        <f t="shared" si="0"/>
        <v>73200</v>
      </c>
      <c r="AY30" s="396"/>
      <c r="AZ30" s="396"/>
      <c r="BA30" s="396"/>
      <c r="BB30" s="396"/>
    </row>
    <row r="31" spans="1:1846" ht="24" customHeight="1" thickBot="1" x14ac:dyDescent="0.35">
      <c r="A31" s="139">
        <v>60173</v>
      </c>
      <c r="B31" s="140" t="s">
        <v>19</v>
      </c>
      <c r="C31" s="164">
        <v>3.7</v>
      </c>
      <c r="D31" s="208"/>
      <c r="E31" s="208"/>
      <c r="F31" s="157">
        <v>64107</v>
      </c>
      <c r="G31" s="158">
        <f>C31*F31</f>
        <v>237195.90000000002</v>
      </c>
      <c r="H31" s="165">
        <v>3.7</v>
      </c>
      <c r="I31" s="157">
        <f>42713</f>
        <v>42713</v>
      </c>
      <c r="J31" s="158">
        <f>3660</f>
        <v>3660</v>
      </c>
      <c r="K31" s="157"/>
      <c r="L31" s="158">
        <f>(C31*I31)+(H31*J31)</f>
        <v>171580.1</v>
      </c>
      <c r="M31" s="233"/>
      <c r="N31" s="233"/>
      <c r="O31" s="233"/>
      <c r="P31" s="157">
        <v>11932</v>
      </c>
      <c r="Q31" s="158">
        <f t="shared" si="14"/>
        <v>44148.4</v>
      </c>
      <c r="R31" s="166"/>
      <c r="S31" s="157">
        <v>3068</v>
      </c>
      <c r="T31" s="158">
        <f>S31*C31</f>
        <v>11351.6</v>
      </c>
      <c r="U31" s="233"/>
      <c r="V31" s="157"/>
      <c r="W31" s="158"/>
      <c r="X31" s="157">
        <f>22+3288</f>
        <v>3310</v>
      </c>
      <c r="Y31" s="158">
        <f>X31*H31</f>
        <v>12247</v>
      </c>
      <c r="Z31" s="171"/>
      <c r="AA31" s="158"/>
      <c r="AB31" s="157">
        <f>1504</f>
        <v>1504</v>
      </c>
      <c r="AC31" s="158">
        <f>(AB31*H31)</f>
        <v>5564.8</v>
      </c>
      <c r="AD31" s="171">
        <f>1292+27</f>
        <v>1319</v>
      </c>
      <c r="AE31" s="158">
        <f>AD31*H31</f>
        <v>4880.3</v>
      </c>
      <c r="AF31" s="296">
        <f t="shared" si="7"/>
        <v>1319</v>
      </c>
      <c r="AG31" s="200">
        <f>AF31*H31</f>
        <v>4880.3</v>
      </c>
      <c r="AH31" s="230"/>
      <c r="AI31" s="166"/>
      <c r="AJ31" s="347">
        <f>(AF31)+(AF31/2)</f>
        <v>1978.5</v>
      </c>
      <c r="AK31" s="348">
        <f>AJ31*H31</f>
        <v>7320.4500000000007</v>
      </c>
      <c r="AL31" s="349">
        <f>X31*2</f>
        <v>6620</v>
      </c>
      <c r="AM31" s="348">
        <f>AL31*H31</f>
        <v>24494</v>
      </c>
      <c r="AN31" s="349">
        <f>P31*2</f>
        <v>23864</v>
      </c>
      <c r="AO31" s="350">
        <f>H31*AN31</f>
        <v>88296.8</v>
      </c>
      <c r="AP31" s="349">
        <f t="shared" si="2"/>
        <v>23864</v>
      </c>
      <c r="AQ31" s="350">
        <f t="shared" si="3"/>
        <v>88296.8</v>
      </c>
      <c r="AR31" s="295">
        <f t="shared" si="0"/>
        <v>0</v>
      </c>
      <c r="AT31" s="429"/>
      <c r="AU31" s="429"/>
      <c r="AV31" s="429"/>
      <c r="AW31" s="429"/>
      <c r="AX31" s="430"/>
      <c r="BA31" s="299"/>
      <c r="BB31" s="299"/>
    </row>
    <row r="32" spans="1:1846" ht="19.5" customHeight="1" x14ac:dyDescent="0.3">
      <c r="B32" s="96"/>
      <c r="C32" s="256"/>
      <c r="D32" s="257">
        <f>SUM(D4:D31)</f>
        <v>18122</v>
      </c>
      <c r="E32" s="257">
        <f>SUM(E4:E31)</f>
        <v>18591064.885703281</v>
      </c>
      <c r="F32" s="258">
        <f>SUM(F4:F31)</f>
        <v>748544</v>
      </c>
      <c r="G32" s="259">
        <f>ROUNDUP(SUM(G4:G31),)</f>
        <v>10275068</v>
      </c>
      <c r="H32" s="260"/>
      <c r="I32" s="258">
        <f t="shared" ref="I32:Q32" si="24">ROUNDUP(SUM(I4:I31),)</f>
        <v>479156</v>
      </c>
      <c r="J32" s="259">
        <f t="shared" si="24"/>
        <v>143228</v>
      </c>
      <c r="K32" s="258">
        <f t="shared" si="24"/>
        <v>583198</v>
      </c>
      <c r="L32" s="259">
        <f t="shared" si="24"/>
        <v>8429309</v>
      </c>
      <c r="M32" s="261">
        <f>SUM(M4:M31)</f>
        <v>31898.049464032028</v>
      </c>
      <c r="N32" s="261">
        <f>SUM(N4:N31)</f>
        <v>30288</v>
      </c>
      <c r="O32" s="261">
        <f>SUM(O4:O31)</f>
        <v>22751130.220000006</v>
      </c>
      <c r="P32" s="258">
        <f t="shared" si="24"/>
        <v>824039</v>
      </c>
      <c r="Q32" s="259">
        <f t="shared" si="24"/>
        <v>9197996</v>
      </c>
      <c r="R32" s="262"/>
      <c r="S32" s="258">
        <f>ROUNDUP(SUM(S4:S31),)</f>
        <v>786196</v>
      </c>
      <c r="T32" s="259">
        <f t="shared" ref="T32:AE32" si="25">SUM(T4:T31)</f>
        <v>8151587.1500000022</v>
      </c>
      <c r="U32" s="261">
        <f>SUM(U4:U31)</f>
        <v>22937184.73</v>
      </c>
      <c r="V32" s="258">
        <f t="shared" si="25"/>
        <v>179</v>
      </c>
      <c r="W32" s="259">
        <f t="shared" si="25"/>
        <v>7416</v>
      </c>
      <c r="X32" s="258">
        <f t="shared" si="25"/>
        <v>688945</v>
      </c>
      <c r="Y32" s="259">
        <f t="shared" si="25"/>
        <v>7354653.4300000006</v>
      </c>
      <c r="Z32" s="263">
        <f t="shared" si="25"/>
        <v>140</v>
      </c>
      <c r="AA32" s="259">
        <f t="shared" si="25"/>
        <v>1827</v>
      </c>
      <c r="AB32" s="258">
        <f t="shared" si="25"/>
        <v>389774</v>
      </c>
      <c r="AC32" s="259">
        <f t="shared" si="25"/>
        <v>4284227.6900000004</v>
      </c>
      <c r="AD32" s="263">
        <f t="shared" si="25"/>
        <v>373725</v>
      </c>
      <c r="AE32" s="259">
        <f t="shared" si="25"/>
        <v>3920925.06</v>
      </c>
      <c r="AF32" s="263">
        <f t="shared" ref="AF32:AN32" si="26">SUM(AF4:AF31)</f>
        <v>754619</v>
      </c>
      <c r="AG32" s="259">
        <f>SUM(AG4:AG31)</f>
        <v>6214908.4699999979</v>
      </c>
      <c r="AH32" s="264">
        <f t="shared" si="26"/>
        <v>15163921.480000002</v>
      </c>
      <c r="AI32" s="259"/>
      <c r="AJ32" s="364">
        <f t="shared" si="26"/>
        <v>476811.5</v>
      </c>
      <c r="AK32" s="365">
        <f>SUM(AK4:AK31)</f>
        <v>5565135.2149999989</v>
      </c>
      <c r="AL32" s="364">
        <f t="shared" si="26"/>
        <v>592588.19999999995</v>
      </c>
      <c r="AM32" s="365">
        <f>SUM(AM4:AM31)</f>
        <v>7610085.1559999986</v>
      </c>
      <c r="AN32" s="364">
        <f t="shared" si="26"/>
        <v>705999.2</v>
      </c>
      <c r="AO32" s="365">
        <f>SUM(AO4:AO31)</f>
        <v>9473655.9859999996</v>
      </c>
      <c r="AP32" s="365">
        <f>SUM(AP4:AP31)</f>
        <v>705999.2</v>
      </c>
      <c r="AQ32" s="365">
        <f>SUM(AQ4:AQ31)</f>
        <v>9473655.9859999996</v>
      </c>
      <c r="AR32" s="265">
        <f>SUM(AR4:AR31)</f>
        <v>79443301.315703288</v>
      </c>
      <c r="AT32" s="429"/>
      <c r="AU32" s="429"/>
      <c r="AV32" s="429"/>
      <c r="AW32" s="429"/>
      <c r="AX32" s="431"/>
      <c r="AY32" s="432"/>
    </row>
    <row r="33" spans="1:51" ht="19.5" customHeight="1" x14ac:dyDescent="0.3">
      <c r="A33" s="279"/>
      <c r="B33" s="280"/>
      <c r="C33" s="281"/>
      <c r="D33" s="281"/>
      <c r="E33" s="281"/>
      <c r="F33" s="282"/>
      <c r="G33" s="283"/>
      <c r="H33" s="284"/>
      <c r="I33" s="282"/>
      <c r="J33" s="283"/>
      <c r="K33" s="282"/>
      <c r="L33" s="283"/>
      <c r="M33" s="283"/>
      <c r="N33" s="283"/>
      <c r="O33" s="283"/>
      <c r="P33" s="282"/>
      <c r="Q33" s="283"/>
      <c r="R33" s="283"/>
      <c r="S33" s="282"/>
      <c r="T33" s="283"/>
      <c r="U33" s="283"/>
      <c r="V33" s="282"/>
      <c r="W33" s="283"/>
      <c r="X33" s="282"/>
      <c r="Y33" s="283"/>
      <c r="Z33" s="285"/>
      <c r="AA33" s="283"/>
      <c r="AB33" s="282"/>
      <c r="AC33" s="283"/>
      <c r="AD33" s="285"/>
      <c r="AE33" s="283"/>
      <c r="AF33" s="285"/>
      <c r="AG33" s="283"/>
      <c r="AH33" s="284"/>
      <c r="AI33" s="284"/>
      <c r="AJ33" s="286"/>
      <c r="AK33" s="287"/>
      <c r="AL33" s="286"/>
      <c r="AM33" s="287"/>
      <c r="AN33" s="286"/>
      <c r="AO33" s="398" t="s">
        <v>287</v>
      </c>
      <c r="AP33" s="398"/>
      <c r="AQ33" s="398"/>
      <c r="AR33" s="288">
        <f>AR32-G32-L32-Y32-Q32-T32-AC32-AE32-AG32</f>
        <v>21614626.515703291</v>
      </c>
      <c r="AT33" s="397" t="s">
        <v>296</v>
      </c>
      <c r="AU33" s="397"/>
      <c r="AV33" s="397"/>
      <c r="AW33" s="397"/>
      <c r="AX33" s="291"/>
      <c r="AY33" s="294"/>
    </row>
    <row r="34" spans="1:51" ht="18.75" x14ac:dyDescent="0.3">
      <c r="A34" s="373" t="s">
        <v>81</v>
      </c>
      <c r="B34" s="374"/>
      <c r="C34" s="136"/>
      <c r="D34" s="136"/>
      <c r="E34" s="136"/>
      <c r="F34" s="266">
        <f>F4+F8+F9+F11+F31</f>
        <v>548955</v>
      </c>
      <c r="G34" s="266">
        <f>G4+G8+G9+G11+G31</f>
        <v>8756566.9199999999</v>
      </c>
      <c r="H34" s="136"/>
      <c r="I34" s="266"/>
      <c r="J34" s="266"/>
      <c r="K34" s="266">
        <f>K4+K8+K9+K11+K31</f>
        <v>387501</v>
      </c>
      <c r="L34" s="266">
        <f>L4+L8+L9+L11+L31</f>
        <v>6968003.4900000002</v>
      </c>
      <c r="M34" s="136"/>
      <c r="N34" s="136"/>
      <c r="O34" s="136"/>
      <c r="P34" s="266">
        <f>P4+P8+P9+P11+P31</f>
        <v>401737</v>
      </c>
      <c r="Q34" s="266">
        <f>Q4+Q8+Q9+Q11+Q31</f>
        <v>6141812.2600000007</v>
      </c>
      <c r="R34" s="136"/>
      <c r="S34" s="266">
        <f>S4+S8+S9+S11+S31</f>
        <v>345040</v>
      </c>
      <c r="T34" s="266">
        <f>T4+T8+T9+T11+T31</f>
        <v>5172856.08</v>
      </c>
      <c r="U34" s="136"/>
      <c r="V34" s="136"/>
      <c r="W34" s="136"/>
      <c r="X34" s="266">
        <f>X4+X8+X9+X11+X31</f>
        <v>319993</v>
      </c>
      <c r="Y34" s="266">
        <f>Y4+Y8+Y9+Y11+Y31</f>
        <v>4791171.54</v>
      </c>
      <c r="Z34" s="266"/>
      <c r="AA34" s="136"/>
      <c r="AB34" s="266">
        <f t="shared" ref="AB34:AG34" si="27">AB4+AB8+AB9+AB11+AB31</f>
        <v>210708</v>
      </c>
      <c r="AC34" s="266">
        <f t="shared" si="27"/>
        <v>3048611.55</v>
      </c>
      <c r="AD34" s="266">
        <f t="shared" si="27"/>
        <v>186876</v>
      </c>
      <c r="AE34" s="266">
        <f t="shared" si="27"/>
        <v>2602749.4099999997</v>
      </c>
      <c r="AF34" s="266">
        <f t="shared" si="27"/>
        <v>190151</v>
      </c>
      <c r="AG34" s="266">
        <f t="shared" si="27"/>
        <v>2690126.4099999997</v>
      </c>
      <c r="AH34" s="266"/>
      <c r="AI34" s="266"/>
      <c r="AJ34" s="266">
        <f>AJ4+AJ8+AJ9+AJ11+AJ31</f>
        <v>285226.5</v>
      </c>
      <c r="AK34" s="266">
        <f>AK4+AK8+AK9+AK11+AK31</f>
        <v>4035189.6150000002</v>
      </c>
      <c r="AL34" s="266">
        <f>AL4+AL8+AL9+AL11+AL31</f>
        <v>419719.2</v>
      </c>
      <c r="AM34" s="266">
        <f t="shared" ref="AM34:AQ34" si="28">AM4+AM8+AM9+AM11+AM31</f>
        <v>6383863.0060000001</v>
      </c>
      <c r="AN34" s="266">
        <f t="shared" si="28"/>
        <v>531116.19999999995</v>
      </c>
      <c r="AO34" s="266">
        <f t="shared" si="28"/>
        <v>8225376.716</v>
      </c>
      <c r="AP34" s="266">
        <f t="shared" si="28"/>
        <v>531116.19999999995</v>
      </c>
      <c r="AQ34" s="266">
        <f t="shared" si="28"/>
        <v>8225376.716</v>
      </c>
      <c r="AR34" s="357">
        <f>AC34+AE34+AG34+AK34+AM34+AO34+AQ34</f>
        <v>35211293.423</v>
      </c>
      <c r="AT34" s="397"/>
      <c r="AU34" s="397"/>
      <c r="AV34" s="397"/>
      <c r="AW34" s="397"/>
      <c r="AX34" s="292">
        <f>AK44+AM44+AO44</f>
        <v>36945944.482999995</v>
      </c>
      <c r="AY34" s="293">
        <f>AX34-AR33</f>
        <v>15331317.967296705</v>
      </c>
    </row>
    <row r="35" spans="1:51" ht="30.75" customHeight="1" x14ac:dyDescent="0.3">
      <c r="A35" s="375" t="s">
        <v>79</v>
      </c>
      <c r="B35" s="376"/>
      <c r="C35" s="136"/>
      <c r="D35" s="136"/>
      <c r="E35" s="136"/>
      <c r="F35" s="266">
        <f>F8+F9+F10+F19+F23</f>
        <v>216551</v>
      </c>
      <c r="G35" s="266">
        <f>G8+G9+G10+G19+G23</f>
        <v>7757487.3000000007</v>
      </c>
      <c r="H35" s="136"/>
      <c r="I35" s="266"/>
      <c r="J35" s="266"/>
      <c r="K35" s="266">
        <f>K8+K9+K10+K19+K23</f>
        <v>183283</v>
      </c>
      <c r="L35" s="266">
        <f>L8+L9+L10+L19+L23</f>
        <v>6201489.6100000003</v>
      </c>
      <c r="M35" s="136"/>
      <c r="N35" s="136"/>
      <c r="O35" s="136"/>
      <c r="P35" s="266">
        <f>P8+P9+P10+P19+P23</f>
        <v>200222</v>
      </c>
      <c r="Q35" s="266">
        <f>Q8+Q9+Q10+Q19+Q23</f>
        <v>5538275.7800000003</v>
      </c>
      <c r="R35" s="136"/>
      <c r="S35" s="266">
        <f>S8+S9+S10+S19+S23</f>
        <v>171775</v>
      </c>
      <c r="T35" s="266">
        <f>T8+T9+T10+T19+T23</f>
        <v>4756821.6800000006</v>
      </c>
      <c r="U35" s="136"/>
      <c r="V35" s="136"/>
      <c r="W35" s="136"/>
      <c r="X35" s="266">
        <f>X8+X9+X10+X19+X23</f>
        <v>158899</v>
      </c>
      <c r="Y35" s="266">
        <f>Y8+Y9+Y10+Y19+Y23</f>
        <v>4464001.16</v>
      </c>
      <c r="Z35" s="266"/>
      <c r="AA35" s="136"/>
      <c r="AB35" s="266">
        <f t="shared" ref="AB35:AG35" si="29">AB8+AB9+AB10+AB19+AB23</f>
        <v>102996</v>
      </c>
      <c r="AC35" s="266">
        <f t="shared" si="29"/>
        <v>2867278.48</v>
      </c>
      <c r="AD35" s="266">
        <f t="shared" si="29"/>
        <v>87984</v>
      </c>
      <c r="AE35" s="266">
        <f t="shared" si="29"/>
        <v>2500454.0799999996</v>
      </c>
      <c r="AF35" s="266">
        <f t="shared" si="29"/>
        <v>95259</v>
      </c>
      <c r="AG35" s="266">
        <f t="shared" si="29"/>
        <v>2780631.0799999996</v>
      </c>
      <c r="AH35" s="266"/>
      <c r="AI35" s="266"/>
      <c r="AJ35" s="266">
        <f t="shared" ref="AJ35:AQ35" si="30">AJ8+AJ9+AJ10+AJ19+AJ23</f>
        <v>140809</v>
      </c>
      <c r="AK35" s="266">
        <f t="shared" si="30"/>
        <v>4016518.3600000003</v>
      </c>
      <c r="AL35" s="266">
        <f t="shared" si="30"/>
        <v>210852.6</v>
      </c>
      <c r="AM35" s="266">
        <f t="shared" si="30"/>
        <v>6007460.3679999998</v>
      </c>
      <c r="AN35" s="266">
        <f t="shared" si="30"/>
        <v>271723.59999999998</v>
      </c>
      <c r="AO35" s="266">
        <f t="shared" si="30"/>
        <v>7630743.2280000001</v>
      </c>
      <c r="AP35" s="266">
        <f t="shared" si="30"/>
        <v>271723.59999999998</v>
      </c>
      <c r="AQ35" s="266">
        <f t="shared" si="30"/>
        <v>7630743.2280000001</v>
      </c>
      <c r="AR35" s="357">
        <f>AC35+AE35+AG35+AK35+AM35+AO35+AQ35</f>
        <v>33433828.824000001</v>
      </c>
      <c r="AT35" s="325"/>
      <c r="AU35" s="325"/>
      <c r="AV35" s="325"/>
      <c r="AW35" s="325"/>
      <c r="AX35" s="325"/>
      <c r="AY35" s="326"/>
    </row>
    <row r="36" spans="1:51" s="97" customFormat="1" ht="15" hidden="1" x14ac:dyDescent="0.25">
      <c r="A36" s="274"/>
      <c r="B36" s="272" t="s">
        <v>293</v>
      </c>
      <c r="C36" s="268"/>
      <c r="D36" s="268"/>
      <c r="E36" s="268"/>
      <c r="F36" s="268"/>
      <c r="G36" s="268"/>
      <c r="H36" s="268"/>
      <c r="I36" s="268"/>
      <c r="J36" s="268"/>
      <c r="K36" s="268"/>
      <c r="L36" s="268"/>
      <c r="M36" s="268"/>
      <c r="N36" s="268"/>
      <c r="O36" s="268"/>
      <c r="P36" s="268"/>
      <c r="Q36" s="268"/>
      <c r="R36" s="268"/>
      <c r="S36" s="268"/>
      <c r="T36" s="268"/>
      <c r="U36" s="268"/>
      <c r="V36" s="268"/>
      <c r="W36" s="268"/>
      <c r="X36" s="268"/>
      <c r="Y36" s="268"/>
      <c r="Z36" s="268"/>
      <c r="AA36" s="268"/>
      <c r="AB36" s="269"/>
      <c r="AC36" s="269"/>
      <c r="AD36" s="269"/>
      <c r="AE36" s="269"/>
      <c r="AF36" s="270" t="e">
        <f>#REF!</f>
        <v>#REF!</v>
      </c>
      <c r="AG36" s="269"/>
      <c r="AH36" s="269"/>
      <c r="AI36" s="269"/>
      <c r="AJ36" s="270" t="e">
        <f>#REF!</f>
        <v>#REF!</v>
      </c>
      <c r="AK36" s="269"/>
      <c r="AL36" s="270" t="e">
        <f>#REF!</f>
        <v>#REF!</v>
      </c>
      <c r="AM36" s="269"/>
      <c r="AN36" s="270" t="e">
        <f>#REF!</f>
        <v>#REF!</v>
      </c>
      <c r="AO36" s="269"/>
      <c r="AP36" s="270" t="e">
        <f>#REF!</f>
        <v>#REF!</v>
      </c>
      <c r="AQ36" s="269"/>
      <c r="AR36" s="357"/>
    </row>
    <row r="37" spans="1:51" s="97" customFormat="1" ht="14.25" hidden="1" x14ac:dyDescent="0.2">
      <c r="A37" s="274"/>
      <c r="B37" s="273" t="s">
        <v>80</v>
      </c>
      <c r="C37" s="268"/>
      <c r="D37" s="268"/>
      <c r="E37" s="268"/>
      <c r="F37" s="268"/>
      <c r="G37" s="268"/>
      <c r="H37" s="268"/>
      <c r="I37" s="268"/>
      <c r="J37" s="268"/>
      <c r="K37" s="268"/>
      <c r="L37" s="268"/>
      <c r="M37" s="268"/>
      <c r="N37" s="268"/>
      <c r="O37" s="268"/>
      <c r="P37" s="268"/>
      <c r="Q37" s="268"/>
      <c r="R37" s="268"/>
      <c r="S37" s="268"/>
      <c r="T37" s="268"/>
      <c r="U37" s="268"/>
      <c r="V37" s="268"/>
      <c r="W37" s="268"/>
      <c r="X37" s="268"/>
      <c r="Y37" s="268"/>
      <c r="Z37" s="268"/>
      <c r="AA37" s="268"/>
      <c r="AB37" s="269"/>
      <c r="AC37" s="269"/>
      <c r="AD37" s="269"/>
      <c r="AE37" s="269"/>
      <c r="AF37" s="269"/>
      <c r="AG37" s="271" t="e">
        <f>AG35*AF36</f>
        <v>#REF!</v>
      </c>
      <c r="AH37" s="269"/>
      <c r="AI37" s="269"/>
      <c r="AJ37" s="269"/>
      <c r="AK37" s="271" t="e">
        <f>AK35*AJ36</f>
        <v>#REF!</v>
      </c>
      <c r="AL37" s="269"/>
      <c r="AM37" s="271" t="e">
        <f>AM35*AL36</f>
        <v>#REF!</v>
      </c>
      <c r="AN37" s="269"/>
      <c r="AO37" s="271" t="e">
        <f>AO35*AN36</f>
        <v>#REF!</v>
      </c>
      <c r="AP37" s="269"/>
      <c r="AQ37" s="271" t="e">
        <f>AQ35*AP36</f>
        <v>#REF!</v>
      </c>
      <c r="AR37" s="357" t="e">
        <f>AC37+AE37+AG37+AK37+AM37+AO37+AQ37</f>
        <v>#REF!</v>
      </c>
    </row>
    <row r="38" spans="1:51" ht="15" customHeight="1" x14ac:dyDescent="0.2">
      <c r="A38" s="368" t="s">
        <v>77</v>
      </c>
      <c r="B38" s="369"/>
      <c r="C38" s="136"/>
      <c r="D38" s="136"/>
      <c r="E38" s="136"/>
      <c r="F38" s="266">
        <f>F12+F13+F14+F15+F16+F17</f>
        <v>192398</v>
      </c>
      <c r="G38" s="266">
        <f>G12+G13+G14+G15+G16+G17</f>
        <v>1340787.75</v>
      </c>
      <c r="H38" s="136"/>
      <c r="I38" s="266"/>
      <c r="J38" s="266"/>
      <c r="K38" s="266">
        <f>K12+K13+K14+K15+K16+K17</f>
        <v>186959</v>
      </c>
      <c r="L38" s="266">
        <f>L12+L13+L14+L15+L16+L17</f>
        <v>1273366.3900000001</v>
      </c>
      <c r="M38" s="136"/>
      <c r="N38" s="136"/>
      <c r="O38" s="136"/>
      <c r="P38" s="266">
        <f>P12+P13+P14+P15+P16+P17</f>
        <v>410807</v>
      </c>
      <c r="Q38" s="266">
        <f>Q12+Q13+Q14+Q15+Q16+Q17</f>
        <v>2812237.03</v>
      </c>
      <c r="R38" s="136"/>
      <c r="S38" s="266">
        <f>S12+S13+S14+S15+S16+S17</f>
        <v>428108</v>
      </c>
      <c r="T38" s="266">
        <f>T12+T13+T14+T15+T16+T17</f>
        <v>2796766.64</v>
      </c>
      <c r="U38" s="136"/>
      <c r="V38" s="136"/>
      <c r="W38" s="136"/>
      <c r="X38" s="266">
        <f>X12+X13+X14+X15+X16+X17</f>
        <v>360954</v>
      </c>
      <c r="Y38" s="266">
        <f>Y12+Y13+Y14+Y15+Y16+Y17</f>
        <v>2331848.9700000002</v>
      </c>
      <c r="Z38" s="136"/>
      <c r="AA38" s="136"/>
      <c r="AB38" s="266">
        <f t="shared" ref="AB38:AG38" si="31">AB12+AB13+AB14+AB15+AB16+AB17</f>
        <v>167298</v>
      </c>
      <c r="AC38" s="266">
        <f t="shared" si="31"/>
        <v>1026726.55</v>
      </c>
      <c r="AD38" s="266">
        <f t="shared" si="31"/>
        <v>160035</v>
      </c>
      <c r="AE38" s="266">
        <f t="shared" si="31"/>
        <v>890274.74000000011</v>
      </c>
      <c r="AF38" s="266">
        <f t="shared" si="31"/>
        <v>533654</v>
      </c>
      <c r="AG38" s="266">
        <f t="shared" si="31"/>
        <v>2904081.1500000004</v>
      </c>
      <c r="AH38" s="267"/>
      <c r="AI38" s="267"/>
      <c r="AJ38" s="266">
        <f t="shared" ref="AJ38:AO38" si="32">AJ12+AJ13+AJ14+AJ15+AJ16+AJ17</f>
        <v>160035</v>
      </c>
      <c r="AK38" s="266">
        <f t="shared" si="32"/>
        <v>890274.74000000011</v>
      </c>
      <c r="AL38" s="266">
        <f t="shared" si="32"/>
        <v>160035</v>
      </c>
      <c r="AM38" s="266">
        <f t="shared" si="32"/>
        <v>890274.74000000011</v>
      </c>
      <c r="AN38" s="266">
        <f t="shared" si="32"/>
        <v>160035</v>
      </c>
      <c r="AO38" s="266">
        <f t="shared" si="32"/>
        <v>890274.74000000011</v>
      </c>
      <c r="AP38" s="266">
        <f>AP12+AP13+AP14+AP15+AP17+AP16</f>
        <v>160035</v>
      </c>
      <c r="AQ38" s="266">
        <f>AQ12+AQ13+AQ14+AQ15+AQ16+AQ17</f>
        <v>890274.74000000011</v>
      </c>
      <c r="AR38" s="357">
        <f>AC38+AE38+AG38+AK38+AM38+AO38+AQ38</f>
        <v>8382181.4000000013</v>
      </c>
    </row>
    <row r="39" spans="1:51" ht="15.75" x14ac:dyDescent="0.25">
      <c r="A39" s="366" t="s">
        <v>78</v>
      </c>
      <c r="B39" s="367"/>
      <c r="C39" s="136"/>
      <c r="D39" s="136"/>
      <c r="E39" s="136"/>
      <c r="F39" s="266">
        <f>F34</f>
        <v>548955</v>
      </c>
      <c r="G39" s="266">
        <f>G34</f>
        <v>8756566.9199999999</v>
      </c>
      <c r="H39" s="136"/>
      <c r="I39" s="266"/>
      <c r="J39" s="266"/>
      <c r="K39" s="266">
        <f>K34</f>
        <v>387501</v>
      </c>
      <c r="L39" s="266">
        <f>L34</f>
        <v>6968003.4900000002</v>
      </c>
      <c r="M39" s="136"/>
      <c r="N39" s="136"/>
      <c r="O39" s="136"/>
      <c r="P39" s="266">
        <f>P34</f>
        <v>401737</v>
      </c>
      <c r="Q39" s="266">
        <f>Q34</f>
        <v>6141812.2600000007</v>
      </c>
      <c r="R39" s="136"/>
      <c r="S39" s="266">
        <f>S34</f>
        <v>345040</v>
      </c>
      <c r="T39" s="266">
        <f>T34</f>
        <v>5172856.08</v>
      </c>
      <c r="U39" s="136"/>
      <c r="V39" s="136"/>
      <c r="W39" s="136"/>
      <c r="X39" s="266">
        <f>X34</f>
        <v>319993</v>
      </c>
      <c r="Y39" s="266">
        <f>Y34</f>
        <v>4791171.54</v>
      </c>
      <c r="Z39" s="136"/>
      <c r="AA39" s="136"/>
      <c r="AB39" s="266">
        <f t="shared" ref="AB39:AG39" si="33">AB34</f>
        <v>210708</v>
      </c>
      <c r="AC39" s="266">
        <f t="shared" si="33"/>
        <v>3048611.55</v>
      </c>
      <c r="AD39" s="266">
        <f t="shared" si="33"/>
        <v>186876</v>
      </c>
      <c r="AE39" s="266">
        <f t="shared" si="33"/>
        <v>2602749.4099999997</v>
      </c>
      <c r="AF39" s="266">
        <f t="shared" si="33"/>
        <v>190151</v>
      </c>
      <c r="AG39" s="266">
        <f t="shared" si="33"/>
        <v>2690126.4099999997</v>
      </c>
      <c r="AH39" s="266"/>
      <c r="AI39" s="266"/>
      <c r="AJ39" s="266">
        <f t="shared" ref="AJ39:AQ39" si="34">AJ34</f>
        <v>285226.5</v>
      </c>
      <c r="AK39" s="266">
        <f t="shared" si="34"/>
        <v>4035189.6150000002</v>
      </c>
      <c r="AL39" s="266">
        <f t="shared" si="34"/>
        <v>419719.2</v>
      </c>
      <c r="AM39" s="266">
        <f t="shared" si="34"/>
        <v>6383863.0060000001</v>
      </c>
      <c r="AN39" s="266">
        <f t="shared" si="34"/>
        <v>531116.19999999995</v>
      </c>
      <c r="AO39" s="266">
        <f t="shared" si="34"/>
        <v>8225376.716</v>
      </c>
      <c r="AP39" s="266">
        <f t="shared" si="34"/>
        <v>531116.19999999995</v>
      </c>
      <c r="AQ39" s="266">
        <f t="shared" si="34"/>
        <v>8225376.716</v>
      </c>
      <c r="AR39" s="357">
        <f>AC39+AE39+AG39+AK39+AM39+AO39+AQ39</f>
        <v>35211293.423</v>
      </c>
      <c r="AT39" s="428" t="s">
        <v>301</v>
      </c>
      <c r="AU39" s="428"/>
      <c r="AV39" s="428"/>
      <c r="AW39" s="428"/>
      <c r="AX39" s="301">
        <f>AQ44</f>
        <v>14636984.196</v>
      </c>
    </row>
    <row r="40" spans="1:51" ht="15.75" x14ac:dyDescent="0.25">
      <c r="A40" s="370" t="s">
        <v>76</v>
      </c>
      <c r="B40" s="371"/>
      <c r="C40" s="136"/>
      <c r="D40" s="136"/>
      <c r="E40" s="136"/>
      <c r="F40" s="266">
        <f>F38+F39</f>
        <v>741353</v>
      </c>
      <c r="G40" s="266">
        <f t="shared" ref="G40" si="35">G38+G39</f>
        <v>10097354.67</v>
      </c>
      <c r="H40" s="136"/>
      <c r="I40" s="266"/>
      <c r="J40" s="266"/>
      <c r="K40" s="266">
        <f>K38+K39</f>
        <v>574460</v>
      </c>
      <c r="L40" s="266">
        <f t="shared" ref="L40" si="36">L38+L39</f>
        <v>8241369.8800000008</v>
      </c>
      <c r="M40" s="136"/>
      <c r="N40" s="136"/>
      <c r="O40" s="136"/>
      <c r="P40" s="266">
        <f>P38+P39</f>
        <v>812544</v>
      </c>
      <c r="Q40" s="266">
        <f t="shared" ref="Q40" si="37">Q38+Q39</f>
        <v>8954049.290000001</v>
      </c>
      <c r="R40" s="136"/>
      <c r="S40" s="266">
        <f>S38+S39</f>
        <v>773148</v>
      </c>
      <c r="T40" s="266">
        <f t="shared" ref="T40" si="38">T38+T39</f>
        <v>7969622.7200000007</v>
      </c>
      <c r="U40" s="136"/>
      <c r="V40" s="136"/>
      <c r="W40" s="136"/>
      <c r="X40" s="266">
        <f>X38+X39</f>
        <v>680947</v>
      </c>
      <c r="Y40" s="266">
        <f t="shared" ref="Y40" si="39">Y38+Y39</f>
        <v>7123020.5099999998</v>
      </c>
      <c r="Z40" s="136"/>
      <c r="AA40" s="136"/>
      <c r="AB40" s="266">
        <f>AB38+AB39</f>
        <v>378006</v>
      </c>
      <c r="AC40" s="266">
        <f t="shared" ref="AC40:AP40" si="40">AC38+AC39</f>
        <v>4075338.0999999996</v>
      </c>
      <c r="AD40" s="266">
        <f t="shared" si="40"/>
        <v>346911</v>
      </c>
      <c r="AE40" s="266">
        <f t="shared" si="40"/>
        <v>3493024.15</v>
      </c>
      <c r="AF40" s="266">
        <f>AF38+AF39</f>
        <v>723805</v>
      </c>
      <c r="AG40" s="266">
        <f>AG38+AG39</f>
        <v>5594207.5600000005</v>
      </c>
      <c r="AH40" s="266">
        <f t="shared" si="40"/>
        <v>0</v>
      </c>
      <c r="AI40" s="266"/>
      <c r="AJ40" s="266">
        <f t="shared" si="40"/>
        <v>445261.5</v>
      </c>
      <c r="AK40" s="266">
        <f>AK38+AK39</f>
        <v>4925464.3550000004</v>
      </c>
      <c r="AL40" s="266">
        <f t="shared" si="40"/>
        <v>579754.19999999995</v>
      </c>
      <c r="AM40" s="266">
        <f t="shared" si="40"/>
        <v>7274137.7460000003</v>
      </c>
      <c r="AN40" s="266">
        <f t="shared" si="40"/>
        <v>691151.2</v>
      </c>
      <c r="AO40" s="266">
        <f t="shared" si="40"/>
        <v>9115651.4560000002</v>
      </c>
      <c r="AP40" s="266">
        <f t="shared" si="40"/>
        <v>691151.2</v>
      </c>
      <c r="AQ40" s="266">
        <f>AQ38+AQ39</f>
        <v>9115651.4560000002</v>
      </c>
      <c r="AR40" s="357">
        <f>AK40+AM40+AO40+AQ40</f>
        <v>30430905.013</v>
      </c>
      <c r="AT40" s="426"/>
      <c r="AU40" s="426"/>
      <c r="AV40" s="426"/>
      <c r="AW40" s="426"/>
      <c r="AX40" s="427"/>
    </row>
    <row r="41" spans="1:51" s="278" customFormat="1" ht="15.75" x14ac:dyDescent="0.25">
      <c r="A41" s="372" t="s">
        <v>294</v>
      </c>
      <c r="B41" s="372"/>
      <c r="C41" s="290"/>
      <c r="D41" s="290"/>
      <c r="E41" s="290"/>
      <c r="F41" s="290"/>
      <c r="G41" s="290"/>
      <c r="H41" s="290"/>
      <c r="I41" s="290"/>
      <c r="J41" s="290"/>
      <c r="K41" s="290"/>
      <c r="L41" s="290"/>
      <c r="M41" s="290"/>
      <c r="N41" s="290"/>
      <c r="O41" s="290"/>
      <c r="P41" s="290"/>
      <c r="Q41" s="290"/>
      <c r="R41" s="290"/>
      <c r="S41" s="290"/>
      <c r="T41" s="290"/>
      <c r="U41" s="290"/>
      <c r="V41" s="290"/>
      <c r="W41" s="290"/>
      <c r="X41" s="290"/>
      <c r="Y41" s="290"/>
      <c r="Z41" s="290"/>
      <c r="AA41" s="290"/>
      <c r="AB41" s="266"/>
      <c r="AC41" s="266"/>
      <c r="AD41" s="266"/>
      <c r="AE41" s="266"/>
      <c r="AF41" s="266"/>
      <c r="AG41" s="266"/>
      <c r="AH41" s="266"/>
      <c r="AI41" s="266"/>
      <c r="AJ41" s="266">
        <f>Skrinings!AG101+Skrinings!AG102</f>
        <v>250920.3</v>
      </c>
      <c r="AK41" s="266">
        <f>Skrinings!AC105</f>
        <v>5667476.6519999998</v>
      </c>
      <c r="AL41" s="266">
        <f>Skrinings!AI101+Skrinings!AI102</f>
        <v>1323360</v>
      </c>
      <c r="AM41" s="266">
        <f>Skrinings!AI105</f>
        <v>6346210.4300000016</v>
      </c>
      <c r="AN41" s="266">
        <f>Skrinings!AN101+Skrinings!AN102</f>
        <v>1049706.1000000001</v>
      </c>
      <c r="AO41" s="266">
        <f>Skrinings!AN105</f>
        <v>4954205.2640000004</v>
      </c>
      <c r="AP41" s="266">
        <f>Skrinings!AT101+Skrinings!AT102</f>
        <v>1298091</v>
      </c>
      <c r="AQ41" s="266">
        <f>Skrinings!AT105</f>
        <v>6053602.9500000011</v>
      </c>
      <c r="AR41" s="357">
        <f>AK41+AM41+AO41+AQ41</f>
        <v>23021495.296000004</v>
      </c>
      <c r="AT41" s="426"/>
      <c r="AU41" s="426"/>
      <c r="AV41" s="426"/>
      <c r="AW41" s="426"/>
      <c r="AX41" s="326"/>
    </row>
    <row r="42" spans="1:51" s="278" customFormat="1" ht="14.25" x14ac:dyDescent="0.2">
      <c r="A42" s="275"/>
      <c r="B42" s="276"/>
      <c r="C42" s="275"/>
      <c r="D42" s="275"/>
      <c r="E42" s="275"/>
      <c r="F42" s="275"/>
      <c r="G42" s="275"/>
      <c r="H42" s="275"/>
      <c r="I42" s="275"/>
      <c r="J42" s="275"/>
      <c r="K42" s="275"/>
      <c r="L42" s="275"/>
      <c r="M42" s="275"/>
      <c r="N42" s="275"/>
      <c r="O42" s="275"/>
      <c r="P42" s="275"/>
      <c r="Q42" s="275"/>
      <c r="R42" s="275"/>
      <c r="S42" s="275"/>
      <c r="T42" s="275"/>
      <c r="U42" s="275"/>
      <c r="V42" s="275"/>
      <c r="W42" s="275"/>
      <c r="X42" s="275"/>
      <c r="Y42" s="275"/>
      <c r="Z42" s="275"/>
      <c r="AA42" s="275"/>
      <c r="AB42" s="275"/>
      <c r="AC42" s="275"/>
      <c r="AD42" s="275"/>
      <c r="AE42" s="275"/>
      <c r="AF42" s="275"/>
      <c r="AG42" s="275"/>
      <c r="AH42" s="275"/>
      <c r="AI42" s="275"/>
      <c r="AJ42" s="275"/>
      <c r="AK42" s="275"/>
      <c r="AL42" s="275"/>
      <c r="AM42" s="275"/>
      <c r="AN42" s="275"/>
      <c r="AO42" s="275"/>
      <c r="AP42" s="275"/>
      <c r="AQ42" s="275"/>
      <c r="AR42" s="277"/>
    </row>
    <row r="43" spans="1:51" s="278" customFormat="1" ht="14.25" x14ac:dyDescent="0.2">
      <c r="A43" s="275"/>
      <c r="B43" s="276"/>
      <c r="C43" s="275"/>
      <c r="D43" s="275"/>
      <c r="E43" s="275"/>
      <c r="F43" s="275"/>
      <c r="G43" s="275"/>
      <c r="H43" s="275"/>
      <c r="I43" s="275"/>
      <c r="J43" s="275"/>
      <c r="K43" s="275"/>
      <c r="L43" s="275"/>
      <c r="M43" s="275"/>
      <c r="N43" s="275"/>
      <c r="O43" s="275"/>
      <c r="P43" s="275"/>
      <c r="Q43" s="275"/>
      <c r="R43" s="275"/>
      <c r="S43" s="275"/>
      <c r="T43" s="275"/>
      <c r="U43" s="275"/>
      <c r="V43" s="275"/>
      <c r="W43" s="275"/>
      <c r="X43" s="275"/>
      <c r="Y43" s="275"/>
      <c r="Z43" s="275"/>
      <c r="AA43" s="275"/>
      <c r="AB43" s="275"/>
      <c r="AC43" s="275"/>
      <c r="AD43" s="275"/>
      <c r="AE43" s="275"/>
      <c r="AF43" s="275"/>
      <c r="AG43" s="275"/>
      <c r="AH43" s="275"/>
      <c r="AI43" s="275"/>
      <c r="AJ43" s="275"/>
      <c r="AK43" s="275"/>
      <c r="AL43" s="275"/>
      <c r="AM43" s="275"/>
      <c r="AN43" s="275"/>
      <c r="AO43" s="275"/>
      <c r="AP43" s="275"/>
      <c r="AQ43" s="275"/>
      <c r="AR43" s="277"/>
    </row>
    <row r="44" spans="1:51" s="278" customFormat="1" ht="18.75" x14ac:dyDescent="0.3">
      <c r="A44" s="275"/>
      <c r="B44" s="276"/>
      <c r="C44" s="275"/>
      <c r="D44" s="275"/>
      <c r="E44" s="275"/>
      <c r="F44" s="275"/>
      <c r="G44" s="275"/>
      <c r="H44" s="275"/>
      <c r="I44" s="275"/>
      <c r="J44" s="275"/>
      <c r="K44" s="275"/>
      <c r="L44" s="275"/>
      <c r="M44" s="275"/>
      <c r="N44" s="275"/>
      <c r="O44" s="275"/>
      <c r="P44" s="275"/>
      <c r="Q44" s="275"/>
      <c r="R44" s="275"/>
      <c r="S44" s="275"/>
      <c r="T44" s="275"/>
      <c r="U44" s="275"/>
      <c r="V44" s="275"/>
      <c r="W44" s="275"/>
      <c r="X44" s="275"/>
      <c r="Y44" s="275"/>
      <c r="Z44" s="275"/>
      <c r="AA44" s="275"/>
      <c r="AB44" s="275"/>
      <c r="AC44" s="275"/>
      <c r="AD44" s="275"/>
      <c r="AE44" s="275"/>
      <c r="AF44" s="334"/>
      <c r="AG44" s="297" t="s">
        <v>297</v>
      </c>
      <c r="AH44" s="297"/>
      <c r="AI44" s="297"/>
      <c r="AJ44" s="297"/>
      <c r="AK44" s="298">
        <f>AK32-AK38+AK41</f>
        <v>10342337.126999998</v>
      </c>
      <c r="AL44" s="297"/>
      <c r="AM44" s="298">
        <f>AM32-AM38+AM41</f>
        <v>13066020.846000001</v>
      </c>
      <c r="AN44" s="297"/>
      <c r="AO44" s="298">
        <f>AO32-AO38+AO41</f>
        <v>13537586.51</v>
      </c>
      <c r="AP44" s="297"/>
      <c r="AQ44" s="298">
        <f>AQ32-AQ38+AQ41</f>
        <v>14636984.196</v>
      </c>
      <c r="AR44" s="277">
        <f>(AK44+AM44+AO44+AQ44)/4</f>
        <v>12895732.169749999</v>
      </c>
    </row>
    <row r="45" spans="1:51" s="278" customFormat="1" ht="15.75" x14ac:dyDescent="0.25">
      <c r="A45" s="275"/>
      <c r="B45" s="276"/>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275"/>
      <c r="AE45" s="275"/>
      <c r="AF45" s="275"/>
      <c r="AG45" s="275"/>
      <c r="AH45" s="275"/>
      <c r="AI45" s="275"/>
      <c r="AJ45" s="275"/>
      <c r="AK45" s="275"/>
      <c r="AL45" s="275"/>
      <c r="AM45" s="275"/>
      <c r="AN45" s="275"/>
      <c r="AO45" s="275"/>
      <c r="AP45" s="275"/>
      <c r="AQ45" s="275"/>
      <c r="AR45" s="277"/>
      <c r="AS45" s="302" t="s">
        <v>313</v>
      </c>
    </row>
    <row r="46" spans="1:51" ht="36" customHeight="1" x14ac:dyDescent="0.3">
      <c r="B46" s="96"/>
      <c r="AN46" s="395" t="s">
        <v>300</v>
      </c>
      <c r="AO46" s="395"/>
      <c r="AP46" s="395"/>
      <c r="AQ46" s="300">
        <f>G32+L32+Q32+T32+Y32+AC32+AE32+AG32+AK44+AM44+AO44+AQ44</f>
        <v>109411603.479</v>
      </c>
      <c r="AR46" s="300">
        <f>AQ46-AQ44</f>
        <v>94774619.283000007</v>
      </c>
      <c r="AS46" s="303">
        <f>AR32-AR46</f>
        <v>-15331317.96729672</v>
      </c>
    </row>
    <row r="47" spans="1:51" s="137" customFormat="1" ht="21" x14ac:dyDescent="0.35">
      <c r="B47" s="332"/>
      <c r="F47" s="333"/>
      <c r="G47" s="334"/>
      <c r="H47" s="334"/>
      <c r="I47" s="334"/>
      <c r="J47" s="334"/>
      <c r="K47" s="334"/>
      <c r="L47" s="334"/>
      <c r="M47" s="334"/>
      <c r="N47" s="334"/>
      <c r="O47" s="334"/>
      <c r="P47" s="334"/>
      <c r="Q47" s="334"/>
      <c r="R47" s="334"/>
      <c r="S47" s="334"/>
      <c r="T47" s="334"/>
      <c r="U47" s="334"/>
      <c r="V47" s="334"/>
      <c r="W47" s="334"/>
      <c r="X47" s="334"/>
      <c r="Y47" s="334"/>
      <c r="Z47" s="334"/>
      <c r="AA47" s="334"/>
      <c r="AB47" s="334"/>
      <c r="AC47" s="334"/>
      <c r="AD47" s="334"/>
      <c r="AE47" s="334"/>
      <c r="AF47" s="334"/>
      <c r="AG47" s="334"/>
      <c r="AR47" s="277"/>
    </row>
    <row r="48" spans="1:51" s="137" customFormat="1" ht="15" x14ac:dyDescent="0.25">
      <c r="B48" s="334"/>
      <c r="C48" s="334"/>
      <c r="D48" s="334"/>
      <c r="E48" s="334"/>
      <c r="F48" s="334"/>
      <c r="G48" s="334"/>
      <c r="H48" s="334"/>
      <c r="I48" s="334"/>
      <c r="J48" s="334"/>
      <c r="K48" s="334"/>
      <c r="L48" s="334"/>
      <c r="M48" s="334"/>
      <c r="N48" s="334"/>
      <c r="O48" s="334"/>
      <c r="P48" s="334"/>
      <c r="Q48" s="334"/>
      <c r="R48" s="334"/>
      <c r="S48" s="334"/>
      <c r="T48" s="334"/>
      <c r="U48" s="334"/>
      <c r="V48" s="334"/>
      <c r="W48" s="334"/>
      <c r="X48" s="334"/>
      <c r="Y48" s="334"/>
      <c r="Z48" s="334"/>
      <c r="AA48" s="334"/>
      <c r="AB48" s="334"/>
      <c r="AC48" s="334"/>
      <c r="AD48" s="334"/>
      <c r="AE48" s="334"/>
      <c r="AF48" s="334"/>
      <c r="AG48" s="334"/>
      <c r="AH48" s="335"/>
      <c r="AI48" s="335"/>
      <c r="AJ48" s="336"/>
      <c r="AK48" s="336"/>
      <c r="AL48" s="336"/>
      <c r="AM48" s="336"/>
      <c r="AN48" s="336"/>
      <c r="AO48" s="336"/>
      <c r="AP48" s="336"/>
      <c r="AQ48" s="336"/>
      <c r="AR48" s="277"/>
    </row>
    <row r="49" spans="2:44" s="137" customFormat="1" ht="15" x14ac:dyDescent="0.25">
      <c r="B49" s="334"/>
      <c r="C49" s="334"/>
      <c r="D49" s="334"/>
      <c r="E49" s="334"/>
      <c r="F49" s="334"/>
      <c r="G49" s="334"/>
      <c r="H49" s="334"/>
      <c r="I49" s="334"/>
      <c r="J49" s="334"/>
      <c r="K49" s="334"/>
      <c r="L49" s="334"/>
      <c r="M49" s="334"/>
      <c r="N49" s="334"/>
      <c r="O49" s="334"/>
      <c r="P49" s="334"/>
      <c r="Q49" s="334"/>
      <c r="R49" s="334"/>
      <c r="S49" s="334"/>
      <c r="T49" s="334"/>
      <c r="U49" s="334"/>
      <c r="V49" s="334"/>
      <c r="W49" s="334"/>
      <c r="X49" s="334"/>
      <c r="Y49" s="334"/>
      <c r="Z49" s="334"/>
      <c r="AA49" s="334"/>
      <c r="AB49" s="334"/>
      <c r="AC49" s="334"/>
      <c r="AD49" s="334"/>
      <c r="AE49" s="334"/>
      <c r="AF49" s="334"/>
      <c r="AG49" s="334"/>
      <c r="AH49" s="335"/>
      <c r="AI49" s="335"/>
      <c r="AJ49" s="336"/>
      <c r="AK49" s="336"/>
      <c r="AL49" s="336"/>
      <c r="AM49" s="336"/>
      <c r="AN49" s="336"/>
      <c r="AO49" s="336"/>
      <c r="AP49" s="336"/>
      <c r="AQ49" s="336"/>
      <c r="AR49" s="277"/>
    </row>
    <row r="50" spans="2:44" s="137" customFormat="1" ht="15" x14ac:dyDescent="0.25">
      <c r="B50" s="334"/>
      <c r="C50" s="334"/>
      <c r="D50" s="334"/>
      <c r="E50" s="334"/>
      <c r="F50" s="334"/>
      <c r="G50" s="334"/>
      <c r="H50" s="334"/>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5"/>
      <c r="AI50" s="335"/>
      <c r="AR50" s="277"/>
    </row>
    <row r="51" spans="2:44" s="137" customFormat="1" ht="12.75" x14ac:dyDescent="0.2">
      <c r="B51" s="332"/>
      <c r="AR51" s="277"/>
    </row>
    <row r="52" spans="2:44" s="137" customFormat="1" ht="12.75" x14ac:dyDescent="0.2">
      <c r="B52" s="332"/>
      <c r="AR52" s="277"/>
    </row>
    <row r="53" spans="2:44" s="137" customFormat="1" ht="12.75" x14ac:dyDescent="0.2">
      <c r="B53" s="332"/>
      <c r="AR53" s="277"/>
    </row>
    <row r="54" spans="2:44" s="137" customFormat="1" ht="12.75" x14ac:dyDescent="0.2">
      <c r="B54" s="332"/>
      <c r="AR54" s="277"/>
    </row>
    <row r="55" spans="2:44" s="137" customFormat="1" ht="12.75" x14ac:dyDescent="0.2">
      <c r="B55" s="332"/>
      <c r="AR55" s="277"/>
    </row>
    <row r="56" spans="2:44" s="137" customFormat="1" ht="12.75" x14ac:dyDescent="0.2">
      <c r="B56" s="332"/>
      <c r="AR56" s="277"/>
    </row>
    <row r="57" spans="2:44" s="137" customFormat="1" ht="12.75" x14ac:dyDescent="0.2">
      <c r="B57" s="332"/>
      <c r="AR57" s="277"/>
    </row>
    <row r="58" spans="2:44" s="137" customFormat="1" ht="12.75" x14ac:dyDescent="0.2">
      <c r="B58" s="332"/>
      <c r="AR58" s="277"/>
    </row>
    <row r="59" spans="2:44" s="137" customFormat="1" ht="12.75" x14ac:dyDescent="0.2">
      <c r="B59" s="332"/>
      <c r="AR59" s="277"/>
    </row>
    <row r="60" spans="2:44" s="137" customFormat="1" ht="12.75" x14ac:dyDescent="0.2">
      <c r="B60" s="332"/>
      <c r="AR60" s="277"/>
    </row>
    <row r="61" spans="2:44" s="137" customFormat="1" ht="12.75" x14ac:dyDescent="0.2">
      <c r="B61" s="332"/>
      <c r="AR61" s="277"/>
    </row>
    <row r="62" spans="2:44" s="137" customFormat="1" ht="12.75" x14ac:dyDescent="0.2">
      <c r="B62" s="332"/>
      <c r="AR62" s="277"/>
    </row>
    <row r="63" spans="2:44" s="137" customFormat="1" ht="12.75" x14ac:dyDescent="0.2">
      <c r="B63" s="332"/>
      <c r="AR63" s="277"/>
    </row>
    <row r="64" spans="2:44" s="137" customFormat="1" ht="12.75" x14ac:dyDescent="0.2">
      <c r="B64" s="332"/>
      <c r="AR64" s="277"/>
    </row>
    <row r="65" spans="2:45" s="137" customFormat="1" ht="12.75" x14ac:dyDescent="0.2">
      <c r="B65" s="332"/>
      <c r="AR65" s="277"/>
    </row>
    <row r="66" spans="2:45" s="137" customFormat="1" x14ac:dyDescent="0.2">
      <c r="B66" s="332"/>
      <c r="AR66" s="277"/>
    </row>
    <row r="67" spans="2:45" s="275" customFormat="1" ht="12.75" x14ac:dyDescent="0.2">
      <c r="B67" s="338"/>
      <c r="AR67" s="277"/>
    </row>
    <row r="68" spans="2:45" s="275" customFormat="1" x14ac:dyDescent="0.2">
      <c r="B68" s="338"/>
      <c r="F68" s="337"/>
      <c r="G68" s="337"/>
      <c r="H68" s="337"/>
      <c r="I68" s="337"/>
      <c r="J68" s="337"/>
      <c r="K68" s="337"/>
      <c r="L68" s="337"/>
      <c r="M68" s="337"/>
      <c r="N68" s="337"/>
      <c r="O68" s="337"/>
      <c r="P68" s="337"/>
      <c r="Q68" s="337"/>
      <c r="R68" s="337"/>
      <c r="S68" s="337"/>
      <c r="T68" s="337"/>
      <c r="U68" s="337"/>
      <c r="V68" s="337"/>
      <c r="W68" s="337"/>
      <c r="X68" s="337"/>
      <c r="Y68" s="337"/>
      <c r="Z68" s="337"/>
      <c r="AA68" s="337"/>
      <c r="AB68" s="337"/>
      <c r="AC68" s="337"/>
      <c r="AD68" s="337"/>
      <c r="AE68" s="337"/>
      <c r="AF68" s="337"/>
      <c r="AG68" s="337"/>
      <c r="AH68" s="337"/>
      <c r="AI68" s="337"/>
      <c r="AJ68" s="337"/>
      <c r="AK68" s="337"/>
      <c r="AL68" s="337"/>
      <c r="AM68" s="337"/>
      <c r="AN68" s="337"/>
      <c r="AS68" s="337"/>
    </row>
    <row r="69" spans="2:45" s="275" customFormat="1" x14ac:dyDescent="0.2">
      <c r="B69" s="338"/>
      <c r="E69" s="339"/>
      <c r="F69" s="337"/>
      <c r="G69" s="337"/>
      <c r="H69" s="337"/>
      <c r="I69" s="337"/>
      <c r="J69" s="337"/>
      <c r="K69" s="337"/>
      <c r="L69" s="337"/>
      <c r="M69" s="337"/>
      <c r="N69" s="337"/>
      <c r="O69" s="339"/>
      <c r="P69" s="337"/>
      <c r="Q69" s="337"/>
      <c r="R69" s="337"/>
      <c r="S69" s="337"/>
      <c r="T69" s="337"/>
      <c r="U69" s="339"/>
      <c r="V69" s="337"/>
      <c r="W69" s="337"/>
      <c r="X69" s="337"/>
      <c r="Y69" s="337"/>
      <c r="Z69" s="337"/>
      <c r="AA69" s="337"/>
      <c r="AB69" s="337"/>
      <c r="AC69" s="337"/>
      <c r="AD69" s="337"/>
      <c r="AE69" s="337"/>
      <c r="AF69" s="337"/>
      <c r="AG69" s="337"/>
      <c r="AH69" s="337"/>
      <c r="AI69" s="337"/>
      <c r="AJ69" s="337"/>
      <c r="AK69" s="337"/>
      <c r="AL69" s="337"/>
      <c r="AM69" s="337"/>
      <c r="AN69" s="337"/>
      <c r="AO69" s="337"/>
      <c r="AP69" s="337"/>
      <c r="AQ69" s="337"/>
      <c r="AR69" s="337"/>
      <c r="AS69" s="337"/>
    </row>
    <row r="70" spans="2:45" s="275" customFormat="1" ht="15" x14ac:dyDescent="0.25">
      <c r="F70" s="340"/>
      <c r="G70" s="341"/>
      <c r="H70" s="337"/>
      <c r="I70" s="337"/>
      <c r="J70" s="340"/>
      <c r="K70" s="337"/>
      <c r="L70" s="341"/>
      <c r="M70" s="341"/>
      <c r="N70" s="341"/>
      <c r="O70" s="341"/>
      <c r="P70" s="340"/>
      <c r="Q70" s="341"/>
      <c r="R70" s="342"/>
      <c r="S70" s="340"/>
      <c r="T70" s="341"/>
      <c r="U70" s="341"/>
      <c r="V70" s="342"/>
      <c r="W70" s="342"/>
      <c r="X70" s="340"/>
      <c r="Y70" s="341"/>
      <c r="Z70" s="337"/>
      <c r="AA70" s="337"/>
      <c r="AB70" s="343"/>
      <c r="AC70" s="342"/>
      <c r="AD70" s="337"/>
      <c r="AE70" s="337"/>
      <c r="AF70" s="337"/>
      <c r="AG70" s="337"/>
      <c r="AH70" s="337"/>
      <c r="AI70" s="337"/>
      <c r="AJ70" s="337"/>
      <c r="AK70" s="337"/>
      <c r="AL70" s="337"/>
      <c r="AM70" s="337"/>
      <c r="AN70" s="337"/>
      <c r="AO70" s="337"/>
      <c r="AP70" s="337"/>
      <c r="AQ70" s="337"/>
      <c r="AR70" s="337"/>
      <c r="AS70" s="337"/>
    </row>
    <row r="71" spans="2:45" s="275" customFormat="1" x14ac:dyDescent="0.2">
      <c r="F71" s="337"/>
      <c r="G71" s="337"/>
      <c r="H71" s="337"/>
      <c r="I71" s="337"/>
      <c r="J71" s="337"/>
      <c r="K71" s="337"/>
      <c r="L71" s="337"/>
      <c r="M71" s="337"/>
      <c r="N71" s="337"/>
      <c r="O71" s="337"/>
      <c r="P71" s="337"/>
      <c r="Q71" s="337"/>
      <c r="R71" s="337"/>
      <c r="S71" s="337"/>
      <c r="T71" s="337"/>
      <c r="U71" s="337"/>
      <c r="V71" s="337"/>
      <c r="W71" s="337"/>
      <c r="X71" s="337"/>
      <c r="Y71" s="337"/>
      <c r="Z71" s="337"/>
      <c r="AA71" s="337"/>
      <c r="AB71" s="337"/>
      <c r="AC71" s="337"/>
      <c r="AD71" s="337"/>
      <c r="AE71" s="337"/>
      <c r="AF71" s="337"/>
      <c r="AG71" s="337"/>
      <c r="AH71" s="337"/>
      <c r="AI71" s="337"/>
      <c r="AJ71" s="337"/>
      <c r="AK71" s="337"/>
      <c r="AL71" s="337"/>
      <c r="AM71" s="337"/>
      <c r="AN71" s="337"/>
      <c r="AO71" s="337"/>
      <c r="AP71" s="337"/>
      <c r="AQ71" s="337"/>
      <c r="AR71" s="337"/>
      <c r="AS71" s="337"/>
    </row>
    <row r="72" spans="2:45" s="275" customFormat="1" ht="18" customHeight="1" x14ac:dyDescent="0.2">
      <c r="F72" s="340"/>
      <c r="G72" s="341"/>
      <c r="H72" s="337"/>
      <c r="I72" s="337"/>
      <c r="J72" s="340"/>
      <c r="K72" s="337"/>
      <c r="L72" s="341"/>
      <c r="M72" s="341"/>
      <c r="N72" s="341"/>
      <c r="O72" s="341"/>
      <c r="P72" s="340"/>
      <c r="Q72" s="341"/>
      <c r="R72" s="342"/>
      <c r="S72" s="340"/>
      <c r="T72" s="341"/>
      <c r="U72" s="341"/>
      <c r="V72" s="342"/>
      <c r="W72" s="342"/>
      <c r="X72" s="340"/>
      <c r="Y72" s="341"/>
      <c r="Z72" s="337"/>
      <c r="AA72" s="337"/>
      <c r="AB72" s="337"/>
      <c r="AC72" s="337"/>
      <c r="AD72" s="340"/>
      <c r="AE72" s="341"/>
      <c r="AF72" s="337"/>
      <c r="AG72" s="337"/>
      <c r="AH72" s="337"/>
      <c r="AI72" s="337"/>
      <c r="AJ72" s="337"/>
      <c r="AK72" s="337"/>
      <c r="AL72" s="337"/>
      <c r="AM72" s="337"/>
      <c r="AN72" s="337"/>
      <c r="AO72" s="337"/>
      <c r="AP72" s="337"/>
      <c r="AQ72" s="337"/>
      <c r="AR72" s="337"/>
      <c r="AS72" s="337"/>
    </row>
    <row r="73" spans="2:45" s="275" customFormat="1" ht="24" customHeight="1" x14ac:dyDescent="0.2">
      <c r="F73" s="337"/>
      <c r="G73" s="337"/>
      <c r="H73" s="337"/>
      <c r="I73" s="337"/>
      <c r="J73" s="337"/>
      <c r="K73" s="337"/>
      <c r="L73" s="337"/>
      <c r="M73" s="337"/>
      <c r="N73" s="337"/>
      <c r="O73" s="337"/>
      <c r="P73" s="337"/>
      <c r="Q73" s="337"/>
      <c r="R73" s="337"/>
      <c r="S73" s="337"/>
      <c r="T73" s="337"/>
      <c r="U73" s="337"/>
      <c r="V73" s="337"/>
      <c r="W73" s="337"/>
      <c r="X73" s="337"/>
      <c r="Y73" s="337"/>
      <c r="Z73" s="337"/>
      <c r="AA73" s="337"/>
      <c r="AB73" s="337"/>
      <c r="AC73" s="337"/>
      <c r="AD73" s="337"/>
      <c r="AE73" s="337"/>
      <c r="AF73" s="337"/>
      <c r="AG73" s="337"/>
      <c r="AH73" s="337"/>
      <c r="AI73" s="337"/>
      <c r="AJ73" s="337"/>
      <c r="AK73" s="337"/>
      <c r="AL73" s="337"/>
      <c r="AM73" s="337"/>
      <c r="AN73" s="337"/>
      <c r="AO73" s="337"/>
      <c r="AP73" s="337"/>
      <c r="AQ73" s="337"/>
      <c r="AR73" s="337"/>
      <c r="AS73" s="337"/>
    </row>
    <row r="74" spans="2:45" s="275" customFormat="1" ht="24" customHeight="1" x14ac:dyDescent="0.2">
      <c r="F74" s="337"/>
      <c r="G74" s="337"/>
      <c r="H74" s="337"/>
      <c r="I74" s="337"/>
      <c r="J74" s="337"/>
      <c r="K74" s="337"/>
      <c r="L74" s="337"/>
      <c r="M74" s="337"/>
      <c r="N74" s="337"/>
      <c r="O74" s="337"/>
      <c r="P74" s="337"/>
      <c r="Q74" s="337"/>
      <c r="R74" s="337"/>
      <c r="S74" s="337"/>
      <c r="T74" s="337"/>
      <c r="U74" s="337"/>
      <c r="V74" s="337"/>
      <c r="W74" s="337"/>
      <c r="X74" s="337"/>
      <c r="Y74" s="337"/>
      <c r="Z74" s="337"/>
      <c r="AA74" s="337"/>
      <c r="AB74" s="337"/>
      <c r="AC74" s="337"/>
      <c r="AD74" s="337"/>
      <c r="AE74" s="337"/>
      <c r="AF74" s="337"/>
      <c r="AG74" s="337"/>
      <c r="AH74" s="337"/>
      <c r="AI74" s="337"/>
      <c r="AJ74" s="337"/>
      <c r="AK74" s="337"/>
      <c r="AL74" s="337"/>
      <c r="AM74" s="337"/>
      <c r="AN74" s="337"/>
      <c r="AO74" s="337"/>
      <c r="AP74" s="337"/>
      <c r="AQ74" s="337"/>
      <c r="AR74" s="337"/>
      <c r="AS74" s="337"/>
    </row>
    <row r="75" spans="2:45" s="275" customFormat="1" ht="22.5" customHeight="1" x14ac:dyDescent="0.2">
      <c r="F75" s="337"/>
      <c r="G75" s="337"/>
      <c r="H75" s="337"/>
      <c r="I75" s="337"/>
      <c r="J75" s="337"/>
      <c r="K75" s="337"/>
      <c r="L75" s="337"/>
      <c r="M75" s="337"/>
      <c r="N75" s="337"/>
      <c r="O75" s="337"/>
      <c r="P75" s="337"/>
      <c r="Q75" s="337"/>
      <c r="R75" s="337"/>
      <c r="S75" s="337"/>
      <c r="T75" s="337"/>
      <c r="U75" s="337"/>
      <c r="V75" s="337"/>
      <c r="W75" s="337"/>
      <c r="X75" s="337"/>
      <c r="Y75" s="337"/>
      <c r="Z75" s="337"/>
      <c r="AA75" s="337"/>
      <c r="AB75" s="337"/>
      <c r="AC75" s="337"/>
      <c r="AD75" s="337"/>
      <c r="AE75" s="337"/>
      <c r="AF75" s="337"/>
      <c r="AG75" s="337"/>
      <c r="AH75" s="337"/>
      <c r="AI75" s="337"/>
      <c r="AJ75" s="337"/>
      <c r="AK75" s="337"/>
      <c r="AL75" s="337"/>
      <c r="AM75" s="337"/>
      <c r="AN75" s="337"/>
      <c r="AO75" s="337"/>
      <c r="AP75" s="337"/>
      <c r="AQ75" s="337"/>
      <c r="AR75" s="337"/>
      <c r="AS75" s="337"/>
    </row>
    <row r="76" spans="2:45" s="275" customFormat="1" x14ac:dyDescent="0.2">
      <c r="F76" s="337"/>
      <c r="G76" s="337"/>
      <c r="H76" s="337"/>
      <c r="I76" s="337"/>
      <c r="J76" s="337"/>
      <c r="K76" s="337"/>
      <c r="L76" s="337"/>
      <c r="M76" s="337"/>
      <c r="N76" s="337"/>
      <c r="O76" s="337"/>
      <c r="P76" s="337"/>
      <c r="Q76" s="337"/>
      <c r="R76" s="337"/>
      <c r="S76" s="337"/>
      <c r="T76" s="337"/>
      <c r="U76" s="337"/>
      <c r="V76" s="337"/>
      <c r="W76" s="337"/>
      <c r="X76" s="337"/>
      <c r="Y76" s="337"/>
      <c r="Z76" s="337"/>
      <c r="AA76" s="337"/>
      <c r="AB76" s="337"/>
      <c r="AC76" s="337"/>
      <c r="AD76" s="337"/>
      <c r="AE76" s="337"/>
      <c r="AF76" s="337"/>
      <c r="AG76" s="337"/>
      <c r="AH76" s="337"/>
      <c r="AI76" s="337"/>
      <c r="AJ76" s="337"/>
      <c r="AK76" s="337"/>
      <c r="AL76" s="337"/>
      <c r="AM76" s="337"/>
      <c r="AN76" s="337"/>
      <c r="AO76" s="337"/>
      <c r="AP76" s="337"/>
      <c r="AQ76" s="337"/>
      <c r="AR76" s="337"/>
      <c r="AS76" s="337"/>
    </row>
    <row r="77" spans="2:45" s="275" customFormat="1" x14ac:dyDescent="0.2">
      <c r="F77" s="337"/>
      <c r="G77" s="337"/>
      <c r="H77" s="337"/>
      <c r="I77" s="337"/>
      <c r="J77" s="337"/>
      <c r="K77" s="337"/>
      <c r="L77" s="337"/>
      <c r="M77" s="337"/>
      <c r="N77" s="337"/>
      <c r="O77" s="337"/>
      <c r="P77" s="337"/>
      <c r="Q77" s="337"/>
      <c r="R77" s="337"/>
      <c r="S77" s="337"/>
      <c r="T77" s="337"/>
      <c r="U77" s="337"/>
      <c r="V77" s="337"/>
      <c r="W77" s="337"/>
      <c r="X77" s="337"/>
      <c r="Y77" s="337"/>
      <c r="Z77" s="337"/>
      <c r="AA77" s="337"/>
      <c r="AB77" s="337"/>
      <c r="AC77" s="337"/>
      <c r="AD77" s="337"/>
      <c r="AE77" s="337"/>
      <c r="AF77" s="337"/>
      <c r="AG77" s="337"/>
      <c r="AH77" s="337"/>
      <c r="AI77" s="337"/>
      <c r="AJ77" s="337"/>
      <c r="AK77" s="337"/>
      <c r="AL77" s="337"/>
      <c r="AM77" s="337"/>
      <c r="AN77" s="337"/>
      <c r="AO77" s="337"/>
      <c r="AP77" s="337"/>
      <c r="AQ77" s="337"/>
      <c r="AR77" s="337"/>
      <c r="AS77" s="337"/>
    </row>
    <row r="78" spans="2:45" s="275" customFormat="1" x14ac:dyDescent="0.2">
      <c r="F78" s="337"/>
      <c r="G78" s="337"/>
      <c r="H78" s="337"/>
      <c r="I78" s="337"/>
      <c r="J78" s="337"/>
      <c r="K78" s="337"/>
      <c r="L78" s="337"/>
      <c r="M78" s="337"/>
      <c r="N78" s="337"/>
      <c r="O78" s="337"/>
      <c r="P78" s="337"/>
      <c r="Q78" s="337"/>
      <c r="R78" s="337"/>
      <c r="S78" s="337"/>
      <c r="T78" s="337"/>
      <c r="U78" s="337"/>
      <c r="V78" s="337"/>
      <c r="W78" s="337"/>
      <c r="X78" s="337"/>
      <c r="Y78" s="337"/>
      <c r="Z78" s="337"/>
      <c r="AA78" s="337"/>
      <c r="AB78" s="337"/>
      <c r="AC78" s="337"/>
      <c r="AD78" s="337"/>
      <c r="AE78" s="337"/>
      <c r="AF78" s="337"/>
      <c r="AG78" s="337"/>
      <c r="AH78" s="337"/>
      <c r="AI78" s="337"/>
      <c r="AJ78" s="337"/>
      <c r="AK78" s="337"/>
      <c r="AL78" s="337"/>
      <c r="AM78" s="337"/>
      <c r="AN78" s="337"/>
      <c r="AO78" s="337"/>
      <c r="AP78" s="337"/>
      <c r="AQ78" s="337"/>
      <c r="AR78" s="337"/>
      <c r="AS78" s="337"/>
    </row>
    <row r="79" spans="2:45" s="275" customFormat="1" x14ac:dyDescent="0.2">
      <c r="F79" s="337"/>
      <c r="G79" s="337"/>
      <c r="H79" s="337"/>
      <c r="I79" s="337"/>
      <c r="J79" s="337"/>
      <c r="K79" s="337"/>
      <c r="L79" s="337"/>
      <c r="M79" s="337"/>
      <c r="N79" s="337"/>
      <c r="O79" s="337"/>
      <c r="P79" s="337"/>
      <c r="Q79" s="337"/>
      <c r="R79" s="337"/>
      <c r="S79" s="337"/>
      <c r="T79" s="337"/>
      <c r="U79" s="337"/>
      <c r="V79" s="337"/>
      <c r="W79" s="337"/>
      <c r="X79" s="337"/>
      <c r="Y79" s="337"/>
      <c r="Z79" s="337"/>
      <c r="AA79" s="337"/>
      <c r="AB79" s="337"/>
      <c r="AC79" s="337"/>
      <c r="AD79" s="337"/>
      <c r="AE79" s="337"/>
      <c r="AF79" s="337"/>
      <c r="AG79" s="337"/>
      <c r="AH79" s="337"/>
      <c r="AI79" s="337"/>
      <c r="AJ79" s="337"/>
      <c r="AK79" s="337"/>
      <c r="AL79" s="337"/>
      <c r="AM79" s="337"/>
      <c r="AN79" s="337"/>
      <c r="AO79" s="337"/>
      <c r="AP79" s="337"/>
      <c r="AQ79" s="337"/>
      <c r="AR79" s="337"/>
      <c r="AS79" s="337"/>
    </row>
    <row r="80" spans="2:45" s="275" customFormat="1" x14ac:dyDescent="0.2">
      <c r="F80" s="337"/>
      <c r="G80" s="337"/>
      <c r="H80" s="337"/>
      <c r="I80" s="337"/>
      <c r="J80" s="337"/>
      <c r="K80" s="337"/>
      <c r="P80" s="337"/>
      <c r="Q80" s="337"/>
      <c r="R80" s="337"/>
      <c r="S80" s="337"/>
      <c r="T80" s="337"/>
      <c r="U80" s="337"/>
      <c r="V80" s="337"/>
      <c r="W80" s="337"/>
      <c r="X80" s="337"/>
      <c r="Y80" s="337"/>
      <c r="Z80" s="337"/>
      <c r="AA80" s="337"/>
      <c r="AB80" s="337"/>
      <c r="AC80" s="337"/>
      <c r="AD80" s="337"/>
      <c r="AE80" s="337"/>
      <c r="AF80" s="337"/>
      <c r="AG80" s="337"/>
      <c r="AH80" s="337"/>
      <c r="AI80" s="337"/>
      <c r="AJ80" s="337"/>
      <c r="AK80" s="337"/>
      <c r="AL80" s="337"/>
      <c r="AM80" s="337"/>
      <c r="AN80" s="337"/>
      <c r="AO80" s="337"/>
      <c r="AP80" s="337"/>
      <c r="AQ80" s="337"/>
      <c r="AR80" s="337"/>
      <c r="AS80" s="337"/>
    </row>
    <row r="81" spans="2:32" s="275" customFormat="1" x14ac:dyDescent="0.2">
      <c r="G81" s="337"/>
      <c r="L81" s="337"/>
      <c r="M81" s="337"/>
      <c r="N81" s="337"/>
      <c r="O81" s="337"/>
    </row>
    <row r="83" spans="2:32" ht="15.75" x14ac:dyDescent="0.25">
      <c r="B83" s="201"/>
      <c r="F83" s="202"/>
      <c r="I83" s="202"/>
      <c r="P83" s="202"/>
      <c r="S83" s="202"/>
      <c r="X83" s="202"/>
      <c r="AB83" s="202"/>
      <c r="AF83" s="202"/>
    </row>
    <row r="85" spans="2:32" ht="12.75" thickBot="1" x14ac:dyDescent="0.25">
      <c r="AB85" s="97"/>
    </row>
    <row r="86" spans="2:32" ht="15" x14ac:dyDescent="0.25">
      <c r="C86" s="100"/>
      <c r="D86" s="101"/>
      <c r="E86" s="101"/>
      <c r="F86" s="101"/>
      <c r="G86" s="101"/>
      <c r="H86" s="101"/>
      <c r="I86" s="102"/>
      <c r="J86"/>
      <c r="K86"/>
      <c r="L86"/>
      <c r="M86"/>
      <c r="N86"/>
      <c r="O86"/>
      <c r="P86"/>
      <c r="Q86"/>
      <c r="R86"/>
    </row>
    <row r="87" spans="2:32" ht="15" x14ac:dyDescent="0.25">
      <c r="C87" s="103"/>
      <c r="D87" s="5"/>
      <c r="E87" s="5"/>
      <c r="F87" s="6"/>
      <c r="G87" s="104"/>
      <c r="H87" s="104"/>
      <c r="I87" s="105"/>
      <c r="J87"/>
      <c r="K87"/>
      <c r="L87"/>
      <c r="M87"/>
      <c r="N87"/>
      <c r="O87"/>
      <c r="P87"/>
      <c r="Q87"/>
      <c r="R87"/>
    </row>
    <row r="88" spans="2:32" ht="15" x14ac:dyDescent="0.25">
      <c r="C88" s="103"/>
      <c r="D88" s="5"/>
      <c r="E88" s="5"/>
      <c r="F88" s="6"/>
      <c r="G88" s="104"/>
      <c r="H88" s="104"/>
      <c r="I88" s="105"/>
      <c r="J88"/>
      <c r="K88"/>
      <c r="L88"/>
      <c r="M88"/>
      <c r="N88"/>
      <c r="O88"/>
      <c r="P88"/>
      <c r="Q88"/>
      <c r="R88"/>
    </row>
    <row r="89" spans="2:32" ht="15" x14ac:dyDescent="0.25">
      <c r="C89" s="103"/>
      <c r="D89" s="5"/>
      <c r="E89" s="5"/>
      <c r="F89" s="6"/>
      <c r="G89" s="104"/>
      <c r="H89" s="104"/>
      <c r="I89" s="105"/>
      <c r="J89"/>
      <c r="K89"/>
      <c r="L89"/>
      <c r="M89"/>
      <c r="N89"/>
      <c r="O89"/>
      <c r="P89"/>
      <c r="Q89"/>
      <c r="R89"/>
    </row>
    <row r="90" spans="2:32" ht="15" x14ac:dyDescent="0.25">
      <c r="C90" s="103"/>
      <c r="D90" s="5"/>
      <c r="E90" s="5"/>
      <c r="F90" s="98"/>
      <c r="G90" s="104"/>
      <c r="H90" s="104"/>
      <c r="I90" s="105"/>
      <c r="J90"/>
      <c r="K90"/>
      <c r="L90"/>
      <c r="M90"/>
      <c r="N90"/>
      <c r="O90"/>
      <c r="P90"/>
      <c r="Q90"/>
      <c r="R90"/>
    </row>
    <row r="91" spans="2:32" ht="15" x14ac:dyDescent="0.25">
      <c r="C91" s="103"/>
      <c r="D91" s="5"/>
      <c r="E91" s="5"/>
      <c r="F91" s="98"/>
      <c r="G91" s="104"/>
      <c r="H91" s="104"/>
      <c r="I91" s="105"/>
      <c r="J91"/>
      <c r="K91" s="113"/>
      <c r="L91" s="113"/>
      <c r="M91" s="113"/>
      <c r="N91" s="113"/>
      <c r="O91" s="113"/>
      <c r="P91"/>
      <c r="Q91"/>
      <c r="R91"/>
    </row>
    <row r="92" spans="2:32" ht="15" x14ac:dyDescent="0.25">
      <c r="C92" s="103"/>
      <c r="D92" s="5"/>
      <c r="E92" s="5"/>
      <c r="F92" s="98"/>
      <c r="G92" s="104"/>
      <c r="H92" s="104"/>
      <c r="I92" s="105"/>
      <c r="J92"/>
      <c r="K92"/>
      <c r="L92"/>
      <c r="M92"/>
      <c r="N92"/>
      <c r="O92"/>
      <c r="P92"/>
      <c r="Q92"/>
      <c r="R92"/>
    </row>
    <row r="93" spans="2:32" ht="15" x14ac:dyDescent="0.25">
      <c r="B93" s="97"/>
      <c r="C93" s="238"/>
      <c r="D93" s="5"/>
      <c r="E93" s="5"/>
      <c r="F93" s="237"/>
      <c r="G93" s="104"/>
      <c r="H93" s="104"/>
      <c r="I93" s="105"/>
      <c r="J93"/>
      <c r="K93"/>
      <c r="L93"/>
      <c r="M93"/>
      <c r="N93"/>
      <c r="O93"/>
      <c r="P93"/>
      <c r="Q93"/>
      <c r="R93"/>
    </row>
    <row r="94" spans="2:32" ht="15" x14ac:dyDescent="0.25">
      <c r="B94" s="97"/>
      <c r="C94" s="238"/>
      <c r="D94" s="5"/>
      <c r="E94" s="5"/>
      <c r="F94" s="237"/>
      <c r="G94" s="104"/>
      <c r="H94" s="104"/>
      <c r="I94" s="105"/>
      <c r="J94"/>
      <c r="K94"/>
      <c r="L94"/>
      <c r="M94"/>
      <c r="N94"/>
      <c r="O94"/>
      <c r="P94"/>
      <c r="Q94"/>
      <c r="R94"/>
    </row>
    <row r="95" spans="2:32" ht="15" x14ac:dyDescent="0.25">
      <c r="C95" s="103"/>
      <c r="D95" s="5"/>
      <c r="E95" s="5"/>
      <c r="F95" s="99"/>
      <c r="G95" s="106"/>
      <c r="H95" s="104"/>
      <c r="I95" s="105"/>
      <c r="J95"/>
      <c r="K95" s="114"/>
      <c r="L95" s="115"/>
      <c r="M95" s="115"/>
      <c r="N95" s="115"/>
      <c r="O95" s="115"/>
      <c r="P95"/>
      <c r="Q95"/>
      <c r="R95"/>
    </row>
    <row r="96" spans="2:32" ht="15" x14ac:dyDescent="0.25">
      <c r="C96" s="107"/>
      <c r="D96" s="104"/>
      <c r="E96" s="104"/>
      <c r="F96" s="104"/>
      <c r="G96" s="104"/>
      <c r="H96" s="104"/>
      <c r="I96" s="105"/>
      <c r="J96"/>
      <c r="K96"/>
      <c r="L96"/>
      <c r="M96"/>
      <c r="N96"/>
      <c r="O96"/>
      <c r="P96"/>
      <c r="Q96"/>
      <c r="R96"/>
    </row>
    <row r="97" spans="3:18" ht="15" x14ac:dyDescent="0.25">
      <c r="C97" s="107"/>
      <c r="D97" s="104"/>
      <c r="E97" s="104"/>
      <c r="F97" s="104"/>
      <c r="G97" s="104"/>
      <c r="H97" s="104"/>
      <c r="I97" s="105"/>
      <c r="J97"/>
      <c r="K97"/>
      <c r="L97"/>
      <c r="M97"/>
      <c r="N97"/>
      <c r="O97"/>
      <c r="P97"/>
      <c r="Q97"/>
      <c r="R97"/>
    </row>
    <row r="98" spans="3:18" ht="15.75" thickBot="1" x14ac:dyDescent="0.3">
      <c r="C98" s="108"/>
      <c r="D98" s="111"/>
      <c r="E98" s="111"/>
      <c r="F98" s="109"/>
      <c r="G98" s="110"/>
      <c r="H98" s="111"/>
      <c r="I98" s="112"/>
      <c r="J98"/>
      <c r="K98"/>
      <c r="L98"/>
      <c r="M98"/>
      <c r="N98"/>
      <c r="O98"/>
      <c r="P98"/>
      <c r="Q98"/>
      <c r="R98"/>
    </row>
    <row r="99" spans="3:18" ht="15" x14ac:dyDescent="0.25">
      <c r="C99"/>
      <c r="D99"/>
      <c r="E99"/>
      <c r="F99"/>
      <c r="G99"/>
      <c r="H99"/>
      <c r="I99"/>
      <c r="J99"/>
      <c r="K99"/>
      <c r="L99"/>
      <c r="M99"/>
      <c r="N99"/>
      <c r="O99"/>
      <c r="P99"/>
      <c r="Q99"/>
      <c r="R99"/>
    </row>
  </sheetData>
  <autoFilter ref="A3:AS40" xr:uid="{5EA8D87E-E9B0-4D56-8258-FCC53681BEE7}"/>
  <mergeCells count="24">
    <mergeCell ref="BA28:BB30"/>
    <mergeCell ref="AT39:AW39"/>
    <mergeCell ref="AN46:AP46"/>
    <mergeCell ref="AT33:AW34"/>
    <mergeCell ref="AY28:AZ30"/>
    <mergeCell ref="AO33:AQ33"/>
    <mergeCell ref="Z1:AC1"/>
    <mergeCell ref="AD1:AE1"/>
    <mergeCell ref="R1:T1"/>
    <mergeCell ref="C1:G1"/>
    <mergeCell ref="H1:L1"/>
    <mergeCell ref="M1:Q1"/>
    <mergeCell ref="U1:Y1"/>
    <mergeCell ref="AF1:AG1"/>
    <mergeCell ref="AL1:AM1"/>
    <mergeCell ref="AN1:AO1"/>
    <mergeCell ref="AP1:AQ1"/>
    <mergeCell ref="AH1:AK1"/>
    <mergeCell ref="A39:B39"/>
    <mergeCell ref="A40:B40"/>
    <mergeCell ref="A41:B41"/>
    <mergeCell ref="A34:B34"/>
    <mergeCell ref="A35:B35"/>
    <mergeCell ref="A38:B38"/>
  </mergeCells>
  <pageMargins left="0.7" right="0.7" top="0.75" bottom="0.75" header="0.3" footer="0.3"/>
  <pageSetup paperSize="9" scale="12" orientation="portrait" verticalDpi="90" r:id="rId1"/>
  <colBreaks count="1" manualBreakCount="1">
    <brk id="52"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2A9A4-ADCA-4959-BD1F-B036C910AE66}">
  <sheetPr>
    <tabColor rgb="FFFFCCFF"/>
  </sheetPr>
  <dimension ref="A1:AX114"/>
  <sheetViews>
    <sheetView showGridLines="0" zoomScale="75" zoomScaleNormal="75" workbookViewId="0">
      <pane xSplit="1" topLeftCell="B1" activePane="topRight" state="frozen"/>
      <selection pane="topRight" activeCell="AB119" sqref="AB119"/>
    </sheetView>
  </sheetViews>
  <sheetFormatPr defaultRowHeight="15" outlineLevelRow="1" outlineLevelCol="1" x14ac:dyDescent="0.25"/>
  <cols>
    <col min="1" max="1" width="74.85546875" customWidth="1"/>
    <col min="2" max="2" width="8.28515625" style="135" hidden="1" customWidth="1"/>
    <col min="3" max="3" width="13.5703125" style="135" hidden="1" customWidth="1"/>
    <col min="4" max="4" width="8.85546875" hidden="1" customWidth="1" outlineLevel="1"/>
    <col min="5" max="6" width="9.140625" hidden="1" customWidth="1" outlineLevel="1"/>
    <col min="7" max="7" width="8.85546875" hidden="1" customWidth="1" outlineLevel="1"/>
    <col min="8" max="8" width="10" style="60" hidden="1" customWidth="1" collapsed="1"/>
    <col min="9" max="11" width="8.85546875" hidden="1" customWidth="1" outlineLevel="1"/>
    <col min="12" max="12" width="0.28515625" hidden="1" customWidth="1" outlineLevel="1"/>
    <col min="13" max="13" width="10.7109375" style="60" hidden="1" customWidth="1" collapsed="1"/>
    <col min="14" max="18" width="8.85546875" hidden="1" customWidth="1" outlineLevel="1"/>
    <col min="19" max="19" width="10.140625" style="60" hidden="1" customWidth="1" collapsed="1"/>
    <col min="20" max="22" width="8.85546875" hidden="1" customWidth="1" outlineLevel="1"/>
    <col min="23" max="23" width="9.140625" hidden="1" customWidth="1" outlineLevel="1"/>
    <col min="24" max="24" width="11.28515625" style="60" hidden="1" customWidth="1" collapsed="1"/>
    <col min="25" max="25" width="11.28515625" customWidth="1" outlineLevel="1"/>
    <col min="26" max="26" width="10.7109375" customWidth="1" outlineLevel="1"/>
    <col min="27" max="27" width="10.42578125" customWidth="1" outlineLevel="1"/>
    <col min="28" max="28" width="11" customWidth="1" outlineLevel="1"/>
    <col min="29" max="29" width="12.7109375" style="60" customWidth="1"/>
    <col min="30" max="30" width="10.5703125" customWidth="1" outlineLevel="1"/>
    <col min="31" max="31" width="10" customWidth="1" outlineLevel="1"/>
    <col min="32" max="32" width="10.140625" customWidth="1" outlineLevel="1"/>
    <col min="33" max="33" width="10.7109375" customWidth="1" outlineLevel="1"/>
    <col min="34" max="34" width="11" customWidth="1" outlineLevel="1"/>
    <col min="35" max="35" width="11" style="60" customWidth="1"/>
    <col min="36" max="36" width="10" customWidth="1" outlineLevel="1"/>
    <col min="37" max="37" width="10.42578125" customWidth="1" outlineLevel="1"/>
    <col min="38" max="38" width="11.85546875" customWidth="1" outlineLevel="1"/>
    <col min="39" max="39" width="11" customWidth="1" outlineLevel="1"/>
    <col min="40" max="40" width="12.42578125" style="60" customWidth="1"/>
    <col min="41" max="41" width="11.140625" customWidth="1" outlineLevel="1"/>
    <col min="42" max="42" width="11" customWidth="1" outlineLevel="1"/>
    <col min="43" max="43" width="11.5703125" customWidth="1" outlineLevel="1"/>
    <col min="44" max="44" width="10.140625" customWidth="1" outlineLevel="1"/>
    <col min="45" max="45" width="12.7109375" customWidth="1" outlineLevel="1"/>
    <col min="46" max="46" width="12.140625" style="60" customWidth="1"/>
    <col min="47" max="47" width="18.42578125" customWidth="1"/>
    <col min="49" max="49" width="11.140625" bestFit="1" customWidth="1"/>
  </cols>
  <sheetData>
    <row r="1" spans="1:47" x14ac:dyDescent="0.25">
      <c r="A1" s="7"/>
      <c r="B1" s="8">
        <v>0.3</v>
      </c>
      <c r="C1" s="130"/>
      <c r="D1" s="411" t="s">
        <v>82</v>
      </c>
      <c r="E1" s="411"/>
      <c r="F1" s="411"/>
      <c r="G1" s="411"/>
      <c r="H1" s="9"/>
      <c r="I1" s="400" t="s">
        <v>83</v>
      </c>
      <c r="J1" s="400"/>
      <c r="K1" s="400"/>
      <c r="L1" s="400"/>
      <c r="M1" s="10"/>
      <c r="N1" s="400" t="s">
        <v>84</v>
      </c>
      <c r="O1" s="400"/>
      <c r="P1" s="400"/>
      <c r="Q1" s="400"/>
      <c r="R1" s="400"/>
      <c r="S1" s="10"/>
      <c r="T1" s="400" t="s">
        <v>85</v>
      </c>
      <c r="U1" s="400"/>
      <c r="V1" s="400"/>
      <c r="W1" s="400"/>
      <c r="X1" s="10"/>
      <c r="Y1" s="400" t="s">
        <v>86</v>
      </c>
      <c r="Z1" s="400"/>
      <c r="AA1" s="400"/>
      <c r="AB1" s="400"/>
      <c r="AC1" s="10"/>
      <c r="AD1" s="400" t="s">
        <v>87</v>
      </c>
      <c r="AE1" s="400"/>
      <c r="AF1" s="400"/>
      <c r="AG1" s="400"/>
      <c r="AH1" s="400"/>
      <c r="AI1" s="10"/>
      <c r="AJ1" s="400" t="s">
        <v>88</v>
      </c>
      <c r="AK1" s="400"/>
      <c r="AL1" s="400"/>
      <c r="AM1" s="400"/>
      <c r="AN1" s="10"/>
      <c r="AO1" s="400" t="s">
        <v>89</v>
      </c>
      <c r="AP1" s="400"/>
      <c r="AQ1" s="400"/>
      <c r="AR1" s="400"/>
      <c r="AS1" s="400"/>
      <c r="AT1" s="10"/>
    </row>
    <row r="2" spans="1:47" ht="39.75" customHeight="1" x14ac:dyDescent="0.25">
      <c r="A2" s="11" t="s">
        <v>90</v>
      </c>
      <c r="B2" s="12" t="s">
        <v>91</v>
      </c>
      <c r="C2" s="12" t="s">
        <v>92</v>
      </c>
      <c r="D2" s="11" t="s">
        <v>93</v>
      </c>
      <c r="E2" s="11" t="s">
        <v>94</v>
      </c>
      <c r="F2" s="11" t="s">
        <v>95</v>
      </c>
      <c r="G2" s="11" t="s">
        <v>96</v>
      </c>
      <c r="H2" s="13" t="s">
        <v>82</v>
      </c>
      <c r="I2" s="11" t="s">
        <v>97</v>
      </c>
      <c r="J2" s="11" t="s">
        <v>98</v>
      </c>
      <c r="K2" s="11" t="s">
        <v>99</v>
      </c>
      <c r="L2" s="11" t="s">
        <v>100</v>
      </c>
      <c r="M2" s="13" t="s">
        <v>83</v>
      </c>
      <c r="N2" s="11" t="s">
        <v>101</v>
      </c>
      <c r="O2" s="11" t="s">
        <v>102</v>
      </c>
      <c r="P2" s="11" t="s">
        <v>103</v>
      </c>
      <c r="Q2" s="11" t="s">
        <v>104</v>
      </c>
      <c r="R2" s="11" t="s">
        <v>105</v>
      </c>
      <c r="S2" s="13" t="s">
        <v>84</v>
      </c>
      <c r="T2" s="11" t="s">
        <v>106</v>
      </c>
      <c r="U2" s="11" t="s">
        <v>107</v>
      </c>
      <c r="V2" s="11" t="s">
        <v>108</v>
      </c>
      <c r="W2" s="11" t="s">
        <v>109</v>
      </c>
      <c r="X2" s="13" t="s">
        <v>85</v>
      </c>
      <c r="Y2" s="11" t="s">
        <v>110</v>
      </c>
      <c r="Z2" s="11" t="s">
        <v>111</v>
      </c>
      <c r="AA2" s="11" t="s">
        <v>112</v>
      </c>
      <c r="AB2" s="11" t="s">
        <v>113</v>
      </c>
      <c r="AC2" s="13" t="s">
        <v>114</v>
      </c>
      <c r="AD2" s="11" t="s">
        <v>115</v>
      </c>
      <c r="AE2" s="11" t="s">
        <v>116</v>
      </c>
      <c r="AF2" s="11" t="s">
        <v>117</v>
      </c>
      <c r="AG2" s="11" t="s">
        <v>118</v>
      </c>
      <c r="AH2" s="11" t="s">
        <v>119</v>
      </c>
      <c r="AI2" s="13" t="s">
        <v>87</v>
      </c>
      <c r="AJ2" s="11" t="s">
        <v>120</v>
      </c>
      <c r="AK2" s="11" t="s">
        <v>121</v>
      </c>
      <c r="AL2" s="11" t="s">
        <v>122</v>
      </c>
      <c r="AM2" s="11" t="s">
        <v>123</v>
      </c>
      <c r="AN2" s="13" t="s">
        <v>88</v>
      </c>
      <c r="AO2" s="11" t="s">
        <v>124</v>
      </c>
      <c r="AP2" s="11" t="s">
        <v>125</v>
      </c>
      <c r="AQ2" s="11" t="s">
        <v>126</v>
      </c>
      <c r="AR2" s="11" t="s">
        <v>127</v>
      </c>
      <c r="AS2" s="11" t="s">
        <v>128</v>
      </c>
      <c r="AT2" s="13" t="s">
        <v>89</v>
      </c>
    </row>
    <row r="3" spans="1:47" ht="16.5" hidden="1" outlineLevel="1" thickBot="1" x14ac:dyDescent="0.3">
      <c r="A3" s="14" t="s">
        <v>129</v>
      </c>
      <c r="B3" s="401" t="s">
        <v>24</v>
      </c>
      <c r="C3" s="15"/>
      <c r="D3" s="4"/>
      <c r="E3" s="4"/>
      <c r="F3" s="4"/>
      <c r="G3" s="4"/>
      <c r="H3" s="16">
        <v>23985</v>
      </c>
      <c r="I3" s="4"/>
      <c r="J3" s="4"/>
      <c r="K3" s="4"/>
      <c r="L3" s="4"/>
      <c r="M3" s="16">
        <v>23985</v>
      </c>
      <c r="N3" s="4"/>
      <c r="O3" s="4"/>
      <c r="P3" s="4"/>
      <c r="Q3" s="4"/>
      <c r="R3" s="4"/>
      <c r="S3" s="16">
        <v>23985</v>
      </c>
      <c r="T3" s="4"/>
      <c r="U3" s="4"/>
      <c r="V3" s="4"/>
      <c r="W3" s="4"/>
      <c r="X3" s="16">
        <v>23985</v>
      </c>
      <c r="Y3" s="4">
        <v>1799</v>
      </c>
      <c r="Z3" s="4">
        <v>1799</v>
      </c>
      <c r="AA3" s="4">
        <v>1799</v>
      </c>
      <c r="AB3" s="4">
        <v>1799</v>
      </c>
      <c r="AC3" s="16">
        <f>Y3+Z3+AA3+AB3</f>
        <v>7196</v>
      </c>
      <c r="AD3" s="4">
        <v>1439</v>
      </c>
      <c r="AE3" s="4">
        <v>1439</v>
      </c>
      <c r="AF3" s="4">
        <v>1439</v>
      </c>
      <c r="AG3" s="4">
        <v>1439</v>
      </c>
      <c r="AH3" s="4">
        <v>1439</v>
      </c>
      <c r="AI3" s="16">
        <f>AD3+AE3+AF3+AG3+AH3</f>
        <v>7195</v>
      </c>
      <c r="AJ3" s="4">
        <v>1799</v>
      </c>
      <c r="AK3" s="4">
        <v>1799</v>
      </c>
      <c r="AL3" s="4">
        <v>1799</v>
      </c>
      <c r="AM3" s="4">
        <v>1799</v>
      </c>
      <c r="AN3" s="16">
        <f>AJ3+AK3+AL3+AM3</f>
        <v>7196</v>
      </c>
      <c r="AO3" s="4">
        <v>1439</v>
      </c>
      <c r="AP3" s="4">
        <v>1439</v>
      </c>
      <c r="AQ3" s="4">
        <v>1439</v>
      </c>
      <c r="AR3" s="4">
        <v>1439</v>
      </c>
      <c r="AS3" s="4">
        <v>1439</v>
      </c>
      <c r="AT3" s="16">
        <f>AO3+AP3+AQ3+AR3+AS3</f>
        <v>7195</v>
      </c>
    </row>
    <row r="4" spans="1:47" ht="16.5" hidden="1" outlineLevel="1" thickBot="1" x14ac:dyDescent="0.3">
      <c r="A4" s="14" t="s">
        <v>130</v>
      </c>
      <c r="B4" s="402"/>
      <c r="C4" s="17"/>
      <c r="D4" s="4"/>
      <c r="E4" s="4"/>
      <c r="F4" s="4"/>
      <c r="G4" s="4"/>
      <c r="H4" s="16">
        <v>23709</v>
      </c>
      <c r="I4" s="4"/>
      <c r="J4" s="4"/>
      <c r="K4" s="4"/>
      <c r="L4" s="4"/>
      <c r="M4" s="16">
        <v>23709</v>
      </c>
      <c r="N4" s="4"/>
      <c r="O4" s="4"/>
      <c r="P4" s="4"/>
      <c r="Q4" s="4"/>
      <c r="R4" s="4"/>
      <c r="S4" s="16">
        <v>23709</v>
      </c>
      <c r="T4" s="4"/>
      <c r="U4" s="4"/>
      <c r="V4" s="4"/>
      <c r="W4" s="4"/>
      <c r="X4" s="16">
        <v>23709</v>
      </c>
      <c r="Y4" s="4">
        <v>1783</v>
      </c>
      <c r="Z4" s="4">
        <v>1783</v>
      </c>
      <c r="AA4" s="4">
        <v>1783</v>
      </c>
      <c r="AB4" s="4">
        <v>1783</v>
      </c>
      <c r="AC4" s="16">
        <f>Y4+Z4+AA4+AB4</f>
        <v>7132</v>
      </c>
      <c r="AD4" s="4">
        <v>1423</v>
      </c>
      <c r="AE4" s="4">
        <v>1423</v>
      </c>
      <c r="AF4" s="4">
        <v>1423</v>
      </c>
      <c r="AG4" s="4">
        <v>1423</v>
      </c>
      <c r="AH4" s="4">
        <v>1423</v>
      </c>
      <c r="AI4" s="16">
        <f>AD4+AE4+AF4+AG4+AH4</f>
        <v>7115</v>
      </c>
      <c r="AJ4" s="4">
        <v>1783</v>
      </c>
      <c r="AK4" s="4">
        <v>1783</v>
      </c>
      <c r="AL4" s="4">
        <v>1783</v>
      </c>
      <c r="AM4" s="4">
        <v>1783</v>
      </c>
      <c r="AN4" s="16">
        <f>AJ4+AK4+AL4+AM4</f>
        <v>7132</v>
      </c>
      <c r="AO4" s="4">
        <v>1423</v>
      </c>
      <c r="AP4" s="4">
        <v>1423</v>
      </c>
      <c r="AQ4" s="4">
        <v>1423</v>
      </c>
      <c r="AR4" s="4">
        <v>1423</v>
      </c>
      <c r="AS4" s="4">
        <v>1423</v>
      </c>
      <c r="AT4" s="16">
        <f>AO4+AP4+AQ4+AR4+AS4</f>
        <v>7115</v>
      </c>
    </row>
    <row r="5" spans="1:47" ht="16.5" hidden="1" outlineLevel="1" thickBot="1" x14ac:dyDescent="0.3">
      <c r="A5" s="304" t="s">
        <v>131</v>
      </c>
      <c r="B5" s="403"/>
      <c r="C5" s="17"/>
      <c r="D5" s="4"/>
      <c r="E5" s="4"/>
      <c r="F5" s="4"/>
      <c r="G5" s="4"/>
      <c r="H5" s="16">
        <v>347</v>
      </c>
      <c r="I5" s="4"/>
      <c r="J5" s="4"/>
      <c r="K5" s="4"/>
      <c r="L5" s="4"/>
      <c r="M5" s="16">
        <v>347</v>
      </c>
      <c r="N5" s="4"/>
      <c r="O5" s="4"/>
      <c r="P5" s="4"/>
      <c r="Q5" s="4"/>
      <c r="R5" s="4"/>
      <c r="S5" s="16">
        <v>347</v>
      </c>
      <c r="T5" s="4"/>
      <c r="U5" s="4"/>
      <c r="V5" s="4"/>
      <c r="W5" s="4"/>
      <c r="X5" s="16">
        <v>347</v>
      </c>
      <c r="Y5" s="4">
        <v>26</v>
      </c>
      <c r="Z5" s="4">
        <v>26</v>
      </c>
      <c r="AA5" s="4">
        <v>26</v>
      </c>
      <c r="AB5" s="4">
        <v>26</v>
      </c>
      <c r="AC5" s="16">
        <f>Y5+Z5+AA5+AB5</f>
        <v>104</v>
      </c>
      <c r="AD5" s="4">
        <v>21</v>
      </c>
      <c r="AE5" s="4">
        <v>21</v>
      </c>
      <c r="AF5" s="4">
        <v>21</v>
      </c>
      <c r="AG5" s="4">
        <v>21</v>
      </c>
      <c r="AH5" s="4">
        <v>21</v>
      </c>
      <c r="AI5" s="16">
        <f>AD5+AE5+AF5+AG5+AH5</f>
        <v>105</v>
      </c>
      <c r="AJ5" s="4">
        <v>26</v>
      </c>
      <c r="AK5" s="4">
        <v>26</v>
      </c>
      <c r="AL5" s="4">
        <v>26</v>
      </c>
      <c r="AM5" s="4">
        <v>26</v>
      </c>
      <c r="AN5" s="16">
        <f>AJ5+AK5+AL5+AM5</f>
        <v>104</v>
      </c>
      <c r="AO5" s="4">
        <v>21</v>
      </c>
      <c r="AP5" s="4">
        <v>21</v>
      </c>
      <c r="AQ5" s="4">
        <v>21</v>
      </c>
      <c r="AR5" s="4">
        <v>21</v>
      </c>
      <c r="AS5" s="4">
        <v>21</v>
      </c>
      <c r="AT5" s="16">
        <f>AO5+AP5+AQ5+AR5+AS5</f>
        <v>105</v>
      </c>
    </row>
    <row r="6" spans="1:47" hidden="1" outlineLevel="1" x14ac:dyDescent="0.25">
      <c r="A6" s="405" t="s">
        <v>132</v>
      </c>
      <c r="B6" s="407" t="s">
        <v>24</v>
      </c>
      <c r="C6" s="409"/>
      <c r="D6" s="4"/>
      <c r="E6" s="4"/>
      <c r="F6" s="4"/>
      <c r="G6" s="4"/>
      <c r="H6" s="16">
        <v>347</v>
      </c>
      <c r="I6" s="4"/>
      <c r="J6" s="4"/>
      <c r="K6" s="4"/>
      <c r="L6" s="4"/>
      <c r="M6" s="16">
        <v>347</v>
      </c>
      <c r="N6" s="4"/>
      <c r="O6" s="4"/>
      <c r="P6" s="4"/>
      <c r="Q6" s="4"/>
      <c r="R6" s="4"/>
      <c r="S6" s="16">
        <v>347</v>
      </c>
      <c r="T6" s="4"/>
      <c r="U6" s="4"/>
      <c r="V6" s="4"/>
      <c r="W6" s="4"/>
      <c r="X6" s="16">
        <v>347</v>
      </c>
      <c r="Y6" s="4">
        <v>26</v>
      </c>
      <c r="Z6" s="4">
        <v>26</v>
      </c>
      <c r="AA6" s="4">
        <v>26</v>
      </c>
      <c r="AB6" s="4">
        <v>26</v>
      </c>
      <c r="AC6" s="16">
        <f>Y6+Z6+AA6+AB6</f>
        <v>104</v>
      </c>
      <c r="AD6" s="4">
        <v>21</v>
      </c>
      <c r="AE6" s="4">
        <v>21</v>
      </c>
      <c r="AF6" s="4">
        <v>21</v>
      </c>
      <c r="AG6" s="4">
        <v>21</v>
      </c>
      <c r="AH6" s="4">
        <v>21</v>
      </c>
      <c r="AI6" s="16">
        <f>AD6+AE6+AF6+AG6+AH6</f>
        <v>105</v>
      </c>
      <c r="AJ6" s="4">
        <v>26</v>
      </c>
      <c r="AK6" s="4">
        <v>26</v>
      </c>
      <c r="AL6" s="4">
        <v>26</v>
      </c>
      <c r="AM6" s="4">
        <v>26</v>
      </c>
      <c r="AN6" s="16">
        <f>X6*0.3</f>
        <v>104.1</v>
      </c>
      <c r="AO6" s="4">
        <v>21</v>
      </c>
      <c r="AP6" s="4">
        <v>21</v>
      </c>
      <c r="AQ6" s="4">
        <v>21</v>
      </c>
      <c r="AR6" s="4">
        <v>21</v>
      </c>
      <c r="AS6" s="4">
        <v>21</v>
      </c>
      <c r="AT6" s="16">
        <f>AO6+AP6+AQ6+AR6+AS6</f>
        <v>105</v>
      </c>
    </row>
    <row r="7" spans="1:47" ht="15.75" hidden="1" outlineLevel="1" thickBot="1" x14ac:dyDescent="0.3">
      <c r="A7" s="406"/>
      <c r="B7" s="408"/>
      <c r="C7" s="410"/>
      <c r="D7" s="4"/>
      <c r="E7" s="4"/>
      <c r="F7" s="4"/>
      <c r="G7" s="4"/>
      <c r="H7" s="16">
        <f>SUM(D7:G7)</f>
        <v>0</v>
      </c>
      <c r="I7" s="4"/>
      <c r="J7" s="4"/>
      <c r="K7" s="4"/>
      <c r="L7" s="4"/>
      <c r="M7" s="16">
        <f>SUM(I7:L7)</f>
        <v>0</v>
      </c>
      <c r="N7" s="4"/>
      <c r="O7" s="4"/>
      <c r="P7" s="4"/>
      <c r="Q7" s="4"/>
      <c r="R7" s="4"/>
      <c r="S7" s="16">
        <f>SUM(N7:R7)</f>
        <v>0</v>
      </c>
      <c r="T7" s="4"/>
      <c r="U7" s="4"/>
      <c r="V7" s="4"/>
      <c r="W7" s="4"/>
      <c r="X7" s="16">
        <f>SUM(T7:W7)</f>
        <v>0</v>
      </c>
      <c r="Y7" s="4"/>
      <c r="Z7" s="4"/>
      <c r="AA7" s="4"/>
      <c r="AB7" s="4"/>
      <c r="AC7" s="16">
        <f>SUM(Y7:AB7)</f>
        <v>0</v>
      </c>
      <c r="AD7" s="4"/>
      <c r="AE7" s="4"/>
      <c r="AF7" s="4"/>
      <c r="AG7" s="4"/>
      <c r="AH7" s="4"/>
      <c r="AI7" s="16">
        <f>SUM(AD7:AH7)</f>
        <v>0</v>
      </c>
      <c r="AJ7" s="4"/>
      <c r="AK7" s="4"/>
      <c r="AL7" s="4"/>
      <c r="AM7" s="4"/>
      <c r="AN7" s="16">
        <f>SUM(AJ7:AM7)</f>
        <v>0</v>
      </c>
      <c r="AO7" s="4"/>
      <c r="AP7" s="4"/>
      <c r="AQ7" s="4"/>
      <c r="AR7" s="4"/>
      <c r="AS7" s="4"/>
      <c r="AT7" s="16">
        <f>SUM(AO7:AS7)</f>
        <v>0</v>
      </c>
    </row>
    <row r="8" spans="1:47" ht="15.75" hidden="1" outlineLevel="1" x14ac:dyDescent="0.25">
      <c r="A8" s="18" t="s">
        <v>133</v>
      </c>
      <c r="B8" s="19" t="s">
        <v>134</v>
      </c>
      <c r="C8" s="20"/>
      <c r="D8" s="4"/>
      <c r="E8" s="4"/>
      <c r="F8" s="4"/>
      <c r="G8" s="4"/>
      <c r="H8" s="16">
        <v>2120</v>
      </c>
      <c r="I8" s="4"/>
      <c r="J8" s="4"/>
      <c r="K8" s="4"/>
      <c r="L8" s="4"/>
      <c r="M8" s="16">
        <v>2120</v>
      </c>
      <c r="N8" s="4"/>
      <c r="O8" s="4"/>
      <c r="P8" s="4"/>
      <c r="Q8" s="4"/>
      <c r="R8" s="4"/>
      <c r="S8" s="16">
        <v>2120</v>
      </c>
      <c r="T8" s="4"/>
      <c r="U8" s="4"/>
      <c r="V8" s="4"/>
      <c r="W8" s="4"/>
      <c r="X8" s="16">
        <v>2120</v>
      </c>
      <c r="Y8" s="4"/>
      <c r="Z8" s="4"/>
      <c r="AA8" s="4"/>
      <c r="AB8" s="4"/>
      <c r="AC8" s="16">
        <f>X8*0.3</f>
        <v>636</v>
      </c>
      <c r="AD8" s="4"/>
      <c r="AE8" s="4"/>
      <c r="AF8" s="4"/>
      <c r="AG8" s="4"/>
      <c r="AH8" s="4"/>
      <c r="AI8" s="16">
        <f>X8*0.3</f>
        <v>636</v>
      </c>
      <c r="AJ8" s="4"/>
      <c r="AK8" s="4"/>
      <c r="AL8" s="4"/>
      <c r="AM8" s="4"/>
      <c r="AN8" s="16">
        <f>X8*0.3</f>
        <v>636</v>
      </c>
      <c r="AO8" s="4"/>
      <c r="AP8" s="4"/>
      <c r="AQ8" s="4"/>
      <c r="AR8" s="4"/>
      <c r="AS8" s="4"/>
      <c r="AT8" s="16">
        <f>X8*0.3</f>
        <v>636</v>
      </c>
    </row>
    <row r="9" spans="1:47" ht="15.75" collapsed="1" x14ac:dyDescent="0.25">
      <c r="A9" s="21" t="s">
        <v>135</v>
      </c>
      <c r="B9" s="22"/>
      <c r="C9" s="22"/>
      <c r="D9" s="23">
        <f t="shared" ref="D9:AT9" si="0">SUM(D3:D8)</f>
        <v>0</v>
      </c>
      <c r="E9" s="23">
        <f t="shared" si="0"/>
        <v>0</v>
      </c>
      <c r="F9" s="23">
        <f t="shared" si="0"/>
        <v>0</v>
      </c>
      <c r="G9" s="23">
        <f t="shared" si="0"/>
        <v>0</v>
      </c>
      <c r="H9" s="23">
        <f t="shared" si="0"/>
        <v>50508</v>
      </c>
      <c r="I9" s="23">
        <f t="shared" si="0"/>
        <v>0</v>
      </c>
      <c r="J9" s="23">
        <f t="shared" si="0"/>
        <v>0</v>
      </c>
      <c r="K9" s="23">
        <f t="shared" si="0"/>
        <v>0</v>
      </c>
      <c r="L9" s="23">
        <f t="shared" si="0"/>
        <v>0</v>
      </c>
      <c r="M9" s="23">
        <f t="shared" si="0"/>
        <v>50508</v>
      </c>
      <c r="N9" s="23">
        <f t="shared" si="0"/>
        <v>0</v>
      </c>
      <c r="O9" s="23">
        <f t="shared" si="0"/>
        <v>0</v>
      </c>
      <c r="P9" s="23">
        <f t="shared" si="0"/>
        <v>0</v>
      </c>
      <c r="Q9" s="23">
        <f t="shared" si="0"/>
        <v>0</v>
      </c>
      <c r="R9" s="23">
        <f t="shared" si="0"/>
        <v>0</v>
      </c>
      <c r="S9" s="23">
        <f t="shared" si="0"/>
        <v>50508</v>
      </c>
      <c r="T9" s="23">
        <f t="shared" si="0"/>
        <v>0</v>
      </c>
      <c r="U9" s="23">
        <f t="shared" si="0"/>
        <v>0</v>
      </c>
      <c r="V9" s="23">
        <f t="shared" si="0"/>
        <v>0</v>
      </c>
      <c r="W9" s="23">
        <f t="shared" si="0"/>
        <v>0</v>
      </c>
      <c r="X9" s="23">
        <f t="shared" si="0"/>
        <v>50508</v>
      </c>
      <c r="Y9" s="23">
        <f t="shared" si="0"/>
        <v>3634</v>
      </c>
      <c r="Z9" s="23">
        <f t="shared" si="0"/>
        <v>3634</v>
      </c>
      <c r="AA9" s="23">
        <f t="shared" si="0"/>
        <v>3634</v>
      </c>
      <c r="AB9" s="23">
        <f t="shared" si="0"/>
        <v>3634</v>
      </c>
      <c r="AC9" s="23">
        <f t="shared" si="0"/>
        <v>15172</v>
      </c>
      <c r="AD9" s="23">
        <f>SUM(AD3:AD8)</f>
        <v>2904</v>
      </c>
      <c r="AE9" s="23">
        <f t="shared" si="0"/>
        <v>2904</v>
      </c>
      <c r="AF9" s="23">
        <f t="shared" si="0"/>
        <v>2904</v>
      </c>
      <c r="AG9" s="23">
        <f t="shared" si="0"/>
        <v>2904</v>
      </c>
      <c r="AH9" s="23">
        <f t="shared" si="0"/>
        <v>2904</v>
      </c>
      <c r="AI9" s="23">
        <f t="shared" si="0"/>
        <v>15156</v>
      </c>
      <c r="AJ9" s="23">
        <f t="shared" si="0"/>
        <v>3634</v>
      </c>
      <c r="AK9" s="23">
        <f t="shared" si="0"/>
        <v>3634</v>
      </c>
      <c r="AL9" s="23">
        <f t="shared" si="0"/>
        <v>3634</v>
      </c>
      <c r="AM9" s="23">
        <f t="shared" si="0"/>
        <v>3634</v>
      </c>
      <c r="AN9" s="23">
        <f t="shared" si="0"/>
        <v>15172.1</v>
      </c>
      <c r="AO9" s="23">
        <f t="shared" si="0"/>
        <v>2904</v>
      </c>
      <c r="AP9" s="23">
        <f t="shared" si="0"/>
        <v>2904</v>
      </c>
      <c r="AQ9" s="23">
        <f t="shared" si="0"/>
        <v>2904</v>
      </c>
      <c r="AR9" s="23">
        <f t="shared" si="0"/>
        <v>2904</v>
      </c>
      <c r="AS9" s="23">
        <f t="shared" si="0"/>
        <v>2904</v>
      </c>
      <c r="AT9" s="23">
        <f t="shared" si="0"/>
        <v>15156</v>
      </c>
    </row>
    <row r="10" spans="1:47" ht="31.5" hidden="1" outlineLevel="1" x14ac:dyDescent="0.25">
      <c r="A10" s="63" t="s">
        <v>136</v>
      </c>
      <c r="B10" s="404" t="s">
        <v>24</v>
      </c>
      <c r="C10" s="128"/>
      <c r="D10" s="64">
        <v>14000</v>
      </c>
      <c r="E10" s="64">
        <v>14000</v>
      </c>
      <c r="F10" s="64">
        <v>14000</v>
      </c>
      <c r="G10" s="64">
        <v>14000</v>
      </c>
      <c r="H10" s="65">
        <f t="shared" ref="H10:H16" si="1">SUM(D10:G10)</f>
        <v>56000</v>
      </c>
      <c r="I10" s="66"/>
      <c r="J10" s="67"/>
      <c r="K10" s="67"/>
      <c r="L10" s="67"/>
      <c r="M10" s="65">
        <f t="shared" ref="M10:M15" si="2">SUM(I10:L10)</f>
        <v>0</v>
      </c>
      <c r="N10" s="67"/>
      <c r="O10" s="67"/>
      <c r="P10" s="67"/>
      <c r="Q10" s="67"/>
      <c r="R10" s="67"/>
      <c r="S10" s="65">
        <f t="shared" ref="S10:S15" si="3">SUM(N10:R10)</f>
        <v>0</v>
      </c>
      <c r="T10" s="67"/>
      <c r="U10" s="67"/>
      <c r="V10" s="67"/>
      <c r="W10" s="67"/>
      <c r="X10" s="65">
        <f t="shared" ref="X10:X16" si="4">SUM(T10:W10)</f>
        <v>0</v>
      </c>
      <c r="Y10" s="68">
        <f>G10*0.2</f>
        <v>2800</v>
      </c>
      <c r="Z10" s="68">
        <v>2800</v>
      </c>
      <c r="AA10" s="68">
        <v>2800</v>
      </c>
      <c r="AB10" s="68">
        <v>2800</v>
      </c>
      <c r="AC10" s="65"/>
      <c r="AD10" s="68">
        <v>2800</v>
      </c>
      <c r="AE10" s="68">
        <v>2800</v>
      </c>
      <c r="AF10" s="68">
        <v>2800</v>
      </c>
      <c r="AG10" s="68">
        <v>2800</v>
      </c>
      <c r="AH10" s="68">
        <v>2800</v>
      </c>
      <c r="AI10" s="65"/>
      <c r="AJ10" s="68">
        <v>2800</v>
      </c>
      <c r="AK10" s="68">
        <v>2800</v>
      </c>
      <c r="AL10" s="68">
        <v>2800</v>
      </c>
      <c r="AM10" s="68">
        <v>2800</v>
      </c>
      <c r="AN10" s="65"/>
      <c r="AO10" s="68">
        <v>2800</v>
      </c>
      <c r="AP10" s="68">
        <v>2800</v>
      </c>
      <c r="AQ10" s="68">
        <v>2800</v>
      </c>
      <c r="AR10" s="68">
        <v>2800</v>
      </c>
      <c r="AS10" s="68">
        <v>2800</v>
      </c>
      <c r="AT10" s="65"/>
    </row>
    <row r="11" spans="1:47" ht="15.75" hidden="1" outlineLevel="1" x14ac:dyDescent="0.25">
      <c r="A11" s="69" t="s">
        <v>137</v>
      </c>
      <c r="B11" s="404"/>
      <c r="C11" s="128"/>
      <c r="D11" s="64">
        <v>16000</v>
      </c>
      <c r="E11" s="68"/>
      <c r="F11" s="64">
        <v>1800</v>
      </c>
      <c r="G11" s="68"/>
      <c r="H11" s="65">
        <f t="shared" si="1"/>
        <v>17800</v>
      </c>
      <c r="I11" s="68">
        <v>1200</v>
      </c>
      <c r="J11" s="68">
        <v>300</v>
      </c>
      <c r="K11" s="68"/>
      <c r="L11" s="68"/>
      <c r="M11" s="65">
        <f t="shared" si="2"/>
        <v>1500</v>
      </c>
      <c r="N11" s="68"/>
      <c r="O11" s="68"/>
      <c r="P11" s="68"/>
      <c r="Q11" s="68"/>
      <c r="R11" s="68"/>
      <c r="S11" s="65">
        <f t="shared" si="3"/>
        <v>0</v>
      </c>
      <c r="T11" s="68"/>
      <c r="U11" s="68"/>
      <c r="V11" s="68"/>
      <c r="W11" s="68"/>
      <c r="X11" s="65">
        <f t="shared" si="4"/>
        <v>0</v>
      </c>
      <c r="Y11" s="70"/>
      <c r="Z11" s="70"/>
      <c r="AA11" s="70"/>
      <c r="AB11" s="70"/>
      <c r="AC11" s="65">
        <f t="shared" ref="AC11" si="5">SUM(Y11:AB11)</f>
        <v>0</v>
      </c>
      <c r="AD11" s="70"/>
      <c r="AE11" s="70"/>
      <c r="AF11" s="70"/>
      <c r="AG11" s="70"/>
      <c r="AH11" s="70"/>
      <c r="AI11" s="65">
        <f t="shared" ref="AI11" si="6">SUM(AD11:AH11)</f>
        <v>0</v>
      </c>
      <c r="AJ11" s="70"/>
      <c r="AK11" s="70"/>
      <c r="AL11" s="70"/>
      <c r="AM11" s="70"/>
      <c r="AN11" s="65">
        <f t="shared" ref="AN11" si="7">SUM(AJ11:AM11)</f>
        <v>0</v>
      </c>
      <c r="AO11" s="70"/>
      <c r="AP11" s="70"/>
      <c r="AQ11" s="71">
        <v>1200</v>
      </c>
      <c r="AR11" s="71">
        <v>800</v>
      </c>
      <c r="AS11" s="71">
        <v>500</v>
      </c>
      <c r="AT11" s="65"/>
      <c r="AU11" s="26"/>
    </row>
    <row r="12" spans="1:47" ht="15.75" hidden="1" outlineLevel="1" x14ac:dyDescent="0.25">
      <c r="A12" s="69" t="s">
        <v>138</v>
      </c>
      <c r="B12" s="404"/>
      <c r="C12" s="128"/>
      <c r="D12" s="67"/>
      <c r="E12" s="67"/>
      <c r="F12" s="67"/>
      <c r="G12" s="67"/>
      <c r="H12" s="65">
        <f t="shared" si="1"/>
        <v>0</v>
      </c>
      <c r="I12" s="68"/>
      <c r="J12" s="68"/>
      <c r="K12" s="68"/>
      <c r="L12" s="68"/>
      <c r="M12" s="65">
        <f t="shared" si="2"/>
        <v>0</v>
      </c>
      <c r="N12" s="68"/>
      <c r="O12" s="68"/>
      <c r="P12" s="68"/>
      <c r="Q12" s="68"/>
      <c r="R12" s="68"/>
      <c r="S12" s="65">
        <f t="shared" si="3"/>
        <v>0</v>
      </c>
      <c r="T12" s="68"/>
      <c r="U12" s="68"/>
      <c r="V12" s="68"/>
      <c r="W12" s="68"/>
      <c r="X12" s="65">
        <f t="shared" si="4"/>
        <v>0</v>
      </c>
      <c r="Y12" s="68">
        <v>498</v>
      </c>
      <c r="Z12" s="68">
        <v>498</v>
      </c>
      <c r="AA12" s="68">
        <v>498</v>
      </c>
      <c r="AB12" s="68">
        <v>498</v>
      </c>
      <c r="AC12" s="65"/>
      <c r="AD12" s="68">
        <v>498</v>
      </c>
      <c r="AE12" s="68">
        <v>498</v>
      </c>
      <c r="AF12" s="68">
        <v>498</v>
      </c>
      <c r="AG12" s="68">
        <v>498</v>
      </c>
      <c r="AH12" s="68">
        <v>498</v>
      </c>
      <c r="AI12" s="65"/>
      <c r="AJ12" s="68">
        <v>498</v>
      </c>
      <c r="AK12" s="68">
        <v>498</v>
      </c>
      <c r="AL12" s="68">
        <v>498</v>
      </c>
      <c r="AM12" s="68">
        <v>498</v>
      </c>
      <c r="AN12" s="65"/>
      <c r="AO12" s="68">
        <v>498</v>
      </c>
      <c r="AP12" s="68">
        <v>498</v>
      </c>
      <c r="AQ12" s="68">
        <v>498</v>
      </c>
      <c r="AR12" s="68">
        <v>498</v>
      </c>
      <c r="AS12" s="68">
        <v>498</v>
      </c>
      <c r="AT12" s="65"/>
    </row>
    <row r="13" spans="1:47" ht="31.5" hidden="1" outlineLevel="1" x14ac:dyDescent="0.25">
      <c r="A13" s="63" t="s">
        <v>139</v>
      </c>
      <c r="B13" s="404"/>
      <c r="C13" s="72"/>
      <c r="D13" s="71">
        <v>3000</v>
      </c>
      <c r="E13" s="71">
        <v>3000</v>
      </c>
      <c r="F13" s="71">
        <v>3000</v>
      </c>
      <c r="G13" s="71">
        <v>3000</v>
      </c>
      <c r="H13" s="65">
        <f t="shared" si="1"/>
        <v>12000</v>
      </c>
      <c r="I13" s="66"/>
      <c r="J13" s="67"/>
      <c r="K13" s="67"/>
      <c r="L13" s="67"/>
      <c r="M13" s="65">
        <f t="shared" si="2"/>
        <v>0</v>
      </c>
      <c r="N13" s="67"/>
      <c r="O13" s="67"/>
      <c r="P13" s="67"/>
      <c r="Q13" s="67"/>
      <c r="R13" s="67"/>
      <c r="S13" s="65">
        <f t="shared" si="3"/>
        <v>0</v>
      </c>
      <c r="T13" s="67"/>
      <c r="U13" s="67"/>
      <c r="V13" s="67"/>
      <c r="W13" s="67"/>
      <c r="X13" s="65">
        <f t="shared" si="4"/>
        <v>0</v>
      </c>
      <c r="Y13" s="68"/>
      <c r="Z13" s="68"/>
      <c r="AA13" s="68"/>
      <c r="AB13" s="68"/>
      <c r="AC13" s="65"/>
      <c r="AD13" s="68"/>
      <c r="AE13" s="68"/>
      <c r="AF13" s="68"/>
      <c r="AG13" s="68"/>
      <c r="AH13" s="68"/>
      <c r="AI13" s="65"/>
      <c r="AJ13" s="68"/>
      <c r="AK13" s="68"/>
      <c r="AL13" s="68"/>
      <c r="AM13" s="68"/>
      <c r="AN13" s="65"/>
      <c r="AO13" s="68"/>
      <c r="AP13" s="68"/>
      <c r="AQ13" s="68"/>
      <c r="AR13" s="68"/>
      <c r="AS13" s="68"/>
      <c r="AT13" s="65"/>
      <c r="AU13" s="27"/>
    </row>
    <row r="14" spans="1:47" ht="31.5" hidden="1" outlineLevel="1" x14ac:dyDescent="0.25">
      <c r="A14" s="63" t="s">
        <v>186</v>
      </c>
      <c r="B14" s="129"/>
      <c r="C14" s="134"/>
      <c r="D14" s="68">
        <v>16000</v>
      </c>
      <c r="E14" s="68">
        <v>16000</v>
      </c>
      <c r="F14" s="68">
        <v>16000</v>
      </c>
      <c r="G14" s="68">
        <v>16000</v>
      </c>
      <c r="H14" s="65">
        <f t="shared" si="1"/>
        <v>64000</v>
      </c>
      <c r="I14" s="68">
        <v>16000</v>
      </c>
      <c r="J14" s="68">
        <v>16000</v>
      </c>
      <c r="K14" s="68">
        <v>16000</v>
      </c>
      <c r="L14" s="68">
        <v>16000</v>
      </c>
      <c r="M14" s="65">
        <f t="shared" si="2"/>
        <v>64000</v>
      </c>
      <c r="N14" s="68">
        <v>6000</v>
      </c>
      <c r="O14" s="68">
        <v>6000</v>
      </c>
      <c r="P14" s="68">
        <v>6000</v>
      </c>
      <c r="Q14" s="68">
        <v>6000</v>
      </c>
      <c r="R14" s="68">
        <v>6000</v>
      </c>
      <c r="S14" s="65">
        <f t="shared" si="3"/>
        <v>30000</v>
      </c>
      <c r="T14" s="68">
        <v>6000</v>
      </c>
      <c r="U14" s="68">
        <v>6000</v>
      </c>
      <c r="V14" s="68">
        <v>6000</v>
      </c>
      <c r="W14" s="68">
        <v>6000</v>
      </c>
      <c r="X14" s="65">
        <f t="shared" si="4"/>
        <v>24000</v>
      </c>
      <c r="Y14" s="68"/>
      <c r="AA14" s="68"/>
      <c r="AB14" s="68"/>
      <c r="AC14" s="65"/>
      <c r="AD14" s="68"/>
      <c r="AE14" s="68"/>
      <c r="AF14" s="68"/>
      <c r="AG14" s="68"/>
      <c r="AH14" s="68"/>
      <c r="AI14" s="65"/>
      <c r="AJ14" s="68"/>
      <c r="AK14" s="68"/>
      <c r="AL14" s="68"/>
      <c r="AM14" s="68"/>
      <c r="AN14" s="65"/>
      <c r="AO14" s="68"/>
      <c r="AP14" s="68"/>
      <c r="AQ14" s="68"/>
      <c r="AR14" s="68"/>
      <c r="AS14" s="68"/>
      <c r="AT14" s="65"/>
    </row>
    <row r="15" spans="1:47" ht="15.75" hidden="1" outlineLevel="1" x14ac:dyDescent="0.25">
      <c r="A15" s="305" t="s">
        <v>304</v>
      </c>
      <c r="B15" s="399" t="s">
        <v>24</v>
      </c>
      <c r="C15" s="134" t="s">
        <v>140</v>
      </c>
      <c r="D15" s="73">
        <v>17000</v>
      </c>
      <c r="E15" s="73"/>
      <c r="F15" s="68">
        <v>6000</v>
      </c>
      <c r="G15" s="68"/>
      <c r="H15" s="65">
        <f t="shared" si="1"/>
        <v>23000</v>
      </c>
      <c r="I15" s="68">
        <v>3000</v>
      </c>
      <c r="J15" s="68"/>
      <c r="K15" s="68">
        <v>1500</v>
      </c>
      <c r="L15" s="68"/>
      <c r="M15" s="65">
        <f t="shared" si="2"/>
        <v>4500</v>
      </c>
      <c r="N15" s="68"/>
      <c r="O15" s="68"/>
      <c r="P15" s="68"/>
      <c r="Q15" s="68"/>
      <c r="R15" s="68"/>
      <c r="S15" s="65">
        <f t="shared" si="3"/>
        <v>0</v>
      </c>
      <c r="T15" s="68"/>
      <c r="U15" s="68"/>
      <c r="V15" s="68"/>
      <c r="W15" s="68"/>
      <c r="X15" s="65">
        <f t="shared" si="4"/>
        <v>0</v>
      </c>
      <c r="Y15" s="65">
        <v>123246</v>
      </c>
      <c r="Z15" s="65">
        <v>123246</v>
      </c>
      <c r="AA15" s="65">
        <v>123246</v>
      </c>
      <c r="AB15" s="65">
        <v>123246</v>
      </c>
      <c r="AC15" s="65">
        <f>Y15+Z15+AA15+AB15</f>
        <v>492984</v>
      </c>
      <c r="AD15" s="65">
        <v>246493</v>
      </c>
      <c r="AE15" s="65">
        <v>246493</v>
      </c>
      <c r="AF15" s="65">
        <v>246493</v>
      </c>
      <c r="AG15" s="65">
        <v>246493</v>
      </c>
      <c r="AH15" s="65">
        <v>246493</v>
      </c>
      <c r="AI15" s="65">
        <f>AD15+AE15+AF15+AG15+AH15</f>
        <v>1232465</v>
      </c>
      <c r="AJ15" s="65">
        <v>246493</v>
      </c>
      <c r="AK15" s="65">
        <v>246493</v>
      </c>
      <c r="AL15" s="65">
        <v>246493</v>
      </c>
      <c r="AM15" s="65">
        <v>246493</v>
      </c>
      <c r="AN15" s="65">
        <f>AJ15+AK15+AL15+AM15</f>
        <v>985972</v>
      </c>
      <c r="AO15" s="65">
        <v>246493</v>
      </c>
      <c r="AP15" s="65">
        <v>246493</v>
      </c>
      <c r="AQ15" s="65">
        <v>246493</v>
      </c>
      <c r="AR15" s="65">
        <v>246493</v>
      </c>
      <c r="AS15" s="65">
        <v>246493</v>
      </c>
      <c r="AT15" s="65">
        <f>AO15+AP15+AQ15+AR15+AS15</f>
        <v>1232465</v>
      </c>
      <c r="AU15" s="28"/>
    </row>
    <row r="16" spans="1:47" ht="131.25" hidden="1" outlineLevel="1" x14ac:dyDescent="0.25">
      <c r="A16" s="289" t="s">
        <v>303</v>
      </c>
      <c r="B16" s="399"/>
      <c r="C16" s="134"/>
      <c r="D16" s="75"/>
      <c r="E16" s="76"/>
      <c r="F16" s="68"/>
      <c r="G16" s="77">
        <v>6000</v>
      </c>
      <c r="H16" s="65">
        <f t="shared" si="1"/>
        <v>6000</v>
      </c>
      <c r="I16" s="77">
        <v>6000</v>
      </c>
      <c r="J16" s="77">
        <v>4000</v>
      </c>
      <c r="K16" s="47">
        <v>2000</v>
      </c>
      <c r="L16" s="68"/>
      <c r="M16" s="65">
        <f>SUM(I16:L16)+500</f>
        <v>12500</v>
      </c>
      <c r="N16" s="68"/>
      <c r="O16" s="68"/>
      <c r="P16" s="68"/>
      <c r="Q16" s="68"/>
      <c r="R16" s="68"/>
      <c r="S16" s="65">
        <v>2500</v>
      </c>
      <c r="T16" s="68"/>
      <c r="U16" s="68"/>
      <c r="V16" s="68"/>
      <c r="W16" s="68"/>
      <c r="X16" s="65">
        <f t="shared" si="4"/>
        <v>0</v>
      </c>
      <c r="Y16" s="64">
        <v>12907</v>
      </c>
      <c r="Z16" s="64">
        <v>12907</v>
      </c>
      <c r="AA16" s="64">
        <v>12907</v>
      </c>
      <c r="AB16" s="64">
        <v>25813</v>
      </c>
      <c r="AC16" s="65">
        <f>Y16+Z16+AA16+AB16</f>
        <v>64534</v>
      </c>
      <c r="AD16" s="64">
        <v>25813</v>
      </c>
      <c r="AE16" s="64"/>
      <c r="AF16" s="64">
        <v>25813</v>
      </c>
      <c r="AG16" s="64"/>
      <c r="AH16" s="64">
        <v>25813</v>
      </c>
      <c r="AI16" s="65">
        <f>AD16+AE16+AF16+AG16+AH16</f>
        <v>77439</v>
      </c>
      <c r="AJ16" s="64"/>
      <c r="AK16" s="64">
        <v>25813</v>
      </c>
      <c r="AL16" s="64"/>
      <c r="AM16" s="64">
        <v>25813</v>
      </c>
      <c r="AN16" s="65">
        <f>AJ16+AK16+AL16+AM16</f>
        <v>51626</v>
      </c>
      <c r="AO16" s="64"/>
      <c r="AP16" s="64">
        <v>25813</v>
      </c>
      <c r="AQ16" s="64"/>
      <c r="AR16" s="64">
        <v>25813</v>
      </c>
      <c r="AS16" s="64"/>
      <c r="AT16" s="65">
        <f>AO16+AP16+AQ16+AR16+AS16</f>
        <v>51626</v>
      </c>
      <c r="AU16" s="29"/>
    </row>
    <row r="17" spans="1:50" ht="18.75" hidden="1" outlineLevel="1" x14ac:dyDescent="0.25">
      <c r="A17" s="74" t="s">
        <v>185</v>
      </c>
      <c r="B17" s="399"/>
      <c r="C17" s="134"/>
      <c r="D17" s="75"/>
      <c r="E17" s="76"/>
      <c r="F17" s="68"/>
      <c r="G17" s="77"/>
      <c r="H17" s="65"/>
      <c r="I17" s="77"/>
      <c r="J17" s="77"/>
      <c r="K17" s="47"/>
      <c r="L17" s="68"/>
      <c r="M17" s="65">
        <v>1500</v>
      </c>
      <c r="N17" s="68"/>
      <c r="O17" s="68"/>
      <c r="P17" s="68"/>
      <c r="Q17" s="68"/>
      <c r="R17" s="68"/>
      <c r="S17" s="65">
        <v>2000</v>
      </c>
      <c r="T17" s="68"/>
      <c r="U17" s="68"/>
      <c r="V17" s="68"/>
      <c r="W17" s="68"/>
      <c r="X17" s="65">
        <v>2000</v>
      </c>
      <c r="Y17" s="68"/>
      <c r="Z17" s="68"/>
      <c r="AA17" s="68"/>
      <c r="AB17" s="68"/>
      <c r="AC17" s="65" t="s">
        <v>302</v>
      </c>
      <c r="AD17" s="68"/>
      <c r="AE17" s="68"/>
      <c r="AF17" s="68"/>
      <c r="AG17" s="68"/>
      <c r="AH17" s="68"/>
      <c r="AI17" s="65">
        <f t="shared" ref="AI17:AI23" si="8">SUM(AD17:AH17)</f>
        <v>0</v>
      </c>
      <c r="AJ17" s="68"/>
      <c r="AK17" s="68"/>
      <c r="AL17" s="68"/>
      <c r="AM17" s="68"/>
      <c r="AN17" s="65">
        <f t="shared" ref="AN17" si="9">SUM(AI17:AM17)</f>
        <v>0</v>
      </c>
      <c r="AO17" s="68"/>
      <c r="AP17" s="68"/>
      <c r="AQ17" s="68"/>
      <c r="AR17" s="68"/>
      <c r="AS17" s="68"/>
      <c r="AT17" s="65">
        <f t="shared" ref="AT17" si="10">SUM(AO17:AS17)</f>
        <v>0</v>
      </c>
      <c r="AU17" s="29"/>
    </row>
    <row r="18" spans="1:50" ht="15.75" hidden="1" outlineLevel="1" x14ac:dyDescent="0.25">
      <c r="A18" s="63" t="s">
        <v>138</v>
      </c>
      <c r="B18" s="399"/>
      <c r="C18" s="134"/>
      <c r="D18" s="68"/>
      <c r="E18" s="68"/>
      <c r="F18" s="68"/>
      <c r="G18" s="68"/>
      <c r="H18" s="65">
        <f t="shared" ref="H18:H23" si="11">SUM(D18:G18)</f>
        <v>0</v>
      </c>
      <c r="I18" s="68"/>
      <c r="J18" s="68"/>
      <c r="K18" s="68"/>
      <c r="L18" s="68"/>
      <c r="M18" s="65">
        <f t="shared" ref="M18:M23" si="12">SUM(I18:L18)</f>
        <v>0</v>
      </c>
      <c r="N18" s="68"/>
      <c r="O18" s="68"/>
      <c r="P18" s="68"/>
      <c r="Q18" s="68"/>
      <c r="R18" s="68"/>
      <c r="S18" s="65">
        <f t="shared" ref="S18:S23" si="13">SUM(N18:R18)</f>
        <v>0</v>
      </c>
      <c r="T18" s="68"/>
      <c r="U18" s="68"/>
      <c r="V18" s="68"/>
      <c r="W18" s="68"/>
      <c r="X18" s="65">
        <f t="shared" ref="X18:X23" si="14">SUM(T18:W18)</f>
        <v>0</v>
      </c>
      <c r="Y18" s="68">
        <v>663</v>
      </c>
      <c r="Z18" s="68">
        <v>663</v>
      </c>
      <c r="AA18" s="68">
        <v>663</v>
      </c>
      <c r="AB18" s="68">
        <v>663</v>
      </c>
      <c r="AC18" s="65" t="s">
        <v>302</v>
      </c>
      <c r="AD18" s="68">
        <v>663</v>
      </c>
      <c r="AE18" s="68">
        <v>663</v>
      </c>
      <c r="AF18" s="68">
        <v>663</v>
      </c>
      <c r="AG18" s="68">
        <v>663</v>
      </c>
      <c r="AH18" s="68">
        <v>663</v>
      </c>
      <c r="AI18" s="65" t="s">
        <v>302</v>
      </c>
      <c r="AJ18" s="68">
        <v>663</v>
      </c>
      <c r="AK18" s="68">
        <v>663</v>
      </c>
      <c r="AL18" s="68">
        <v>663</v>
      </c>
      <c r="AM18" s="68">
        <v>663</v>
      </c>
      <c r="AN18" s="65" t="s">
        <v>302</v>
      </c>
      <c r="AO18" s="68">
        <v>663</v>
      </c>
      <c r="AP18" s="68">
        <v>663</v>
      </c>
      <c r="AQ18" s="68">
        <v>663</v>
      </c>
      <c r="AR18" s="68">
        <v>663</v>
      </c>
      <c r="AS18" s="68">
        <v>663</v>
      </c>
      <c r="AT18" s="65" t="s">
        <v>302</v>
      </c>
    </row>
    <row r="19" spans="1:50" ht="31.5" hidden="1" outlineLevel="1" x14ac:dyDescent="0.25">
      <c r="A19" s="69" t="s">
        <v>141</v>
      </c>
      <c r="B19" s="134" t="s">
        <v>24</v>
      </c>
      <c r="C19" s="134" t="s">
        <v>142</v>
      </c>
      <c r="D19" s="78">
        <v>300</v>
      </c>
      <c r="E19" s="68">
        <v>300</v>
      </c>
      <c r="F19" s="68">
        <v>300</v>
      </c>
      <c r="G19" s="68">
        <v>300</v>
      </c>
      <c r="H19" s="65">
        <f t="shared" si="11"/>
        <v>1200</v>
      </c>
      <c r="I19" s="68">
        <v>300</v>
      </c>
      <c r="J19" s="68">
        <v>300</v>
      </c>
      <c r="K19" s="78">
        <v>300</v>
      </c>
      <c r="L19" s="78">
        <v>300</v>
      </c>
      <c r="M19" s="65">
        <f t="shared" si="12"/>
        <v>1200</v>
      </c>
      <c r="N19" s="68"/>
      <c r="O19" s="68"/>
      <c r="P19" s="68"/>
      <c r="Q19" s="68"/>
      <c r="R19" s="68"/>
      <c r="S19" s="65">
        <f t="shared" si="13"/>
        <v>0</v>
      </c>
      <c r="T19" s="68"/>
      <c r="U19" s="68"/>
      <c r="V19" s="68"/>
      <c r="W19" s="68"/>
      <c r="X19" s="65">
        <f t="shared" si="14"/>
        <v>0</v>
      </c>
      <c r="Y19" s="68"/>
      <c r="Z19" s="68"/>
      <c r="AA19" s="68"/>
      <c r="AB19" s="68"/>
      <c r="AC19" s="65">
        <f t="shared" ref="AC19:AC23" si="15">SUM(Y19:AB19)</f>
        <v>0</v>
      </c>
      <c r="AD19" s="68"/>
      <c r="AE19" s="68"/>
      <c r="AF19" s="68"/>
      <c r="AG19" s="68"/>
      <c r="AH19" s="68"/>
      <c r="AI19" s="65">
        <f t="shared" si="8"/>
        <v>0</v>
      </c>
      <c r="AJ19" s="68"/>
      <c r="AK19" s="68"/>
      <c r="AL19" s="68"/>
      <c r="AM19" s="68"/>
      <c r="AN19" s="65">
        <f t="shared" ref="AN19:AN23" si="16">SUM(AJ19:AM19)</f>
        <v>0</v>
      </c>
      <c r="AO19" s="68"/>
      <c r="AP19" s="68"/>
      <c r="AQ19" s="68"/>
      <c r="AR19" s="68"/>
      <c r="AS19" s="68"/>
      <c r="AT19" s="65">
        <f t="shared" ref="AT19:AT23" si="17">SUM(AO19:AS19)</f>
        <v>0</v>
      </c>
      <c r="AU19" s="26"/>
    </row>
    <row r="20" spans="1:50" ht="31.5" hidden="1" outlineLevel="1" x14ac:dyDescent="0.25">
      <c r="A20" s="69" t="s">
        <v>22</v>
      </c>
      <c r="B20" s="134" t="s">
        <v>24</v>
      </c>
      <c r="C20" s="134" t="s">
        <v>23</v>
      </c>
      <c r="D20" s="68"/>
      <c r="E20" s="68"/>
      <c r="F20" s="68"/>
      <c r="G20" s="68"/>
      <c r="H20" s="65">
        <f t="shared" si="11"/>
        <v>0</v>
      </c>
      <c r="I20" s="68"/>
      <c r="J20" s="68"/>
      <c r="K20" s="68"/>
      <c r="L20" s="68"/>
      <c r="M20" s="65">
        <f t="shared" si="12"/>
        <v>0</v>
      </c>
      <c r="N20" s="79">
        <f>(1500+2800)*1.1 + 2500</f>
        <v>7230</v>
      </c>
      <c r="O20" s="79">
        <f>(1500+2800)*1.1 + 2500</f>
        <v>7230</v>
      </c>
      <c r="P20" s="79">
        <f>(1500+2800)*1.1 + 2500</f>
        <v>7230</v>
      </c>
      <c r="Q20" s="79">
        <f>(1500+2800)*1.1 + 2500</f>
        <v>7230</v>
      </c>
      <c r="R20" s="79">
        <f>(1500+2800)*1.1 + 2500</f>
        <v>7230</v>
      </c>
      <c r="S20" s="65">
        <f t="shared" si="13"/>
        <v>36150</v>
      </c>
      <c r="T20" s="79">
        <f>(1500+2800)*1.1 + 2500</f>
        <v>7230</v>
      </c>
      <c r="U20" s="79">
        <f>(1500+2800)*1.1 + 2500</f>
        <v>7230</v>
      </c>
      <c r="V20" s="79">
        <f>(1500+2800)*1.1 + 2500</f>
        <v>7230</v>
      </c>
      <c r="W20" s="79">
        <f>(1500+2800)*1.1 + 2500</f>
        <v>7230</v>
      </c>
      <c r="X20" s="65">
        <f t="shared" si="14"/>
        <v>28920</v>
      </c>
      <c r="Y20" s="68"/>
      <c r="Z20" s="68"/>
      <c r="AA20" s="68"/>
      <c r="AB20" s="68"/>
      <c r="AC20" s="65">
        <f t="shared" si="15"/>
        <v>0</v>
      </c>
      <c r="AD20" s="68"/>
      <c r="AE20" s="68"/>
      <c r="AF20" s="68"/>
      <c r="AG20" s="68"/>
      <c r="AH20" s="68"/>
      <c r="AI20" s="65">
        <f t="shared" si="8"/>
        <v>0</v>
      </c>
      <c r="AJ20" s="68"/>
      <c r="AK20" s="68"/>
      <c r="AL20" s="68"/>
      <c r="AM20" s="68"/>
      <c r="AN20" s="65">
        <f t="shared" si="16"/>
        <v>0</v>
      </c>
      <c r="AO20" s="68"/>
      <c r="AP20" s="68"/>
      <c r="AQ20" s="68"/>
      <c r="AR20" s="68"/>
      <c r="AS20" s="68"/>
      <c r="AT20" s="65">
        <f t="shared" si="17"/>
        <v>0</v>
      </c>
      <c r="AU20" s="412"/>
      <c r="AV20" s="412"/>
    </row>
    <row r="21" spans="1:50" ht="31.5" hidden="1" outlineLevel="1" x14ac:dyDescent="0.25">
      <c r="A21" s="69" t="s">
        <v>143</v>
      </c>
      <c r="B21" s="134" t="s">
        <v>24</v>
      </c>
      <c r="C21" s="134" t="s">
        <v>23</v>
      </c>
      <c r="D21" s="68"/>
      <c r="E21" s="68"/>
      <c r="F21" s="68"/>
      <c r="G21" s="68"/>
      <c r="H21" s="65">
        <f t="shared" si="11"/>
        <v>0</v>
      </c>
      <c r="I21" s="68"/>
      <c r="J21" s="68"/>
      <c r="K21" s="68"/>
      <c r="L21" s="68"/>
      <c r="M21" s="65">
        <f t="shared" si="12"/>
        <v>0</v>
      </c>
      <c r="N21" s="68">
        <v>350</v>
      </c>
      <c r="O21" s="68">
        <v>350</v>
      </c>
      <c r="P21" s="68">
        <v>350</v>
      </c>
      <c r="Q21" s="68">
        <v>350</v>
      </c>
      <c r="R21" s="68">
        <v>350</v>
      </c>
      <c r="S21" s="65">
        <f t="shared" si="13"/>
        <v>1750</v>
      </c>
      <c r="T21" s="68">
        <v>350</v>
      </c>
      <c r="U21" s="68">
        <v>350</v>
      </c>
      <c r="V21" s="68">
        <v>350</v>
      </c>
      <c r="W21" s="68">
        <v>350</v>
      </c>
      <c r="X21" s="65">
        <f t="shared" si="14"/>
        <v>1400</v>
      </c>
      <c r="Y21" s="68"/>
      <c r="Z21" s="68"/>
      <c r="AA21" s="68"/>
      <c r="AB21" s="68"/>
      <c r="AC21" s="65">
        <f t="shared" si="15"/>
        <v>0</v>
      </c>
      <c r="AD21" s="68"/>
      <c r="AE21" s="68"/>
      <c r="AF21" s="68"/>
      <c r="AG21" s="68"/>
      <c r="AH21" s="68"/>
      <c r="AI21" s="65">
        <f t="shared" si="8"/>
        <v>0</v>
      </c>
      <c r="AJ21" s="68"/>
      <c r="AK21" s="68"/>
      <c r="AL21" s="68"/>
      <c r="AM21" s="68"/>
      <c r="AN21" s="65">
        <f t="shared" si="16"/>
        <v>0</v>
      </c>
      <c r="AO21" s="68"/>
      <c r="AP21" s="68"/>
      <c r="AQ21" s="68"/>
      <c r="AR21" s="68"/>
      <c r="AS21" s="68"/>
      <c r="AT21" s="65">
        <f t="shared" si="17"/>
        <v>0</v>
      </c>
    </row>
    <row r="22" spans="1:50" ht="78.75" hidden="1" outlineLevel="1" x14ac:dyDescent="0.25">
      <c r="A22" s="69" t="s">
        <v>25</v>
      </c>
      <c r="B22" s="134" t="s">
        <v>24</v>
      </c>
      <c r="C22" s="80" t="s">
        <v>187</v>
      </c>
      <c r="D22" s="68"/>
      <c r="E22" s="68"/>
      <c r="F22" s="68"/>
      <c r="G22" s="68"/>
      <c r="H22" s="65">
        <f t="shared" si="11"/>
        <v>0</v>
      </c>
      <c r="I22" s="68"/>
      <c r="J22" s="68"/>
      <c r="K22" s="68"/>
      <c r="L22" s="68"/>
      <c r="M22" s="65">
        <f t="shared" si="12"/>
        <v>0</v>
      </c>
      <c r="N22" s="68"/>
      <c r="O22" s="68"/>
      <c r="P22" s="68">
        <v>750</v>
      </c>
      <c r="Q22" s="68">
        <v>750</v>
      </c>
      <c r="R22" s="68">
        <v>750</v>
      </c>
      <c r="S22" s="65">
        <f t="shared" si="13"/>
        <v>2250</v>
      </c>
      <c r="T22" s="68">
        <v>750</v>
      </c>
      <c r="U22" s="68">
        <v>750</v>
      </c>
      <c r="V22" s="68">
        <v>750</v>
      </c>
      <c r="W22" s="68">
        <v>750</v>
      </c>
      <c r="X22" s="65">
        <f t="shared" si="14"/>
        <v>3000</v>
      </c>
      <c r="Y22" s="68">
        <v>750</v>
      </c>
      <c r="Z22" s="68">
        <v>750</v>
      </c>
      <c r="AA22" s="68">
        <v>750</v>
      </c>
      <c r="AB22" s="68">
        <v>750</v>
      </c>
      <c r="AC22" s="65">
        <f t="shared" si="15"/>
        <v>3000</v>
      </c>
      <c r="AD22" s="68">
        <v>750</v>
      </c>
      <c r="AE22" s="68">
        <v>750</v>
      </c>
      <c r="AF22" s="68">
        <v>750</v>
      </c>
      <c r="AG22" s="68"/>
      <c r="AH22" s="68"/>
      <c r="AI22" s="65">
        <f t="shared" si="8"/>
        <v>2250</v>
      </c>
      <c r="AJ22" s="68"/>
      <c r="AK22" s="68"/>
      <c r="AL22" s="68"/>
      <c r="AM22" s="68"/>
      <c r="AN22" s="65">
        <f t="shared" si="16"/>
        <v>0</v>
      </c>
      <c r="AO22" s="68"/>
      <c r="AP22" s="68"/>
      <c r="AQ22" s="68"/>
      <c r="AR22" s="68"/>
      <c r="AS22" s="68"/>
      <c r="AT22" s="65">
        <f t="shared" si="17"/>
        <v>0</v>
      </c>
      <c r="AU22" s="413"/>
      <c r="AV22" s="413"/>
      <c r="AW22" s="413"/>
      <c r="AX22" s="413"/>
    </row>
    <row r="23" spans="1:50" ht="15.75" hidden="1" outlineLevel="1" x14ac:dyDescent="0.25">
      <c r="A23" s="81" t="s">
        <v>144</v>
      </c>
      <c r="B23" s="82" t="s">
        <v>24</v>
      </c>
      <c r="C23" s="83">
        <v>4745</v>
      </c>
      <c r="D23" s="67"/>
      <c r="E23" s="67"/>
      <c r="F23" s="67"/>
      <c r="G23" s="67"/>
      <c r="H23" s="65">
        <f t="shared" si="11"/>
        <v>0</v>
      </c>
      <c r="I23" s="67"/>
      <c r="J23" s="67"/>
      <c r="K23" s="67"/>
      <c r="L23" s="67"/>
      <c r="M23" s="65">
        <f t="shared" si="12"/>
        <v>0</v>
      </c>
      <c r="N23" s="67"/>
      <c r="O23" s="67"/>
      <c r="P23" s="67"/>
      <c r="Q23" s="67"/>
      <c r="R23" s="67"/>
      <c r="S23" s="65">
        <f t="shared" si="13"/>
        <v>0</v>
      </c>
      <c r="T23" s="67"/>
      <c r="U23" s="67"/>
      <c r="V23" s="67"/>
      <c r="W23" s="67"/>
      <c r="X23" s="65">
        <f t="shared" si="14"/>
        <v>0</v>
      </c>
      <c r="Y23" s="67"/>
      <c r="Z23" s="67"/>
      <c r="AA23" s="67"/>
      <c r="AB23" s="67"/>
      <c r="AC23" s="65">
        <f t="shared" si="15"/>
        <v>0</v>
      </c>
      <c r="AD23" s="67"/>
      <c r="AE23" s="67"/>
      <c r="AF23" s="67"/>
      <c r="AG23" s="67"/>
      <c r="AH23" s="67"/>
      <c r="AI23" s="65">
        <f t="shared" si="8"/>
        <v>0</v>
      </c>
      <c r="AJ23" s="67"/>
      <c r="AK23" s="67"/>
      <c r="AL23" s="67"/>
      <c r="AM23" s="67"/>
      <c r="AN23" s="65">
        <f t="shared" si="16"/>
        <v>0</v>
      </c>
      <c r="AO23" s="67"/>
      <c r="AP23" s="67"/>
      <c r="AQ23" s="67"/>
      <c r="AR23" s="67"/>
      <c r="AS23" s="67"/>
      <c r="AT23" s="65">
        <f t="shared" si="17"/>
        <v>0</v>
      </c>
    </row>
    <row r="24" spans="1:50" ht="15.75" collapsed="1" x14ac:dyDescent="0.25">
      <c r="A24" s="21" t="s">
        <v>145</v>
      </c>
      <c r="B24" s="30"/>
      <c r="C24" s="31"/>
      <c r="D24" s="23">
        <f t="shared" ref="D24:AT24" si="18">SUM(D10:D23)</f>
        <v>66300</v>
      </c>
      <c r="E24" s="23">
        <f t="shared" si="18"/>
        <v>33300</v>
      </c>
      <c r="F24" s="23">
        <f t="shared" si="18"/>
        <v>41100</v>
      </c>
      <c r="G24" s="23">
        <f t="shared" si="18"/>
        <v>39300</v>
      </c>
      <c r="H24" s="23">
        <f t="shared" si="18"/>
        <v>180000</v>
      </c>
      <c r="I24" s="23">
        <f t="shared" si="18"/>
        <v>26500</v>
      </c>
      <c r="J24" s="23">
        <f t="shared" si="18"/>
        <v>20600</v>
      </c>
      <c r="K24" s="23">
        <f t="shared" si="18"/>
        <v>19800</v>
      </c>
      <c r="L24" s="23">
        <f t="shared" si="18"/>
        <v>16300</v>
      </c>
      <c r="M24" s="23">
        <f t="shared" si="18"/>
        <v>85200</v>
      </c>
      <c r="N24" s="23">
        <f t="shared" si="18"/>
        <v>13580</v>
      </c>
      <c r="O24" s="23">
        <f t="shared" si="18"/>
        <v>13580</v>
      </c>
      <c r="P24" s="23">
        <f t="shared" si="18"/>
        <v>14330</v>
      </c>
      <c r="Q24" s="23">
        <f t="shared" si="18"/>
        <v>14330</v>
      </c>
      <c r="R24" s="23">
        <f t="shared" si="18"/>
        <v>14330</v>
      </c>
      <c r="S24" s="23">
        <f t="shared" si="18"/>
        <v>74650</v>
      </c>
      <c r="T24" s="23">
        <f t="shared" si="18"/>
        <v>14330</v>
      </c>
      <c r="U24" s="23">
        <f t="shared" si="18"/>
        <v>14330</v>
      </c>
      <c r="V24" s="23">
        <f t="shared" si="18"/>
        <v>14330</v>
      </c>
      <c r="W24" s="23">
        <f t="shared" si="18"/>
        <v>14330</v>
      </c>
      <c r="X24" s="23">
        <f t="shared" si="18"/>
        <v>59320</v>
      </c>
      <c r="Y24" s="23">
        <f t="shared" si="18"/>
        <v>140864</v>
      </c>
      <c r="Z24" s="23">
        <f t="shared" si="18"/>
        <v>140864</v>
      </c>
      <c r="AA24" s="23">
        <f t="shared" si="18"/>
        <v>140864</v>
      </c>
      <c r="AB24" s="23">
        <f>SUM(AB10:AB23)</f>
        <v>153770</v>
      </c>
      <c r="AC24" s="23">
        <f>SUM(AC10:AC23)</f>
        <v>560518</v>
      </c>
      <c r="AD24" s="23">
        <f t="shared" si="18"/>
        <v>277017</v>
      </c>
      <c r="AE24" s="23">
        <f t="shared" si="18"/>
        <v>251204</v>
      </c>
      <c r="AF24" s="23">
        <f t="shared" si="18"/>
        <v>277017</v>
      </c>
      <c r="AG24" s="23">
        <f t="shared" si="18"/>
        <v>250454</v>
      </c>
      <c r="AH24" s="23">
        <f t="shared" si="18"/>
        <v>276267</v>
      </c>
      <c r="AI24" s="23">
        <f t="shared" si="18"/>
        <v>1312154</v>
      </c>
      <c r="AJ24" s="23">
        <f t="shared" si="18"/>
        <v>250454</v>
      </c>
      <c r="AK24" s="23">
        <f t="shared" si="18"/>
        <v>276267</v>
      </c>
      <c r="AL24" s="23">
        <f t="shared" si="18"/>
        <v>250454</v>
      </c>
      <c r="AM24" s="23">
        <f t="shared" si="18"/>
        <v>276267</v>
      </c>
      <c r="AN24" s="23">
        <f t="shared" si="18"/>
        <v>1037598</v>
      </c>
      <c r="AO24" s="23">
        <f t="shared" si="18"/>
        <v>250454</v>
      </c>
      <c r="AP24" s="23">
        <f t="shared" si="18"/>
        <v>276267</v>
      </c>
      <c r="AQ24" s="23">
        <f t="shared" si="18"/>
        <v>251654</v>
      </c>
      <c r="AR24" s="23">
        <f t="shared" si="18"/>
        <v>277067</v>
      </c>
      <c r="AS24" s="23">
        <f t="shared" si="18"/>
        <v>250954</v>
      </c>
      <c r="AT24" s="23">
        <f t="shared" si="18"/>
        <v>1284091</v>
      </c>
    </row>
    <row r="25" spans="1:50" ht="31.5" hidden="1" outlineLevel="1" x14ac:dyDescent="0.25">
      <c r="A25" s="306" t="s">
        <v>146</v>
      </c>
      <c r="B25" s="414" t="s">
        <v>24</v>
      </c>
      <c r="C25" s="37">
        <v>39141</v>
      </c>
      <c r="D25" s="32">
        <f>ROUND(C25/4,0)</f>
        <v>9785</v>
      </c>
      <c r="E25" s="32">
        <v>9785</v>
      </c>
      <c r="F25" s="32">
        <v>9785</v>
      </c>
      <c r="G25" s="32">
        <v>9785</v>
      </c>
      <c r="H25" s="23">
        <f>SUM(D25:G25)</f>
        <v>39140</v>
      </c>
      <c r="I25" s="23">
        <v>9785</v>
      </c>
      <c r="J25" s="23">
        <v>9785</v>
      </c>
      <c r="K25" s="23">
        <v>9785</v>
      </c>
      <c r="L25" s="23">
        <v>9785</v>
      </c>
      <c r="M25" s="23">
        <f>SUM(I25:L25)</f>
        <v>39140</v>
      </c>
      <c r="N25" s="23">
        <v>9785</v>
      </c>
      <c r="O25" s="23">
        <v>9785</v>
      </c>
      <c r="P25" s="23">
        <v>9785</v>
      </c>
      <c r="Q25" s="23">
        <v>9785</v>
      </c>
      <c r="R25" s="23">
        <v>9785</v>
      </c>
      <c r="S25" s="23">
        <f>SUM(N25:R25)</f>
        <v>48925</v>
      </c>
      <c r="T25" s="23">
        <v>9785</v>
      </c>
      <c r="U25" s="23">
        <v>9785</v>
      </c>
      <c r="V25" s="23">
        <v>9785</v>
      </c>
      <c r="W25" s="23">
        <v>9785</v>
      </c>
      <c r="X25" s="23">
        <f>SUM(T25:W25)</f>
        <v>39140</v>
      </c>
      <c r="Y25" s="23">
        <v>2935.5</v>
      </c>
      <c r="Z25" s="23">
        <v>2935.5</v>
      </c>
      <c r="AA25" s="23">
        <v>2935.5</v>
      </c>
      <c r="AB25" s="23">
        <v>2935.5</v>
      </c>
      <c r="AC25" s="23">
        <v>6250</v>
      </c>
      <c r="AD25" s="23">
        <v>2935.5</v>
      </c>
      <c r="AE25" s="23">
        <v>2935.5</v>
      </c>
      <c r="AF25" s="23">
        <v>2935.5</v>
      </c>
      <c r="AG25" s="23">
        <v>2935.5</v>
      </c>
      <c r="AH25" s="23">
        <v>2935.5</v>
      </c>
      <c r="AI25" s="23">
        <v>6250</v>
      </c>
      <c r="AJ25" s="23">
        <v>2935.5</v>
      </c>
      <c r="AK25" s="23">
        <v>2935.5</v>
      </c>
      <c r="AL25" s="23">
        <v>2935.5</v>
      </c>
      <c r="AM25" s="23">
        <v>2935.5</v>
      </c>
      <c r="AN25" s="23">
        <v>6250</v>
      </c>
      <c r="AO25" s="23">
        <v>2935.5</v>
      </c>
      <c r="AP25" s="23">
        <v>2935.5</v>
      </c>
      <c r="AQ25" s="23">
        <v>2935.5</v>
      </c>
      <c r="AR25" s="23">
        <v>2935.5</v>
      </c>
      <c r="AS25" s="23">
        <v>2935.5</v>
      </c>
      <c r="AT25" s="23">
        <v>6250</v>
      </c>
    </row>
    <row r="26" spans="1:50" ht="15.75" hidden="1" outlineLevel="1" x14ac:dyDescent="0.25">
      <c r="A26" s="306" t="s">
        <v>147</v>
      </c>
      <c r="B26" s="415"/>
      <c r="C26" s="37">
        <v>505</v>
      </c>
      <c r="D26" s="32">
        <v>126</v>
      </c>
      <c r="E26" s="32">
        <v>126</v>
      </c>
      <c r="F26" s="32">
        <v>126</v>
      </c>
      <c r="G26" s="32">
        <v>126</v>
      </c>
      <c r="H26" s="23">
        <f>SUM(D26:G26)</f>
        <v>504</v>
      </c>
      <c r="I26" s="23">
        <v>126</v>
      </c>
      <c r="J26" s="23">
        <v>126</v>
      </c>
      <c r="K26" s="23">
        <v>126</v>
      </c>
      <c r="L26" s="23">
        <v>126</v>
      </c>
      <c r="M26" s="23">
        <f>SUM(I26:L26)</f>
        <v>504</v>
      </c>
      <c r="N26" s="23">
        <v>126</v>
      </c>
      <c r="O26" s="23">
        <v>126</v>
      </c>
      <c r="P26" s="23">
        <v>126</v>
      </c>
      <c r="Q26" s="23">
        <v>126</v>
      </c>
      <c r="R26" s="23">
        <v>126</v>
      </c>
      <c r="S26" s="23">
        <f>SUM(N26:R26)</f>
        <v>630</v>
      </c>
      <c r="T26" s="23">
        <v>126</v>
      </c>
      <c r="U26" s="23">
        <v>126</v>
      </c>
      <c r="V26" s="23">
        <v>126</v>
      </c>
      <c r="W26" s="23">
        <v>126</v>
      </c>
      <c r="X26" s="23">
        <f>SUM(T26:W26)</f>
        <v>504</v>
      </c>
      <c r="Y26" s="23">
        <v>37.799999999999997</v>
      </c>
      <c r="Z26" s="23">
        <v>37.799999999999997</v>
      </c>
      <c r="AA26" s="23">
        <v>37.799999999999997</v>
      </c>
      <c r="AB26" s="23">
        <v>37.799999999999997</v>
      </c>
      <c r="AC26" s="23">
        <v>182</v>
      </c>
      <c r="AD26" s="23">
        <v>37.799999999999997</v>
      </c>
      <c r="AE26" s="23">
        <v>37.799999999999997</v>
      </c>
      <c r="AF26" s="23">
        <v>37.799999999999997</v>
      </c>
      <c r="AG26" s="23">
        <v>37.799999999999997</v>
      </c>
      <c r="AH26" s="23">
        <v>37.799999999999997</v>
      </c>
      <c r="AI26" s="23">
        <v>182</v>
      </c>
      <c r="AJ26" s="23">
        <v>37.799999999999997</v>
      </c>
      <c r="AK26" s="23">
        <v>37.799999999999997</v>
      </c>
      <c r="AL26" s="23">
        <v>37.799999999999997</v>
      </c>
      <c r="AM26" s="23">
        <v>37.799999999999997</v>
      </c>
      <c r="AN26" s="23">
        <v>182</v>
      </c>
      <c r="AO26" s="23">
        <v>37.799999999999997</v>
      </c>
      <c r="AP26" s="23">
        <v>37.799999999999997</v>
      </c>
      <c r="AQ26" s="23">
        <v>37.799999999999997</v>
      </c>
      <c r="AR26" s="23">
        <v>37.799999999999997</v>
      </c>
      <c r="AS26" s="23">
        <v>37.799999999999997</v>
      </c>
      <c r="AT26" s="23">
        <v>182</v>
      </c>
    </row>
    <row r="27" spans="1:50" ht="15.75" hidden="1" outlineLevel="1" x14ac:dyDescent="0.25">
      <c r="A27" s="255" t="s">
        <v>292</v>
      </c>
      <c r="B27" s="415"/>
      <c r="C27" s="37"/>
      <c r="D27" s="32"/>
      <c r="E27" s="32"/>
      <c r="F27" s="32"/>
      <c r="G27" s="32"/>
      <c r="H27" s="23"/>
      <c r="I27" s="23"/>
      <c r="J27" s="23"/>
      <c r="K27" s="23"/>
      <c r="L27" s="23"/>
      <c r="M27" s="23"/>
      <c r="N27" s="23"/>
      <c r="O27" s="23"/>
      <c r="P27" s="23"/>
      <c r="Q27" s="23"/>
      <c r="R27" s="23"/>
      <c r="S27" s="23"/>
      <c r="T27" s="23"/>
      <c r="U27" s="23"/>
      <c r="V27" s="23"/>
      <c r="W27" s="23"/>
      <c r="X27" s="23"/>
      <c r="Y27" s="23"/>
      <c r="Z27" s="23"/>
      <c r="AA27" s="23"/>
      <c r="AB27" s="23"/>
      <c r="AC27" s="239">
        <v>512</v>
      </c>
      <c r="AD27" s="239"/>
      <c r="AE27" s="239"/>
      <c r="AF27" s="239"/>
      <c r="AG27" s="239"/>
      <c r="AH27" s="239"/>
      <c r="AI27" s="239">
        <v>512</v>
      </c>
      <c r="AJ27" s="239"/>
      <c r="AK27" s="239"/>
      <c r="AL27" s="239"/>
      <c r="AM27" s="239"/>
      <c r="AN27" s="239">
        <v>512</v>
      </c>
      <c r="AO27" s="239"/>
      <c r="AP27" s="239"/>
      <c r="AQ27" s="239"/>
      <c r="AR27" s="239"/>
      <c r="AS27" s="239"/>
      <c r="AT27" s="239">
        <v>512</v>
      </c>
    </row>
    <row r="28" spans="1:50" ht="15.75" hidden="1" outlineLevel="1" x14ac:dyDescent="0.25">
      <c r="A28" s="255" t="s">
        <v>291</v>
      </c>
      <c r="B28" s="415"/>
      <c r="C28" s="37"/>
      <c r="D28" s="32"/>
      <c r="E28" s="32"/>
      <c r="F28" s="32"/>
      <c r="G28" s="32"/>
      <c r="H28" s="23"/>
      <c r="I28" s="23"/>
      <c r="J28" s="23"/>
      <c r="K28" s="23"/>
      <c r="L28" s="23"/>
      <c r="M28" s="23"/>
      <c r="N28" s="23"/>
      <c r="O28" s="23"/>
      <c r="P28" s="23"/>
      <c r="Q28" s="23"/>
      <c r="R28" s="23"/>
      <c r="S28" s="23"/>
      <c r="T28" s="23"/>
      <c r="U28" s="23"/>
      <c r="V28" s="23"/>
      <c r="W28" s="23"/>
      <c r="X28" s="23"/>
      <c r="Y28" s="23"/>
      <c r="Z28" s="23"/>
      <c r="AA28" s="23"/>
      <c r="AB28" s="23"/>
      <c r="AC28" s="239">
        <v>5321</v>
      </c>
      <c r="AD28" s="239"/>
      <c r="AE28" s="239"/>
      <c r="AF28" s="239"/>
      <c r="AG28" s="239"/>
      <c r="AH28" s="239"/>
      <c r="AI28" s="239">
        <v>5321</v>
      </c>
      <c r="AJ28" s="239"/>
      <c r="AK28" s="239"/>
      <c r="AL28" s="239"/>
      <c r="AM28" s="239"/>
      <c r="AN28" s="239">
        <v>5321</v>
      </c>
      <c r="AO28" s="239"/>
      <c r="AP28" s="239"/>
      <c r="AQ28" s="239"/>
      <c r="AR28" s="239"/>
      <c r="AS28" s="239"/>
      <c r="AT28" s="239">
        <v>5321</v>
      </c>
    </row>
    <row r="29" spans="1:50" ht="15.75" hidden="1" outlineLevel="1" x14ac:dyDescent="0.25">
      <c r="A29" s="255" t="s">
        <v>148</v>
      </c>
      <c r="B29" s="416"/>
      <c r="C29" s="37">
        <v>3758</v>
      </c>
      <c r="D29" s="32">
        <f>ROUND(3758/4,0)</f>
        <v>940</v>
      </c>
      <c r="E29" s="32">
        <v>940</v>
      </c>
      <c r="F29" s="32">
        <v>940</v>
      </c>
      <c r="G29" s="32">
        <v>940</v>
      </c>
      <c r="H29" s="23">
        <f>SUM(D29:G29)</f>
        <v>3760</v>
      </c>
      <c r="I29" s="23">
        <v>940</v>
      </c>
      <c r="J29" s="23">
        <v>940</v>
      </c>
      <c r="K29" s="23">
        <v>940</v>
      </c>
      <c r="L29" s="23">
        <v>940</v>
      </c>
      <c r="M29" s="23">
        <f>SUM(I29:L29)</f>
        <v>3760</v>
      </c>
      <c r="N29" s="23">
        <v>940</v>
      </c>
      <c r="O29" s="23">
        <v>940</v>
      </c>
      <c r="P29" s="23">
        <v>940</v>
      </c>
      <c r="Q29" s="23">
        <v>940</v>
      </c>
      <c r="R29" s="23">
        <v>940</v>
      </c>
      <c r="S29" s="23">
        <f>SUM(N29:R29)</f>
        <v>4700</v>
      </c>
      <c r="T29" s="23">
        <v>940</v>
      </c>
      <c r="U29" s="23">
        <v>940</v>
      </c>
      <c r="V29" s="23">
        <v>940</v>
      </c>
      <c r="W29" s="23">
        <v>940</v>
      </c>
      <c r="X29" s="23">
        <f>SUM(T29:W29)</f>
        <v>3760</v>
      </c>
      <c r="Y29" s="23">
        <v>282</v>
      </c>
      <c r="Z29" s="23">
        <v>282</v>
      </c>
      <c r="AA29" s="23">
        <v>282</v>
      </c>
      <c r="AB29" s="23">
        <v>282</v>
      </c>
      <c r="AC29" s="23">
        <v>2355</v>
      </c>
      <c r="AD29" s="23">
        <v>282</v>
      </c>
      <c r="AE29" s="23">
        <v>282</v>
      </c>
      <c r="AF29" s="23">
        <v>282</v>
      </c>
      <c r="AG29" s="23">
        <v>282</v>
      </c>
      <c r="AH29" s="23">
        <v>282</v>
      </c>
      <c r="AI29" s="23">
        <v>2355</v>
      </c>
      <c r="AJ29" s="23">
        <v>282</v>
      </c>
      <c r="AK29" s="23">
        <v>282</v>
      </c>
      <c r="AL29" s="23">
        <v>282</v>
      </c>
      <c r="AM29" s="23">
        <v>282</v>
      </c>
      <c r="AN29" s="23">
        <v>2355</v>
      </c>
      <c r="AO29" s="23">
        <v>282</v>
      </c>
      <c r="AP29" s="23">
        <v>282</v>
      </c>
      <c r="AQ29" s="23">
        <v>282</v>
      </c>
      <c r="AR29" s="23">
        <v>282</v>
      </c>
      <c r="AS29" s="23">
        <v>282</v>
      </c>
      <c r="AT29" s="23">
        <v>2355</v>
      </c>
    </row>
    <row r="30" spans="1:50" s="36" customFormat="1" ht="15.75" collapsed="1" x14ac:dyDescent="0.25">
      <c r="A30" s="254" t="s">
        <v>149</v>
      </c>
      <c r="B30" s="34"/>
      <c r="C30" s="37"/>
      <c r="D30" s="23">
        <f t="shared" ref="D30:AT30" si="19">SUM(D25:D29)</f>
        <v>10851</v>
      </c>
      <c r="E30" s="23">
        <f t="shared" si="19"/>
        <v>10851</v>
      </c>
      <c r="F30" s="23">
        <f t="shared" si="19"/>
        <v>10851</v>
      </c>
      <c r="G30" s="23">
        <f t="shared" si="19"/>
        <v>10851</v>
      </c>
      <c r="H30" s="23">
        <f t="shared" si="19"/>
        <v>43404</v>
      </c>
      <c r="I30" s="23">
        <f t="shared" si="19"/>
        <v>10851</v>
      </c>
      <c r="J30" s="23">
        <f t="shared" si="19"/>
        <v>10851</v>
      </c>
      <c r="K30" s="23">
        <f t="shared" si="19"/>
        <v>10851</v>
      </c>
      <c r="L30" s="23">
        <f t="shared" si="19"/>
        <v>10851</v>
      </c>
      <c r="M30" s="23">
        <f t="shared" si="19"/>
        <v>43404</v>
      </c>
      <c r="N30" s="23">
        <f t="shared" si="19"/>
        <v>10851</v>
      </c>
      <c r="O30" s="23">
        <f t="shared" si="19"/>
        <v>10851</v>
      </c>
      <c r="P30" s="23">
        <f t="shared" si="19"/>
        <v>10851</v>
      </c>
      <c r="Q30" s="23">
        <f t="shared" si="19"/>
        <v>10851</v>
      </c>
      <c r="R30" s="23">
        <f t="shared" si="19"/>
        <v>10851</v>
      </c>
      <c r="S30" s="23">
        <f t="shared" si="19"/>
        <v>54255</v>
      </c>
      <c r="T30" s="23">
        <f t="shared" si="19"/>
        <v>10851</v>
      </c>
      <c r="U30" s="23">
        <f t="shared" si="19"/>
        <v>10851</v>
      </c>
      <c r="V30" s="23">
        <f t="shared" si="19"/>
        <v>10851</v>
      </c>
      <c r="W30" s="23">
        <f t="shared" si="19"/>
        <v>10851</v>
      </c>
      <c r="X30" s="23">
        <f t="shared" si="19"/>
        <v>43404</v>
      </c>
      <c r="Y30" s="23">
        <f t="shared" si="19"/>
        <v>3255.3</v>
      </c>
      <c r="Z30" s="23">
        <f t="shared" si="19"/>
        <v>3255.3</v>
      </c>
      <c r="AA30" s="23">
        <f t="shared" si="19"/>
        <v>3255.3</v>
      </c>
      <c r="AB30" s="23">
        <f t="shared" si="19"/>
        <v>3255.3</v>
      </c>
      <c r="AC30" s="23">
        <f t="shared" si="19"/>
        <v>14620</v>
      </c>
      <c r="AD30" s="23">
        <f t="shared" si="19"/>
        <v>3255.3</v>
      </c>
      <c r="AE30" s="23">
        <f t="shared" si="19"/>
        <v>3255.3</v>
      </c>
      <c r="AF30" s="23">
        <f t="shared" si="19"/>
        <v>3255.3</v>
      </c>
      <c r="AG30" s="23">
        <f t="shared" si="19"/>
        <v>3255.3</v>
      </c>
      <c r="AH30" s="23">
        <f t="shared" si="19"/>
        <v>3255.3</v>
      </c>
      <c r="AI30" s="23">
        <f t="shared" si="19"/>
        <v>14620</v>
      </c>
      <c r="AJ30" s="23">
        <f t="shared" si="19"/>
        <v>3255.3</v>
      </c>
      <c r="AK30" s="23">
        <f t="shared" si="19"/>
        <v>3255.3</v>
      </c>
      <c r="AL30" s="23">
        <f t="shared" si="19"/>
        <v>3255.3</v>
      </c>
      <c r="AM30" s="23">
        <f t="shared" si="19"/>
        <v>3255.3</v>
      </c>
      <c r="AN30" s="23">
        <f t="shared" si="19"/>
        <v>14620</v>
      </c>
      <c r="AO30" s="23">
        <f t="shared" si="19"/>
        <v>3255.3</v>
      </c>
      <c r="AP30" s="23">
        <f t="shared" si="19"/>
        <v>3255.3</v>
      </c>
      <c r="AQ30" s="23">
        <f t="shared" si="19"/>
        <v>3255.3</v>
      </c>
      <c r="AR30" s="23">
        <f t="shared" si="19"/>
        <v>3255.3</v>
      </c>
      <c r="AS30" s="23">
        <f t="shared" si="19"/>
        <v>3255.3</v>
      </c>
      <c r="AT30" s="23">
        <f t="shared" si="19"/>
        <v>14620</v>
      </c>
    </row>
    <row r="31" spans="1:50" ht="15.75" hidden="1" outlineLevel="1" x14ac:dyDescent="0.25">
      <c r="A31" s="81" t="s">
        <v>150</v>
      </c>
      <c r="B31" s="87" t="s">
        <v>24</v>
      </c>
      <c r="C31" s="82">
        <v>1511</v>
      </c>
      <c r="D31" s="67"/>
      <c r="E31" s="67"/>
      <c r="F31" s="67"/>
      <c r="G31" s="67"/>
      <c r="H31" s="65">
        <f t="shared" ref="H31:H36" si="20">SUM(D31:G31)</f>
        <v>0</v>
      </c>
      <c r="I31" s="67"/>
      <c r="J31" s="67"/>
      <c r="K31" s="67"/>
      <c r="L31" s="67"/>
      <c r="M31" s="65">
        <f t="shared" ref="M31:M36" si="21">SUM(I31:L31)</f>
        <v>0</v>
      </c>
      <c r="N31" s="67"/>
      <c r="O31" s="67"/>
      <c r="P31" s="67"/>
      <c r="Q31" s="67"/>
      <c r="R31" s="67"/>
      <c r="S31" s="65">
        <f t="shared" ref="S31:S36" si="22">SUM(N31:R31)</f>
        <v>0</v>
      </c>
      <c r="T31" s="67"/>
      <c r="U31" s="67"/>
      <c r="V31" s="67"/>
      <c r="W31" s="67"/>
      <c r="X31" s="65">
        <f t="shared" ref="X31:X36" si="23">SUM(T31:W31)</f>
        <v>0</v>
      </c>
      <c r="Y31" s="67">
        <v>0</v>
      </c>
      <c r="Z31" s="67"/>
      <c r="AA31" s="67"/>
      <c r="AB31" s="67"/>
      <c r="AC31" s="65"/>
      <c r="AD31" s="67"/>
      <c r="AE31" s="67">
        <v>0</v>
      </c>
      <c r="AF31" s="67"/>
      <c r="AG31" s="67"/>
      <c r="AH31" s="67"/>
      <c r="AI31" s="65"/>
      <c r="AJ31" s="67">
        <v>0</v>
      </c>
      <c r="AK31" s="67"/>
      <c r="AL31" s="67"/>
      <c r="AM31" s="67"/>
      <c r="AN31" s="65"/>
      <c r="AO31" s="67"/>
      <c r="AP31" s="67">
        <v>0</v>
      </c>
      <c r="AQ31" s="67"/>
      <c r="AR31" s="67"/>
      <c r="AS31" s="67"/>
      <c r="AT31" s="65">
        <f t="shared" ref="AT31:AT36" si="24">SUM(AO31:AS31)</f>
        <v>0</v>
      </c>
    </row>
    <row r="32" spans="1:50" ht="15.75" hidden="1" outlineLevel="1" x14ac:dyDescent="0.25">
      <c r="A32" s="81" t="s">
        <v>27</v>
      </c>
      <c r="B32" s="87" t="s">
        <v>28</v>
      </c>
      <c r="C32" s="82">
        <v>4400</v>
      </c>
      <c r="D32" s="84">
        <f>C32/4</f>
        <v>1100</v>
      </c>
      <c r="E32" s="84">
        <v>1100</v>
      </c>
      <c r="F32" s="84">
        <v>1100</v>
      </c>
      <c r="G32" s="84">
        <v>1100</v>
      </c>
      <c r="H32" s="65">
        <f t="shared" si="20"/>
        <v>4400</v>
      </c>
      <c r="I32" s="84">
        <v>1100</v>
      </c>
      <c r="J32" s="84">
        <v>1100</v>
      </c>
      <c r="K32" s="84">
        <v>1100</v>
      </c>
      <c r="L32" s="84">
        <v>1100</v>
      </c>
      <c r="M32" s="65">
        <f t="shared" si="21"/>
        <v>4400</v>
      </c>
      <c r="N32" s="84">
        <v>1100</v>
      </c>
      <c r="O32" s="84">
        <v>1100</v>
      </c>
      <c r="P32" s="84">
        <v>1100</v>
      </c>
      <c r="Q32" s="84">
        <v>1100</v>
      </c>
      <c r="R32" s="84">
        <v>1100</v>
      </c>
      <c r="S32" s="65">
        <f t="shared" si="22"/>
        <v>5500</v>
      </c>
      <c r="T32" s="84">
        <v>1100</v>
      </c>
      <c r="U32" s="84">
        <v>1100</v>
      </c>
      <c r="V32" s="84">
        <v>1100</v>
      </c>
      <c r="W32" s="84">
        <v>1100</v>
      </c>
      <c r="X32" s="65">
        <f t="shared" si="23"/>
        <v>4400</v>
      </c>
      <c r="Y32" s="85">
        <v>1320</v>
      </c>
      <c r="Z32" s="85">
        <v>330</v>
      </c>
      <c r="AA32" s="85">
        <v>330</v>
      </c>
      <c r="AB32" s="85">
        <v>330</v>
      </c>
      <c r="AC32" s="65">
        <v>330</v>
      </c>
      <c r="AD32" s="85">
        <v>330</v>
      </c>
      <c r="AE32" s="85">
        <v>1650</v>
      </c>
      <c r="AF32" s="85">
        <v>330</v>
      </c>
      <c r="AG32" s="85">
        <v>330</v>
      </c>
      <c r="AH32" s="85">
        <v>330</v>
      </c>
      <c r="AI32" s="65">
        <v>330</v>
      </c>
      <c r="AJ32" s="85">
        <v>1320</v>
      </c>
      <c r="AK32" s="85">
        <v>330</v>
      </c>
      <c r="AL32" s="85">
        <v>330</v>
      </c>
      <c r="AM32" s="85">
        <v>330</v>
      </c>
      <c r="AN32" s="65">
        <v>330</v>
      </c>
      <c r="AO32" s="85">
        <v>330</v>
      </c>
      <c r="AP32" s="85">
        <v>1650</v>
      </c>
      <c r="AQ32" s="85">
        <f>$W$32*$B$1</f>
        <v>330</v>
      </c>
      <c r="AR32" s="85">
        <f>$W$32*$B$1</f>
        <v>330</v>
      </c>
      <c r="AS32" s="85">
        <f>$W$32*$B$1</f>
        <v>330</v>
      </c>
      <c r="AT32" s="65">
        <f t="shared" si="24"/>
        <v>2970</v>
      </c>
    </row>
    <row r="33" spans="1:46" ht="15.75" hidden="1" outlineLevel="1" x14ac:dyDescent="0.25">
      <c r="A33" s="81" t="s">
        <v>29</v>
      </c>
      <c r="B33" s="87" t="s">
        <v>30</v>
      </c>
      <c r="C33" s="82">
        <v>1142</v>
      </c>
      <c r="D33" s="84">
        <v>285</v>
      </c>
      <c r="E33" s="84">
        <v>285</v>
      </c>
      <c r="F33" s="84">
        <v>285</v>
      </c>
      <c r="G33" s="84">
        <v>285</v>
      </c>
      <c r="H33" s="65">
        <f t="shared" si="20"/>
        <v>1140</v>
      </c>
      <c r="I33" s="84">
        <v>285</v>
      </c>
      <c r="J33" s="84">
        <v>285</v>
      </c>
      <c r="K33" s="84">
        <v>285</v>
      </c>
      <c r="L33" s="84">
        <v>285</v>
      </c>
      <c r="M33" s="65">
        <f t="shared" si="21"/>
        <v>1140</v>
      </c>
      <c r="N33" s="84">
        <v>285</v>
      </c>
      <c r="O33" s="84">
        <v>285</v>
      </c>
      <c r="P33" s="84">
        <v>285</v>
      </c>
      <c r="Q33" s="84">
        <v>285</v>
      </c>
      <c r="R33" s="84">
        <v>285</v>
      </c>
      <c r="S33" s="65">
        <f t="shared" si="22"/>
        <v>1425</v>
      </c>
      <c r="T33" s="84">
        <v>285</v>
      </c>
      <c r="U33" s="84">
        <v>285</v>
      </c>
      <c r="V33" s="84">
        <v>285</v>
      </c>
      <c r="W33" s="84">
        <v>285</v>
      </c>
      <c r="X33" s="65">
        <f t="shared" si="23"/>
        <v>1140</v>
      </c>
      <c r="Y33" s="85">
        <v>342</v>
      </c>
      <c r="Z33" s="85">
        <v>85.5</v>
      </c>
      <c r="AA33" s="85">
        <v>85.5</v>
      </c>
      <c r="AB33" s="85">
        <v>85.5</v>
      </c>
      <c r="AC33" s="65">
        <v>85.5</v>
      </c>
      <c r="AD33" s="85">
        <v>85.5</v>
      </c>
      <c r="AE33" s="85">
        <v>427.5</v>
      </c>
      <c r="AF33" s="85">
        <v>85.5</v>
      </c>
      <c r="AG33" s="85">
        <v>85.5</v>
      </c>
      <c r="AH33" s="85">
        <v>85.5</v>
      </c>
      <c r="AI33" s="65">
        <v>85.5</v>
      </c>
      <c r="AJ33" s="85">
        <v>342</v>
      </c>
      <c r="AK33" s="85">
        <v>85.5</v>
      </c>
      <c r="AL33" s="85">
        <v>85.5</v>
      </c>
      <c r="AM33" s="85">
        <v>85.5</v>
      </c>
      <c r="AN33" s="65">
        <v>85.5</v>
      </c>
      <c r="AO33" s="85">
        <v>85.5</v>
      </c>
      <c r="AP33" s="85">
        <v>427.5</v>
      </c>
      <c r="AQ33" s="85">
        <f>$W$33*$B$1</f>
        <v>85.5</v>
      </c>
      <c r="AR33" s="85">
        <f>$W$33*$B$1</f>
        <v>85.5</v>
      </c>
      <c r="AS33" s="85">
        <f>$W$33*$B$1</f>
        <v>85.5</v>
      </c>
      <c r="AT33" s="65">
        <f t="shared" si="24"/>
        <v>769.5</v>
      </c>
    </row>
    <row r="34" spans="1:46" ht="15.75" hidden="1" outlineLevel="1" x14ac:dyDescent="0.25">
      <c r="A34" s="81" t="s">
        <v>31</v>
      </c>
      <c r="B34" s="87"/>
      <c r="C34" s="82" t="s">
        <v>151</v>
      </c>
      <c r="D34" s="84">
        <f>700/4</f>
        <v>175</v>
      </c>
      <c r="E34" s="84">
        <v>175</v>
      </c>
      <c r="F34" s="84">
        <v>175</v>
      </c>
      <c r="G34" s="84">
        <v>175</v>
      </c>
      <c r="H34" s="65">
        <f t="shared" si="20"/>
        <v>700</v>
      </c>
      <c r="I34" s="84">
        <v>175</v>
      </c>
      <c r="J34" s="84">
        <v>175</v>
      </c>
      <c r="K34" s="84">
        <v>175</v>
      </c>
      <c r="L34" s="84">
        <v>175</v>
      </c>
      <c r="M34" s="65">
        <f t="shared" si="21"/>
        <v>700</v>
      </c>
      <c r="N34" s="84">
        <v>175</v>
      </c>
      <c r="O34" s="84">
        <v>175</v>
      </c>
      <c r="P34" s="84">
        <v>175</v>
      </c>
      <c r="Q34" s="84">
        <v>175</v>
      </c>
      <c r="R34" s="84">
        <v>175</v>
      </c>
      <c r="S34" s="65">
        <f t="shared" si="22"/>
        <v>875</v>
      </c>
      <c r="T34" s="84">
        <v>175</v>
      </c>
      <c r="U34" s="84">
        <v>175</v>
      </c>
      <c r="V34" s="84">
        <v>175</v>
      </c>
      <c r="W34" s="84">
        <v>175</v>
      </c>
      <c r="X34" s="65">
        <f t="shared" si="23"/>
        <v>700</v>
      </c>
      <c r="Y34" s="85">
        <v>210</v>
      </c>
      <c r="Z34" s="85">
        <v>52.5</v>
      </c>
      <c r="AA34" s="85">
        <v>52.5</v>
      </c>
      <c r="AB34" s="85">
        <v>52.5</v>
      </c>
      <c r="AC34" s="65">
        <v>52.5</v>
      </c>
      <c r="AD34" s="85">
        <v>52.5</v>
      </c>
      <c r="AE34" s="85">
        <v>262.5</v>
      </c>
      <c r="AF34" s="85">
        <v>52.5</v>
      </c>
      <c r="AG34" s="85">
        <v>52.5</v>
      </c>
      <c r="AH34" s="85">
        <v>52.5</v>
      </c>
      <c r="AI34" s="65">
        <v>52.5</v>
      </c>
      <c r="AJ34" s="85">
        <v>210</v>
      </c>
      <c r="AK34" s="85">
        <v>52.5</v>
      </c>
      <c r="AL34" s="85">
        <v>52.5</v>
      </c>
      <c r="AM34" s="85">
        <v>52.5</v>
      </c>
      <c r="AN34" s="65">
        <v>52.5</v>
      </c>
      <c r="AO34" s="85">
        <v>52.5</v>
      </c>
      <c r="AP34" s="85">
        <v>262.5</v>
      </c>
      <c r="AQ34" s="85">
        <f>$W$34*$B$1</f>
        <v>52.5</v>
      </c>
      <c r="AR34" s="85">
        <f>$W$34*$B$1</f>
        <v>52.5</v>
      </c>
      <c r="AS34" s="85">
        <f>$W$34*$B$1</f>
        <v>52.5</v>
      </c>
      <c r="AT34" s="65">
        <f t="shared" si="24"/>
        <v>472.5</v>
      </c>
    </row>
    <row r="35" spans="1:46" ht="15.75" hidden="1" outlineLevel="1" x14ac:dyDescent="0.25">
      <c r="A35" s="81" t="s">
        <v>152</v>
      </c>
      <c r="B35" s="87" t="s">
        <v>153</v>
      </c>
      <c r="C35" s="82">
        <v>8990</v>
      </c>
      <c r="D35" s="86">
        <v>2247.5</v>
      </c>
      <c r="E35" s="86">
        <v>2247.5</v>
      </c>
      <c r="F35" s="86">
        <v>2247.5</v>
      </c>
      <c r="G35" s="86">
        <v>2247.5</v>
      </c>
      <c r="H35" s="65">
        <f t="shared" si="20"/>
        <v>8990</v>
      </c>
      <c r="I35" s="86">
        <v>2247.5</v>
      </c>
      <c r="J35" s="86">
        <v>2247.5</v>
      </c>
      <c r="K35" s="86">
        <v>2247.5</v>
      </c>
      <c r="L35" s="86">
        <v>2247.5</v>
      </c>
      <c r="M35" s="65">
        <f t="shared" si="21"/>
        <v>8990</v>
      </c>
      <c r="N35" s="86">
        <v>2247.5</v>
      </c>
      <c r="O35" s="86">
        <v>2247.5</v>
      </c>
      <c r="P35" s="86">
        <v>2247.5</v>
      </c>
      <c r="Q35" s="86">
        <v>2247.5</v>
      </c>
      <c r="R35" s="86">
        <v>2247.5</v>
      </c>
      <c r="S35" s="65">
        <f t="shared" si="22"/>
        <v>11237.5</v>
      </c>
      <c r="T35" s="86">
        <v>2247.5</v>
      </c>
      <c r="U35" s="86">
        <v>2247.5</v>
      </c>
      <c r="V35" s="86">
        <v>2247.5</v>
      </c>
      <c r="W35" s="86">
        <v>2247.5</v>
      </c>
      <c r="X35" s="65">
        <f t="shared" si="23"/>
        <v>8990</v>
      </c>
      <c r="Y35" s="85">
        <v>2697</v>
      </c>
      <c r="Z35" s="85">
        <v>674.25</v>
      </c>
      <c r="AA35" s="85">
        <v>674.25</v>
      </c>
      <c r="AB35" s="85">
        <v>674.25</v>
      </c>
      <c r="AC35" s="65">
        <v>674.25</v>
      </c>
      <c r="AD35" s="85">
        <v>674.25</v>
      </c>
      <c r="AE35" s="85">
        <v>3371.25</v>
      </c>
      <c r="AF35" s="85">
        <v>674.25</v>
      </c>
      <c r="AG35" s="85">
        <v>674.25</v>
      </c>
      <c r="AH35" s="85">
        <v>674.25</v>
      </c>
      <c r="AI35" s="65">
        <v>674.25</v>
      </c>
      <c r="AJ35" s="85">
        <v>2697</v>
      </c>
      <c r="AK35" s="85">
        <v>674.25</v>
      </c>
      <c r="AL35" s="85">
        <v>674.25</v>
      </c>
      <c r="AM35" s="85">
        <v>674.25</v>
      </c>
      <c r="AN35" s="65">
        <v>674.25</v>
      </c>
      <c r="AO35" s="85">
        <v>674.25</v>
      </c>
      <c r="AP35" s="85">
        <v>3371.25</v>
      </c>
      <c r="AQ35" s="85">
        <f>$W$35*$B$1</f>
        <v>674.25</v>
      </c>
      <c r="AR35" s="85">
        <f>$W$35*$B$1</f>
        <v>674.25</v>
      </c>
      <c r="AS35" s="85">
        <f>$W$35*$B$1</f>
        <v>674.25</v>
      </c>
      <c r="AT35" s="65">
        <f t="shared" si="24"/>
        <v>6068.25</v>
      </c>
    </row>
    <row r="36" spans="1:46" ht="31.5" hidden="1" outlineLevel="1" x14ac:dyDescent="0.25">
      <c r="A36" s="307" t="s">
        <v>188</v>
      </c>
      <c r="B36" s="87" t="s">
        <v>154</v>
      </c>
      <c r="C36" s="82" t="s">
        <v>155</v>
      </c>
      <c r="D36" s="84">
        <v>42</v>
      </c>
      <c r="E36" s="84">
        <v>42</v>
      </c>
      <c r="F36" s="84">
        <v>42</v>
      </c>
      <c r="G36" s="84">
        <v>42</v>
      </c>
      <c r="H36" s="65">
        <f t="shared" si="20"/>
        <v>168</v>
      </c>
      <c r="I36" s="84">
        <v>42</v>
      </c>
      <c r="J36" s="84">
        <v>42</v>
      </c>
      <c r="K36" s="84">
        <v>42</v>
      </c>
      <c r="L36" s="84">
        <v>42</v>
      </c>
      <c r="M36" s="65">
        <f t="shared" si="21"/>
        <v>168</v>
      </c>
      <c r="N36" s="84">
        <v>43</v>
      </c>
      <c r="O36" s="84">
        <v>44</v>
      </c>
      <c r="P36" s="84">
        <v>45</v>
      </c>
      <c r="Q36" s="84">
        <v>46</v>
      </c>
      <c r="R36" s="84">
        <v>47</v>
      </c>
      <c r="S36" s="65">
        <f t="shared" si="22"/>
        <v>225</v>
      </c>
      <c r="T36" s="84">
        <v>48</v>
      </c>
      <c r="U36" s="84">
        <v>49</v>
      </c>
      <c r="V36" s="84">
        <v>50</v>
      </c>
      <c r="W36" s="84">
        <v>51</v>
      </c>
      <c r="X36" s="65">
        <f t="shared" si="23"/>
        <v>198</v>
      </c>
      <c r="Y36" s="84">
        <v>214</v>
      </c>
      <c r="Z36" s="84">
        <v>56</v>
      </c>
      <c r="AA36" s="84">
        <v>57</v>
      </c>
      <c r="AB36" s="84">
        <v>58</v>
      </c>
      <c r="AC36" s="65">
        <v>59</v>
      </c>
      <c r="AD36" s="84">
        <v>60</v>
      </c>
      <c r="AE36" s="84">
        <v>290</v>
      </c>
      <c r="AF36" s="84">
        <v>61</v>
      </c>
      <c r="AG36" s="84">
        <v>62</v>
      </c>
      <c r="AH36" s="84">
        <v>63</v>
      </c>
      <c r="AI36" s="65">
        <v>64</v>
      </c>
      <c r="AJ36" s="84">
        <v>250</v>
      </c>
      <c r="AK36" s="84">
        <v>65</v>
      </c>
      <c r="AL36" s="84">
        <v>66</v>
      </c>
      <c r="AM36" s="84">
        <v>67</v>
      </c>
      <c r="AN36" s="65">
        <v>68</v>
      </c>
      <c r="AO36" s="84">
        <v>69</v>
      </c>
      <c r="AP36" s="84">
        <v>335</v>
      </c>
      <c r="AQ36" s="84">
        <v>67</v>
      </c>
      <c r="AR36" s="84">
        <v>68</v>
      </c>
      <c r="AS36" s="84">
        <v>69</v>
      </c>
      <c r="AT36" s="65">
        <f t="shared" si="24"/>
        <v>608</v>
      </c>
    </row>
    <row r="37" spans="1:46" ht="15.75" collapsed="1" x14ac:dyDescent="0.25">
      <c r="A37" s="254" t="s">
        <v>26</v>
      </c>
      <c r="B37" s="37"/>
      <c r="C37" s="37"/>
      <c r="D37" s="23">
        <f t="shared" ref="D37:AT37" si="25">SUM(D31:D36)</f>
        <v>3849.5</v>
      </c>
      <c r="E37" s="23">
        <f t="shared" si="25"/>
        <v>3849.5</v>
      </c>
      <c r="F37" s="23">
        <f t="shared" si="25"/>
        <v>3849.5</v>
      </c>
      <c r="G37" s="23">
        <f t="shared" si="25"/>
        <v>3849.5</v>
      </c>
      <c r="H37" s="23">
        <f t="shared" si="25"/>
        <v>15398</v>
      </c>
      <c r="I37" s="23">
        <f t="shared" si="25"/>
        <v>3849.5</v>
      </c>
      <c r="J37" s="23">
        <f t="shared" si="25"/>
        <v>3849.5</v>
      </c>
      <c r="K37" s="23">
        <f t="shared" si="25"/>
        <v>3849.5</v>
      </c>
      <c r="L37" s="23">
        <f t="shared" si="25"/>
        <v>3849.5</v>
      </c>
      <c r="M37" s="23">
        <f t="shared" si="25"/>
        <v>15398</v>
      </c>
      <c r="N37" s="23">
        <f t="shared" si="25"/>
        <v>3850.5</v>
      </c>
      <c r="O37" s="23">
        <f t="shared" si="25"/>
        <v>3851.5</v>
      </c>
      <c r="P37" s="23">
        <f t="shared" si="25"/>
        <v>3852.5</v>
      </c>
      <c r="Q37" s="23">
        <f t="shared" si="25"/>
        <v>3853.5</v>
      </c>
      <c r="R37" s="23">
        <f t="shared" si="25"/>
        <v>3854.5</v>
      </c>
      <c r="S37" s="23">
        <f t="shared" si="25"/>
        <v>19262.5</v>
      </c>
      <c r="T37" s="23">
        <f t="shared" si="25"/>
        <v>3855.5</v>
      </c>
      <c r="U37" s="23">
        <f t="shared" si="25"/>
        <v>3856.5</v>
      </c>
      <c r="V37" s="23">
        <f t="shared" si="25"/>
        <v>3857.5</v>
      </c>
      <c r="W37" s="23">
        <f t="shared" si="25"/>
        <v>3858.5</v>
      </c>
      <c r="X37" s="23">
        <f t="shared" si="25"/>
        <v>15428</v>
      </c>
      <c r="Y37" s="23">
        <f t="shared" si="25"/>
        <v>4783</v>
      </c>
      <c r="Z37" s="23">
        <f t="shared" si="25"/>
        <v>1198.25</v>
      </c>
      <c r="AA37" s="23">
        <f t="shared" si="25"/>
        <v>1199.25</v>
      </c>
      <c r="AB37" s="23">
        <f t="shared" si="25"/>
        <v>1200.25</v>
      </c>
      <c r="AC37" s="23">
        <f t="shared" si="25"/>
        <v>1201.25</v>
      </c>
      <c r="AD37" s="23">
        <f t="shared" si="25"/>
        <v>1202.25</v>
      </c>
      <c r="AE37" s="23">
        <f t="shared" si="25"/>
        <v>6001.25</v>
      </c>
      <c r="AF37" s="23">
        <f t="shared" si="25"/>
        <v>1203.25</v>
      </c>
      <c r="AG37" s="23">
        <f t="shared" si="25"/>
        <v>1204.25</v>
      </c>
      <c r="AH37" s="23">
        <f t="shared" si="25"/>
        <v>1205.25</v>
      </c>
      <c r="AI37" s="23">
        <f t="shared" si="25"/>
        <v>1206.25</v>
      </c>
      <c r="AJ37" s="23">
        <f t="shared" si="25"/>
        <v>4819</v>
      </c>
      <c r="AK37" s="23">
        <f t="shared" si="25"/>
        <v>1207.25</v>
      </c>
      <c r="AL37" s="23">
        <f t="shared" si="25"/>
        <v>1208.25</v>
      </c>
      <c r="AM37" s="23">
        <f t="shared" si="25"/>
        <v>1209.25</v>
      </c>
      <c r="AN37" s="23">
        <f t="shared" si="25"/>
        <v>1210.25</v>
      </c>
      <c r="AO37" s="23">
        <f t="shared" si="25"/>
        <v>1211.25</v>
      </c>
      <c r="AP37" s="23">
        <f t="shared" si="25"/>
        <v>6046.25</v>
      </c>
      <c r="AQ37" s="23">
        <f t="shared" si="25"/>
        <v>1209.25</v>
      </c>
      <c r="AR37" s="23">
        <f t="shared" si="25"/>
        <v>1210.25</v>
      </c>
      <c r="AS37" s="23">
        <f t="shared" si="25"/>
        <v>1211.25</v>
      </c>
      <c r="AT37" s="23">
        <f t="shared" si="25"/>
        <v>10888.25</v>
      </c>
    </row>
    <row r="38" spans="1:46" ht="15.75" hidden="1" outlineLevel="1" x14ac:dyDescent="0.25">
      <c r="A38" s="87" t="s">
        <v>33</v>
      </c>
      <c r="B38" s="87" t="s">
        <v>24</v>
      </c>
      <c r="C38" s="82">
        <v>30845</v>
      </c>
      <c r="D38" s="4">
        <v>7711</v>
      </c>
      <c r="E38" s="4">
        <v>7711</v>
      </c>
      <c r="F38" s="4">
        <v>7711</v>
      </c>
      <c r="G38" s="4">
        <v>7711</v>
      </c>
      <c r="H38" s="16">
        <f>SUM(D38:G38)</f>
        <v>30844</v>
      </c>
      <c r="I38" s="4">
        <v>7711</v>
      </c>
      <c r="J38" s="4">
        <v>7711</v>
      </c>
      <c r="K38" s="4">
        <v>7711</v>
      </c>
      <c r="L38" s="4">
        <v>7711</v>
      </c>
      <c r="M38" s="16">
        <f>SUM(I38:L38)</f>
        <v>30844</v>
      </c>
      <c r="N38" s="4">
        <v>7711</v>
      </c>
      <c r="O38" s="4">
        <v>7711</v>
      </c>
      <c r="P38" s="4">
        <v>7711</v>
      </c>
      <c r="Q38" s="4">
        <v>7711</v>
      </c>
      <c r="R38" s="4">
        <v>7711</v>
      </c>
      <c r="S38" s="16">
        <f>SUM(N38:R38)</f>
        <v>38555</v>
      </c>
      <c r="T38" s="4">
        <v>7711</v>
      </c>
      <c r="U38" s="4">
        <v>7711</v>
      </c>
      <c r="V38" s="4">
        <v>7711</v>
      </c>
      <c r="W38" s="4">
        <v>7711</v>
      </c>
      <c r="X38" s="16">
        <f>SUM(T38:W38)</f>
        <v>30844</v>
      </c>
      <c r="Y38" s="33">
        <f>$W$38*$B$1</f>
        <v>2313.2999999999997</v>
      </c>
      <c r="Z38" s="33">
        <f>$W$38*$B$1</f>
        <v>2313.2999999999997</v>
      </c>
      <c r="AA38" s="33">
        <f>$W$38*$B$1</f>
        <v>2313.2999999999997</v>
      </c>
      <c r="AB38" s="33">
        <f>$W$38*$B$1</f>
        <v>2313.2999999999997</v>
      </c>
      <c r="AC38" s="16">
        <f>SUM(Y38:AB38)</f>
        <v>9253.1999999999989</v>
      </c>
      <c r="AD38" s="33">
        <f>$W$38*$B$1</f>
        <v>2313.2999999999997</v>
      </c>
      <c r="AE38" s="33">
        <f>$W$38*$B$1</f>
        <v>2313.2999999999997</v>
      </c>
      <c r="AF38" s="33">
        <f>$W$38*$B$1</f>
        <v>2313.2999999999997</v>
      </c>
      <c r="AG38" s="33">
        <f>$W$38*$B$1</f>
        <v>2313.2999999999997</v>
      </c>
      <c r="AH38" s="33">
        <f>$W$38*$B$1</f>
        <v>2313.2999999999997</v>
      </c>
      <c r="AI38" s="16">
        <f>SUM(AD38:AH38)</f>
        <v>11566.499999999998</v>
      </c>
      <c r="AJ38" s="33">
        <f>$W$38*$B$1</f>
        <v>2313.2999999999997</v>
      </c>
      <c r="AK38" s="33">
        <f>$W$38*$B$1</f>
        <v>2313.2999999999997</v>
      </c>
      <c r="AL38" s="33">
        <f>$W$38*$B$1</f>
        <v>2313.2999999999997</v>
      </c>
      <c r="AM38" s="33">
        <f>$W$38*$B$1</f>
        <v>2313.2999999999997</v>
      </c>
      <c r="AN38" s="16">
        <f>SUM(AJ38:AM38)</f>
        <v>9253.1999999999989</v>
      </c>
      <c r="AO38" s="33">
        <f>$W$38*$B$1</f>
        <v>2313.2999999999997</v>
      </c>
      <c r="AP38" s="33">
        <f>$W$38*$B$1</f>
        <v>2313.2999999999997</v>
      </c>
      <c r="AQ38" s="33">
        <f>$W$38*$B$1</f>
        <v>2313.2999999999997</v>
      </c>
      <c r="AR38" s="33">
        <f>$W$38*$B$1</f>
        <v>2313.2999999999997</v>
      </c>
      <c r="AS38" s="33">
        <f>$W$38*$B$1</f>
        <v>2313.2999999999997</v>
      </c>
      <c r="AT38" s="16">
        <f>SUM(AO38:AS38)</f>
        <v>11566.499999999998</v>
      </c>
    </row>
    <row r="39" spans="1:46" ht="15.75" hidden="1" outlineLevel="1" x14ac:dyDescent="0.25">
      <c r="A39" s="87" t="s">
        <v>156</v>
      </c>
      <c r="B39" s="87" t="s">
        <v>24</v>
      </c>
      <c r="C39" s="82">
        <v>106</v>
      </c>
      <c r="D39" s="38">
        <v>106</v>
      </c>
      <c r="E39" s="38">
        <v>106</v>
      </c>
      <c r="F39" s="38">
        <v>106</v>
      </c>
      <c r="G39" s="38">
        <v>106</v>
      </c>
      <c r="H39" s="16">
        <f>SUM(D39:G39)</f>
        <v>424</v>
      </c>
      <c r="I39" s="38">
        <v>106</v>
      </c>
      <c r="J39" s="38">
        <v>106</v>
      </c>
      <c r="K39" s="38">
        <v>106</v>
      </c>
      <c r="L39" s="38">
        <v>106</v>
      </c>
      <c r="M39" s="16">
        <f>SUM(I39:L39)</f>
        <v>424</v>
      </c>
      <c r="N39" s="38">
        <v>106</v>
      </c>
      <c r="O39" s="38">
        <v>106</v>
      </c>
      <c r="P39" s="38">
        <v>106</v>
      </c>
      <c r="Q39" s="38">
        <v>106</v>
      </c>
      <c r="R39" s="38">
        <v>106</v>
      </c>
      <c r="S39" s="16">
        <f>SUM(N39:R39)</f>
        <v>530</v>
      </c>
      <c r="T39" s="38">
        <v>106</v>
      </c>
      <c r="U39" s="38">
        <v>106</v>
      </c>
      <c r="V39" s="38">
        <v>106</v>
      </c>
      <c r="W39" s="38">
        <v>106</v>
      </c>
      <c r="X39" s="16">
        <f>SUM(T39:W39)</f>
        <v>424</v>
      </c>
      <c r="Y39" s="33">
        <f>$W$39*$B$1</f>
        <v>31.799999999999997</v>
      </c>
      <c r="Z39" s="33">
        <f>$W$39*$B$1</f>
        <v>31.799999999999997</v>
      </c>
      <c r="AA39" s="33">
        <f>$W$39*$B$1</f>
        <v>31.799999999999997</v>
      </c>
      <c r="AB39" s="33">
        <f>$W$39*$B$1</f>
        <v>31.799999999999997</v>
      </c>
      <c r="AC39" s="16">
        <f>SUM(Y39:AB39)</f>
        <v>127.19999999999999</v>
      </c>
      <c r="AD39" s="33">
        <f>$W$39*$B$1</f>
        <v>31.799999999999997</v>
      </c>
      <c r="AE39" s="33">
        <f>$W$39*$B$1</f>
        <v>31.799999999999997</v>
      </c>
      <c r="AF39" s="33">
        <f>$W$39*$B$1</f>
        <v>31.799999999999997</v>
      </c>
      <c r="AG39" s="33">
        <f>$W$39*$B$1</f>
        <v>31.799999999999997</v>
      </c>
      <c r="AH39" s="33">
        <f>$W$39*$B$1</f>
        <v>31.799999999999997</v>
      </c>
      <c r="AI39" s="16">
        <f>SUM(AD39:AH39)</f>
        <v>159</v>
      </c>
      <c r="AJ39" s="33">
        <f>$W$39*$B$1</f>
        <v>31.799999999999997</v>
      </c>
      <c r="AK39" s="33">
        <f>$W$39*$B$1</f>
        <v>31.799999999999997</v>
      </c>
      <c r="AL39" s="33">
        <f>$W$39*$B$1</f>
        <v>31.799999999999997</v>
      </c>
      <c r="AM39" s="33">
        <f>$W$39*$B$1</f>
        <v>31.799999999999997</v>
      </c>
      <c r="AN39" s="16">
        <f>SUM(AJ39:AM39)</f>
        <v>127.19999999999999</v>
      </c>
      <c r="AO39" s="33">
        <f>$W$39*$B$1</f>
        <v>31.799999999999997</v>
      </c>
      <c r="AP39" s="33">
        <f>$W$39*$B$1</f>
        <v>31.799999999999997</v>
      </c>
      <c r="AQ39" s="33">
        <f>$W$39*$B$1</f>
        <v>31.799999999999997</v>
      </c>
      <c r="AR39" s="33">
        <f>$W$39*$B$1</f>
        <v>31.799999999999997</v>
      </c>
      <c r="AS39" s="33">
        <f>$W$39*$B$1</f>
        <v>31.799999999999997</v>
      </c>
      <c r="AT39" s="16">
        <f>SUM(AO39:AS39)</f>
        <v>159</v>
      </c>
    </row>
    <row r="40" spans="1:46" ht="15.75" hidden="1" outlineLevel="1" x14ac:dyDescent="0.25">
      <c r="A40" s="87" t="s">
        <v>34</v>
      </c>
      <c r="B40" s="87" t="s">
        <v>24</v>
      </c>
      <c r="C40" s="82">
        <v>423</v>
      </c>
      <c r="D40" s="4">
        <v>212</v>
      </c>
      <c r="E40" s="4"/>
      <c r="F40" s="4">
        <v>212</v>
      </c>
      <c r="G40" s="4"/>
      <c r="H40" s="16">
        <f>SUM(D40:G40)</f>
        <v>424</v>
      </c>
      <c r="I40" s="4">
        <v>212</v>
      </c>
      <c r="J40" s="4"/>
      <c r="K40" s="4">
        <v>212</v>
      </c>
      <c r="L40" s="4"/>
      <c r="M40" s="16">
        <f>SUM(I40:L40)</f>
        <v>424</v>
      </c>
      <c r="N40" s="4"/>
      <c r="O40" s="4"/>
      <c r="P40" s="4"/>
      <c r="Q40" s="4"/>
      <c r="R40" s="4"/>
      <c r="S40" s="16">
        <f>SUM(N40:R40)</f>
        <v>0</v>
      </c>
      <c r="T40" s="4"/>
      <c r="U40" s="4"/>
      <c r="V40" s="4"/>
      <c r="W40" s="4"/>
      <c r="X40" s="16">
        <f>SUM(T40:W40)</f>
        <v>0</v>
      </c>
      <c r="Y40" s="4"/>
      <c r="Z40" s="4"/>
      <c r="AA40" s="4"/>
      <c r="AB40" s="4"/>
      <c r="AC40" s="16">
        <f>SUM(Y40:AB40)</f>
        <v>0</v>
      </c>
      <c r="AD40" s="4"/>
      <c r="AE40" s="4"/>
      <c r="AF40" s="4"/>
      <c r="AG40" s="4"/>
      <c r="AH40" s="4"/>
      <c r="AI40" s="16">
        <f>SUM(AD40:AH40)</f>
        <v>0</v>
      </c>
      <c r="AJ40" s="4"/>
      <c r="AK40" s="4"/>
      <c r="AL40" s="4"/>
      <c r="AM40" s="4"/>
      <c r="AN40" s="16">
        <f>SUM(AJ40:AM40)</f>
        <v>0</v>
      </c>
      <c r="AO40" s="4"/>
      <c r="AP40" s="4"/>
      <c r="AQ40" s="4"/>
      <c r="AR40" s="4"/>
      <c r="AS40" s="4"/>
      <c r="AT40" s="16">
        <f>SUM(AO40:AS40)</f>
        <v>0</v>
      </c>
    </row>
    <row r="41" spans="1:46" ht="47.25" hidden="1" outlineLevel="1" x14ac:dyDescent="0.25">
      <c r="A41" s="87" t="s">
        <v>35</v>
      </c>
      <c r="B41" s="87" t="s">
        <v>28</v>
      </c>
      <c r="C41" s="82" t="s">
        <v>36</v>
      </c>
      <c r="D41" s="38">
        <v>1300</v>
      </c>
      <c r="E41" s="38">
        <v>1300</v>
      </c>
      <c r="F41" s="38">
        <v>1300</v>
      </c>
      <c r="G41" s="38">
        <v>1300</v>
      </c>
      <c r="H41" s="16">
        <f>SUM(D41:G41)</f>
        <v>5200</v>
      </c>
      <c r="I41" s="38">
        <v>1300</v>
      </c>
      <c r="J41" s="38">
        <v>1300</v>
      </c>
      <c r="K41" s="38">
        <v>1300</v>
      </c>
      <c r="L41" s="38">
        <v>1300</v>
      </c>
      <c r="M41" s="16">
        <f>SUM(I41:L41)</f>
        <v>5200</v>
      </c>
      <c r="N41" s="38">
        <v>1170</v>
      </c>
      <c r="O41" s="38">
        <v>1170</v>
      </c>
      <c r="P41" s="38">
        <v>1170</v>
      </c>
      <c r="Q41" s="38">
        <v>1170</v>
      </c>
      <c r="R41" s="38">
        <v>1170</v>
      </c>
      <c r="S41" s="16">
        <f>SUM(N41:R41)</f>
        <v>5850</v>
      </c>
      <c r="T41" s="38">
        <v>1170</v>
      </c>
      <c r="U41" s="38">
        <v>1170</v>
      </c>
      <c r="V41" s="38">
        <v>1170</v>
      </c>
      <c r="W41" s="38">
        <v>1170</v>
      </c>
      <c r="X41" s="16">
        <f>SUM(T41:W41)</f>
        <v>4680</v>
      </c>
      <c r="Y41" s="33">
        <f>$W$41*$B$1</f>
        <v>351</v>
      </c>
      <c r="Z41" s="33">
        <f>$W$41*$B$1</f>
        <v>351</v>
      </c>
      <c r="AA41" s="33">
        <f>$W$41*$B$1</f>
        <v>351</v>
      </c>
      <c r="AB41" s="33">
        <f>$W$41*$B$1</f>
        <v>351</v>
      </c>
      <c r="AC41" s="16">
        <f>SUM(Y41:AB41)</f>
        <v>1404</v>
      </c>
      <c r="AD41" s="33">
        <f>$W$41*$B$1</f>
        <v>351</v>
      </c>
      <c r="AE41" s="33">
        <f>$W$41*$B$1</f>
        <v>351</v>
      </c>
      <c r="AF41" s="33">
        <f>$W$41*$B$1</f>
        <v>351</v>
      </c>
      <c r="AG41" s="33">
        <f>$W$41*$B$1</f>
        <v>351</v>
      </c>
      <c r="AH41" s="33">
        <f>$W$41*$B$1</f>
        <v>351</v>
      </c>
      <c r="AI41" s="16">
        <f>SUM(AD41:AH41)</f>
        <v>1755</v>
      </c>
      <c r="AJ41" s="33">
        <f>$W$41*$B$1</f>
        <v>351</v>
      </c>
      <c r="AK41" s="33">
        <f>$W$41*$B$1</f>
        <v>351</v>
      </c>
      <c r="AL41" s="33">
        <f>$W$41*$B$1</f>
        <v>351</v>
      </c>
      <c r="AM41" s="33">
        <f>$W$41*$B$1</f>
        <v>351</v>
      </c>
      <c r="AN41" s="16">
        <f>SUM(AJ41:AM41)</f>
        <v>1404</v>
      </c>
      <c r="AO41" s="33">
        <f>$W$41*$B$1</f>
        <v>351</v>
      </c>
      <c r="AP41" s="33">
        <f>$W$41*$B$1</f>
        <v>351</v>
      </c>
      <c r="AQ41" s="33">
        <f>$W$41*$B$1</f>
        <v>351</v>
      </c>
      <c r="AR41" s="33">
        <f>$W$41*$B$1</f>
        <v>351</v>
      </c>
      <c r="AS41" s="33">
        <f>$W$41*$B$1</f>
        <v>351</v>
      </c>
      <c r="AT41" s="16">
        <f>SUM(AO41:AS41)</f>
        <v>1755</v>
      </c>
    </row>
    <row r="42" spans="1:46" ht="63" hidden="1" outlineLevel="1" x14ac:dyDescent="0.25">
      <c r="A42" s="87"/>
      <c r="B42" s="87"/>
      <c r="C42" s="82" t="s">
        <v>37</v>
      </c>
      <c r="D42" s="38">
        <v>6300</v>
      </c>
      <c r="E42" s="38">
        <v>6300</v>
      </c>
      <c r="F42" s="38">
        <v>6300</v>
      </c>
      <c r="G42" s="38">
        <v>6300</v>
      </c>
      <c r="H42" s="16">
        <f>SUM(D42:G42)</f>
        <v>25200</v>
      </c>
      <c r="I42" s="38">
        <v>6300</v>
      </c>
      <c r="J42" s="38">
        <v>6300</v>
      </c>
      <c r="K42" s="38">
        <v>6300</v>
      </c>
      <c r="L42" s="38">
        <v>6300</v>
      </c>
      <c r="M42" s="16">
        <f>SUM(I42:L42)</f>
        <v>25200</v>
      </c>
      <c r="N42" s="38">
        <v>5670</v>
      </c>
      <c r="O42" s="38">
        <v>5670</v>
      </c>
      <c r="P42" s="38">
        <v>5670</v>
      </c>
      <c r="Q42" s="38">
        <v>5670</v>
      </c>
      <c r="R42" s="38">
        <v>5670</v>
      </c>
      <c r="S42" s="16">
        <f>SUM(N42:R42)</f>
        <v>28350</v>
      </c>
      <c r="T42" s="38">
        <v>5670</v>
      </c>
      <c r="U42" s="38">
        <v>5670</v>
      </c>
      <c r="V42" s="38">
        <v>5670</v>
      </c>
      <c r="W42" s="38">
        <v>5670</v>
      </c>
      <c r="X42" s="16">
        <f>SUM(T42:W42)</f>
        <v>22680</v>
      </c>
      <c r="Y42" s="33">
        <f>$W$42*$B$1</f>
        <v>1701</v>
      </c>
      <c r="Z42" s="33">
        <f>$W$42*$B$1</f>
        <v>1701</v>
      </c>
      <c r="AA42" s="33">
        <f>$W$42*$B$1</f>
        <v>1701</v>
      </c>
      <c r="AB42" s="33">
        <f>$W$42*$B$1</f>
        <v>1701</v>
      </c>
      <c r="AC42" s="16">
        <f>SUM(Y42:AB42)</f>
        <v>6804</v>
      </c>
      <c r="AD42" s="33">
        <f>$W$42*$B$1</f>
        <v>1701</v>
      </c>
      <c r="AE42" s="33">
        <f>$W$42*$B$1</f>
        <v>1701</v>
      </c>
      <c r="AF42" s="33">
        <f>$W$42*$B$1</f>
        <v>1701</v>
      </c>
      <c r="AG42" s="33">
        <f>$W$42*$B$1</f>
        <v>1701</v>
      </c>
      <c r="AH42" s="33">
        <f>$W$42*$B$1</f>
        <v>1701</v>
      </c>
      <c r="AI42" s="16">
        <f>SUM(AD42:AH42)</f>
        <v>8505</v>
      </c>
      <c r="AJ42" s="33">
        <f>$W$42*$B$1</f>
        <v>1701</v>
      </c>
      <c r="AK42" s="33">
        <f>$W$42*$B$1</f>
        <v>1701</v>
      </c>
      <c r="AL42" s="33">
        <f>$W$42*$B$1</f>
        <v>1701</v>
      </c>
      <c r="AM42" s="33">
        <f>$W$42*$B$1</f>
        <v>1701</v>
      </c>
      <c r="AN42" s="16">
        <f>SUM(AJ42:AM42)</f>
        <v>6804</v>
      </c>
      <c r="AO42" s="33">
        <f>$W$42*$B$1</f>
        <v>1701</v>
      </c>
      <c r="AP42" s="33">
        <f>$W$42*$B$1</f>
        <v>1701</v>
      </c>
      <c r="AQ42" s="33">
        <f>$W$42*$B$1</f>
        <v>1701</v>
      </c>
      <c r="AR42" s="33">
        <f>$W$42*$B$1</f>
        <v>1701</v>
      </c>
      <c r="AS42" s="33">
        <f>$W$42*$B$1</f>
        <v>1701</v>
      </c>
      <c r="AT42" s="16">
        <f>SUM(AO42:AS42)</f>
        <v>8505</v>
      </c>
    </row>
    <row r="43" spans="1:46" ht="15.75" collapsed="1" x14ac:dyDescent="0.25">
      <c r="A43" s="21" t="s">
        <v>32</v>
      </c>
      <c r="B43" s="22"/>
      <c r="C43" s="35"/>
      <c r="D43" s="23">
        <f t="shared" ref="D43:AT43" si="26">SUM(D38:D42)</f>
        <v>15629</v>
      </c>
      <c r="E43" s="23">
        <f t="shared" si="26"/>
        <v>15417</v>
      </c>
      <c r="F43" s="23">
        <f t="shared" si="26"/>
        <v>15629</v>
      </c>
      <c r="G43" s="23">
        <f t="shared" si="26"/>
        <v>15417</v>
      </c>
      <c r="H43" s="23">
        <f t="shared" si="26"/>
        <v>62092</v>
      </c>
      <c r="I43" s="23">
        <f t="shared" si="26"/>
        <v>15629</v>
      </c>
      <c r="J43" s="23">
        <f t="shared" si="26"/>
        <v>15417</v>
      </c>
      <c r="K43" s="23">
        <f t="shared" si="26"/>
        <v>15629</v>
      </c>
      <c r="L43" s="23">
        <f t="shared" si="26"/>
        <v>15417</v>
      </c>
      <c r="M43" s="23">
        <f t="shared" si="26"/>
        <v>62092</v>
      </c>
      <c r="N43" s="23">
        <f t="shared" si="26"/>
        <v>14657</v>
      </c>
      <c r="O43" s="23">
        <f t="shared" si="26"/>
        <v>14657</v>
      </c>
      <c r="P43" s="23">
        <f t="shared" si="26"/>
        <v>14657</v>
      </c>
      <c r="Q43" s="23">
        <f t="shared" si="26"/>
        <v>14657</v>
      </c>
      <c r="R43" s="23">
        <f t="shared" si="26"/>
        <v>14657</v>
      </c>
      <c r="S43" s="23">
        <f t="shared" si="26"/>
        <v>73285</v>
      </c>
      <c r="T43" s="23">
        <f t="shared" si="26"/>
        <v>14657</v>
      </c>
      <c r="U43" s="23">
        <f t="shared" si="26"/>
        <v>14657</v>
      </c>
      <c r="V43" s="23">
        <f t="shared" si="26"/>
        <v>14657</v>
      </c>
      <c r="W43" s="23">
        <f t="shared" si="26"/>
        <v>14657</v>
      </c>
      <c r="X43" s="23">
        <f t="shared" si="26"/>
        <v>58628</v>
      </c>
      <c r="Y43" s="23">
        <f t="shared" si="26"/>
        <v>4397.1000000000004</v>
      </c>
      <c r="Z43" s="23">
        <f t="shared" si="26"/>
        <v>4397.1000000000004</v>
      </c>
      <c r="AA43" s="23">
        <f t="shared" si="26"/>
        <v>4397.1000000000004</v>
      </c>
      <c r="AB43" s="23">
        <f t="shared" si="26"/>
        <v>4397.1000000000004</v>
      </c>
      <c r="AC43" s="23">
        <f t="shared" si="26"/>
        <v>17588.400000000001</v>
      </c>
      <c r="AD43" s="23">
        <f t="shared" si="26"/>
        <v>4397.1000000000004</v>
      </c>
      <c r="AE43" s="23">
        <f t="shared" si="26"/>
        <v>4397.1000000000004</v>
      </c>
      <c r="AF43" s="23">
        <f t="shared" si="26"/>
        <v>4397.1000000000004</v>
      </c>
      <c r="AG43" s="23">
        <f t="shared" si="26"/>
        <v>4397.1000000000004</v>
      </c>
      <c r="AH43" s="23">
        <f t="shared" si="26"/>
        <v>4397.1000000000004</v>
      </c>
      <c r="AI43" s="23">
        <f t="shared" si="26"/>
        <v>21985.5</v>
      </c>
      <c r="AJ43" s="23">
        <f t="shared" si="26"/>
        <v>4397.1000000000004</v>
      </c>
      <c r="AK43" s="23">
        <f t="shared" si="26"/>
        <v>4397.1000000000004</v>
      </c>
      <c r="AL43" s="23">
        <f t="shared" si="26"/>
        <v>4397.1000000000004</v>
      </c>
      <c r="AM43" s="23">
        <f t="shared" si="26"/>
        <v>4397.1000000000004</v>
      </c>
      <c r="AN43" s="23">
        <f t="shared" si="26"/>
        <v>17588.400000000001</v>
      </c>
      <c r="AO43" s="23">
        <f t="shared" si="26"/>
        <v>4397.1000000000004</v>
      </c>
      <c r="AP43" s="23">
        <f t="shared" si="26"/>
        <v>4397.1000000000004</v>
      </c>
      <c r="AQ43" s="23">
        <f t="shared" si="26"/>
        <v>4397.1000000000004</v>
      </c>
      <c r="AR43" s="23">
        <f t="shared" si="26"/>
        <v>4397.1000000000004</v>
      </c>
      <c r="AS43" s="23">
        <f t="shared" si="26"/>
        <v>4397.1000000000004</v>
      </c>
      <c r="AT43" s="23">
        <f t="shared" si="26"/>
        <v>21985.5</v>
      </c>
    </row>
    <row r="44" spans="1:46" ht="15.75" hidden="1" outlineLevel="1" x14ac:dyDescent="0.25">
      <c r="A44" s="88" t="s">
        <v>39</v>
      </c>
      <c r="B44" s="129" t="s">
        <v>24</v>
      </c>
      <c r="C44" s="129" t="s">
        <v>157</v>
      </c>
      <c r="D44" s="24">
        <f>10088/4</f>
        <v>2522</v>
      </c>
      <c r="E44" s="24">
        <v>2522</v>
      </c>
      <c r="F44" s="24">
        <v>2522</v>
      </c>
      <c r="G44" s="24">
        <v>2522</v>
      </c>
      <c r="H44" s="39">
        <f>SUM(D44:G44)</f>
        <v>10088</v>
      </c>
      <c r="I44" s="24">
        <v>2522</v>
      </c>
      <c r="J44" s="24">
        <v>2522</v>
      </c>
      <c r="K44" s="24">
        <v>2522</v>
      </c>
      <c r="L44" s="24">
        <v>2522</v>
      </c>
      <c r="M44" s="16">
        <f>SUM(I44:L44)</f>
        <v>10088</v>
      </c>
      <c r="N44" s="24">
        <v>2522</v>
      </c>
      <c r="O44" s="24">
        <v>2522</v>
      </c>
      <c r="P44" s="24">
        <v>2522</v>
      </c>
      <c r="Q44" s="24">
        <v>2522</v>
      </c>
      <c r="R44" s="24">
        <v>2522</v>
      </c>
      <c r="S44" s="16">
        <f>SUM(N44:R44)</f>
        <v>12610</v>
      </c>
      <c r="T44" s="24">
        <v>2522</v>
      </c>
      <c r="U44" s="24">
        <v>2522</v>
      </c>
      <c r="V44" s="24">
        <v>2522</v>
      </c>
      <c r="W44" s="24">
        <v>2522</v>
      </c>
      <c r="X44" s="16">
        <f>SUM(T44:W44)</f>
        <v>10088</v>
      </c>
      <c r="Y44" s="33">
        <f>$W$44*$B$1</f>
        <v>756.6</v>
      </c>
      <c r="Z44" s="33">
        <f>$W$44*$B$1</f>
        <v>756.6</v>
      </c>
      <c r="AA44" s="33">
        <f>$W$44*$B$1</f>
        <v>756.6</v>
      </c>
      <c r="AB44" s="33">
        <f>$W$44*$B$1</f>
        <v>756.6</v>
      </c>
      <c r="AC44" s="16">
        <f>SUM(Y44:AB44)</f>
        <v>3026.4</v>
      </c>
      <c r="AD44" s="33">
        <f>$W$44*$B$1</f>
        <v>756.6</v>
      </c>
      <c r="AE44" s="33">
        <f>$W$44*$B$1</f>
        <v>756.6</v>
      </c>
      <c r="AF44" s="33">
        <f>$W$44*$B$1</f>
        <v>756.6</v>
      </c>
      <c r="AG44" s="33">
        <f>$W$44*$B$1</f>
        <v>756.6</v>
      </c>
      <c r="AH44" s="33">
        <f>$W$44*$B$1</f>
        <v>756.6</v>
      </c>
      <c r="AI44" s="16">
        <f>SUM(AD44:AH44)</f>
        <v>3783</v>
      </c>
      <c r="AJ44" s="33">
        <f>$W$44*$B$1</f>
        <v>756.6</v>
      </c>
      <c r="AK44" s="33">
        <f>$W$44*$B$1</f>
        <v>756.6</v>
      </c>
      <c r="AL44" s="33">
        <f>$W$44*$B$1</f>
        <v>756.6</v>
      </c>
      <c r="AM44" s="33">
        <f>$W$44*$B$1</f>
        <v>756.6</v>
      </c>
      <c r="AN44" s="16">
        <f>SUM(AJ44:AM44)</f>
        <v>3026.4</v>
      </c>
      <c r="AO44" s="33">
        <f>$W$44*$B$1</f>
        <v>756.6</v>
      </c>
      <c r="AP44" s="33">
        <f>$W$44*$B$1</f>
        <v>756.6</v>
      </c>
      <c r="AQ44" s="33">
        <f>$W$44*$B$1</f>
        <v>756.6</v>
      </c>
      <c r="AR44" s="33">
        <f>$W$44*$B$1</f>
        <v>756.6</v>
      </c>
      <c r="AS44" s="33">
        <f>$W$44*$B$1</f>
        <v>756.6</v>
      </c>
      <c r="AT44" s="16">
        <f>SUM(AO44:AS44)</f>
        <v>3783</v>
      </c>
    </row>
    <row r="45" spans="1:46" ht="15.75" hidden="1" outlineLevel="1" x14ac:dyDescent="0.25">
      <c r="A45" s="89" t="s">
        <v>40</v>
      </c>
      <c r="B45" s="129" t="s">
        <v>41</v>
      </c>
      <c r="C45" s="129" t="s">
        <v>158</v>
      </c>
      <c r="D45" s="24">
        <f>86278/4</f>
        <v>21569.5</v>
      </c>
      <c r="E45" s="24">
        <v>21569.5</v>
      </c>
      <c r="F45" s="24">
        <v>21569.5</v>
      </c>
      <c r="G45" s="24">
        <v>21569.5</v>
      </c>
      <c r="H45" s="39">
        <f>SUM(D45:G45)</f>
        <v>86278</v>
      </c>
      <c r="I45" s="24">
        <v>21569.5</v>
      </c>
      <c r="J45" s="24">
        <v>21569.5</v>
      </c>
      <c r="K45" s="24">
        <v>21569.5</v>
      </c>
      <c r="L45" s="24">
        <v>21569.5</v>
      </c>
      <c r="M45" s="16">
        <f>SUM(I45:L45)</f>
        <v>86278</v>
      </c>
      <c r="N45" s="24">
        <v>21569.5</v>
      </c>
      <c r="O45" s="24">
        <v>21569.5</v>
      </c>
      <c r="P45" s="24">
        <v>21569.5</v>
      </c>
      <c r="Q45" s="24">
        <v>21569.5</v>
      </c>
      <c r="R45" s="24">
        <v>21569.5</v>
      </c>
      <c r="S45" s="16">
        <f>SUM(N45:R45)</f>
        <v>107847.5</v>
      </c>
      <c r="T45" s="24">
        <v>21569.5</v>
      </c>
      <c r="U45" s="24">
        <v>21569.5</v>
      </c>
      <c r="V45" s="24">
        <v>21569.5</v>
      </c>
      <c r="W45" s="24">
        <v>21569.5</v>
      </c>
      <c r="X45" s="16">
        <f>SUM(T45:W45)</f>
        <v>86278</v>
      </c>
      <c r="Y45" s="33">
        <f>$W$45*$B$1</f>
        <v>6470.8499999999995</v>
      </c>
      <c r="Z45" s="33">
        <f>$W$45*$B$1</f>
        <v>6470.8499999999995</v>
      </c>
      <c r="AA45" s="33">
        <f>$W$45*$B$1</f>
        <v>6470.8499999999995</v>
      </c>
      <c r="AB45" s="33">
        <f>$W$45*$B$1</f>
        <v>6470.8499999999995</v>
      </c>
      <c r="AC45" s="16">
        <f>SUM(Y45:AB45)</f>
        <v>25883.399999999998</v>
      </c>
      <c r="AD45" s="33">
        <f>$W$45*$B$1</f>
        <v>6470.8499999999995</v>
      </c>
      <c r="AE45" s="33">
        <f>$W$45*$B$1</f>
        <v>6470.8499999999995</v>
      </c>
      <c r="AF45" s="33">
        <f>$W$45*$B$1</f>
        <v>6470.8499999999995</v>
      </c>
      <c r="AG45" s="33">
        <f>$W$45*$B$1</f>
        <v>6470.8499999999995</v>
      </c>
      <c r="AH45" s="33">
        <f>$W$45*$B$1</f>
        <v>6470.8499999999995</v>
      </c>
      <c r="AI45" s="16">
        <f>SUM(AD45:AH45)</f>
        <v>32354.249999999996</v>
      </c>
      <c r="AJ45" s="33">
        <f>$W$45*$B$1</f>
        <v>6470.8499999999995</v>
      </c>
      <c r="AK45" s="33">
        <f>$W$45*$B$1</f>
        <v>6470.8499999999995</v>
      </c>
      <c r="AL45" s="33">
        <f>$W$45*$B$1</f>
        <v>6470.8499999999995</v>
      </c>
      <c r="AM45" s="33">
        <f>$W$45*$B$1</f>
        <v>6470.8499999999995</v>
      </c>
      <c r="AN45" s="16">
        <f>SUM(AJ45:AM45)</f>
        <v>25883.399999999998</v>
      </c>
      <c r="AO45" s="33">
        <f>$W$45*$B$1</f>
        <v>6470.8499999999995</v>
      </c>
      <c r="AP45" s="33">
        <f>$W$45*$B$1</f>
        <v>6470.8499999999995</v>
      </c>
      <c r="AQ45" s="33">
        <f>$W$45*$B$1</f>
        <v>6470.8499999999995</v>
      </c>
      <c r="AR45" s="33">
        <f>$W$45*$B$1</f>
        <v>6470.8499999999995</v>
      </c>
      <c r="AS45" s="33">
        <f>$W$45*$B$1</f>
        <v>6470.8499999999995</v>
      </c>
      <c r="AT45" s="16">
        <f>SUM(AO45:AS45)</f>
        <v>32354.249999999996</v>
      </c>
    </row>
    <row r="46" spans="1:46" ht="31.5" hidden="1" outlineLevel="1" x14ac:dyDescent="0.25">
      <c r="A46" s="89" t="s">
        <v>42</v>
      </c>
      <c r="B46" s="129" t="s">
        <v>43</v>
      </c>
      <c r="C46" s="129" t="s">
        <v>44</v>
      </c>
      <c r="D46" s="4">
        <v>724</v>
      </c>
      <c r="E46" s="4">
        <v>724</v>
      </c>
      <c r="F46" s="4">
        <v>724</v>
      </c>
      <c r="G46" s="4">
        <v>724</v>
      </c>
      <c r="H46" s="16">
        <f>SUM(D46:G46)</f>
        <v>2896</v>
      </c>
      <c r="I46" s="4">
        <v>724</v>
      </c>
      <c r="J46" s="4">
        <v>724</v>
      </c>
      <c r="K46" s="4">
        <v>724</v>
      </c>
      <c r="L46" s="4">
        <v>724</v>
      </c>
      <c r="M46" s="16">
        <f>SUM(I46:L46)</f>
        <v>2896</v>
      </c>
      <c r="N46" s="4">
        <v>724</v>
      </c>
      <c r="O46" s="4">
        <v>724</v>
      </c>
      <c r="P46" s="4">
        <v>724</v>
      </c>
      <c r="Q46" s="4">
        <v>724</v>
      </c>
      <c r="R46" s="4">
        <v>724</v>
      </c>
      <c r="S46" s="16">
        <f>SUM(N46:R46)</f>
        <v>3620</v>
      </c>
      <c r="T46" s="4">
        <v>724</v>
      </c>
      <c r="U46" s="4">
        <v>724</v>
      </c>
      <c r="V46" s="4">
        <v>724</v>
      </c>
      <c r="W46" s="4">
        <v>724</v>
      </c>
      <c r="X46" s="16">
        <f>SUM(T46:W46)</f>
        <v>2896</v>
      </c>
      <c r="Y46" s="33">
        <f>$W$46*$B$1</f>
        <v>217.2</v>
      </c>
      <c r="Z46" s="33">
        <f>$W$46*$B$1</f>
        <v>217.2</v>
      </c>
      <c r="AA46" s="33">
        <f>$W$46*$B$1</f>
        <v>217.2</v>
      </c>
      <c r="AB46" s="33">
        <f>$W$46*$B$1</f>
        <v>217.2</v>
      </c>
      <c r="AC46" s="16">
        <f>SUM(Y46:AB46)</f>
        <v>868.8</v>
      </c>
      <c r="AD46" s="33">
        <f>$W$46*$B$1</f>
        <v>217.2</v>
      </c>
      <c r="AE46" s="33">
        <f>$W$46*$B$1</f>
        <v>217.2</v>
      </c>
      <c r="AF46" s="33">
        <f>$W$46*$B$1</f>
        <v>217.2</v>
      </c>
      <c r="AG46" s="33">
        <f>$W$46*$B$1</f>
        <v>217.2</v>
      </c>
      <c r="AH46" s="33">
        <f>$W$46*$B$1</f>
        <v>217.2</v>
      </c>
      <c r="AI46" s="16">
        <f>SUM(AD46:AH46)</f>
        <v>1086</v>
      </c>
      <c r="AJ46" s="33">
        <f>$W$46*$B$1</f>
        <v>217.2</v>
      </c>
      <c r="AK46" s="33">
        <f>$W$46*$B$1</f>
        <v>217.2</v>
      </c>
      <c r="AL46" s="33">
        <f>$W$46*$B$1</f>
        <v>217.2</v>
      </c>
      <c r="AM46" s="33">
        <f>$W$46*$B$1</f>
        <v>217.2</v>
      </c>
      <c r="AN46" s="16">
        <f>SUM(AJ46:AM46)</f>
        <v>868.8</v>
      </c>
      <c r="AO46" s="33">
        <f>$W$46*$B$1</f>
        <v>217.2</v>
      </c>
      <c r="AP46" s="33">
        <f>$W$46*$B$1</f>
        <v>217.2</v>
      </c>
      <c r="AQ46" s="33">
        <f>$W$46*$B$1</f>
        <v>217.2</v>
      </c>
      <c r="AR46" s="33">
        <f>$W$46*$B$1</f>
        <v>217.2</v>
      </c>
      <c r="AS46" s="33">
        <f>$W$46*$B$1</f>
        <v>217.2</v>
      </c>
      <c r="AT46" s="16">
        <f>SUM(AO46:AS46)</f>
        <v>1086</v>
      </c>
    </row>
    <row r="47" spans="1:46" ht="15.75" collapsed="1" x14ac:dyDescent="0.25">
      <c r="A47" s="21" t="s">
        <v>38</v>
      </c>
      <c r="B47" s="22"/>
      <c r="C47" s="35"/>
      <c r="D47" s="23">
        <f t="shared" ref="D47:AT47" si="27">SUM(D44:D46)</f>
        <v>24815.5</v>
      </c>
      <c r="E47" s="23">
        <f t="shared" si="27"/>
        <v>24815.5</v>
      </c>
      <c r="F47" s="23">
        <f t="shared" si="27"/>
        <v>24815.5</v>
      </c>
      <c r="G47" s="23">
        <f t="shared" si="27"/>
        <v>24815.5</v>
      </c>
      <c r="H47" s="23">
        <f t="shared" si="27"/>
        <v>99262</v>
      </c>
      <c r="I47" s="23">
        <f t="shared" si="27"/>
        <v>24815.5</v>
      </c>
      <c r="J47" s="23">
        <f t="shared" si="27"/>
        <v>24815.5</v>
      </c>
      <c r="K47" s="23">
        <f t="shared" si="27"/>
        <v>24815.5</v>
      </c>
      <c r="L47" s="23">
        <f t="shared" si="27"/>
        <v>24815.5</v>
      </c>
      <c r="M47" s="23">
        <f t="shared" si="27"/>
        <v>99262</v>
      </c>
      <c r="N47" s="23">
        <f t="shared" si="27"/>
        <v>24815.5</v>
      </c>
      <c r="O47" s="23">
        <f t="shared" si="27"/>
        <v>24815.5</v>
      </c>
      <c r="P47" s="23">
        <f t="shared" si="27"/>
        <v>24815.5</v>
      </c>
      <c r="Q47" s="23">
        <f t="shared" si="27"/>
        <v>24815.5</v>
      </c>
      <c r="R47" s="23">
        <f t="shared" si="27"/>
        <v>24815.5</v>
      </c>
      <c r="S47" s="23">
        <f t="shared" si="27"/>
        <v>124077.5</v>
      </c>
      <c r="T47" s="23">
        <f t="shared" si="27"/>
        <v>24815.5</v>
      </c>
      <c r="U47" s="23">
        <f t="shared" si="27"/>
        <v>24815.5</v>
      </c>
      <c r="V47" s="23">
        <f t="shared" si="27"/>
        <v>24815.5</v>
      </c>
      <c r="W47" s="23">
        <f t="shared" si="27"/>
        <v>24815.5</v>
      </c>
      <c r="X47" s="23">
        <f t="shared" si="27"/>
        <v>99262</v>
      </c>
      <c r="Y47" s="23">
        <f t="shared" si="27"/>
        <v>7444.65</v>
      </c>
      <c r="Z47" s="23">
        <f t="shared" si="27"/>
        <v>7444.65</v>
      </c>
      <c r="AA47" s="23">
        <f t="shared" si="27"/>
        <v>7444.65</v>
      </c>
      <c r="AB47" s="23">
        <f t="shared" si="27"/>
        <v>7444.65</v>
      </c>
      <c r="AC47" s="23">
        <f t="shared" si="27"/>
        <v>29778.6</v>
      </c>
      <c r="AD47" s="23">
        <f t="shared" si="27"/>
        <v>7444.65</v>
      </c>
      <c r="AE47" s="23">
        <f t="shared" si="27"/>
        <v>7444.65</v>
      </c>
      <c r="AF47" s="23">
        <f t="shared" si="27"/>
        <v>7444.65</v>
      </c>
      <c r="AG47" s="23">
        <f t="shared" si="27"/>
        <v>7444.65</v>
      </c>
      <c r="AH47" s="23">
        <f t="shared" si="27"/>
        <v>7444.65</v>
      </c>
      <c r="AI47" s="23">
        <f t="shared" si="27"/>
        <v>37223.25</v>
      </c>
      <c r="AJ47" s="23">
        <f t="shared" si="27"/>
        <v>7444.65</v>
      </c>
      <c r="AK47" s="23">
        <f t="shared" si="27"/>
        <v>7444.65</v>
      </c>
      <c r="AL47" s="23">
        <f t="shared" si="27"/>
        <v>7444.65</v>
      </c>
      <c r="AM47" s="23">
        <f t="shared" si="27"/>
        <v>7444.65</v>
      </c>
      <c r="AN47" s="23">
        <f t="shared" si="27"/>
        <v>29778.6</v>
      </c>
      <c r="AO47" s="23">
        <f t="shared" si="27"/>
        <v>7444.65</v>
      </c>
      <c r="AP47" s="23">
        <f t="shared" si="27"/>
        <v>7444.65</v>
      </c>
      <c r="AQ47" s="23">
        <f t="shared" si="27"/>
        <v>7444.65</v>
      </c>
      <c r="AR47" s="23">
        <f t="shared" si="27"/>
        <v>7444.65</v>
      </c>
      <c r="AS47" s="23">
        <f t="shared" si="27"/>
        <v>7444.65</v>
      </c>
      <c r="AT47" s="23">
        <f t="shared" si="27"/>
        <v>37223.25</v>
      </c>
    </row>
    <row r="48" spans="1:46" ht="15.75" hidden="1" outlineLevel="1" x14ac:dyDescent="0.25">
      <c r="A48" s="88" t="s">
        <v>159</v>
      </c>
      <c r="B48" s="129" t="s">
        <v>24</v>
      </c>
      <c r="C48" s="40">
        <v>1000</v>
      </c>
      <c r="D48" s="41">
        <v>1000</v>
      </c>
      <c r="E48" s="41">
        <v>1000</v>
      </c>
      <c r="F48" s="41">
        <v>1000</v>
      </c>
      <c r="G48" s="41">
        <v>1000</v>
      </c>
      <c r="H48" s="16">
        <f t="shared" ref="H48:H53" si="28">SUM(D48:G48)</f>
        <v>4000</v>
      </c>
      <c r="I48" s="41">
        <v>1000</v>
      </c>
      <c r="J48" s="41">
        <v>1000</v>
      </c>
      <c r="K48" s="41">
        <v>1000</v>
      </c>
      <c r="L48" s="41">
        <v>1000</v>
      </c>
      <c r="M48" s="16">
        <f t="shared" ref="M48:M53" si="29">SUM(I48:L48)</f>
        <v>4000</v>
      </c>
      <c r="N48" s="41">
        <v>1000</v>
      </c>
      <c r="O48" s="41">
        <v>1000</v>
      </c>
      <c r="P48" s="41">
        <v>1000</v>
      </c>
      <c r="Q48" s="41">
        <v>1000</v>
      </c>
      <c r="R48" s="41">
        <v>1000</v>
      </c>
      <c r="S48" s="16">
        <f t="shared" ref="S48:S53" si="30">SUM(N48:R48)</f>
        <v>5000</v>
      </c>
      <c r="T48" s="41">
        <v>1000</v>
      </c>
      <c r="U48" s="41">
        <v>1000</v>
      </c>
      <c r="V48" s="41">
        <v>1000</v>
      </c>
      <c r="W48" s="41">
        <v>1000</v>
      </c>
      <c r="X48" s="16">
        <f t="shared" ref="X48:X53" si="31">SUM(T48:W48)</f>
        <v>4000</v>
      </c>
      <c r="Y48" s="33">
        <v>1000</v>
      </c>
      <c r="Z48" s="33">
        <v>1000</v>
      </c>
      <c r="AA48" s="33">
        <v>1000</v>
      </c>
      <c r="AB48" s="33">
        <v>1000</v>
      </c>
      <c r="AC48" s="16">
        <f t="shared" ref="AC48:AC53" si="32">SUM(Y48:AB48)</f>
        <v>4000</v>
      </c>
      <c r="AD48" s="33">
        <v>1000</v>
      </c>
      <c r="AE48" s="33">
        <v>1000</v>
      </c>
      <c r="AF48" s="33">
        <v>1000</v>
      </c>
      <c r="AG48" s="33">
        <v>1000</v>
      </c>
      <c r="AH48" s="33">
        <v>1000</v>
      </c>
      <c r="AI48" s="16">
        <f t="shared" ref="AI48:AI53" si="33">SUM(AD48:AH48)</f>
        <v>5000</v>
      </c>
      <c r="AJ48" s="33">
        <v>1000</v>
      </c>
      <c r="AK48" s="33">
        <v>1000</v>
      </c>
      <c r="AL48" s="33">
        <v>1000</v>
      </c>
      <c r="AM48" s="33">
        <v>1000</v>
      </c>
      <c r="AN48" s="16">
        <f t="shared" ref="AN48:AN53" si="34">SUM(AJ48:AM48)</f>
        <v>4000</v>
      </c>
      <c r="AO48" s="33">
        <v>1000</v>
      </c>
      <c r="AP48" s="33">
        <v>1000</v>
      </c>
      <c r="AQ48" s="33">
        <v>1000</v>
      </c>
      <c r="AR48" s="33">
        <v>1000</v>
      </c>
      <c r="AS48" s="33">
        <v>1000</v>
      </c>
      <c r="AT48" s="16">
        <f t="shared" ref="AT48:AT53" si="35">SUM(AO48:AS48)</f>
        <v>5000</v>
      </c>
    </row>
    <row r="49" spans="1:46" ht="31.5" hidden="1" outlineLevel="1" x14ac:dyDescent="0.25">
      <c r="A49" s="89" t="s">
        <v>189</v>
      </c>
      <c r="B49" s="399" t="s">
        <v>41</v>
      </c>
      <c r="C49" s="40">
        <v>3924</v>
      </c>
      <c r="D49" s="42">
        <v>630</v>
      </c>
      <c r="E49" s="42">
        <v>630</v>
      </c>
      <c r="F49" s="42">
        <v>9716</v>
      </c>
      <c r="G49" s="42">
        <v>630</v>
      </c>
      <c r="H49" s="16">
        <f t="shared" si="28"/>
        <v>11606</v>
      </c>
      <c r="I49" s="42">
        <v>9716</v>
      </c>
      <c r="J49" s="42">
        <v>630</v>
      </c>
      <c r="K49" s="42">
        <v>9716</v>
      </c>
      <c r="L49" s="42">
        <v>600</v>
      </c>
      <c r="M49" s="16">
        <f t="shared" si="29"/>
        <v>20662</v>
      </c>
      <c r="N49" s="42">
        <v>600</v>
      </c>
      <c r="O49" s="42">
        <v>600</v>
      </c>
      <c r="P49" s="42">
        <v>600</v>
      </c>
      <c r="Q49" s="42">
        <v>600</v>
      </c>
      <c r="R49" s="42">
        <v>600</v>
      </c>
      <c r="S49" s="16">
        <f t="shared" si="30"/>
        <v>3000</v>
      </c>
      <c r="T49" s="42">
        <v>600</v>
      </c>
      <c r="U49" s="42">
        <v>600</v>
      </c>
      <c r="V49" s="42">
        <v>600</v>
      </c>
      <c r="W49" s="42">
        <v>600</v>
      </c>
      <c r="X49" s="16">
        <f t="shared" si="31"/>
        <v>2400</v>
      </c>
      <c r="Y49" s="33">
        <v>600</v>
      </c>
      <c r="Z49" s="33">
        <v>600</v>
      </c>
      <c r="AA49" s="33">
        <v>600</v>
      </c>
      <c r="AB49" s="33">
        <v>600</v>
      </c>
      <c r="AC49" s="16">
        <f t="shared" si="32"/>
        <v>2400</v>
      </c>
      <c r="AD49" s="33">
        <v>600</v>
      </c>
      <c r="AE49" s="33">
        <v>600</v>
      </c>
      <c r="AF49" s="33">
        <v>600</v>
      </c>
      <c r="AG49" s="33">
        <v>600</v>
      </c>
      <c r="AH49" s="33">
        <v>600</v>
      </c>
      <c r="AI49" s="16">
        <f t="shared" si="33"/>
        <v>3000</v>
      </c>
      <c r="AJ49" s="33">
        <v>600</v>
      </c>
      <c r="AK49" s="33">
        <v>600</v>
      </c>
      <c r="AL49" s="33">
        <v>600</v>
      </c>
      <c r="AM49" s="33">
        <v>600</v>
      </c>
      <c r="AN49" s="16">
        <f t="shared" si="34"/>
        <v>2400</v>
      </c>
      <c r="AO49" s="33">
        <v>600</v>
      </c>
      <c r="AP49" s="33">
        <v>600</v>
      </c>
      <c r="AQ49" s="33">
        <v>600</v>
      </c>
      <c r="AR49" s="33">
        <v>600</v>
      </c>
      <c r="AS49" s="33">
        <v>600</v>
      </c>
      <c r="AT49" s="16">
        <f t="shared" si="35"/>
        <v>3000</v>
      </c>
    </row>
    <row r="50" spans="1:46" ht="15.75" hidden="1" outlineLevel="1" x14ac:dyDescent="0.25">
      <c r="A50" s="89" t="s">
        <v>190</v>
      </c>
      <c r="B50" s="399"/>
      <c r="C50" s="40" t="s">
        <v>191</v>
      </c>
      <c r="D50" s="42">
        <v>1154</v>
      </c>
      <c r="E50" s="43">
        <v>987</v>
      </c>
      <c r="F50" s="42">
        <v>1154</v>
      </c>
      <c r="G50" s="43">
        <v>987</v>
      </c>
      <c r="H50" s="16">
        <f t="shared" si="28"/>
        <v>4282</v>
      </c>
      <c r="I50" s="42">
        <v>1154</v>
      </c>
      <c r="J50" s="43">
        <v>987</v>
      </c>
      <c r="K50" s="42">
        <v>1067</v>
      </c>
      <c r="L50" s="42">
        <v>900</v>
      </c>
      <c r="M50" s="16">
        <f t="shared" si="29"/>
        <v>4108</v>
      </c>
      <c r="N50" s="42">
        <v>900</v>
      </c>
      <c r="O50" s="42">
        <v>900</v>
      </c>
      <c r="P50" s="42">
        <v>900</v>
      </c>
      <c r="Q50" s="42">
        <v>900</v>
      </c>
      <c r="R50" s="42">
        <v>900</v>
      </c>
      <c r="S50" s="16">
        <f t="shared" si="30"/>
        <v>4500</v>
      </c>
      <c r="T50" s="42">
        <v>900</v>
      </c>
      <c r="U50" s="42">
        <v>900</v>
      </c>
      <c r="V50" s="42">
        <v>900</v>
      </c>
      <c r="W50" s="42">
        <v>900</v>
      </c>
      <c r="X50" s="16">
        <f t="shared" si="31"/>
        <v>3600</v>
      </c>
      <c r="Y50" s="33">
        <v>900</v>
      </c>
      <c r="Z50" s="33">
        <v>900</v>
      </c>
      <c r="AA50" s="33">
        <v>900</v>
      </c>
      <c r="AB50" s="33">
        <v>900</v>
      </c>
      <c r="AC50" s="16">
        <f t="shared" si="32"/>
        <v>3600</v>
      </c>
      <c r="AD50" s="33">
        <v>900</v>
      </c>
      <c r="AE50" s="33">
        <v>900</v>
      </c>
      <c r="AF50" s="33">
        <v>900</v>
      </c>
      <c r="AG50" s="33">
        <v>900</v>
      </c>
      <c r="AH50" s="33">
        <v>900</v>
      </c>
      <c r="AI50" s="16">
        <f t="shared" si="33"/>
        <v>4500</v>
      </c>
      <c r="AJ50" s="33">
        <v>900</v>
      </c>
      <c r="AK50" s="33">
        <v>900</v>
      </c>
      <c r="AL50" s="33">
        <v>900</v>
      </c>
      <c r="AM50" s="33">
        <v>900</v>
      </c>
      <c r="AN50" s="16">
        <f t="shared" si="34"/>
        <v>3600</v>
      </c>
      <c r="AO50" s="33">
        <v>900</v>
      </c>
      <c r="AP50" s="33">
        <v>900</v>
      </c>
      <c r="AQ50" s="33">
        <v>900</v>
      </c>
      <c r="AR50" s="33">
        <v>900</v>
      </c>
      <c r="AS50" s="33">
        <v>900</v>
      </c>
      <c r="AT50" s="16">
        <f t="shared" si="35"/>
        <v>4500</v>
      </c>
    </row>
    <row r="51" spans="1:46" ht="15.75" hidden="1" outlineLevel="1" x14ac:dyDescent="0.25">
      <c r="A51" s="89" t="s">
        <v>46</v>
      </c>
      <c r="B51" s="399" t="s">
        <v>28</v>
      </c>
      <c r="C51" s="40">
        <v>150</v>
      </c>
      <c r="D51" s="43">
        <v>150</v>
      </c>
      <c r="E51" s="43">
        <v>0</v>
      </c>
      <c r="F51" s="43">
        <v>0</v>
      </c>
      <c r="G51" s="43">
        <v>0</v>
      </c>
      <c r="H51" s="16">
        <f t="shared" si="28"/>
        <v>150</v>
      </c>
      <c r="I51" s="43">
        <v>0</v>
      </c>
      <c r="J51" s="42">
        <v>50</v>
      </c>
      <c r="K51" s="42">
        <v>0</v>
      </c>
      <c r="L51" s="42">
        <v>0</v>
      </c>
      <c r="M51" s="16">
        <f t="shared" si="29"/>
        <v>50</v>
      </c>
      <c r="N51" s="42">
        <v>0</v>
      </c>
      <c r="O51" s="42">
        <v>50</v>
      </c>
      <c r="P51" s="42">
        <v>0</v>
      </c>
      <c r="Q51" s="42">
        <v>0</v>
      </c>
      <c r="R51" s="42">
        <v>0</v>
      </c>
      <c r="S51" s="16">
        <f t="shared" si="30"/>
        <v>50</v>
      </c>
      <c r="T51" s="42">
        <v>0</v>
      </c>
      <c r="U51" s="42">
        <v>50</v>
      </c>
      <c r="V51" s="42">
        <v>0</v>
      </c>
      <c r="W51" s="42">
        <v>0</v>
      </c>
      <c r="X51" s="16">
        <f t="shared" si="31"/>
        <v>50</v>
      </c>
      <c r="Y51" s="33">
        <f>$W$51*$B$1</f>
        <v>0</v>
      </c>
      <c r="Z51" s="42">
        <v>0</v>
      </c>
      <c r="AA51" s="42">
        <v>50</v>
      </c>
      <c r="AB51" s="42">
        <v>0</v>
      </c>
      <c r="AC51" s="16">
        <f t="shared" si="32"/>
        <v>50</v>
      </c>
      <c r="AD51" s="42">
        <v>0</v>
      </c>
      <c r="AE51" s="42">
        <v>0</v>
      </c>
      <c r="AF51" s="42">
        <v>0</v>
      </c>
      <c r="AG51" s="42">
        <v>50</v>
      </c>
      <c r="AH51" s="42">
        <v>0</v>
      </c>
      <c r="AI51" s="16">
        <f t="shared" si="33"/>
        <v>50</v>
      </c>
      <c r="AJ51" s="42">
        <v>0</v>
      </c>
      <c r="AK51" s="42">
        <v>0</v>
      </c>
      <c r="AL51" s="42">
        <v>0</v>
      </c>
      <c r="AM51" s="42">
        <v>50</v>
      </c>
      <c r="AN51" s="16">
        <f t="shared" si="34"/>
        <v>50</v>
      </c>
      <c r="AO51" s="42">
        <v>0</v>
      </c>
      <c r="AP51" s="42">
        <v>0</v>
      </c>
      <c r="AQ51" s="42">
        <v>0</v>
      </c>
      <c r="AR51" s="42">
        <v>0</v>
      </c>
      <c r="AS51" s="42">
        <v>50</v>
      </c>
      <c r="AT51" s="16">
        <f t="shared" si="35"/>
        <v>50</v>
      </c>
    </row>
    <row r="52" spans="1:46" ht="15.75" hidden="1" outlineLevel="1" x14ac:dyDescent="0.25">
      <c r="A52" s="89" t="s">
        <v>47</v>
      </c>
      <c r="B52" s="399"/>
      <c r="C52" s="40">
        <v>4054</v>
      </c>
      <c r="D52" s="42">
        <v>3486</v>
      </c>
      <c r="E52" s="42">
        <v>3486</v>
      </c>
      <c r="F52" s="42">
        <v>3495</v>
      </c>
      <c r="G52" s="42">
        <v>3536</v>
      </c>
      <c r="H52" s="16">
        <f t="shared" si="28"/>
        <v>14003</v>
      </c>
      <c r="I52" s="42">
        <v>3505</v>
      </c>
      <c r="J52" s="42">
        <v>3446</v>
      </c>
      <c r="K52" s="42">
        <v>3376</v>
      </c>
      <c r="L52" s="42">
        <v>3367</v>
      </c>
      <c r="M52" s="16">
        <f t="shared" si="29"/>
        <v>13694</v>
      </c>
      <c r="N52" s="42">
        <v>3217</v>
      </c>
      <c r="O52" s="42">
        <v>3217</v>
      </c>
      <c r="P52" s="42">
        <v>3217</v>
      </c>
      <c r="Q52" s="42">
        <v>3217</v>
      </c>
      <c r="R52" s="42">
        <v>3217</v>
      </c>
      <c r="S52" s="16">
        <f t="shared" si="30"/>
        <v>16085</v>
      </c>
      <c r="T52" s="42">
        <v>3217</v>
      </c>
      <c r="U52" s="42">
        <v>3217</v>
      </c>
      <c r="V52" s="42">
        <v>3217</v>
      </c>
      <c r="W52" s="42">
        <v>3217</v>
      </c>
      <c r="X52" s="16">
        <f t="shared" si="31"/>
        <v>12868</v>
      </c>
      <c r="Y52" s="33">
        <v>3150</v>
      </c>
      <c r="Z52" s="33">
        <v>3150</v>
      </c>
      <c r="AA52" s="33">
        <v>3150</v>
      </c>
      <c r="AB52" s="33">
        <v>3150</v>
      </c>
      <c r="AC52" s="16">
        <f t="shared" si="32"/>
        <v>12600</v>
      </c>
      <c r="AD52" s="33">
        <v>3150</v>
      </c>
      <c r="AE52" s="33">
        <v>3150</v>
      </c>
      <c r="AF52" s="33">
        <v>3150</v>
      </c>
      <c r="AG52" s="33">
        <v>3150</v>
      </c>
      <c r="AH52" s="33">
        <v>3150</v>
      </c>
      <c r="AI52" s="16">
        <f t="shared" si="33"/>
        <v>15750</v>
      </c>
      <c r="AJ52" s="33">
        <v>3150</v>
      </c>
      <c r="AK52" s="33">
        <v>3150</v>
      </c>
      <c r="AL52" s="33">
        <v>3150</v>
      </c>
      <c r="AM52" s="33">
        <v>3150</v>
      </c>
      <c r="AN52" s="16">
        <f t="shared" si="34"/>
        <v>12600</v>
      </c>
      <c r="AO52" s="33">
        <v>3150</v>
      </c>
      <c r="AP52" s="33">
        <v>3150</v>
      </c>
      <c r="AQ52" s="33">
        <v>3150</v>
      </c>
      <c r="AR52" s="33">
        <v>3150</v>
      </c>
      <c r="AS52" s="33">
        <v>3150</v>
      </c>
      <c r="AT52" s="16">
        <f t="shared" si="35"/>
        <v>15750</v>
      </c>
    </row>
    <row r="53" spans="1:46" ht="15.75" hidden="1" outlineLevel="1" x14ac:dyDescent="0.25">
      <c r="A53" s="89" t="s">
        <v>48</v>
      </c>
      <c r="B53" s="399"/>
      <c r="C53" s="90">
        <v>2721</v>
      </c>
      <c r="D53" s="44">
        <v>680</v>
      </c>
      <c r="E53" s="42">
        <v>680</v>
      </c>
      <c r="F53" s="42">
        <v>680</v>
      </c>
      <c r="G53" s="42">
        <v>680</v>
      </c>
      <c r="H53" s="16">
        <f t="shared" si="28"/>
        <v>2720</v>
      </c>
      <c r="I53" s="42">
        <v>570</v>
      </c>
      <c r="J53" s="42">
        <v>570</v>
      </c>
      <c r="K53" s="42">
        <v>570</v>
      </c>
      <c r="L53" s="42">
        <v>570</v>
      </c>
      <c r="M53" s="16">
        <f t="shared" si="29"/>
        <v>2280</v>
      </c>
      <c r="N53" s="42">
        <v>570</v>
      </c>
      <c r="O53" s="42">
        <v>570</v>
      </c>
      <c r="P53" s="42">
        <v>570</v>
      </c>
      <c r="Q53" s="42">
        <v>570</v>
      </c>
      <c r="R53" s="42">
        <v>570</v>
      </c>
      <c r="S53" s="16">
        <f t="shared" si="30"/>
        <v>2850</v>
      </c>
      <c r="T53" s="42">
        <v>475</v>
      </c>
      <c r="U53" s="42">
        <v>475</v>
      </c>
      <c r="V53" s="42">
        <v>475</v>
      </c>
      <c r="W53" s="42">
        <v>475</v>
      </c>
      <c r="X53" s="16">
        <f t="shared" si="31"/>
        <v>1900</v>
      </c>
      <c r="Y53" s="33">
        <v>475</v>
      </c>
      <c r="Z53" s="33">
        <v>475</v>
      </c>
      <c r="AA53" s="33">
        <v>475</v>
      </c>
      <c r="AB53" s="33">
        <v>475</v>
      </c>
      <c r="AC53" s="16">
        <f t="shared" si="32"/>
        <v>1900</v>
      </c>
      <c r="AD53" s="33">
        <v>475</v>
      </c>
      <c r="AE53" s="33">
        <v>475</v>
      </c>
      <c r="AF53" s="33">
        <v>475</v>
      </c>
      <c r="AG53" s="33">
        <v>475</v>
      </c>
      <c r="AH53" s="33" t="s">
        <v>290</v>
      </c>
      <c r="AI53" s="16">
        <f t="shared" si="33"/>
        <v>1900</v>
      </c>
      <c r="AJ53" s="33">
        <v>475</v>
      </c>
      <c r="AK53" s="33">
        <v>475</v>
      </c>
      <c r="AL53" s="33">
        <v>475</v>
      </c>
      <c r="AM53" s="33">
        <v>475</v>
      </c>
      <c r="AN53" s="16">
        <f t="shared" si="34"/>
        <v>1900</v>
      </c>
      <c r="AO53" s="33">
        <v>475</v>
      </c>
      <c r="AP53" s="33">
        <v>475</v>
      </c>
      <c r="AQ53" s="33">
        <v>475</v>
      </c>
      <c r="AR53" s="33">
        <v>475</v>
      </c>
      <c r="AS53" s="33">
        <v>475</v>
      </c>
      <c r="AT53" s="16">
        <f t="shared" si="35"/>
        <v>2375</v>
      </c>
    </row>
    <row r="54" spans="1:46" ht="15.75" collapsed="1" x14ac:dyDescent="0.25">
      <c r="A54" s="254" t="s">
        <v>45</v>
      </c>
      <c r="B54" s="22"/>
      <c r="C54" s="45"/>
      <c r="D54" s="23">
        <f t="shared" ref="D54:AT54" si="36">SUM(D48:D53)</f>
        <v>7100</v>
      </c>
      <c r="E54" s="23">
        <f t="shared" si="36"/>
        <v>6783</v>
      </c>
      <c r="F54" s="23">
        <f t="shared" si="36"/>
        <v>16045</v>
      </c>
      <c r="G54" s="23">
        <f t="shared" si="36"/>
        <v>6833</v>
      </c>
      <c r="H54" s="23">
        <f t="shared" si="36"/>
        <v>36761</v>
      </c>
      <c r="I54" s="23">
        <f t="shared" si="36"/>
        <v>15945</v>
      </c>
      <c r="J54" s="23">
        <f t="shared" si="36"/>
        <v>6683</v>
      </c>
      <c r="K54" s="23">
        <f t="shared" si="36"/>
        <v>15729</v>
      </c>
      <c r="L54" s="23">
        <f t="shared" si="36"/>
        <v>6437</v>
      </c>
      <c r="M54" s="23">
        <f t="shared" si="36"/>
        <v>44794</v>
      </c>
      <c r="N54" s="23">
        <f t="shared" si="36"/>
        <v>6287</v>
      </c>
      <c r="O54" s="23">
        <f t="shared" si="36"/>
        <v>6337</v>
      </c>
      <c r="P54" s="23">
        <f t="shared" si="36"/>
        <v>6287</v>
      </c>
      <c r="Q54" s="23">
        <f t="shared" si="36"/>
        <v>6287</v>
      </c>
      <c r="R54" s="23">
        <f t="shared" si="36"/>
        <v>6287</v>
      </c>
      <c r="S54" s="23">
        <f t="shared" si="36"/>
        <v>31485</v>
      </c>
      <c r="T54" s="23">
        <f t="shared" si="36"/>
        <v>6192</v>
      </c>
      <c r="U54" s="23">
        <f t="shared" si="36"/>
        <v>6242</v>
      </c>
      <c r="V54" s="23">
        <f t="shared" si="36"/>
        <v>6192</v>
      </c>
      <c r="W54" s="23">
        <f t="shared" si="36"/>
        <v>6192</v>
      </c>
      <c r="X54" s="23">
        <f t="shared" si="36"/>
        <v>24818</v>
      </c>
      <c r="Y54" s="23">
        <f t="shared" si="36"/>
        <v>6125</v>
      </c>
      <c r="Z54" s="23">
        <f t="shared" si="36"/>
        <v>6125</v>
      </c>
      <c r="AA54" s="23">
        <f t="shared" si="36"/>
        <v>6175</v>
      </c>
      <c r="AB54" s="23">
        <f t="shared" si="36"/>
        <v>6125</v>
      </c>
      <c r="AC54" s="23">
        <f t="shared" si="36"/>
        <v>24550</v>
      </c>
      <c r="AD54" s="23">
        <f t="shared" si="36"/>
        <v>6125</v>
      </c>
      <c r="AE54" s="23">
        <f t="shared" si="36"/>
        <v>6125</v>
      </c>
      <c r="AF54" s="23">
        <f t="shared" si="36"/>
        <v>6125</v>
      </c>
      <c r="AG54" s="23">
        <f t="shared" si="36"/>
        <v>6175</v>
      </c>
      <c r="AH54" s="23">
        <f t="shared" si="36"/>
        <v>5650</v>
      </c>
      <c r="AI54" s="23">
        <f t="shared" si="36"/>
        <v>30200</v>
      </c>
      <c r="AJ54" s="23">
        <f t="shared" si="36"/>
        <v>6125</v>
      </c>
      <c r="AK54" s="23">
        <f t="shared" si="36"/>
        <v>6125</v>
      </c>
      <c r="AL54" s="23">
        <f t="shared" si="36"/>
        <v>6125</v>
      </c>
      <c r="AM54" s="23">
        <f t="shared" si="36"/>
        <v>6175</v>
      </c>
      <c r="AN54" s="23">
        <f t="shared" si="36"/>
        <v>24550</v>
      </c>
      <c r="AO54" s="23">
        <f t="shared" si="36"/>
        <v>6125</v>
      </c>
      <c r="AP54" s="23">
        <f t="shared" si="36"/>
        <v>6125</v>
      </c>
      <c r="AQ54" s="23">
        <f t="shared" si="36"/>
        <v>6125</v>
      </c>
      <c r="AR54" s="23">
        <f t="shared" si="36"/>
        <v>6125</v>
      </c>
      <c r="AS54" s="23">
        <f t="shared" si="36"/>
        <v>6175</v>
      </c>
      <c r="AT54" s="23">
        <f t="shared" si="36"/>
        <v>30675</v>
      </c>
    </row>
    <row r="55" spans="1:46" ht="16.5" hidden="1" outlineLevel="1" thickBot="1" x14ac:dyDescent="0.3">
      <c r="A55" s="253" t="s">
        <v>160</v>
      </c>
      <c r="B55" s="252" t="s">
        <v>41</v>
      </c>
      <c r="C55" s="251">
        <v>1050</v>
      </c>
      <c r="D55" s="46">
        <v>1050</v>
      </c>
      <c r="E55" s="46">
        <v>1050</v>
      </c>
      <c r="F55" s="46">
        <v>1050</v>
      </c>
      <c r="G55" s="46">
        <v>1050</v>
      </c>
      <c r="H55" s="16">
        <f t="shared" ref="H55:H60" si="37">SUM(D55:G55)</f>
        <v>4200</v>
      </c>
      <c r="I55" s="46">
        <v>1050</v>
      </c>
      <c r="J55" s="46">
        <v>1050</v>
      </c>
      <c r="K55" s="46">
        <v>1050</v>
      </c>
      <c r="L55" s="46">
        <v>1050</v>
      </c>
      <c r="M55" s="16">
        <f t="shared" ref="M55:M60" si="38">SUM(I55:L55)</f>
        <v>4200</v>
      </c>
      <c r="N55" s="46">
        <v>1050</v>
      </c>
      <c r="O55" s="46">
        <v>1050</v>
      </c>
      <c r="P55" s="46">
        <v>858</v>
      </c>
      <c r="Q55" s="46">
        <v>858</v>
      </c>
      <c r="R55" s="46">
        <v>858</v>
      </c>
      <c r="S55" s="16">
        <f t="shared" ref="S55:S60" si="39">SUM(N55:R55)</f>
        <v>4674</v>
      </c>
      <c r="T55" s="46">
        <v>858</v>
      </c>
      <c r="U55" s="46">
        <v>858</v>
      </c>
      <c r="V55" s="46">
        <v>818</v>
      </c>
      <c r="W55" s="46">
        <v>818</v>
      </c>
      <c r="X55" s="16">
        <f t="shared" ref="X55:X60" si="40">SUM(T55:W55)</f>
        <v>3352</v>
      </c>
      <c r="Y55" s="244">
        <f>AC55/4</f>
        <v>765</v>
      </c>
      <c r="Z55" s="244">
        <v>765</v>
      </c>
      <c r="AA55" s="244">
        <v>765</v>
      </c>
      <c r="AB55" s="244">
        <v>765</v>
      </c>
      <c r="AC55" s="243">
        <v>3060</v>
      </c>
      <c r="AD55" s="244">
        <f>AI55/5</f>
        <v>718</v>
      </c>
      <c r="AE55" s="244">
        <v>718</v>
      </c>
      <c r="AF55" s="244">
        <v>718</v>
      </c>
      <c r="AG55" s="244">
        <v>718</v>
      </c>
      <c r="AH55" s="244">
        <v>718</v>
      </c>
      <c r="AI55" s="243">
        <v>3590</v>
      </c>
      <c r="AJ55" s="244">
        <f>AN55/4</f>
        <v>712</v>
      </c>
      <c r="AK55" s="244">
        <v>712</v>
      </c>
      <c r="AL55" s="244">
        <v>712</v>
      </c>
      <c r="AM55" s="244">
        <v>712</v>
      </c>
      <c r="AN55" s="243">
        <v>2848</v>
      </c>
      <c r="AO55" s="244">
        <f>AT55/5</f>
        <v>702</v>
      </c>
      <c r="AP55" s="244">
        <v>702</v>
      </c>
      <c r="AQ55" s="244">
        <v>702</v>
      </c>
      <c r="AR55" s="244">
        <v>702</v>
      </c>
      <c r="AS55" s="244">
        <v>702</v>
      </c>
      <c r="AT55" s="243">
        <v>3510</v>
      </c>
    </row>
    <row r="56" spans="1:46" ht="32.25" hidden="1" outlineLevel="1" thickBot="1" x14ac:dyDescent="0.3">
      <c r="A56" s="247" t="s">
        <v>192</v>
      </c>
      <c r="B56" s="252"/>
      <c r="C56" s="251" t="s">
        <v>161</v>
      </c>
      <c r="D56" s="46"/>
      <c r="E56" s="46"/>
      <c r="F56" s="46"/>
      <c r="G56" s="46"/>
      <c r="H56" s="16">
        <f t="shared" si="37"/>
        <v>0</v>
      </c>
      <c r="I56" s="46"/>
      <c r="J56" s="46">
        <v>30</v>
      </c>
      <c r="K56" s="46"/>
      <c r="L56" s="46"/>
      <c r="M56" s="16">
        <f t="shared" si="38"/>
        <v>30</v>
      </c>
      <c r="N56" s="46"/>
      <c r="O56" s="46"/>
      <c r="P56" s="46">
        <v>30</v>
      </c>
      <c r="Q56" s="46"/>
      <c r="R56" s="46"/>
      <c r="S56" s="16">
        <f t="shared" si="39"/>
        <v>30</v>
      </c>
      <c r="T56" s="46"/>
      <c r="U56" s="46"/>
      <c r="V56" s="46">
        <v>30</v>
      </c>
      <c r="W56" s="46"/>
      <c r="X56" s="16">
        <f t="shared" si="40"/>
        <v>30</v>
      </c>
      <c r="Y56" s="46"/>
      <c r="Z56" s="46"/>
      <c r="AA56" s="46"/>
      <c r="AB56" s="46"/>
      <c r="AC56" s="16">
        <f>SUM(Y56:AB56)</f>
        <v>0</v>
      </c>
      <c r="AD56" s="46"/>
      <c r="AE56" s="46"/>
      <c r="AF56" s="46"/>
      <c r="AG56" s="46"/>
      <c r="AH56" s="46"/>
      <c r="AI56" s="16">
        <f>SUM(AD56:AH56)</f>
        <v>0</v>
      </c>
      <c r="AJ56" s="46"/>
      <c r="AK56" s="46"/>
      <c r="AL56" s="46"/>
      <c r="AM56" s="46"/>
      <c r="AN56" s="16">
        <f>SUM(AJ56:AM56)</f>
        <v>0</v>
      </c>
      <c r="AO56" s="46"/>
      <c r="AP56" s="46"/>
      <c r="AQ56" s="46"/>
      <c r="AR56" s="46"/>
      <c r="AS56" s="46"/>
      <c r="AT56" s="16">
        <f>SUM(AO56:AS56)</f>
        <v>0</v>
      </c>
    </row>
    <row r="57" spans="1:46" ht="30.75" hidden="1" outlineLevel="1" thickBot="1" x14ac:dyDescent="0.3">
      <c r="A57" s="91" t="s">
        <v>162</v>
      </c>
      <c r="B57" s="252" t="s">
        <v>24</v>
      </c>
      <c r="C57" s="251">
        <v>700</v>
      </c>
      <c r="D57" s="46">
        <v>205</v>
      </c>
      <c r="E57" s="46">
        <v>324</v>
      </c>
      <c r="F57" s="46">
        <v>347</v>
      </c>
      <c r="G57" s="46">
        <v>328</v>
      </c>
      <c r="H57" s="16">
        <f t="shared" si="37"/>
        <v>1204</v>
      </c>
      <c r="I57" s="46">
        <v>303</v>
      </c>
      <c r="J57" s="46">
        <v>298</v>
      </c>
      <c r="K57" s="46">
        <v>288</v>
      </c>
      <c r="L57" s="46">
        <v>213</v>
      </c>
      <c r="M57" s="16">
        <f t="shared" si="38"/>
        <v>1102</v>
      </c>
      <c r="N57" s="46">
        <v>153</v>
      </c>
      <c r="O57" s="46">
        <v>23</v>
      </c>
      <c r="P57" s="46">
        <v>304</v>
      </c>
      <c r="Q57" s="46">
        <v>58</v>
      </c>
      <c r="R57" s="46">
        <v>58</v>
      </c>
      <c r="S57" s="16">
        <f t="shared" si="39"/>
        <v>596</v>
      </c>
      <c r="T57" s="46">
        <v>43</v>
      </c>
      <c r="U57" s="46">
        <v>31</v>
      </c>
      <c r="V57" s="46">
        <v>239</v>
      </c>
      <c r="W57" s="47">
        <v>660</v>
      </c>
      <c r="X57" s="16">
        <f t="shared" si="40"/>
        <v>973</v>
      </c>
      <c r="Y57" s="244">
        <v>1009</v>
      </c>
      <c r="Z57" s="244">
        <v>1010</v>
      </c>
      <c r="AA57" s="244">
        <v>1010</v>
      </c>
      <c r="AB57" s="244">
        <v>1010</v>
      </c>
      <c r="AC57" s="243">
        <v>4039</v>
      </c>
      <c r="AD57" s="250">
        <f>AI57/5</f>
        <v>1064</v>
      </c>
      <c r="AE57" s="250">
        <v>1064</v>
      </c>
      <c r="AF57" s="250">
        <v>1064</v>
      </c>
      <c r="AG57" s="244">
        <v>1064</v>
      </c>
      <c r="AH57" s="244">
        <v>1064</v>
      </c>
      <c r="AI57" s="243">
        <v>5320</v>
      </c>
      <c r="AJ57" s="244">
        <f>AN57/4</f>
        <v>1024</v>
      </c>
      <c r="AK57" s="244">
        <v>1024</v>
      </c>
      <c r="AL57" s="244">
        <v>1024</v>
      </c>
      <c r="AM57" s="244">
        <v>1024</v>
      </c>
      <c r="AN57" s="243">
        <v>4096</v>
      </c>
      <c r="AO57" s="244">
        <f>AT57/5</f>
        <v>1008</v>
      </c>
      <c r="AP57" s="244">
        <v>1008</v>
      </c>
      <c r="AQ57" s="244">
        <v>1008</v>
      </c>
      <c r="AR57" s="244">
        <v>1008</v>
      </c>
      <c r="AS57" s="244">
        <v>1008</v>
      </c>
      <c r="AT57" s="243">
        <v>5040</v>
      </c>
    </row>
    <row r="58" spans="1:46" ht="16.5" hidden="1" outlineLevel="1" thickBot="1" x14ac:dyDescent="0.3">
      <c r="A58" s="247" t="s">
        <v>49</v>
      </c>
      <c r="B58" s="249" t="s">
        <v>24</v>
      </c>
      <c r="C58" s="248">
        <v>987</v>
      </c>
      <c r="D58" s="46"/>
      <c r="E58" s="46"/>
      <c r="F58" s="46"/>
      <c r="G58" s="46">
        <v>987</v>
      </c>
      <c r="H58" s="16">
        <f t="shared" si="37"/>
        <v>987</v>
      </c>
      <c r="I58" s="46">
        <v>987</v>
      </c>
      <c r="J58" s="46">
        <v>987</v>
      </c>
      <c r="K58" s="46">
        <v>987</v>
      </c>
      <c r="L58" s="46">
        <v>987</v>
      </c>
      <c r="M58" s="16">
        <f t="shared" si="38"/>
        <v>3948</v>
      </c>
      <c r="N58" s="46">
        <v>987</v>
      </c>
      <c r="O58" s="46">
        <v>987</v>
      </c>
      <c r="P58" s="46">
        <v>987</v>
      </c>
      <c r="Q58" s="46">
        <v>987</v>
      </c>
      <c r="R58" s="46">
        <v>987</v>
      </c>
      <c r="S58" s="16">
        <f t="shared" si="39"/>
        <v>4935</v>
      </c>
      <c r="T58" s="46">
        <v>987</v>
      </c>
      <c r="U58" s="46">
        <v>987</v>
      </c>
      <c r="V58" s="46">
        <v>987</v>
      </c>
      <c r="W58" s="46">
        <v>987</v>
      </c>
      <c r="X58" s="16">
        <f t="shared" si="40"/>
        <v>3948</v>
      </c>
      <c r="Y58" s="244">
        <f>AC58/4</f>
        <v>460</v>
      </c>
      <c r="Z58" s="244">
        <v>460</v>
      </c>
      <c r="AA58" s="244">
        <v>460</v>
      </c>
      <c r="AB58" s="244">
        <v>460</v>
      </c>
      <c r="AC58" s="243">
        <v>1840</v>
      </c>
      <c r="AD58" s="244">
        <f>AI58/5</f>
        <v>460</v>
      </c>
      <c r="AE58" s="244">
        <v>460</v>
      </c>
      <c r="AF58" s="244">
        <v>460</v>
      </c>
      <c r="AG58" s="244">
        <v>460</v>
      </c>
      <c r="AH58" s="244">
        <v>460</v>
      </c>
      <c r="AI58" s="243">
        <v>2300</v>
      </c>
      <c r="AJ58" s="244">
        <f>AN58/4</f>
        <v>460</v>
      </c>
      <c r="AK58" s="244">
        <v>460</v>
      </c>
      <c r="AL58" s="244">
        <v>460</v>
      </c>
      <c r="AM58" s="244">
        <v>460</v>
      </c>
      <c r="AN58" s="243">
        <v>1840</v>
      </c>
      <c r="AO58" s="244">
        <f>AT58/5</f>
        <v>460</v>
      </c>
      <c r="AP58" s="244">
        <v>460</v>
      </c>
      <c r="AQ58" s="244">
        <v>460</v>
      </c>
      <c r="AR58" s="244">
        <v>460</v>
      </c>
      <c r="AS58" s="244">
        <v>460</v>
      </c>
      <c r="AT58" s="243">
        <v>2300</v>
      </c>
    </row>
    <row r="59" spans="1:46" ht="32.25" hidden="1" outlineLevel="1" thickBot="1" x14ac:dyDescent="0.3">
      <c r="A59" s="247" t="s">
        <v>50</v>
      </c>
      <c r="B59" s="249" t="s">
        <v>24</v>
      </c>
      <c r="C59" s="248">
        <v>20</v>
      </c>
      <c r="D59" s="46">
        <v>20</v>
      </c>
      <c r="E59" s="46">
        <v>20</v>
      </c>
      <c r="F59" s="46">
        <v>20</v>
      </c>
      <c r="G59" s="46">
        <v>20</v>
      </c>
      <c r="H59" s="16">
        <f t="shared" si="37"/>
        <v>80</v>
      </c>
      <c r="I59" s="46">
        <v>20</v>
      </c>
      <c r="J59" s="46">
        <v>20</v>
      </c>
      <c r="K59" s="46">
        <v>20</v>
      </c>
      <c r="L59" s="46">
        <v>20</v>
      </c>
      <c r="M59" s="16">
        <f t="shared" si="38"/>
        <v>80</v>
      </c>
      <c r="N59" s="46">
        <v>20</v>
      </c>
      <c r="O59" s="46">
        <v>20</v>
      </c>
      <c r="P59" s="46">
        <v>20</v>
      </c>
      <c r="Q59" s="46"/>
      <c r="R59" s="46">
        <v>20</v>
      </c>
      <c r="S59" s="16">
        <f t="shared" si="39"/>
        <v>80</v>
      </c>
      <c r="T59" s="46">
        <v>20</v>
      </c>
      <c r="U59" s="46">
        <v>20</v>
      </c>
      <c r="V59" s="46">
        <v>20</v>
      </c>
      <c r="W59" s="46">
        <v>20</v>
      </c>
      <c r="X59" s="16">
        <f t="shared" si="40"/>
        <v>80</v>
      </c>
      <c r="Y59" s="244">
        <v>10</v>
      </c>
      <c r="Z59" s="244">
        <v>10</v>
      </c>
      <c r="AA59" s="244">
        <v>10</v>
      </c>
      <c r="AB59" s="244">
        <v>10</v>
      </c>
      <c r="AC59" s="243">
        <v>40</v>
      </c>
      <c r="AD59" s="244">
        <v>10</v>
      </c>
      <c r="AE59" s="244">
        <v>10</v>
      </c>
      <c r="AF59" s="244">
        <v>10</v>
      </c>
      <c r="AG59" s="244">
        <v>10</v>
      </c>
      <c r="AH59" s="244">
        <v>10</v>
      </c>
      <c r="AI59" s="243">
        <v>50</v>
      </c>
      <c r="AJ59" s="244">
        <v>10</v>
      </c>
      <c r="AK59" s="244">
        <v>10</v>
      </c>
      <c r="AL59" s="244">
        <v>10</v>
      </c>
      <c r="AM59" s="244">
        <v>10</v>
      </c>
      <c r="AN59" s="243">
        <v>40</v>
      </c>
      <c r="AO59" s="244">
        <v>10</v>
      </c>
      <c r="AP59" s="244">
        <v>10</v>
      </c>
      <c r="AQ59" s="244">
        <v>10</v>
      </c>
      <c r="AR59" s="244">
        <v>10</v>
      </c>
      <c r="AS59" s="244">
        <v>10</v>
      </c>
      <c r="AT59" s="243">
        <v>50</v>
      </c>
    </row>
    <row r="60" spans="1:46" ht="16.5" hidden="1" outlineLevel="1" thickBot="1" x14ac:dyDescent="0.3">
      <c r="A60" s="247" t="s">
        <v>163</v>
      </c>
      <c r="B60" s="246" t="s">
        <v>164</v>
      </c>
      <c r="C60" s="245">
        <v>1826</v>
      </c>
      <c r="D60" s="46"/>
      <c r="E60" s="46"/>
      <c r="F60" s="46"/>
      <c r="G60" s="46"/>
      <c r="H60" s="16">
        <f t="shared" si="37"/>
        <v>0</v>
      </c>
      <c r="I60" s="46">
        <v>1826</v>
      </c>
      <c r="J60" s="46">
        <v>1826</v>
      </c>
      <c r="K60" s="46">
        <v>1826</v>
      </c>
      <c r="L60" s="46">
        <v>1826</v>
      </c>
      <c r="M60" s="16">
        <f t="shared" si="38"/>
        <v>7304</v>
      </c>
      <c r="N60" s="46">
        <v>1826</v>
      </c>
      <c r="O60" s="46">
        <v>1826</v>
      </c>
      <c r="P60" s="46">
        <v>1826</v>
      </c>
      <c r="Q60" s="46">
        <v>1826</v>
      </c>
      <c r="R60" s="46">
        <v>1826</v>
      </c>
      <c r="S60" s="16">
        <f t="shared" si="39"/>
        <v>9130</v>
      </c>
      <c r="T60" s="46">
        <v>1826</v>
      </c>
      <c r="U60" s="46">
        <v>1826</v>
      </c>
      <c r="V60" s="46">
        <v>1826</v>
      </c>
      <c r="W60" s="46">
        <v>1826</v>
      </c>
      <c r="X60" s="16">
        <f t="shared" si="40"/>
        <v>7304</v>
      </c>
      <c r="Y60" s="244">
        <f>AC60/4</f>
        <v>900</v>
      </c>
      <c r="Z60" s="244">
        <v>900</v>
      </c>
      <c r="AA60" s="244">
        <v>900</v>
      </c>
      <c r="AB60" s="244">
        <v>900</v>
      </c>
      <c r="AC60" s="243">
        <v>3600</v>
      </c>
      <c r="AD60" s="244">
        <f>AI60/5</f>
        <v>900</v>
      </c>
      <c r="AE60" s="244">
        <v>900</v>
      </c>
      <c r="AF60" s="244">
        <v>900</v>
      </c>
      <c r="AG60" s="244">
        <v>900</v>
      </c>
      <c r="AH60" s="244">
        <v>900</v>
      </c>
      <c r="AI60" s="243">
        <v>4500</v>
      </c>
      <c r="AJ60" s="244">
        <v>900</v>
      </c>
      <c r="AK60" s="244">
        <v>900</v>
      </c>
      <c r="AL60" s="244">
        <v>900</v>
      </c>
      <c r="AM60" s="244">
        <v>900</v>
      </c>
      <c r="AN60" s="243">
        <v>3600</v>
      </c>
      <c r="AO60" s="244">
        <v>900</v>
      </c>
      <c r="AP60" s="244">
        <v>900</v>
      </c>
      <c r="AQ60" s="244">
        <v>900</v>
      </c>
      <c r="AR60" s="244">
        <v>900</v>
      </c>
      <c r="AS60" s="244">
        <v>900</v>
      </c>
      <c r="AT60" s="243">
        <v>4500</v>
      </c>
    </row>
    <row r="61" spans="1:46" ht="15.75" collapsed="1" x14ac:dyDescent="0.25">
      <c r="A61" s="240" t="s">
        <v>165</v>
      </c>
      <c r="B61" s="37"/>
      <c r="C61" s="37"/>
      <c r="D61" s="23">
        <f t="shared" ref="D61:AT61" si="41">SUM(D55:D60)</f>
        <v>1275</v>
      </c>
      <c r="E61" s="23">
        <f t="shared" si="41"/>
        <v>1394</v>
      </c>
      <c r="F61" s="23">
        <f t="shared" si="41"/>
        <v>1417</v>
      </c>
      <c r="G61" s="23">
        <f t="shared" si="41"/>
        <v>2385</v>
      </c>
      <c r="H61" s="23">
        <f t="shared" si="41"/>
        <v>6471</v>
      </c>
      <c r="I61" s="23">
        <f t="shared" si="41"/>
        <v>4186</v>
      </c>
      <c r="J61" s="23">
        <f t="shared" si="41"/>
        <v>4211</v>
      </c>
      <c r="K61" s="23">
        <f t="shared" si="41"/>
        <v>4171</v>
      </c>
      <c r="L61" s="23">
        <f t="shared" si="41"/>
        <v>4096</v>
      </c>
      <c r="M61" s="23">
        <f t="shared" si="41"/>
        <v>16664</v>
      </c>
      <c r="N61" s="23">
        <f t="shared" si="41"/>
        <v>4036</v>
      </c>
      <c r="O61" s="23">
        <f t="shared" si="41"/>
        <v>3906</v>
      </c>
      <c r="P61" s="23">
        <f t="shared" si="41"/>
        <v>4025</v>
      </c>
      <c r="Q61" s="23">
        <f t="shared" si="41"/>
        <v>3729</v>
      </c>
      <c r="R61" s="23">
        <f t="shared" si="41"/>
        <v>3749</v>
      </c>
      <c r="S61" s="23">
        <f t="shared" si="41"/>
        <v>19445</v>
      </c>
      <c r="T61" s="23">
        <f t="shared" si="41"/>
        <v>3734</v>
      </c>
      <c r="U61" s="23">
        <f t="shared" si="41"/>
        <v>3722</v>
      </c>
      <c r="V61" s="23">
        <f t="shared" si="41"/>
        <v>3920</v>
      </c>
      <c r="W61" s="23">
        <f t="shared" si="41"/>
        <v>4311</v>
      </c>
      <c r="X61" s="23">
        <f t="shared" si="41"/>
        <v>15687</v>
      </c>
      <c r="Y61" s="23">
        <f t="shared" si="41"/>
        <v>3144</v>
      </c>
      <c r="Z61" s="23">
        <f t="shared" si="41"/>
        <v>3145</v>
      </c>
      <c r="AA61" s="23">
        <f t="shared" si="41"/>
        <v>3145</v>
      </c>
      <c r="AB61" s="23">
        <f t="shared" si="41"/>
        <v>3145</v>
      </c>
      <c r="AC61" s="23">
        <f t="shared" si="41"/>
        <v>12579</v>
      </c>
      <c r="AD61" s="23">
        <f t="shared" si="41"/>
        <v>3152</v>
      </c>
      <c r="AE61" s="23">
        <f t="shared" si="41"/>
        <v>3152</v>
      </c>
      <c r="AF61" s="23">
        <f t="shared" si="41"/>
        <v>3152</v>
      </c>
      <c r="AG61" s="23">
        <f t="shared" si="41"/>
        <v>3152</v>
      </c>
      <c r="AH61" s="23">
        <f t="shared" si="41"/>
        <v>3152</v>
      </c>
      <c r="AI61" s="23">
        <f t="shared" si="41"/>
        <v>15760</v>
      </c>
      <c r="AJ61" s="23">
        <f t="shared" si="41"/>
        <v>3106</v>
      </c>
      <c r="AK61" s="23">
        <f t="shared" si="41"/>
        <v>3106</v>
      </c>
      <c r="AL61" s="23">
        <f t="shared" si="41"/>
        <v>3106</v>
      </c>
      <c r="AM61" s="23">
        <f t="shared" si="41"/>
        <v>3106</v>
      </c>
      <c r="AN61" s="23">
        <f t="shared" si="41"/>
        <v>12424</v>
      </c>
      <c r="AO61" s="23">
        <f t="shared" si="41"/>
        <v>3080</v>
      </c>
      <c r="AP61" s="23">
        <f t="shared" si="41"/>
        <v>3080</v>
      </c>
      <c r="AQ61" s="23">
        <f t="shared" si="41"/>
        <v>3080</v>
      </c>
      <c r="AR61" s="23">
        <f t="shared" si="41"/>
        <v>3080</v>
      </c>
      <c r="AS61" s="23">
        <f t="shared" si="41"/>
        <v>3080</v>
      </c>
      <c r="AT61" s="23">
        <f t="shared" si="41"/>
        <v>15400</v>
      </c>
    </row>
    <row r="62" spans="1:46" ht="16.5" hidden="1" outlineLevel="1" thickBot="1" x14ac:dyDescent="0.3">
      <c r="A62" s="308" t="s">
        <v>52</v>
      </c>
      <c r="B62" s="129" t="s">
        <v>41</v>
      </c>
      <c r="C62" s="129" t="s">
        <v>166</v>
      </c>
      <c r="D62" s="4">
        <v>1050</v>
      </c>
      <c r="E62" s="4">
        <v>1050</v>
      </c>
      <c r="F62" s="4">
        <v>1050</v>
      </c>
      <c r="G62" s="4">
        <v>1050</v>
      </c>
      <c r="H62" s="16">
        <f t="shared" ref="H62:H71" si="42">SUM(D62:G62)</f>
        <v>4200</v>
      </c>
      <c r="I62" s="4">
        <v>1050</v>
      </c>
      <c r="J62" s="4">
        <v>1050</v>
      </c>
      <c r="K62" s="4">
        <v>1050</v>
      </c>
      <c r="L62" s="4">
        <v>1050</v>
      </c>
      <c r="M62" s="16">
        <f t="shared" ref="M62:M71" si="43">SUM(I62:L62)</f>
        <v>4200</v>
      </c>
      <c r="N62" s="4">
        <v>1050</v>
      </c>
      <c r="O62" s="4">
        <v>1050</v>
      </c>
      <c r="P62" s="4">
        <v>1050</v>
      </c>
      <c r="Q62" s="4">
        <v>1050</v>
      </c>
      <c r="R62" s="4">
        <v>1050</v>
      </c>
      <c r="S62" s="16">
        <f t="shared" ref="S62:S71" si="44">SUM(N62:R62)</f>
        <v>5250</v>
      </c>
      <c r="T62" s="4">
        <v>1050</v>
      </c>
      <c r="U62" s="4">
        <v>1050</v>
      </c>
      <c r="V62" s="4">
        <v>1050</v>
      </c>
      <c r="W62" s="4">
        <v>1050</v>
      </c>
      <c r="X62" s="16">
        <f t="shared" ref="X62:X71" si="45">SUM(T62:W62)</f>
        <v>4200</v>
      </c>
      <c r="Y62" s="33">
        <v>1350</v>
      </c>
      <c r="Z62" s="33">
        <f t="shared" ref="Z62:AB71" si="46">Y62</f>
        <v>1350</v>
      </c>
      <c r="AA62" s="33">
        <f t="shared" si="46"/>
        <v>1350</v>
      </c>
      <c r="AB62" s="33">
        <f t="shared" si="46"/>
        <v>1350</v>
      </c>
      <c r="AC62" s="239">
        <f t="shared" ref="AC62:AC71" si="47">SUM(Y62:AB62)</f>
        <v>5400</v>
      </c>
      <c r="AD62" s="242">
        <f>AB62</f>
        <v>1350</v>
      </c>
      <c r="AE62" s="242">
        <f t="shared" ref="AE62:AH71" si="48">AD62</f>
        <v>1350</v>
      </c>
      <c r="AF62" s="242">
        <f t="shared" si="48"/>
        <v>1350</v>
      </c>
      <c r="AG62" s="242">
        <f t="shared" si="48"/>
        <v>1350</v>
      </c>
      <c r="AH62" s="242">
        <f t="shared" si="48"/>
        <v>1350</v>
      </c>
      <c r="AI62" s="239">
        <f t="shared" ref="AI62:AI71" si="49">SUM(AD62:AH62)</f>
        <v>6750</v>
      </c>
      <c r="AJ62" s="242">
        <f t="shared" ref="AJ62:AJ71" si="50">AH62</f>
        <v>1350</v>
      </c>
      <c r="AK62" s="242">
        <f t="shared" ref="AK62:AM71" si="51">AJ62</f>
        <v>1350</v>
      </c>
      <c r="AL62" s="242">
        <f t="shared" si="51"/>
        <v>1350</v>
      </c>
      <c r="AM62" s="242">
        <f t="shared" si="51"/>
        <v>1350</v>
      </c>
      <c r="AN62" s="239">
        <f t="shared" ref="AN62:AN71" si="52">SUM(AJ62:AM62)</f>
        <v>5400</v>
      </c>
      <c r="AO62" s="242">
        <f t="shared" ref="AO62:AO71" si="53">AM62</f>
        <v>1350</v>
      </c>
      <c r="AP62" s="242">
        <f t="shared" ref="AP62:AS71" si="54">AO62</f>
        <v>1350</v>
      </c>
      <c r="AQ62" s="242">
        <f t="shared" si="54"/>
        <v>1350</v>
      </c>
      <c r="AR62" s="242">
        <f t="shared" si="54"/>
        <v>1350</v>
      </c>
      <c r="AS62" s="242">
        <f t="shared" si="54"/>
        <v>1350</v>
      </c>
      <c r="AT62" s="239">
        <f t="shared" ref="AT62:AT71" si="55">SUM(AO62:AS62)</f>
        <v>6750</v>
      </c>
    </row>
    <row r="63" spans="1:46" ht="16.5" hidden="1" outlineLevel="1" thickBot="1" x14ac:dyDescent="0.3">
      <c r="A63" s="131" t="s">
        <v>53</v>
      </c>
      <c r="B63" s="129" t="s">
        <v>28</v>
      </c>
      <c r="C63" s="129">
        <v>160</v>
      </c>
      <c r="D63" s="4">
        <v>160</v>
      </c>
      <c r="E63" s="4">
        <v>160</v>
      </c>
      <c r="F63" s="4">
        <v>160</v>
      </c>
      <c r="G63" s="4">
        <v>160</v>
      </c>
      <c r="H63" s="16">
        <f t="shared" si="42"/>
        <v>640</v>
      </c>
      <c r="I63" s="4">
        <v>160</v>
      </c>
      <c r="J63" s="4">
        <v>160</v>
      </c>
      <c r="K63" s="4">
        <v>160</v>
      </c>
      <c r="L63" s="4">
        <v>160</v>
      </c>
      <c r="M63" s="16">
        <f t="shared" si="43"/>
        <v>640</v>
      </c>
      <c r="N63" s="4">
        <v>160</v>
      </c>
      <c r="O63" s="4">
        <v>160</v>
      </c>
      <c r="P63" s="4">
        <v>160</v>
      </c>
      <c r="Q63" s="4">
        <v>160</v>
      </c>
      <c r="R63" s="4">
        <v>160</v>
      </c>
      <c r="S63" s="16">
        <f t="shared" si="44"/>
        <v>800</v>
      </c>
      <c r="T63" s="4">
        <v>160</v>
      </c>
      <c r="U63" s="4">
        <v>160</v>
      </c>
      <c r="V63" s="4">
        <v>160</v>
      </c>
      <c r="W63" s="4">
        <v>160</v>
      </c>
      <c r="X63" s="16">
        <f t="shared" si="45"/>
        <v>640</v>
      </c>
      <c r="Y63" s="33">
        <v>50</v>
      </c>
      <c r="Z63" s="33">
        <f t="shared" si="46"/>
        <v>50</v>
      </c>
      <c r="AA63" s="33">
        <f t="shared" si="46"/>
        <v>50</v>
      </c>
      <c r="AB63" s="33">
        <f t="shared" si="46"/>
        <v>50</v>
      </c>
      <c r="AC63" s="239">
        <f t="shared" si="47"/>
        <v>200</v>
      </c>
      <c r="AD63" s="242">
        <f>AB63</f>
        <v>50</v>
      </c>
      <c r="AE63" s="242">
        <f t="shared" si="48"/>
        <v>50</v>
      </c>
      <c r="AF63" s="242">
        <f t="shared" si="48"/>
        <v>50</v>
      </c>
      <c r="AG63" s="242">
        <f t="shared" si="48"/>
        <v>50</v>
      </c>
      <c r="AH63" s="242">
        <f t="shared" si="48"/>
        <v>50</v>
      </c>
      <c r="AI63" s="239">
        <f t="shared" si="49"/>
        <v>250</v>
      </c>
      <c r="AJ63" s="242">
        <f t="shared" si="50"/>
        <v>50</v>
      </c>
      <c r="AK63" s="242">
        <f t="shared" si="51"/>
        <v>50</v>
      </c>
      <c r="AL63" s="242">
        <f t="shared" si="51"/>
        <v>50</v>
      </c>
      <c r="AM63" s="242">
        <f t="shared" si="51"/>
        <v>50</v>
      </c>
      <c r="AN63" s="239">
        <f t="shared" si="52"/>
        <v>200</v>
      </c>
      <c r="AO63" s="242">
        <f t="shared" si="53"/>
        <v>50</v>
      </c>
      <c r="AP63" s="242">
        <f t="shared" si="54"/>
        <v>50</v>
      </c>
      <c r="AQ63" s="242">
        <f t="shared" si="54"/>
        <v>50</v>
      </c>
      <c r="AR63" s="242">
        <f t="shared" si="54"/>
        <v>50</v>
      </c>
      <c r="AS63" s="242">
        <f t="shared" si="54"/>
        <v>50</v>
      </c>
      <c r="AT63" s="239">
        <f t="shared" si="55"/>
        <v>250</v>
      </c>
    </row>
    <row r="64" spans="1:46" ht="16.5" hidden="1" outlineLevel="1" thickBot="1" x14ac:dyDescent="0.3">
      <c r="A64" s="133" t="s">
        <v>54</v>
      </c>
      <c r="B64" s="134" t="s">
        <v>30</v>
      </c>
      <c r="C64" s="134">
        <v>11</v>
      </c>
      <c r="D64" s="4">
        <v>11</v>
      </c>
      <c r="E64" s="4">
        <v>11</v>
      </c>
      <c r="F64" s="4">
        <v>11</v>
      </c>
      <c r="G64" s="4">
        <v>11</v>
      </c>
      <c r="H64" s="16">
        <f t="shared" si="42"/>
        <v>44</v>
      </c>
      <c r="I64" s="4">
        <v>11</v>
      </c>
      <c r="J64" s="4">
        <v>11</v>
      </c>
      <c r="K64" s="4">
        <v>11</v>
      </c>
      <c r="L64" s="4">
        <v>11</v>
      </c>
      <c r="M64" s="16">
        <f t="shared" si="43"/>
        <v>44</v>
      </c>
      <c r="N64" s="4">
        <v>11</v>
      </c>
      <c r="O64" s="4">
        <v>11</v>
      </c>
      <c r="P64" s="4">
        <v>11</v>
      </c>
      <c r="Q64" s="4">
        <v>11</v>
      </c>
      <c r="R64" s="4">
        <v>11</v>
      </c>
      <c r="S64" s="16">
        <f t="shared" si="44"/>
        <v>55</v>
      </c>
      <c r="T64" s="4">
        <v>11</v>
      </c>
      <c r="U64" s="4">
        <v>11</v>
      </c>
      <c r="V64" s="4">
        <v>11</v>
      </c>
      <c r="W64" s="4">
        <v>11</v>
      </c>
      <c r="X64" s="16">
        <f t="shared" si="45"/>
        <v>44</v>
      </c>
      <c r="Y64" s="33">
        <v>0</v>
      </c>
      <c r="Z64" s="33">
        <f t="shared" si="46"/>
        <v>0</v>
      </c>
      <c r="AA64" s="33">
        <f t="shared" si="46"/>
        <v>0</v>
      </c>
      <c r="AB64" s="33">
        <f t="shared" si="46"/>
        <v>0</v>
      </c>
      <c r="AC64" s="239">
        <f t="shared" si="47"/>
        <v>0</v>
      </c>
      <c r="AD64" s="242">
        <f>AB64</f>
        <v>0</v>
      </c>
      <c r="AE64" s="242">
        <f t="shared" si="48"/>
        <v>0</v>
      </c>
      <c r="AF64" s="242">
        <f t="shared" si="48"/>
        <v>0</v>
      </c>
      <c r="AG64" s="242">
        <f t="shared" si="48"/>
        <v>0</v>
      </c>
      <c r="AH64" s="242">
        <f t="shared" si="48"/>
        <v>0</v>
      </c>
      <c r="AI64" s="239">
        <f t="shared" si="49"/>
        <v>0</v>
      </c>
      <c r="AJ64" s="242">
        <f t="shared" si="50"/>
        <v>0</v>
      </c>
      <c r="AK64" s="242">
        <f t="shared" si="51"/>
        <v>0</v>
      </c>
      <c r="AL64" s="242">
        <f t="shared" si="51"/>
        <v>0</v>
      </c>
      <c r="AM64" s="242">
        <f t="shared" si="51"/>
        <v>0</v>
      </c>
      <c r="AN64" s="239">
        <f t="shared" si="52"/>
        <v>0</v>
      </c>
      <c r="AO64" s="242">
        <f t="shared" si="53"/>
        <v>0</v>
      </c>
      <c r="AP64" s="242">
        <f t="shared" si="54"/>
        <v>0</v>
      </c>
      <c r="AQ64" s="242">
        <f t="shared" si="54"/>
        <v>0</v>
      </c>
      <c r="AR64" s="242">
        <f t="shared" si="54"/>
        <v>0</v>
      </c>
      <c r="AS64" s="242">
        <f t="shared" si="54"/>
        <v>0</v>
      </c>
      <c r="AT64" s="239">
        <f t="shared" si="55"/>
        <v>0</v>
      </c>
    </row>
    <row r="65" spans="1:46" ht="16.5" hidden="1" outlineLevel="1" thickBot="1" x14ac:dyDescent="0.3">
      <c r="A65" s="133" t="s">
        <v>55</v>
      </c>
      <c r="B65" s="134" t="s">
        <v>30</v>
      </c>
      <c r="C65" s="134">
        <v>260</v>
      </c>
      <c r="D65" s="4">
        <v>260</v>
      </c>
      <c r="E65" s="4">
        <v>260</v>
      </c>
      <c r="F65" s="4">
        <v>260</v>
      </c>
      <c r="G65" s="4">
        <v>260</v>
      </c>
      <c r="H65" s="16">
        <f t="shared" si="42"/>
        <v>1040</v>
      </c>
      <c r="I65" s="4">
        <v>260</v>
      </c>
      <c r="J65" s="4">
        <v>260</v>
      </c>
      <c r="K65" s="4">
        <v>260</v>
      </c>
      <c r="L65" s="4">
        <v>260</v>
      </c>
      <c r="M65" s="16">
        <f t="shared" si="43"/>
        <v>1040</v>
      </c>
      <c r="N65" s="4">
        <v>260</v>
      </c>
      <c r="O65" s="4">
        <v>260</v>
      </c>
      <c r="P65" s="4">
        <v>260</v>
      </c>
      <c r="Q65" s="4">
        <v>260</v>
      </c>
      <c r="R65" s="4">
        <v>260</v>
      </c>
      <c r="S65" s="16">
        <f t="shared" si="44"/>
        <v>1300</v>
      </c>
      <c r="T65" s="4">
        <v>260</v>
      </c>
      <c r="U65" s="4">
        <v>260</v>
      </c>
      <c r="V65" s="4">
        <v>260</v>
      </c>
      <c r="W65" s="4">
        <v>260</v>
      </c>
      <c r="X65" s="16">
        <f t="shared" si="45"/>
        <v>1040</v>
      </c>
      <c r="Y65" s="33">
        <v>198</v>
      </c>
      <c r="Z65" s="33">
        <f t="shared" si="46"/>
        <v>198</v>
      </c>
      <c r="AA65" s="33">
        <f t="shared" si="46"/>
        <v>198</v>
      </c>
      <c r="AB65" s="33">
        <f t="shared" si="46"/>
        <v>198</v>
      </c>
      <c r="AC65" s="239">
        <f t="shared" si="47"/>
        <v>792</v>
      </c>
      <c r="AD65" s="242">
        <f>AB65</f>
        <v>198</v>
      </c>
      <c r="AE65" s="242">
        <f t="shared" si="48"/>
        <v>198</v>
      </c>
      <c r="AF65" s="242">
        <f t="shared" si="48"/>
        <v>198</v>
      </c>
      <c r="AG65" s="242">
        <f t="shared" si="48"/>
        <v>198</v>
      </c>
      <c r="AH65" s="242">
        <f t="shared" si="48"/>
        <v>198</v>
      </c>
      <c r="AI65" s="239">
        <f t="shared" si="49"/>
        <v>990</v>
      </c>
      <c r="AJ65" s="242">
        <f t="shared" si="50"/>
        <v>198</v>
      </c>
      <c r="AK65" s="242">
        <f t="shared" si="51"/>
        <v>198</v>
      </c>
      <c r="AL65" s="242">
        <f t="shared" si="51"/>
        <v>198</v>
      </c>
      <c r="AM65" s="242">
        <f t="shared" si="51"/>
        <v>198</v>
      </c>
      <c r="AN65" s="239">
        <f t="shared" si="52"/>
        <v>792</v>
      </c>
      <c r="AO65" s="242">
        <f t="shared" si="53"/>
        <v>198</v>
      </c>
      <c r="AP65" s="242">
        <f t="shared" si="54"/>
        <v>198</v>
      </c>
      <c r="AQ65" s="242">
        <f t="shared" si="54"/>
        <v>198</v>
      </c>
      <c r="AR65" s="242">
        <f t="shared" si="54"/>
        <v>198</v>
      </c>
      <c r="AS65" s="242">
        <f t="shared" si="54"/>
        <v>198</v>
      </c>
      <c r="AT65" s="239">
        <f t="shared" si="55"/>
        <v>990</v>
      </c>
    </row>
    <row r="66" spans="1:46" ht="16.5" hidden="1" outlineLevel="1" thickBot="1" x14ac:dyDescent="0.3">
      <c r="A66" s="133" t="s">
        <v>56</v>
      </c>
      <c r="B66" s="134" t="s">
        <v>30</v>
      </c>
      <c r="C66" s="134">
        <v>50</v>
      </c>
      <c r="D66" s="4">
        <v>50</v>
      </c>
      <c r="E66" s="4">
        <v>50</v>
      </c>
      <c r="F66" s="4">
        <v>50</v>
      </c>
      <c r="G66" s="4">
        <v>50</v>
      </c>
      <c r="H66" s="16">
        <f t="shared" si="42"/>
        <v>200</v>
      </c>
      <c r="I66" s="4">
        <v>50</v>
      </c>
      <c r="J66" s="4">
        <v>50</v>
      </c>
      <c r="K66" s="4">
        <v>50</v>
      </c>
      <c r="L66" s="4">
        <v>50</v>
      </c>
      <c r="M66" s="16">
        <f t="shared" si="43"/>
        <v>200</v>
      </c>
      <c r="N66" s="4">
        <v>50</v>
      </c>
      <c r="O66" s="4">
        <v>50</v>
      </c>
      <c r="P66" s="4">
        <v>50</v>
      </c>
      <c r="Q66" s="4">
        <v>50</v>
      </c>
      <c r="R66" s="4">
        <v>50</v>
      </c>
      <c r="S66" s="16">
        <f t="shared" si="44"/>
        <v>250</v>
      </c>
      <c r="T66" s="4">
        <v>50</v>
      </c>
      <c r="U66" s="4">
        <v>50</v>
      </c>
      <c r="V66" s="4">
        <v>50</v>
      </c>
      <c r="W66" s="4">
        <v>50</v>
      </c>
      <c r="X66" s="16">
        <f t="shared" si="45"/>
        <v>200</v>
      </c>
      <c r="Y66" s="33">
        <v>5</v>
      </c>
      <c r="Z66" s="33">
        <f t="shared" si="46"/>
        <v>5</v>
      </c>
      <c r="AA66" s="33">
        <f t="shared" si="46"/>
        <v>5</v>
      </c>
      <c r="AB66" s="33">
        <f t="shared" si="46"/>
        <v>5</v>
      </c>
      <c r="AC66" s="239">
        <f t="shared" si="47"/>
        <v>20</v>
      </c>
      <c r="AD66" s="242">
        <v>3</v>
      </c>
      <c r="AE66" s="242">
        <f t="shared" si="48"/>
        <v>3</v>
      </c>
      <c r="AF66" s="242">
        <f t="shared" si="48"/>
        <v>3</v>
      </c>
      <c r="AG66" s="242">
        <f t="shared" si="48"/>
        <v>3</v>
      </c>
      <c r="AH66" s="242">
        <f t="shared" si="48"/>
        <v>3</v>
      </c>
      <c r="AI66" s="239">
        <f t="shared" si="49"/>
        <v>15</v>
      </c>
      <c r="AJ66" s="242">
        <f t="shared" si="50"/>
        <v>3</v>
      </c>
      <c r="AK66" s="242">
        <f t="shared" si="51"/>
        <v>3</v>
      </c>
      <c r="AL66" s="242">
        <f t="shared" si="51"/>
        <v>3</v>
      </c>
      <c r="AM66" s="242">
        <f t="shared" si="51"/>
        <v>3</v>
      </c>
      <c r="AN66" s="239">
        <f t="shared" si="52"/>
        <v>12</v>
      </c>
      <c r="AO66" s="242">
        <f t="shared" si="53"/>
        <v>3</v>
      </c>
      <c r="AP66" s="242">
        <f t="shared" si="54"/>
        <v>3</v>
      </c>
      <c r="AQ66" s="242">
        <f t="shared" si="54"/>
        <v>3</v>
      </c>
      <c r="AR66" s="242">
        <f t="shared" si="54"/>
        <v>3</v>
      </c>
      <c r="AS66" s="242">
        <f t="shared" si="54"/>
        <v>3</v>
      </c>
      <c r="AT66" s="239">
        <f t="shared" si="55"/>
        <v>15</v>
      </c>
    </row>
    <row r="67" spans="1:46" ht="16.5" hidden="1" outlineLevel="1" thickBot="1" x14ac:dyDescent="0.3">
      <c r="A67" s="133" t="s">
        <v>57</v>
      </c>
      <c r="B67" s="134" t="s">
        <v>30</v>
      </c>
      <c r="C67" s="134">
        <v>272</v>
      </c>
      <c r="D67" s="4">
        <v>272</v>
      </c>
      <c r="E67" s="4">
        <v>272</v>
      </c>
      <c r="F67" s="4">
        <v>272</v>
      </c>
      <c r="G67" s="4">
        <v>272</v>
      </c>
      <c r="H67" s="16">
        <f t="shared" si="42"/>
        <v>1088</v>
      </c>
      <c r="I67" s="4">
        <v>272</v>
      </c>
      <c r="J67" s="4">
        <v>272</v>
      </c>
      <c r="K67" s="4">
        <v>272</v>
      </c>
      <c r="L67" s="4">
        <v>272</v>
      </c>
      <c r="M67" s="16">
        <f t="shared" si="43"/>
        <v>1088</v>
      </c>
      <c r="N67" s="4">
        <v>272</v>
      </c>
      <c r="O67" s="4">
        <v>272</v>
      </c>
      <c r="P67" s="4">
        <v>272</v>
      </c>
      <c r="Q67" s="4">
        <v>272</v>
      </c>
      <c r="R67" s="4">
        <v>272</v>
      </c>
      <c r="S67" s="16">
        <f t="shared" si="44"/>
        <v>1360</v>
      </c>
      <c r="T67" s="4">
        <v>272</v>
      </c>
      <c r="U67" s="4">
        <v>272</v>
      </c>
      <c r="V67" s="4">
        <v>272</v>
      </c>
      <c r="W67" s="4">
        <v>272</v>
      </c>
      <c r="X67" s="16">
        <f t="shared" si="45"/>
        <v>1088</v>
      </c>
      <c r="Y67" s="33">
        <v>223</v>
      </c>
      <c r="Z67" s="33">
        <f t="shared" si="46"/>
        <v>223</v>
      </c>
      <c r="AA67" s="33">
        <f t="shared" si="46"/>
        <v>223</v>
      </c>
      <c r="AB67" s="33">
        <f t="shared" si="46"/>
        <v>223</v>
      </c>
      <c r="AC67" s="239">
        <f t="shared" si="47"/>
        <v>892</v>
      </c>
      <c r="AD67" s="242">
        <f>AB67</f>
        <v>223</v>
      </c>
      <c r="AE67" s="242">
        <f t="shared" si="48"/>
        <v>223</v>
      </c>
      <c r="AF67" s="242">
        <f t="shared" si="48"/>
        <v>223</v>
      </c>
      <c r="AG67" s="242">
        <f t="shared" si="48"/>
        <v>223</v>
      </c>
      <c r="AH67" s="242">
        <f t="shared" si="48"/>
        <v>223</v>
      </c>
      <c r="AI67" s="239">
        <f t="shared" si="49"/>
        <v>1115</v>
      </c>
      <c r="AJ67" s="242">
        <f t="shared" si="50"/>
        <v>223</v>
      </c>
      <c r="AK67" s="242">
        <f t="shared" si="51"/>
        <v>223</v>
      </c>
      <c r="AL67" s="242">
        <f t="shared" si="51"/>
        <v>223</v>
      </c>
      <c r="AM67" s="242">
        <f t="shared" si="51"/>
        <v>223</v>
      </c>
      <c r="AN67" s="239">
        <f t="shared" si="52"/>
        <v>892</v>
      </c>
      <c r="AO67" s="242">
        <f t="shared" si="53"/>
        <v>223</v>
      </c>
      <c r="AP67" s="242">
        <f t="shared" si="54"/>
        <v>223</v>
      </c>
      <c r="AQ67" s="242">
        <f t="shared" si="54"/>
        <v>223</v>
      </c>
      <c r="AR67" s="242">
        <f t="shared" si="54"/>
        <v>223</v>
      </c>
      <c r="AS67" s="242">
        <f t="shared" si="54"/>
        <v>223</v>
      </c>
      <c r="AT67" s="239">
        <f t="shared" si="55"/>
        <v>1115</v>
      </c>
    </row>
    <row r="68" spans="1:46" ht="16.5" hidden="1" outlineLevel="1" thickBot="1" x14ac:dyDescent="0.3">
      <c r="A68" s="133" t="s">
        <v>58</v>
      </c>
      <c r="B68" s="134" t="s">
        <v>30</v>
      </c>
      <c r="C68" s="134">
        <v>168</v>
      </c>
      <c r="D68" s="4">
        <v>168</v>
      </c>
      <c r="E68" s="4">
        <v>168</v>
      </c>
      <c r="F68" s="4">
        <v>168</v>
      </c>
      <c r="G68" s="4">
        <v>168</v>
      </c>
      <c r="H68" s="16">
        <f t="shared" si="42"/>
        <v>672</v>
      </c>
      <c r="I68" s="4">
        <v>168</v>
      </c>
      <c r="J68" s="4">
        <v>168</v>
      </c>
      <c r="K68" s="4">
        <v>168</v>
      </c>
      <c r="L68" s="4">
        <v>168</v>
      </c>
      <c r="M68" s="16">
        <f t="shared" si="43"/>
        <v>672</v>
      </c>
      <c r="N68" s="4">
        <v>168</v>
      </c>
      <c r="O68" s="4">
        <v>168</v>
      </c>
      <c r="P68" s="4">
        <v>168</v>
      </c>
      <c r="Q68" s="4">
        <v>168</v>
      </c>
      <c r="R68" s="4">
        <v>168</v>
      </c>
      <c r="S68" s="16">
        <f t="shared" si="44"/>
        <v>840</v>
      </c>
      <c r="T68" s="4">
        <v>168</v>
      </c>
      <c r="U68" s="4">
        <v>168</v>
      </c>
      <c r="V68" s="4">
        <v>168</v>
      </c>
      <c r="W68" s="4">
        <v>168</v>
      </c>
      <c r="X68" s="16">
        <f t="shared" si="45"/>
        <v>672</v>
      </c>
      <c r="Y68" s="33">
        <v>50</v>
      </c>
      <c r="Z68" s="33">
        <f t="shared" si="46"/>
        <v>50</v>
      </c>
      <c r="AA68" s="33">
        <f t="shared" si="46"/>
        <v>50</v>
      </c>
      <c r="AB68" s="33">
        <f t="shared" si="46"/>
        <v>50</v>
      </c>
      <c r="AC68" s="239">
        <f t="shared" si="47"/>
        <v>200</v>
      </c>
      <c r="AD68" s="242">
        <f>AB68</f>
        <v>50</v>
      </c>
      <c r="AE68" s="242">
        <f t="shared" si="48"/>
        <v>50</v>
      </c>
      <c r="AF68" s="242">
        <f t="shared" si="48"/>
        <v>50</v>
      </c>
      <c r="AG68" s="242">
        <f t="shared" si="48"/>
        <v>50</v>
      </c>
      <c r="AH68" s="242">
        <f t="shared" si="48"/>
        <v>50</v>
      </c>
      <c r="AI68" s="239">
        <f t="shared" si="49"/>
        <v>250</v>
      </c>
      <c r="AJ68" s="242">
        <f t="shared" si="50"/>
        <v>50</v>
      </c>
      <c r="AK68" s="242">
        <f t="shared" si="51"/>
        <v>50</v>
      </c>
      <c r="AL68" s="242">
        <f t="shared" si="51"/>
        <v>50</v>
      </c>
      <c r="AM68" s="242">
        <f t="shared" si="51"/>
        <v>50</v>
      </c>
      <c r="AN68" s="239">
        <f t="shared" si="52"/>
        <v>200</v>
      </c>
      <c r="AO68" s="242">
        <f t="shared" si="53"/>
        <v>50</v>
      </c>
      <c r="AP68" s="242">
        <f t="shared" si="54"/>
        <v>50</v>
      </c>
      <c r="AQ68" s="242">
        <f t="shared" si="54"/>
        <v>50</v>
      </c>
      <c r="AR68" s="242">
        <f t="shared" si="54"/>
        <v>50</v>
      </c>
      <c r="AS68" s="242">
        <f t="shared" si="54"/>
        <v>50</v>
      </c>
      <c r="AT68" s="239">
        <f t="shared" si="55"/>
        <v>250</v>
      </c>
    </row>
    <row r="69" spans="1:46" ht="16.5" hidden="1" outlineLevel="1" thickBot="1" x14ac:dyDescent="0.3">
      <c r="A69" s="133" t="s">
        <v>59</v>
      </c>
      <c r="B69" s="134" t="s">
        <v>30</v>
      </c>
      <c r="C69" s="134">
        <v>256</v>
      </c>
      <c r="D69" s="4">
        <v>256</v>
      </c>
      <c r="E69" s="4">
        <v>256</v>
      </c>
      <c r="F69" s="4">
        <v>256</v>
      </c>
      <c r="G69" s="4">
        <v>256</v>
      </c>
      <c r="H69" s="16">
        <f t="shared" si="42"/>
        <v>1024</v>
      </c>
      <c r="I69" s="4">
        <v>256</v>
      </c>
      <c r="J69" s="4">
        <v>256</v>
      </c>
      <c r="K69" s="4">
        <v>256</v>
      </c>
      <c r="L69" s="4">
        <v>256</v>
      </c>
      <c r="M69" s="16">
        <f t="shared" si="43"/>
        <v>1024</v>
      </c>
      <c r="N69" s="4">
        <v>256</v>
      </c>
      <c r="O69" s="4">
        <v>256</v>
      </c>
      <c r="P69" s="4">
        <v>256</v>
      </c>
      <c r="Q69" s="4">
        <v>256</v>
      </c>
      <c r="R69" s="4">
        <v>256</v>
      </c>
      <c r="S69" s="16">
        <f t="shared" si="44"/>
        <v>1280</v>
      </c>
      <c r="T69" s="4">
        <v>256</v>
      </c>
      <c r="U69" s="4">
        <v>256</v>
      </c>
      <c r="V69" s="4">
        <v>256</v>
      </c>
      <c r="W69" s="4">
        <v>256</v>
      </c>
      <c r="X69" s="16">
        <f t="shared" si="45"/>
        <v>1024</v>
      </c>
      <c r="Y69" s="33">
        <v>180</v>
      </c>
      <c r="Z69" s="33">
        <f t="shared" si="46"/>
        <v>180</v>
      </c>
      <c r="AA69" s="33">
        <f t="shared" si="46"/>
        <v>180</v>
      </c>
      <c r="AB69" s="33">
        <f t="shared" si="46"/>
        <v>180</v>
      </c>
      <c r="AC69" s="239">
        <f t="shared" si="47"/>
        <v>720</v>
      </c>
      <c r="AD69" s="242">
        <f>AB69</f>
        <v>180</v>
      </c>
      <c r="AE69" s="242">
        <f t="shared" si="48"/>
        <v>180</v>
      </c>
      <c r="AF69" s="242">
        <f t="shared" si="48"/>
        <v>180</v>
      </c>
      <c r="AG69" s="242">
        <f t="shared" si="48"/>
        <v>180</v>
      </c>
      <c r="AH69" s="242">
        <f t="shared" si="48"/>
        <v>180</v>
      </c>
      <c r="AI69" s="239">
        <f t="shared" si="49"/>
        <v>900</v>
      </c>
      <c r="AJ69" s="242">
        <f t="shared" si="50"/>
        <v>180</v>
      </c>
      <c r="AK69" s="242">
        <f t="shared" si="51"/>
        <v>180</v>
      </c>
      <c r="AL69" s="242">
        <f t="shared" si="51"/>
        <v>180</v>
      </c>
      <c r="AM69" s="242">
        <f t="shared" si="51"/>
        <v>180</v>
      </c>
      <c r="AN69" s="239">
        <f t="shared" si="52"/>
        <v>720</v>
      </c>
      <c r="AO69" s="242">
        <f t="shared" si="53"/>
        <v>180</v>
      </c>
      <c r="AP69" s="242">
        <f t="shared" si="54"/>
        <v>180</v>
      </c>
      <c r="AQ69" s="242">
        <f t="shared" si="54"/>
        <v>180</v>
      </c>
      <c r="AR69" s="242">
        <f t="shared" si="54"/>
        <v>180</v>
      </c>
      <c r="AS69" s="242">
        <f t="shared" si="54"/>
        <v>180</v>
      </c>
      <c r="AT69" s="239">
        <f t="shared" si="55"/>
        <v>900</v>
      </c>
    </row>
    <row r="70" spans="1:46" ht="16.5" hidden="1" outlineLevel="1" thickBot="1" x14ac:dyDescent="0.3">
      <c r="A70" s="133" t="s">
        <v>60</v>
      </c>
      <c r="B70" s="134" t="s">
        <v>30</v>
      </c>
      <c r="C70" s="134">
        <v>1603</v>
      </c>
      <c r="D70" s="4">
        <v>1603</v>
      </c>
      <c r="E70" s="4">
        <v>1603</v>
      </c>
      <c r="F70" s="4">
        <v>1603</v>
      </c>
      <c r="G70" s="4">
        <v>1603</v>
      </c>
      <c r="H70" s="16">
        <f t="shared" si="42"/>
        <v>6412</v>
      </c>
      <c r="I70" s="4">
        <v>1603</v>
      </c>
      <c r="J70" s="4">
        <v>1603</v>
      </c>
      <c r="K70" s="4">
        <v>1603</v>
      </c>
      <c r="L70" s="4">
        <v>1603</v>
      </c>
      <c r="M70" s="16">
        <f t="shared" si="43"/>
        <v>6412</v>
      </c>
      <c r="N70" s="4">
        <v>1603</v>
      </c>
      <c r="O70" s="4">
        <v>1603</v>
      </c>
      <c r="P70" s="4">
        <v>1603</v>
      </c>
      <c r="Q70" s="4">
        <v>1603</v>
      </c>
      <c r="R70" s="4">
        <v>1603</v>
      </c>
      <c r="S70" s="16">
        <f t="shared" si="44"/>
        <v>8015</v>
      </c>
      <c r="T70" s="4">
        <v>1603</v>
      </c>
      <c r="U70" s="4">
        <v>1603</v>
      </c>
      <c r="V70" s="4">
        <v>1603</v>
      </c>
      <c r="W70" s="4">
        <v>1603</v>
      </c>
      <c r="X70" s="16">
        <f t="shared" si="45"/>
        <v>6412</v>
      </c>
      <c r="Y70" s="33">
        <v>750</v>
      </c>
      <c r="Z70" s="33">
        <f t="shared" si="46"/>
        <v>750</v>
      </c>
      <c r="AA70" s="33">
        <f t="shared" si="46"/>
        <v>750</v>
      </c>
      <c r="AB70" s="33">
        <f t="shared" si="46"/>
        <v>750</v>
      </c>
      <c r="AC70" s="239">
        <f t="shared" si="47"/>
        <v>3000</v>
      </c>
      <c r="AD70" s="242">
        <f>AB70</f>
        <v>750</v>
      </c>
      <c r="AE70" s="242">
        <f t="shared" si="48"/>
        <v>750</v>
      </c>
      <c r="AF70" s="242">
        <f t="shared" si="48"/>
        <v>750</v>
      </c>
      <c r="AG70" s="242">
        <f t="shared" si="48"/>
        <v>750</v>
      </c>
      <c r="AH70" s="242">
        <f t="shared" si="48"/>
        <v>750</v>
      </c>
      <c r="AI70" s="239">
        <f t="shared" si="49"/>
        <v>3750</v>
      </c>
      <c r="AJ70" s="242">
        <f t="shared" si="50"/>
        <v>750</v>
      </c>
      <c r="AK70" s="242">
        <f t="shared" si="51"/>
        <v>750</v>
      </c>
      <c r="AL70" s="242">
        <f t="shared" si="51"/>
        <v>750</v>
      </c>
      <c r="AM70" s="242">
        <f t="shared" si="51"/>
        <v>750</v>
      </c>
      <c r="AN70" s="239">
        <f t="shared" si="52"/>
        <v>3000</v>
      </c>
      <c r="AO70" s="242">
        <f t="shared" si="53"/>
        <v>750</v>
      </c>
      <c r="AP70" s="242">
        <f t="shared" si="54"/>
        <v>750</v>
      </c>
      <c r="AQ70" s="242">
        <f t="shared" si="54"/>
        <v>750</v>
      </c>
      <c r="AR70" s="242">
        <f t="shared" si="54"/>
        <v>750</v>
      </c>
      <c r="AS70" s="242">
        <f t="shared" si="54"/>
        <v>750</v>
      </c>
      <c r="AT70" s="239">
        <f t="shared" si="55"/>
        <v>3750</v>
      </c>
    </row>
    <row r="71" spans="1:46" ht="16.5" hidden="1" outlineLevel="1" thickBot="1" x14ac:dyDescent="0.3">
      <c r="A71" s="92" t="s">
        <v>167</v>
      </c>
      <c r="B71" s="129" t="s">
        <v>41</v>
      </c>
      <c r="C71" s="129" t="s">
        <v>168</v>
      </c>
      <c r="D71" s="4">
        <v>48</v>
      </c>
      <c r="E71" s="4">
        <v>48</v>
      </c>
      <c r="F71" s="4">
        <v>48</v>
      </c>
      <c r="G71" s="4">
        <v>48</v>
      </c>
      <c r="H71" s="16">
        <f t="shared" si="42"/>
        <v>192</v>
      </c>
      <c r="I71" s="4">
        <v>48</v>
      </c>
      <c r="J71" s="4">
        <v>48</v>
      </c>
      <c r="K71" s="4">
        <v>48</v>
      </c>
      <c r="L71" s="4">
        <v>48</v>
      </c>
      <c r="M71" s="16">
        <f t="shared" si="43"/>
        <v>192</v>
      </c>
      <c r="N71" s="4">
        <v>48</v>
      </c>
      <c r="O71" s="4">
        <v>48</v>
      </c>
      <c r="P71" s="4">
        <v>48</v>
      </c>
      <c r="Q71" s="4">
        <v>48</v>
      </c>
      <c r="R71" s="4">
        <v>48</v>
      </c>
      <c r="S71" s="16">
        <f t="shared" si="44"/>
        <v>240</v>
      </c>
      <c r="T71" s="4">
        <v>48</v>
      </c>
      <c r="U71" s="4">
        <v>48</v>
      </c>
      <c r="V71" s="4">
        <v>48</v>
      </c>
      <c r="W71" s="4">
        <v>48</v>
      </c>
      <c r="X71" s="16">
        <f t="shared" si="45"/>
        <v>192</v>
      </c>
      <c r="Y71" s="33">
        <v>25</v>
      </c>
      <c r="Z71" s="33">
        <f t="shared" si="46"/>
        <v>25</v>
      </c>
      <c r="AA71" s="33">
        <f t="shared" si="46"/>
        <v>25</v>
      </c>
      <c r="AB71" s="33">
        <f t="shared" si="46"/>
        <v>25</v>
      </c>
      <c r="AC71" s="239">
        <f t="shared" si="47"/>
        <v>100</v>
      </c>
      <c r="AD71" s="242">
        <f>AB71</f>
        <v>25</v>
      </c>
      <c r="AE71" s="242">
        <f t="shared" si="48"/>
        <v>25</v>
      </c>
      <c r="AF71" s="242">
        <f t="shared" si="48"/>
        <v>25</v>
      </c>
      <c r="AG71" s="242">
        <f t="shared" si="48"/>
        <v>25</v>
      </c>
      <c r="AH71" s="242">
        <f t="shared" si="48"/>
        <v>25</v>
      </c>
      <c r="AI71" s="239">
        <f t="shared" si="49"/>
        <v>125</v>
      </c>
      <c r="AJ71" s="242">
        <f t="shared" si="50"/>
        <v>25</v>
      </c>
      <c r="AK71" s="242">
        <f t="shared" si="51"/>
        <v>25</v>
      </c>
      <c r="AL71" s="242">
        <f t="shared" si="51"/>
        <v>25</v>
      </c>
      <c r="AM71" s="242">
        <f t="shared" si="51"/>
        <v>25</v>
      </c>
      <c r="AN71" s="239">
        <f t="shared" si="52"/>
        <v>100</v>
      </c>
      <c r="AO71" s="242">
        <f t="shared" si="53"/>
        <v>25</v>
      </c>
      <c r="AP71" s="242">
        <f t="shared" si="54"/>
        <v>25</v>
      </c>
      <c r="AQ71" s="242">
        <f t="shared" si="54"/>
        <v>25</v>
      </c>
      <c r="AR71" s="242">
        <f t="shared" si="54"/>
        <v>25</v>
      </c>
      <c r="AS71" s="242">
        <f t="shared" si="54"/>
        <v>25</v>
      </c>
      <c r="AT71" s="239">
        <f t="shared" si="55"/>
        <v>125</v>
      </c>
    </row>
    <row r="72" spans="1:46" ht="15.75" collapsed="1" x14ac:dyDescent="0.25">
      <c r="A72" s="240" t="s">
        <v>51</v>
      </c>
      <c r="B72" s="22"/>
      <c r="C72" s="35"/>
      <c r="D72" s="23">
        <f t="shared" ref="D72:AT72" si="56">SUM(D62:D71)</f>
        <v>3878</v>
      </c>
      <c r="E72" s="23">
        <f t="shared" si="56"/>
        <v>3878</v>
      </c>
      <c r="F72" s="23">
        <f t="shared" si="56"/>
        <v>3878</v>
      </c>
      <c r="G72" s="23">
        <f t="shared" si="56"/>
        <v>3878</v>
      </c>
      <c r="H72" s="23">
        <f t="shared" si="56"/>
        <v>15512</v>
      </c>
      <c r="I72" s="23">
        <f t="shared" si="56"/>
        <v>3878</v>
      </c>
      <c r="J72" s="23">
        <f t="shared" si="56"/>
        <v>3878</v>
      </c>
      <c r="K72" s="23">
        <f t="shared" si="56"/>
        <v>3878</v>
      </c>
      <c r="L72" s="23">
        <f t="shared" si="56"/>
        <v>3878</v>
      </c>
      <c r="M72" s="23">
        <f t="shared" si="56"/>
        <v>15512</v>
      </c>
      <c r="N72" s="23">
        <f t="shared" si="56"/>
        <v>3878</v>
      </c>
      <c r="O72" s="23">
        <f t="shared" si="56"/>
        <v>3878</v>
      </c>
      <c r="P72" s="23">
        <f t="shared" si="56"/>
        <v>3878</v>
      </c>
      <c r="Q72" s="23">
        <f t="shared" si="56"/>
        <v>3878</v>
      </c>
      <c r="R72" s="23">
        <f t="shared" si="56"/>
        <v>3878</v>
      </c>
      <c r="S72" s="23">
        <f t="shared" si="56"/>
        <v>19390</v>
      </c>
      <c r="T72" s="23">
        <f t="shared" si="56"/>
        <v>3878</v>
      </c>
      <c r="U72" s="23">
        <f t="shared" si="56"/>
        <v>3878</v>
      </c>
      <c r="V72" s="23">
        <f t="shared" si="56"/>
        <v>3878</v>
      </c>
      <c r="W72" s="23">
        <f t="shared" si="56"/>
        <v>3878</v>
      </c>
      <c r="X72" s="23">
        <f t="shared" si="56"/>
        <v>15512</v>
      </c>
      <c r="Y72" s="23">
        <f t="shared" si="56"/>
        <v>2831</v>
      </c>
      <c r="Z72" s="23">
        <f t="shared" si="56"/>
        <v>2831</v>
      </c>
      <c r="AA72" s="23">
        <f t="shared" si="56"/>
        <v>2831</v>
      </c>
      <c r="AB72" s="23">
        <f t="shared" si="56"/>
        <v>2831</v>
      </c>
      <c r="AC72" s="23">
        <f>SUM(AC62:AC71)</f>
        <v>11324</v>
      </c>
      <c r="AD72" s="23">
        <f t="shared" si="56"/>
        <v>2829</v>
      </c>
      <c r="AE72" s="23">
        <f t="shared" si="56"/>
        <v>2829</v>
      </c>
      <c r="AF72" s="23">
        <f t="shared" si="56"/>
        <v>2829</v>
      </c>
      <c r="AG72" s="23">
        <f t="shared" si="56"/>
        <v>2829</v>
      </c>
      <c r="AH72" s="23">
        <f t="shared" si="56"/>
        <v>2829</v>
      </c>
      <c r="AI72" s="23">
        <f t="shared" si="56"/>
        <v>14145</v>
      </c>
      <c r="AJ72" s="23">
        <f t="shared" si="56"/>
        <v>2829</v>
      </c>
      <c r="AK72" s="23">
        <f t="shared" si="56"/>
        <v>2829</v>
      </c>
      <c r="AL72" s="23">
        <f t="shared" si="56"/>
        <v>2829</v>
      </c>
      <c r="AM72" s="23">
        <f t="shared" si="56"/>
        <v>2829</v>
      </c>
      <c r="AN72" s="23">
        <f t="shared" si="56"/>
        <v>11316</v>
      </c>
      <c r="AO72" s="23">
        <f t="shared" si="56"/>
        <v>2829</v>
      </c>
      <c r="AP72" s="23">
        <f t="shared" si="56"/>
        <v>2829</v>
      </c>
      <c r="AQ72" s="23">
        <f t="shared" si="56"/>
        <v>2829</v>
      </c>
      <c r="AR72" s="23">
        <f t="shared" si="56"/>
        <v>2829</v>
      </c>
      <c r="AS72" s="23">
        <f t="shared" si="56"/>
        <v>2829</v>
      </c>
      <c r="AT72" s="23">
        <f t="shared" si="56"/>
        <v>14145</v>
      </c>
    </row>
    <row r="73" spans="1:46" ht="16.5" hidden="1" outlineLevel="1" thickBot="1" x14ac:dyDescent="0.3">
      <c r="A73" s="133" t="s">
        <v>169</v>
      </c>
      <c r="B73" s="134" t="s">
        <v>24</v>
      </c>
      <c r="C73" s="129">
        <v>2</v>
      </c>
      <c r="D73" s="4">
        <v>2</v>
      </c>
      <c r="E73" s="4">
        <v>2</v>
      </c>
      <c r="F73" s="4">
        <v>2</v>
      </c>
      <c r="G73" s="4">
        <v>2</v>
      </c>
      <c r="H73" s="16">
        <f t="shared" ref="H73:H78" si="57">SUM(D73:G73)</f>
        <v>8</v>
      </c>
      <c r="I73" s="4">
        <v>2</v>
      </c>
      <c r="J73" s="4">
        <v>2</v>
      </c>
      <c r="K73" s="4">
        <v>2</v>
      </c>
      <c r="L73" s="4">
        <v>2</v>
      </c>
      <c r="M73" s="16">
        <f t="shared" ref="M73:M78" si="58">SUM(I73:L73)</f>
        <v>8</v>
      </c>
      <c r="N73" s="25">
        <v>2</v>
      </c>
      <c r="O73" s="25">
        <v>2</v>
      </c>
      <c r="P73" s="25">
        <v>2</v>
      </c>
      <c r="Q73" s="25">
        <v>2</v>
      </c>
      <c r="R73" s="25">
        <v>2</v>
      </c>
      <c r="S73" s="16">
        <f t="shared" ref="S73:S78" si="59">SUM(N73:R73)</f>
        <v>10</v>
      </c>
      <c r="T73" s="25">
        <v>2</v>
      </c>
      <c r="U73" s="25">
        <v>2</v>
      </c>
      <c r="V73" s="25">
        <v>2</v>
      </c>
      <c r="W73" s="25">
        <v>2</v>
      </c>
      <c r="X73" s="16">
        <f t="shared" ref="X73:X78" si="60">SUM(T73:W73)</f>
        <v>8</v>
      </c>
      <c r="Y73" s="33">
        <f t="shared" ref="Y73:Y78" si="61">W73*$B$1</f>
        <v>0.6</v>
      </c>
      <c r="Z73" s="33">
        <f t="shared" ref="Z73:AB78" si="62">Y73</f>
        <v>0.6</v>
      </c>
      <c r="AA73" s="33">
        <f t="shared" si="62"/>
        <v>0.6</v>
      </c>
      <c r="AB73" s="33">
        <f t="shared" si="62"/>
        <v>0.6</v>
      </c>
      <c r="AC73" s="16">
        <f t="shared" ref="AC73:AC78" si="63">SUM(Y73:AB73)</f>
        <v>2.4</v>
      </c>
      <c r="AD73" s="33">
        <f t="shared" ref="AD73:AD78" si="64">AB73</f>
        <v>0.6</v>
      </c>
      <c r="AE73" s="33">
        <f t="shared" ref="AE73:AH78" si="65">AD73</f>
        <v>0.6</v>
      </c>
      <c r="AF73" s="33">
        <f t="shared" si="65"/>
        <v>0.6</v>
      </c>
      <c r="AG73" s="33">
        <f t="shared" si="65"/>
        <v>0.6</v>
      </c>
      <c r="AH73" s="33">
        <f t="shared" si="65"/>
        <v>0.6</v>
      </c>
      <c r="AI73" s="16">
        <f t="shared" ref="AI73:AI78" si="66">SUM(AD73:AH73)</f>
        <v>3</v>
      </c>
      <c r="AJ73" s="33">
        <f t="shared" ref="AJ73:AJ78" si="67">AH73</f>
        <v>0.6</v>
      </c>
      <c r="AK73" s="33">
        <f t="shared" ref="AK73:AM78" si="68">AJ73</f>
        <v>0.6</v>
      </c>
      <c r="AL73" s="33">
        <f t="shared" si="68"/>
        <v>0.6</v>
      </c>
      <c r="AM73" s="33">
        <f t="shared" si="68"/>
        <v>0.6</v>
      </c>
      <c r="AN73" s="16">
        <f t="shared" ref="AN73:AN78" si="69">SUM(AJ73:AM73)</f>
        <v>2.4</v>
      </c>
      <c r="AO73" s="33">
        <f t="shared" ref="AO73:AO78" si="70">AM73</f>
        <v>0.6</v>
      </c>
      <c r="AP73" s="33">
        <f t="shared" ref="AP73:AS78" si="71">AO73</f>
        <v>0.6</v>
      </c>
      <c r="AQ73" s="33">
        <f t="shared" si="71"/>
        <v>0.6</v>
      </c>
      <c r="AR73" s="33">
        <f t="shared" si="71"/>
        <v>0.6</v>
      </c>
      <c r="AS73" s="33">
        <f t="shared" si="71"/>
        <v>0.6</v>
      </c>
      <c r="AT73" s="16">
        <f t="shared" ref="AT73:AT78" si="72">SUM(AO73:AS73)</f>
        <v>3</v>
      </c>
    </row>
    <row r="74" spans="1:46" ht="16.5" hidden="1" outlineLevel="1" thickBot="1" x14ac:dyDescent="0.3">
      <c r="A74" s="133" t="s">
        <v>170</v>
      </c>
      <c r="B74" s="134"/>
      <c r="C74" s="129">
        <v>60</v>
      </c>
      <c r="D74" s="4">
        <v>60</v>
      </c>
      <c r="E74" s="4">
        <v>60</v>
      </c>
      <c r="F74" s="4">
        <v>60</v>
      </c>
      <c r="G74" s="4">
        <v>60</v>
      </c>
      <c r="H74" s="16">
        <f t="shared" si="57"/>
        <v>240</v>
      </c>
      <c r="I74" s="4">
        <v>60</v>
      </c>
      <c r="J74" s="4">
        <v>60</v>
      </c>
      <c r="K74" s="4">
        <v>60</v>
      </c>
      <c r="L74" s="4">
        <v>60</v>
      </c>
      <c r="M74" s="16">
        <f t="shared" si="58"/>
        <v>240</v>
      </c>
      <c r="N74" s="25"/>
      <c r="O74" s="25"/>
      <c r="P74" s="25"/>
      <c r="Q74" s="25"/>
      <c r="R74" s="25"/>
      <c r="S74" s="16">
        <f t="shared" si="59"/>
        <v>0</v>
      </c>
      <c r="T74" s="25"/>
      <c r="U74" s="25"/>
      <c r="V74" s="25"/>
      <c r="W74" s="25"/>
      <c r="X74" s="16">
        <f t="shared" si="60"/>
        <v>0</v>
      </c>
      <c r="Y74" s="33">
        <f t="shared" si="61"/>
        <v>0</v>
      </c>
      <c r="Z74" s="33">
        <f t="shared" si="62"/>
        <v>0</v>
      </c>
      <c r="AA74" s="33">
        <f t="shared" si="62"/>
        <v>0</v>
      </c>
      <c r="AB74" s="33">
        <f t="shared" si="62"/>
        <v>0</v>
      </c>
      <c r="AC74" s="16">
        <f t="shared" si="63"/>
        <v>0</v>
      </c>
      <c r="AD74" s="33">
        <f t="shared" si="64"/>
        <v>0</v>
      </c>
      <c r="AE74" s="33">
        <f t="shared" si="65"/>
        <v>0</v>
      </c>
      <c r="AF74" s="33">
        <f t="shared" si="65"/>
        <v>0</v>
      </c>
      <c r="AG74" s="33">
        <f t="shared" si="65"/>
        <v>0</v>
      </c>
      <c r="AH74" s="33">
        <f t="shared" si="65"/>
        <v>0</v>
      </c>
      <c r="AI74" s="16">
        <f t="shared" si="66"/>
        <v>0</v>
      </c>
      <c r="AJ74" s="33">
        <f t="shared" si="67"/>
        <v>0</v>
      </c>
      <c r="AK74" s="33">
        <f t="shared" si="68"/>
        <v>0</v>
      </c>
      <c r="AL74" s="33">
        <f t="shared" si="68"/>
        <v>0</v>
      </c>
      <c r="AM74" s="33">
        <f t="shared" si="68"/>
        <v>0</v>
      </c>
      <c r="AN74" s="16">
        <f t="shared" si="69"/>
        <v>0</v>
      </c>
      <c r="AO74" s="33">
        <f t="shared" si="70"/>
        <v>0</v>
      </c>
      <c r="AP74" s="33">
        <f t="shared" si="71"/>
        <v>0</v>
      </c>
      <c r="AQ74" s="33">
        <f t="shared" si="71"/>
        <v>0</v>
      </c>
      <c r="AR74" s="33">
        <f t="shared" si="71"/>
        <v>0</v>
      </c>
      <c r="AS74" s="33">
        <f t="shared" si="71"/>
        <v>0</v>
      </c>
      <c r="AT74" s="16">
        <f t="shared" si="72"/>
        <v>0</v>
      </c>
    </row>
    <row r="75" spans="1:46" ht="16.5" hidden="1" outlineLevel="1" thickBot="1" x14ac:dyDescent="0.3">
      <c r="A75" s="133" t="s">
        <v>171</v>
      </c>
      <c r="B75" s="134" t="s">
        <v>24</v>
      </c>
      <c r="C75" s="93">
        <v>44382</v>
      </c>
      <c r="D75" s="4">
        <v>7</v>
      </c>
      <c r="E75" s="4">
        <v>7</v>
      </c>
      <c r="F75" s="4">
        <v>7</v>
      </c>
      <c r="G75" s="4">
        <v>7</v>
      </c>
      <c r="H75" s="16">
        <f t="shared" si="57"/>
        <v>28</v>
      </c>
      <c r="I75" s="4">
        <v>7</v>
      </c>
      <c r="J75" s="4">
        <v>7</v>
      </c>
      <c r="K75" s="4">
        <v>7</v>
      </c>
      <c r="L75" s="4">
        <v>7</v>
      </c>
      <c r="M75" s="16">
        <f t="shared" si="58"/>
        <v>28</v>
      </c>
      <c r="N75" s="25">
        <v>7</v>
      </c>
      <c r="O75" s="25">
        <v>7</v>
      </c>
      <c r="P75" s="25">
        <v>7</v>
      </c>
      <c r="Q75" s="25">
        <v>7</v>
      </c>
      <c r="R75" s="25">
        <v>7</v>
      </c>
      <c r="S75" s="16">
        <f t="shared" si="59"/>
        <v>35</v>
      </c>
      <c r="T75" s="25">
        <v>7</v>
      </c>
      <c r="U75" s="25">
        <v>7</v>
      </c>
      <c r="V75" s="25">
        <v>7</v>
      </c>
      <c r="W75" s="25">
        <v>7</v>
      </c>
      <c r="X75" s="16">
        <f t="shared" si="60"/>
        <v>28</v>
      </c>
      <c r="Y75" s="33">
        <f t="shared" si="61"/>
        <v>2.1</v>
      </c>
      <c r="Z75" s="33">
        <f t="shared" si="62"/>
        <v>2.1</v>
      </c>
      <c r="AA75" s="33">
        <f t="shared" si="62"/>
        <v>2.1</v>
      </c>
      <c r="AB75" s="33">
        <f t="shared" si="62"/>
        <v>2.1</v>
      </c>
      <c r="AC75" s="16">
        <f t="shared" si="63"/>
        <v>8.4</v>
      </c>
      <c r="AD75" s="33">
        <f t="shared" si="64"/>
        <v>2.1</v>
      </c>
      <c r="AE75" s="33">
        <f t="shared" si="65"/>
        <v>2.1</v>
      </c>
      <c r="AF75" s="33">
        <f t="shared" si="65"/>
        <v>2.1</v>
      </c>
      <c r="AG75" s="33">
        <f t="shared" si="65"/>
        <v>2.1</v>
      </c>
      <c r="AH75" s="33">
        <f t="shared" si="65"/>
        <v>2.1</v>
      </c>
      <c r="AI75" s="16">
        <f t="shared" si="66"/>
        <v>10.5</v>
      </c>
      <c r="AJ75" s="33">
        <f t="shared" si="67"/>
        <v>2.1</v>
      </c>
      <c r="AK75" s="33">
        <f t="shared" si="68"/>
        <v>2.1</v>
      </c>
      <c r="AL75" s="33">
        <f t="shared" si="68"/>
        <v>2.1</v>
      </c>
      <c r="AM75" s="33">
        <f t="shared" si="68"/>
        <v>2.1</v>
      </c>
      <c r="AN75" s="16">
        <f t="shared" si="69"/>
        <v>8.4</v>
      </c>
      <c r="AO75" s="33">
        <f t="shared" si="70"/>
        <v>2.1</v>
      </c>
      <c r="AP75" s="33">
        <f t="shared" si="71"/>
        <v>2.1</v>
      </c>
      <c r="AQ75" s="33">
        <f t="shared" si="71"/>
        <v>2.1</v>
      </c>
      <c r="AR75" s="33">
        <f t="shared" si="71"/>
        <v>2.1</v>
      </c>
      <c r="AS75" s="33">
        <f t="shared" si="71"/>
        <v>2.1</v>
      </c>
      <c r="AT75" s="16">
        <f t="shared" si="72"/>
        <v>10.5</v>
      </c>
    </row>
    <row r="76" spans="1:46" ht="16.5" hidden="1" outlineLevel="1" thickBot="1" x14ac:dyDescent="0.3">
      <c r="A76" s="133" t="s">
        <v>172</v>
      </c>
      <c r="B76" s="134" t="s">
        <v>24</v>
      </c>
      <c r="C76" s="129">
        <v>7</v>
      </c>
      <c r="D76" s="4">
        <v>7</v>
      </c>
      <c r="E76" s="4">
        <v>7</v>
      </c>
      <c r="F76" s="4">
        <v>7</v>
      </c>
      <c r="G76" s="4">
        <v>7</v>
      </c>
      <c r="H76" s="16">
        <f t="shared" si="57"/>
        <v>28</v>
      </c>
      <c r="I76" s="4">
        <v>7</v>
      </c>
      <c r="J76" s="4">
        <v>7</v>
      </c>
      <c r="K76" s="4">
        <v>7</v>
      </c>
      <c r="L76" s="4">
        <v>7</v>
      </c>
      <c r="M76" s="16">
        <f t="shared" si="58"/>
        <v>28</v>
      </c>
      <c r="N76" s="25">
        <v>7</v>
      </c>
      <c r="O76" s="25">
        <v>7</v>
      </c>
      <c r="P76" s="25">
        <v>7</v>
      </c>
      <c r="Q76" s="25">
        <v>7</v>
      </c>
      <c r="R76" s="25">
        <v>7</v>
      </c>
      <c r="S76" s="16">
        <f t="shared" si="59"/>
        <v>35</v>
      </c>
      <c r="T76" s="25">
        <v>7</v>
      </c>
      <c r="U76" s="25">
        <v>7</v>
      </c>
      <c r="V76" s="25">
        <v>7</v>
      </c>
      <c r="W76" s="25">
        <v>7</v>
      </c>
      <c r="X76" s="16">
        <f t="shared" si="60"/>
        <v>28</v>
      </c>
      <c r="Y76" s="33">
        <f t="shared" si="61"/>
        <v>2.1</v>
      </c>
      <c r="Z76" s="33">
        <f t="shared" si="62"/>
        <v>2.1</v>
      </c>
      <c r="AA76" s="33">
        <f t="shared" si="62"/>
        <v>2.1</v>
      </c>
      <c r="AB76" s="33">
        <f t="shared" si="62"/>
        <v>2.1</v>
      </c>
      <c r="AC76" s="16">
        <f t="shared" si="63"/>
        <v>8.4</v>
      </c>
      <c r="AD76" s="33">
        <f t="shared" si="64"/>
        <v>2.1</v>
      </c>
      <c r="AE76" s="33">
        <f t="shared" si="65"/>
        <v>2.1</v>
      </c>
      <c r="AF76" s="33">
        <f t="shared" si="65"/>
        <v>2.1</v>
      </c>
      <c r="AG76" s="33">
        <f t="shared" si="65"/>
        <v>2.1</v>
      </c>
      <c r="AH76" s="33">
        <f t="shared" si="65"/>
        <v>2.1</v>
      </c>
      <c r="AI76" s="16">
        <f t="shared" si="66"/>
        <v>10.5</v>
      </c>
      <c r="AJ76" s="33">
        <f t="shared" si="67"/>
        <v>2.1</v>
      </c>
      <c r="AK76" s="33">
        <f t="shared" si="68"/>
        <v>2.1</v>
      </c>
      <c r="AL76" s="33">
        <f t="shared" si="68"/>
        <v>2.1</v>
      </c>
      <c r="AM76" s="33">
        <f t="shared" si="68"/>
        <v>2.1</v>
      </c>
      <c r="AN76" s="16">
        <f t="shared" si="69"/>
        <v>8.4</v>
      </c>
      <c r="AO76" s="33">
        <f t="shared" si="70"/>
        <v>2.1</v>
      </c>
      <c r="AP76" s="33">
        <f t="shared" si="71"/>
        <v>2.1</v>
      </c>
      <c r="AQ76" s="33">
        <f t="shared" si="71"/>
        <v>2.1</v>
      </c>
      <c r="AR76" s="33">
        <f t="shared" si="71"/>
        <v>2.1</v>
      </c>
      <c r="AS76" s="33">
        <f t="shared" si="71"/>
        <v>2.1</v>
      </c>
      <c r="AT76" s="16">
        <f t="shared" si="72"/>
        <v>10.5</v>
      </c>
    </row>
    <row r="77" spans="1:46" ht="16.5" hidden="1" outlineLevel="1" thickBot="1" x14ac:dyDescent="0.3">
      <c r="A77" s="133" t="s">
        <v>173</v>
      </c>
      <c r="B77" s="134" t="s">
        <v>24</v>
      </c>
      <c r="C77" s="129">
        <v>30</v>
      </c>
      <c r="D77" s="4">
        <v>30</v>
      </c>
      <c r="E77" s="4">
        <v>30</v>
      </c>
      <c r="F77" s="4">
        <v>30</v>
      </c>
      <c r="G77" s="4">
        <v>30</v>
      </c>
      <c r="H77" s="16">
        <f t="shared" si="57"/>
        <v>120</v>
      </c>
      <c r="I77" s="4">
        <v>30</v>
      </c>
      <c r="J77" s="4">
        <v>30</v>
      </c>
      <c r="K77" s="4">
        <v>30</v>
      </c>
      <c r="L77" s="4">
        <v>30</v>
      </c>
      <c r="M77" s="16">
        <f t="shared" si="58"/>
        <v>120</v>
      </c>
      <c r="N77" s="25">
        <v>30</v>
      </c>
      <c r="O77" s="25">
        <v>30</v>
      </c>
      <c r="P77" s="25">
        <v>30</v>
      </c>
      <c r="Q77" s="25">
        <v>30</v>
      </c>
      <c r="R77" s="25">
        <v>30</v>
      </c>
      <c r="S77" s="16">
        <f t="shared" si="59"/>
        <v>150</v>
      </c>
      <c r="T77" s="25">
        <v>30</v>
      </c>
      <c r="U77" s="25">
        <v>30</v>
      </c>
      <c r="V77" s="25">
        <v>30</v>
      </c>
      <c r="W77" s="25">
        <v>30</v>
      </c>
      <c r="X77" s="16">
        <f t="shared" si="60"/>
        <v>120</v>
      </c>
      <c r="Y77" s="33">
        <f t="shared" si="61"/>
        <v>9</v>
      </c>
      <c r="Z77" s="33">
        <f t="shared" si="62"/>
        <v>9</v>
      </c>
      <c r="AA77" s="33">
        <f t="shared" si="62"/>
        <v>9</v>
      </c>
      <c r="AB77" s="33">
        <f t="shared" si="62"/>
        <v>9</v>
      </c>
      <c r="AC77" s="16">
        <f t="shared" si="63"/>
        <v>36</v>
      </c>
      <c r="AD77" s="33">
        <f t="shared" si="64"/>
        <v>9</v>
      </c>
      <c r="AE77" s="33">
        <f t="shared" si="65"/>
        <v>9</v>
      </c>
      <c r="AF77" s="33">
        <f t="shared" si="65"/>
        <v>9</v>
      </c>
      <c r="AG77" s="33">
        <f t="shared" si="65"/>
        <v>9</v>
      </c>
      <c r="AH77" s="33">
        <f t="shared" si="65"/>
        <v>9</v>
      </c>
      <c r="AI77" s="16">
        <f t="shared" si="66"/>
        <v>45</v>
      </c>
      <c r="AJ77" s="33">
        <f t="shared" si="67"/>
        <v>9</v>
      </c>
      <c r="AK77" s="33">
        <f t="shared" si="68"/>
        <v>9</v>
      </c>
      <c r="AL77" s="33">
        <f t="shared" si="68"/>
        <v>9</v>
      </c>
      <c r="AM77" s="33">
        <f t="shared" si="68"/>
        <v>9</v>
      </c>
      <c r="AN77" s="16">
        <f t="shared" si="69"/>
        <v>36</v>
      </c>
      <c r="AO77" s="33">
        <f t="shared" si="70"/>
        <v>9</v>
      </c>
      <c r="AP77" s="33">
        <f t="shared" si="71"/>
        <v>9</v>
      </c>
      <c r="AQ77" s="33">
        <f t="shared" si="71"/>
        <v>9</v>
      </c>
      <c r="AR77" s="33">
        <f t="shared" si="71"/>
        <v>9</v>
      </c>
      <c r="AS77" s="33">
        <f t="shared" si="71"/>
        <v>9</v>
      </c>
      <c r="AT77" s="16">
        <f t="shared" si="72"/>
        <v>45</v>
      </c>
    </row>
    <row r="78" spans="1:46" ht="16.5" hidden="1" outlineLevel="1" thickBot="1" x14ac:dyDescent="0.3">
      <c r="A78" s="133" t="s">
        <v>174</v>
      </c>
      <c r="B78" s="134" t="s">
        <v>24</v>
      </c>
      <c r="C78" s="129">
        <v>50</v>
      </c>
      <c r="D78" s="4">
        <v>50</v>
      </c>
      <c r="E78" s="4">
        <v>50</v>
      </c>
      <c r="F78" s="4">
        <v>50</v>
      </c>
      <c r="G78" s="4">
        <v>50</v>
      </c>
      <c r="H78" s="16">
        <f t="shared" si="57"/>
        <v>200</v>
      </c>
      <c r="I78" s="4">
        <v>50</v>
      </c>
      <c r="J78" s="4">
        <v>50</v>
      </c>
      <c r="K78" s="4">
        <v>50</v>
      </c>
      <c r="L78" s="4">
        <v>50</v>
      </c>
      <c r="M78" s="16">
        <f t="shared" si="58"/>
        <v>200</v>
      </c>
      <c r="N78" s="25">
        <v>30</v>
      </c>
      <c r="O78" s="25">
        <v>30</v>
      </c>
      <c r="P78" s="25">
        <v>30</v>
      </c>
      <c r="Q78" s="25">
        <v>30</v>
      </c>
      <c r="R78" s="25">
        <v>30</v>
      </c>
      <c r="S78" s="16">
        <f t="shared" si="59"/>
        <v>150</v>
      </c>
      <c r="T78" s="25">
        <v>30</v>
      </c>
      <c r="U78" s="25">
        <v>30</v>
      </c>
      <c r="V78" s="25">
        <v>30</v>
      </c>
      <c r="W78" s="25">
        <v>30</v>
      </c>
      <c r="X78" s="16">
        <f t="shared" si="60"/>
        <v>120</v>
      </c>
      <c r="Y78" s="33">
        <f t="shared" si="61"/>
        <v>9</v>
      </c>
      <c r="Z78" s="33">
        <f t="shared" si="62"/>
        <v>9</v>
      </c>
      <c r="AA78" s="33">
        <f t="shared" si="62"/>
        <v>9</v>
      </c>
      <c r="AB78" s="33">
        <f t="shared" si="62"/>
        <v>9</v>
      </c>
      <c r="AC78" s="16">
        <f t="shared" si="63"/>
        <v>36</v>
      </c>
      <c r="AD78" s="33">
        <f t="shared" si="64"/>
        <v>9</v>
      </c>
      <c r="AE78" s="33">
        <f t="shared" si="65"/>
        <v>9</v>
      </c>
      <c r="AF78" s="33">
        <f t="shared" si="65"/>
        <v>9</v>
      </c>
      <c r="AG78" s="33">
        <f t="shared" si="65"/>
        <v>9</v>
      </c>
      <c r="AH78" s="33">
        <f t="shared" si="65"/>
        <v>9</v>
      </c>
      <c r="AI78" s="16">
        <f t="shared" si="66"/>
        <v>45</v>
      </c>
      <c r="AJ78" s="33">
        <f t="shared" si="67"/>
        <v>9</v>
      </c>
      <c r="AK78" s="33">
        <f t="shared" si="68"/>
        <v>9</v>
      </c>
      <c r="AL78" s="33">
        <f t="shared" si="68"/>
        <v>9</v>
      </c>
      <c r="AM78" s="33">
        <f t="shared" si="68"/>
        <v>9</v>
      </c>
      <c r="AN78" s="16">
        <f t="shared" si="69"/>
        <v>36</v>
      </c>
      <c r="AO78" s="33">
        <f t="shared" si="70"/>
        <v>9</v>
      </c>
      <c r="AP78" s="33">
        <f t="shared" si="71"/>
        <v>9</v>
      </c>
      <c r="AQ78" s="33">
        <f t="shared" si="71"/>
        <v>9</v>
      </c>
      <c r="AR78" s="33">
        <f t="shared" si="71"/>
        <v>9</v>
      </c>
      <c r="AS78" s="33">
        <f t="shared" si="71"/>
        <v>9</v>
      </c>
      <c r="AT78" s="16">
        <f t="shared" si="72"/>
        <v>45</v>
      </c>
    </row>
    <row r="79" spans="1:46" ht="15.75" collapsed="1" x14ac:dyDescent="0.25">
      <c r="A79" s="48" t="s">
        <v>175</v>
      </c>
      <c r="B79" s="22" t="s">
        <v>24</v>
      </c>
      <c r="C79" s="35"/>
      <c r="D79" s="23">
        <f t="shared" ref="D79:AT79" si="73">SUM(D73:D78)</f>
        <v>156</v>
      </c>
      <c r="E79" s="23">
        <f t="shared" si="73"/>
        <v>156</v>
      </c>
      <c r="F79" s="23">
        <f t="shared" si="73"/>
        <v>156</v>
      </c>
      <c r="G79" s="23">
        <f t="shared" si="73"/>
        <v>156</v>
      </c>
      <c r="H79" s="23">
        <f t="shared" si="73"/>
        <v>624</v>
      </c>
      <c r="I79" s="23">
        <f t="shared" si="73"/>
        <v>156</v>
      </c>
      <c r="J79" s="23">
        <f t="shared" si="73"/>
        <v>156</v>
      </c>
      <c r="K79" s="23">
        <f t="shared" si="73"/>
        <v>156</v>
      </c>
      <c r="L79" s="23">
        <f t="shared" si="73"/>
        <v>156</v>
      </c>
      <c r="M79" s="23">
        <f t="shared" si="73"/>
        <v>624</v>
      </c>
      <c r="N79" s="23">
        <f t="shared" si="73"/>
        <v>76</v>
      </c>
      <c r="O79" s="23">
        <f t="shared" si="73"/>
        <v>76</v>
      </c>
      <c r="P79" s="23">
        <f t="shared" si="73"/>
        <v>76</v>
      </c>
      <c r="Q79" s="23">
        <f t="shared" si="73"/>
        <v>76</v>
      </c>
      <c r="R79" s="23">
        <f t="shared" si="73"/>
        <v>76</v>
      </c>
      <c r="S79" s="23">
        <f t="shared" si="73"/>
        <v>380</v>
      </c>
      <c r="T79" s="23">
        <f t="shared" si="73"/>
        <v>76</v>
      </c>
      <c r="U79" s="23">
        <f t="shared" si="73"/>
        <v>76</v>
      </c>
      <c r="V79" s="23">
        <f t="shared" si="73"/>
        <v>76</v>
      </c>
      <c r="W79" s="23">
        <f t="shared" si="73"/>
        <v>76</v>
      </c>
      <c r="X79" s="23">
        <f t="shared" si="73"/>
        <v>304</v>
      </c>
      <c r="Y79" s="23">
        <f t="shared" si="73"/>
        <v>22.8</v>
      </c>
      <c r="Z79" s="23">
        <f t="shared" si="73"/>
        <v>22.8</v>
      </c>
      <c r="AA79" s="23">
        <f t="shared" si="73"/>
        <v>22.8</v>
      </c>
      <c r="AB79" s="23">
        <f t="shared" si="73"/>
        <v>22.8</v>
      </c>
      <c r="AC79" s="23">
        <f t="shared" si="73"/>
        <v>91.2</v>
      </c>
      <c r="AD79" s="23">
        <f t="shared" si="73"/>
        <v>22.8</v>
      </c>
      <c r="AE79" s="23">
        <f t="shared" si="73"/>
        <v>22.8</v>
      </c>
      <c r="AF79" s="23">
        <f t="shared" si="73"/>
        <v>22.8</v>
      </c>
      <c r="AG79" s="23">
        <f t="shared" si="73"/>
        <v>22.8</v>
      </c>
      <c r="AH79" s="23">
        <f t="shared" si="73"/>
        <v>22.8</v>
      </c>
      <c r="AI79" s="23">
        <f t="shared" si="73"/>
        <v>114</v>
      </c>
      <c r="AJ79" s="23">
        <f t="shared" si="73"/>
        <v>22.8</v>
      </c>
      <c r="AK79" s="23">
        <f t="shared" si="73"/>
        <v>22.8</v>
      </c>
      <c r="AL79" s="23">
        <f t="shared" si="73"/>
        <v>22.8</v>
      </c>
      <c r="AM79" s="23">
        <f t="shared" si="73"/>
        <v>22.8</v>
      </c>
      <c r="AN79" s="23">
        <f t="shared" si="73"/>
        <v>91.2</v>
      </c>
      <c r="AO79" s="23">
        <f t="shared" si="73"/>
        <v>22.8</v>
      </c>
      <c r="AP79" s="23">
        <f t="shared" si="73"/>
        <v>22.8</v>
      </c>
      <c r="AQ79" s="23">
        <f t="shared" si="73"/>
        <v>22.8</v>
      </c>
      <c r="AR79" s="23">
        <f t="shared" si="73"/>
        <v>22.8</v>
      </c>
      <c r="AS79" s="23">
        <f t="shared" si="73"/>
        <v>22.8</v>
      </c>
      <c r="AT79" s="23">
        <f t="shared" si="73"/>
        <v>114</v>
      </c>
    </row>
    <row r="80" spans="1:46" ht="63" hidden="1" outlineLevel="1" x14ac:dyDescent="0.25">
      <c r="A80" s="94" t="s">
        <v>61</v>
      </c>
      <c r="B80" s="399" t="s">
        <v>24</v>
      </c>
      <c r="C80" s="129" t="s">
        <v>63</v>
      </c>
      <c r="D80" s="4">
        <v>500</v>
      </c>
      <c r="E80" s="4">
        <v>500</v>
      </c>
      <c r="F80" s="4">
        <v>500</v>
      </c>
      <c r="G80" s="4">
        <v>500</v>
      </c>
      <c r="H80" s="16">
        <f t="shared" ref="H80:H87" si="74">SUM(D80:G80)</f>
        <v>2000</v>
      </c>
      <c r="I80" s="4">
        <v>500</v>
      </c>
      <c r="J80" s="4">
        <v>500</v>
      </c>
      <c r="K80" s="4">
        <v>500</v>
      </c>
      <c r="L80" s="4">
        <v>500</v>
      </c>
      <c r="M80" s="16">
        <f t="shared" ref="M80:M87" si="75">SUM(I80:L80)</f>
        <v>2000</v>
      </c>
      <c r="N80" s="25">
        <v>500</v>
      </c>
      <c r="O80" s="25">
        <v>500</v>
      </c>
      <c r="P80" s="25">
        <v>250</v>
      </c>
      <c r="Q80" s="25">
        <v>250</v>
      </c>
      <c r="R80" s="25">
        <v>250</v>
      </c>
      <c r="S80" s="16">
        <f t="shared" ref="S80:S87" si="76">SUM(N80:R80)</f>
        <v>1750</v>
      </c>
      <c r="T80" s="25">
        <v>250</v>
      </c>
      <c r="U80" s="25">
        <v>250</v>
      </c>
      <c r="V80" s="25">
        <v>250</v>
      </c>
      <c r="W80" s="25">
        <v>250</v>
      </c>
      <c r="X80" s="16">
        <f t="shared" ref="X80:X87" si="77">SUM(T80:W80)</f>
        <v>1000</v>
      </c>
      <c r="Y80" s="33">
        <f t="shared" ref="Y80:Y87" si="78">W80*$B$1</f>
        <v>75</v>
      </c>
      <c r="Z80" s="33">
        <f t="shared" ref="Z80:AB87" si="79">Y80</f>
        <v>75</v>
      </c>
      <c r="AA80" s="33">
        <f t="shared" si="79"/>
        <v>75</v>
      </c>
      <c r="AB80" s="33">
        <f t="shared" si="79"/>
        <v>75</v>
      </c>
      <c r="AC80" s="16">
        <f t="shared" ref="AC80:AC87" si="80">SUM(Y80:AB80)</f>
        <v>300</v>
      </c>
      <c r="AD80" s="33">
        <f t="shared" ref="AD80:AD87" si="81">AB80</f>
        <v>75</v>
      </c>
      <c r="AE80" s="33">
        <f t="shared" ref="AE80:AH87" si="82">AD80</f>
        <v>75</v>
      </c>
      <c r="AF80" s="33">
        <f t="shared" si="82"/>
        <v>75</v>
      </c>
      <c r="AG80" s="33">
        <f t="shared" si="82"/>
        <v>75</v>
      </c>
      <c r="AH80" s="33">
        <f t="shared" si="82"/>
        <v>75</v>
      </c>
      <c r="AI80" s="16">
        <f t="shared" ref="AI80:AI87" si="83">SUM(AD80:AH80)</f>
        <v>375</v>
      </c>
      <c r="AJ80" s="33">
        <f t="shared" ref="AJ80:AJ87" si="84">AH80</f>
        <v>75</v>
      </c>
      <c r="AK80" s="33">
        <f t="shared" ref="AK80:AM87" si="85">AJ80</f>
        <v>75</v>
      </c>
      <c r="AL80" s="33">
        <f t="shared" si="85"/>
        <v>75</v>
      </c>
      <c r="AM80" s="33">
        <f t="shared" si="85"/>
        <v>75</v>
      </c>
      <c r="AN80" s="16">
        <f t="shared" ref="AN80:AN87" si="86">SUM(AJ80:AM80)</f>
        <v>300</v>
      </c>
      <c r="AO80" s="33">
        <f t="shared" ref="AO80:AO87" si="87">AM80</f>
        <v>75</v>
      </c>
      <c r="AP80" s="33">
        <f t="shared" ref="AP80:AS87" si="88">AO80</f>
        <v>75</v>
      </c>
      <c r="AQ80" s="33">
        <f t="shared" si="88"/>
        <v>75</v>
      </c>
      <c r="AR80" s="33">
        <f t="shared" si="88"/>
        <v>75</v>
      </c>
      <c r="AS80" s="33">
        <f t="shared" si="88"/>
        <v>75</v>
      </c>
      <c r="AT80" s="16">
        <f t="shared" ref="AT80:AT87" si="89">SUM(AO80:AS80)</f>
        <v>375</v>
      </c>
    </row>
    <row r="81" spans="1:46" ht="63" hidden="1" outlineLevel="1" x14ac:dyDescent="0.25">
      <c r="A81" s="132" t="s">
        <v>62</v>
      </c>
      <c r="B81" s="399"/>
      <c r="C81" s="129" t="s">
        <v>176</v>
      </c>
      <c r="D81" s="4">
        <v>50</v>
      </c>
      <c r="E81" s="4">
        <v>50</v>
      </c>
      <c r="F81" s="4">
        <v>50</v>
      </c>
      <c r="G81" s="4">
        <v>50</v>
      </c>
      <c r="H81" s="16">
        <f t="shared" si="74"/>
        <v>200</v>
      </c>
      <c r="I81" s="4">
        <v>50</v>
      </c>
      <c r="J81" s="4">
        <v>50</v>
      </c>
      <c r="K81" s="4">
        <v>50</v>
      </c>
      <c r="L81" s="4">
        <v>50</v>
      </c>
      <c r="M81" s="16">
        <f t="shared" si="75"/>
        <v>200</v>
      </c>
      <c r="N81" s="25">
        <v>50</v>
      </c>
      <c r="O81" s="25">
        <v>50</v>
      </c>
      <c r="P81" s="25">
        <v>25</v>
      </c>
      <c r="Q81" s="25">
        <v>25</v>
      </c>
      <c r="R81" s="25">
        <v>25</v>
      </c>
      <c r="S81" s="16">
        <f t="shared" si="76"/>
        <v>175</v>
      </c>
      <c r="T81" s="25">
        <v>25</v>
      </c>
      <c r="U81" s="25">
        <v>25</v>
      </c>
      <c r="V81" s="25">
        <v>25</v>
      </c>
      <c r="W81" s="25">
        <v>25</v>
      </c>
      <c r="X81" s="16">
        <f t="shared" si="77"/>
        <v>100</v>
      </c>
      <c r="Y81" s="33">
        <f t="shared" si="78"/>
        <v>7.5</v>
      </c>
      <c r="Z81" s="33">
        <f t="shared" si="79"/>
        <v>7.5</v>
      </c>
      <c r="AA81" s="33">
        <f t="shared" si="79"/>
        <v>7.5</v>
      </c>
      <c r="AB81" s="33">
        <f t="shared" si="79"/>
        <v>7.5</v>
      </c>
      <c r="AC81" s="16">
        <f t="shared" si="80"/>
        <v>30</v>
      </c>
      <c r="AD81" s="33">
        <f t="shared" si="81"/>
        <v>7.5</v>
      </c>
      <c r="AE81" s="33">
        <f t="shared" si="82"/>
        <v>7.5</v>
      </c>
      <c r="AF81" s="33">
        <f t="shared" si="82"/>
        <v>7.5</v>
      </c>
      <c r="AG81" s="33">
        <f t="shared" si="82"/>
        <v>7.5</v>
      </c>
      <c r="AH81" s="33">
        <f t="shared" si="82"/>
        <v>7.5</v>
      </c>
      <c r="AI81" s="16">
        <f t="shared" si="83"/>
        <v>37.5</v>
      </c>
      <c r="AJ81" s="33">
        <f t="shared" si="84"/>
        <v>7.5</v>
      </c>
      <c r="AK81" s="33">
        <f t="shared" si="85"/>
        <v>7.5</v>
      </c>
      <c r="AL81" s="33">
        <f t="shared" si="85"/>
        <v>7.5</v>
      </c>
      <c r="AM81" s="33">
        <f t="shared" si="85"/>
        <v>7.5</v>
      </c>
      <c r="AN81" s="16">
        <f t="shared" si="86"/>
        <v>30</v>
      </c>
      <c r="AO81" s="33">
        <f t="shared" si="87"/>
        <v>7.5</v>
      </c>
      <c r="AP81" s="33">
        <f t="shared" si="88"/>
        <v>7.5</v>
      </c>
      <c r="AQ81" s="33">
        <f t="shared" si="88"/>
        <v>7.5</v>
      </c>
      <c r="AR81" s="33">
        <f t="shared" si="88"/>
        <v>7.5</v>
      </c>
      <c r="AS81" s="33">
        <f t="shared" si="88"/>
        <v>7.5</v>
      </c>
      <c r="AT81" s="16">
        <f t="shared" si="89"/>
        <v>37.5</v>
      </c>
    </row>
    <row r="82" spans="1:46" ht="111" hidden="1" outlineLevel="1" thickBot="1" x14ac:dyDescent="0.3">
      <c r="A82" s="131" t="s">
        <v>64</v>
      </c>
      <c r="B82" s="129" t="s">
        <v>24</v>
      </c>
      <c r="C82" s="129" t="s">
        <v>177</v>
      </c>
      <c r="D82" s="4">
        <v>1000</v>
      </c>
      <c r="E82" s="4">
        <v>1000</v>
      </c>
      <c r="F82" s="4">
        <v>1000</v>
      </c>
      <c r="G82" s="4">
        <v>1000</v>
      </c>
      <c r="H82" s="16">
        <f t="shared" si="74"/>
        <v>4000</v>
      </c>
      <c r="I82" s="4">
        <v>1000</v>
      </c>
      <c r="J82" s="4">
        <v>1000</v>
      </c>
      <c r="K82" s="4">
        <v>1000</v>
      </c>
      <c r="L82" s="4">
        <v>1000</v>
      </c>
      <c r="M82" s="16">
        <f t="shared" si="75"/>
        <v>4000</v>
      </c>
      <c r="N82" s="25">
        <v>1000</v>
      </c>
      <c r="O82" s="25">
        <v>1000</v>
      </c>
      <c r="P82" s="25">
        <v>500</v>
      </c>
      <c r="Q82" s="25">
        <v>500</v>
      </c>
      <c r="R82" s="25">
        <v>500</v>
      </c>
      <c r="S82" s="16">
        <f t="shared" si="76"/>
        <v>3500</v>
      </c>
      <c r="T82" s="25">
        <v>500</v>
      </c>
      <c r="U82" s="25">
        <v>500</v>
      </c>
      <c r="V82" s="25">
        <v>500</v>
      </c>
      <c r="W82" s="25">
        <v>500</v>
      </c>
      <c r="X82" s="16">
        <f t="shared" si="77"/>
        <v>2000</v>
      </c>
      <c r="Y82" s="33">
        <f t="shared" si="78"/>
        <v>150</v>
      </c>
      <c r="Z82" s="33">
        <f t="shared" si="79"/>
        <v>150</v>
      </c>
      <c r="AA82" s="33">
        <f t="shared" si="79"/>
        <v>150</v>
      </c>
      <c r="AB82" s="33">
        <f t="shared" si="79"/>
        <v>150</v>
      </c>
      <c r="AC82" s="16">
        <f t="shared" si="80"/>
        <v>600</v>
      </c>
      <c r="AD82" s="33">
        <f t="shared" si="81"/>
        <v>150</v>
      </c>
      <c r="AE82" s="33">
        <f t="shared" si="82"/>
        <v>150</v>
      </c>
      <c r="AF82" s="33">
        <f t="shared" si="82"/>
        <v>150</v>
      </c>
      <c r="AG82" s="33">
        <f t="shared" si="82"/>
        <v>150</v>
      </c>
      <c r="AH82" s="33">
        <f t="shared" si="82"/>
        <v>150</v>
      </c>
      <c r="AI82" s="16">
        <f t="shared" si="83"/>
        <v>750</v>
      </c>
      <c r="AJ82" s="33">
        <f t="shared" si="84"/>
        <v>150</v>
      </c>
      <c r="AK82" s="33">
        <f t="shared" si="85"/>
        <v>150</v>
      </c>
      <c r="AL82" s="33">
        <f t="shared" si="85"/>
        <v>150</v>
      </c>
      <c r="AM82" s="33">
        <f t="shared" si="85"/>
        <v>150</v>
      </c>
      <c r="AN82" s="16">
        <f t="shared" si="86"/>
        <v>600</v>
      </c>
      <c r="AO82" s="33">
        <f t="shared" si="87"/>
        <v>150</v>
      </c>
      <c r="AP82" s="33">
        <f t="shared" si="88"/>
        <v>150</v>
      </c>
      <c r="AQ82" s="33">
        <f t="shared" si="88"/>
        <v>150</v>
      </c>
      <c r="AR82" s="33">
        <f t="shared" si="88"/>
        <v>150</v>
      </c>
      <c r="AS82" s="33">
        <f t="shared" si="88"/>
        <v>150</v>
      </c>
      <c r="AT82" s="16">
        <f t="shared" si="89"/>
        <v>750</v>
      </c>
    </row>
    <row r="83" spans="1:46" ht="141.75" hidden="1" outlineLevel="1" x14ac:dyDescent="0.25">
      <c r="A83" s="419" t="s">
        <v>65</v>
      </c>
      <c r="B83" s="422" t="s">
        <v>24</v>
      </c>
      <c r="C83" s="134" t="s">
        <v>66</v>
      </c>
      <c r="D83" s="4">
        <v>125</v>
      </c>
      <c r="E83" s="4">
        <v>125</v>
      </c>
      <c r="F83" s="4">
        <v>125</v>
      </c>
      <c r="G83" s="4">
        <v>125</v>
      </c>
      <c r="H83" s="16">
        <f t="shared" si="74"/>
        <v>500</v>
      </c>
      <c r="I83" s="4">
        <v>125</v>
      </c>
      <c r="J83" s="4">
        <v>125</v>
      </c>
      <c r="K83" s="4">
        <v>125</v>
      </c>
      <c r="L83" s="4">
        <v>125</v>
      </c>
      <c r="M83" s="16">
        <f t="shared" si="75"/>
        <v>500</v>
      </c>
      <c r="N83" s="25">
        <v>125</v>
      </c>
      <c r="O83" s="25">
        <v>125</v>
      </c>
      <c r="P83" s="25">
        <v>63</v>
      </c>
      <c r="Q83" s="25">
        <v>63</v>
      </c>
      <c r="R83" s="25">
        <v>63</v>
      </c>
      <c r="S83" s="16">
        <f t="shared" si="76"/>
        <v>439</v>
      </c>
      <c r="T83" s="25">
        <v>63</v>
      </c>
      <c r="U83" s="25">
        <v>63</v>
      </c>
      <c r="V83" s="25">
        <v>63</v>
      </c>
      <c r="W83" s="25">
        <v>63</v>
      </c>
      <c r="X83" s="16">
        <f t="shared" si="77"/>
        <v>252</v>
      </c>
      <c r="Y83" s="33">
        <f t="shared" si="78"/>
        <v>18.899999999999999</v>
      </c>
      <c r="Z83" s="33">
        <f t="shared" si="79"/>
        <v>18.899999999999999</v>
      </c>
      <c r="AA83" s="33">
        <f t="shared" si="79"/>
        <v>18.899999999999999</v>
      </c>
      <c r="AB83" s="33">
        <f t="shared" si="79"/>
        <v>18.899999999999999</v>
      </c>
      <c r="AC83" s="16">
        <f t="shared" si="80"/>
        <v>75.599999999999994</v>
      </c>
      <c r="AD83" s="33">
        <f t="shared" si="81"/>
        <v>18.899999999999999</v>
      </c>
      <c r="AE83" s="33">
        <f t="shared" si="82"/>
        <v>18.899999999999999</v>
      </c>
      <c r="AF83" s="33">
        <f t="shared" si="82"/>
        <v>18.899999999999999</v>
      </c>
      <c r="AG83" s="33">
        <f t="shared" si="82"/>
        <v>18.899999999999999</v>
      </c>
      <c r="AH83" s="33">
        <f t="shared" si="82"/>
        <v>18.899999999999999</v>
      </c>
      <c r="AI83" s="16">
        <f t="shared" si="83"/>
        <v>94.5</v>
      </c>
      <c r="AJ83" s="33">
        <f t="shared" si="84"/>
        <v>18.899999999999999</v>
      </c>
      <c r="AK83" s="33">
        <f t="shared" si="85"/>
        <v>18.899999999999999</v>
      </c>
      <c r="AL83" s="33">
        <f t="shared" si="85"/>
        <v>18.899999999999999</v>
      </c>
      <c r="AM83" s="33">
        <f t="shared" si="85"/>
        <v>18.899999999999999</v>
      </c>
      <c r="AN83" s="16">
        <f t="shared" si="86"/>
        <v>75.599999999999994</v>
      </c>
      <c r="AO83" s="33">
        <f t="shared" si="87"/>
        <v>18.899999999999999</v>
      </c>
      <c r="AP83" s="33">
        <f t="shared" si="88"/>
        <v>18.899999999999999</v>
      </c>
      <c r="AQ83" s="33">
        <f t="shared" si="88"/>
        <v>18.899999999999999</v>
      </c>
      <c r="AR83" s="33">
        <f t="shared" si="88"/>
        <v>18.899999999999999</v>
      </c>
      <c r="AS83" s="33">
        <f t="shared" si="88"/>
        <v>18.899999999999999</v>
      </c>
      <c r="AT83" s="16">
        <f t="shared" si="89"/>
        <v>94.5</v>
      </c>
    </row>
    <row r="84" spans="1:46" ht="31.5" hidden="1" outlineLevel="1" x14ac:dyDescent="0.25">
      <c r="A84" s="420"/>
      <c r="B84" s="422"/>
      <c r="C84" s="134" t="s">
        <v>67</v>
      </c>
      <c r="D84" s="4"/>
      <c r="E84" s="4"/>
      <c r="F84" s="4"/>
      <c r="G84" s="4"/>
      <c r="H84" s="16">
        <f t="shared" si="74"/>
        <v>0</v>
      </c>
      <c r="I84" s="4"/>
      <c r="J84" s="4"/>
      <c r="K84" s="4"/>
      <c r="L84" s="4"/>
      <c r="M84" s="16">
        <f t="shared" si="75"/>
        <v>0</v>
      </c>
      <c r="N84" s="4"/>
      <c r="O84" s="4"/>
      <c r="P84" s="4"/>
      <c r="Q84" s="4"/>
      <c r="R84" s="4"/>
      <c r="S84" s="16">
        <f t="shared" si="76"/>
        <v>0</v>
      </c>
      <c r="T84" s="4"/>
      <c r="U84" s="4"/>
      <c r="V84" s="4"/>
      <c r="W84" s="4"/>
      <c r="X84" s="16">
        <f t="shared" si="77"/>
        <v>0</v>
      </c>
      <c r="Y84" s="33">
        <f t="shared" si="78"/>
        <v>0</v>
      </c>
      <c r="Z84" s="33">
        <f t="shared" si="79"/>
        <v>0</v>
      </c>
      <c r="AA84" s="33">
        <f t="shared" si="79"/>
        <v>0</v>
      </c>
      <c r="AB84" s="33">
        <f t="shared" si="79"/>
        <v>0</v>
      </c>
      <c r="AC84" s="16">
        <f t="shared" si="80"/>
        <v>0</v>
      </c>
      <c r="AD84" s="33">
        <f t="shared" si="81"/>
        <v>0</v>
      </c>
      <c r="AE84" s="33">
        <f t="shared" si="82"/>
        <v>0</v>
      </c>
      <c r="AF84" s="33">
        <f t="shared" si="82"/>
        <v>0</v>
      </c>
      <c r="AG84" s="33">
        <f t="shared" si="82"/>
        <v>0</v>
      </c>
      <c r="AH84" s="33">
        <f t="shared" si="82"/>
        <v>0</v>
      </c>
      <c r="AI84" s="16">
        <f t="shared" si="83"/>
        <v>0</v>
      </c>
      <c r="AJ84" s="33">
        <f t="shared" si="84"/>
        <v>0</v>
      </c>
      <c r="AK84" s="33">
        <f t="shared" si="85"/>
        <v>0</v>
      </c>
      <c r="AL84" s="33">
        <f t="shared" si="85"/>
        <v>0</v>
      </c>
      <c r="AM84" s="33">
        <f t="shared" si="85"/>
        <v>0</v>
      </c>
      <c r="AN84" s="16">
        <f t="shared" si="86"/>
        <v>0</v>
      </c>
      <c r="AO84" s="33">
        <f t="shared" si="87"/>
        <v>0</v>
      </c>
      <c r="AP84" s="33">
        <f t="shared" si="88"/>
        <v>0</v>
      </c>
      <c r="AQ84" s="33">
        <f t="shared" si="88"/>
        <v>0</v>
      </c>
      <c r="AR84" s="33">
        <f t="shared" si="88"/>
        <v>0</v>
      </c>
      <c r="AS84" s="33">
        <f t="shared" si="88"/>
        <v>0</v>
      </c>
      <c r="AT84" s="16">
        <f t="shared" si="89"/>
        <v>0</v>
      </c>
    </row>
    <row r="85" spans="1:46" ht="48" hidden="1" outlineLevel="1" thickBot="1" x14ac:dyDescent="0.3">
      <c r="A85" s="421"/>
      <c r="B85" s="422"/>
      <c r="C85" s="134" t="s">
        <v>68</v>
      </c>
      <c r="D85" s="4"/>
      <c r="E85" s="4"/>
      <c r="F85" s="4"/>
      <c r="G85" s="4"/>
      <c r="H85" s="16">
        <f t="shared" si="74"/>
        <v>0</v>
      </c>
      <c r="I85" s="4"/>
      <c r="J85" s="4"/>
      <c r="K85" s="4"/>
      <c r="L85" s="4"/>
      <c r="M85" s="16">
        <f t="shared" si="75"/>
        <v>0</v>
      </c>
      <c r="N85" s="4"/>
      <c r="O85" s="4"/>
      <c r="P85" s="4"/>
      <c r="Q85" s="4"/>
      <c r="R85" s="4"/>
      <c r="S85" s="16">
        <f t="shared" si="76"/>
        <v>0</v>
      </c>
      <c r="T85" s="4"/>
      <c r="U85" s="4"/>
      <c r="V85" s="4"/>
      <c r="W85" s="4"/>
      <c r="X85" s="16">
        <f t="shared" si="77"/>
        <v>0</v>
      </c>
      <c r="Y85" s="33">
        <f t="shared" si="78"/>
        <v>0</v>
      </c>
      <c r="Z85" s="33">
        <f t="shared" si="79"/>
        <v>0</v>
      </c>
      <c r="AA85" s="33">
        <f t="shared" si="79"/>
        <v>0</v>
      </c>
      <c r="AB85" s="33">
        <f t="shared" si="79"/>
        <v>0</v>
      </c>
      <c r="AC85" s="16">
        <f t="shared" si="80"/>
        <v>0</v>
      </c>
      <c r="AD85" s="33">
        <f t="shared" si="81"/>
        <v>0</v>
      </c>
      <c r="AE85" s="33">
        <f t="shared" si="82"/>
        <v>0</v>
      </c>
      <c r="AF85" s="33">
        <f t="shared" si="82"/>
        <v>0</v>
      </c>
      <c r="AG85" s="33">
        <f t="shared" si="82"/>
        <v>0</v>
      </c>
      <c r="AH85" s="33">
        <f t="shared" si="82"/>
        <v>0</v>
      </c>
      <c r="AI85" s="16">
        <f t="shared" si="83"/>
        <v>0</v>
      </c>
      <c r="AJ85" s="33">
        <f t="shared" si="84"/>
        <v>0</v>
      </c>
      <c r="AK85" s="33">
        <f t="shared" si="85"/>
        <v>0</v>
      </c>
      <c r="AL85" s="33">
        <f t="shared" si="85"/>
        <v>0</v>
      </c>
      <c r="AM85" s="33">
        <f t="shared" si="85"/>
        <v>0</v>
      </c>
      <c r="AN85" s="16">
        <f t="shared" si="86"/>
        <v>0</v>
      </c>
      <c r="AO85" s="33">
        <f t="shared" si="87"/>
        <v>0</v>
      </c>
      <c r="AP85" s="33">
        <f t="shared" si="88"/>
        <v>0</v>
      </c>
      <c r="AQ85" s="33">
        <f t="shared" si="88"/>
        <v>0</v>
      </c>
      <c r="AR85" s="33">
        <f t="shared" si="88"/>
        <v>0</v>
      </c>
      <c r="AS85" s="33">
        <f t="shared" si="88"/>
        <v>0</v>
      </c>
      <c r="AT85" s="16">
        <f t="shared" si="89"/>
        <v>0</v>
      </c>
    </row>
    <row r="86" spans="1:46" ht="157.5" hidden="1" outlineLevel="1" x14ac:dyDescent="0.25">
      <c r="A86" s="417" t="s">
        <v>69</v>
      </c>
      <c r="B86" s="399" t="s">
        <v>30</v>
      </c>
      <c r="C86" s="129" t="s">
        <v>70</v>
      </c>
      <c r="D86" s="4">
        <f>3500/4</f>
        <v>875</v>
      </c>
      <c r="E86" s="4">
        <f>3500/4</f>
        <v>875</v>
      </c>
      <c r="F86" s="4">
        <f>3500/4</f>
        <v>875</v>
      </c>
      <c r="G86" s="4">
        <f>3500/4</f>
        <v>875</v>
      </c>
      <c r="H86" s="16">
        <f t="shared" si="74"/>
        <v>3500</v>
      </c>
      <c r="I86" s="4">
        <f>3500/4</f>
        <v>875</v>
      </c>
      <c r="J86" s="4">
        <f>3500/4</f>
        <v>875</v>
      </c>
      <c r="K86" s="4">
        <f>3500/4</f>
        <v>875</v>
      </c>
      <c r="L86" s="4">
        <f>3500/4</f>
        <v>875</v>
      </c>
      <c r="M86" s="16">
        <f t="shared" si="75"/>
        <v>3500</v>
      </c>
      <c r="N86" s="25">
        <v>875</v>
      </c>
      <c r="O86" s="25">
        <v>875</v>
      </c>
      <c r="P86" s="25">
        <v>438</v>
      </c>
      <c r="Q86" s="25">
        <v>438</v>
      </c>
      <c r="R86" s="25">
        <v>438</v>
      </c>
      <c r="S86" s="16">
        <f t="shared" si="76"/>
        <v>3064</v>
      </c>
      <c r="T86" s="25">
        <v>438</v>
      </c>
      <c r="U86" s="25">
        <v>438</v>
      </c>
      <c r="V86" s="25">
        <v>438</v>
      </c>
      <c r="W86" s="25">
        <v>438</v>
      </c>
      <c r="X86" s="16">
        <f t="shared" si="77"/>
        <v>1752</v>
      </c>
      <c r="Y86" s="33">
        <f t="shared" si="78"/>
        <v>131.4</v>
      </c>
      <c r="Z86" s="33">
        <f t="shared" si="79"/>
        <v>131.4</v>
      </c>
      <c r="AA86" s="33">
        <f t="shared" si="79"/>
        <v>131.4</v>
      </c>
      <c r="AB86" s="33">
        <f t="shared" si="79"/>
        <v>131.4</v>
      </c>
      <c r="AC86" s="16">
        <f t="shared" si="80"/>
        <v>525.6</v>
      </c>
      <c r="AD86" s="33">
        <f t="shared" si="81"/>
        <v>131.4</v>
      </c>
      <c r="AE86" s="33">
        <f t="shared" si="82"/>
        <v>131.4</v>
      </c>
      <c r="AF86" s="33">
        <f t="shared" si="82"/>
        <v>131.4</v>
      </c>
      <c r="AG86" s="33">
        <f t="shared" si="82"/>
        <v>131.4</v>
      </c>
      <c r="AH86" s="33">
        <f t="shared" si="82"/>
        <v>131.4</v>
      </c>
      <c r="AI86" s="16">
        <f t="shared" si="83"/>
        <v>657</v>
      </c>
      <c r="AJ86" s="33">
        <f t="shared" si="84"/>
        <v>131.4</v>
      </c>
      <c r="AK86" s="33">
        <f t="shared" si="85"/>
        <v>131.4</v>
      </c>
      <c r="AL86" s="33">
        <f t="shared" si="85"/>
        <v>131.4</v>
      </c>
      <c r="AM86" s="33">
        <f t="shared" si="85"/>
        <v>131.4</v>
      </c>
      <c r="AN86" s="16">
        <f t="shared" si="86"/>
        <v>525.6</v>
      </c>
      <c r="AO86" s="33">
        <f t="shared" si="87"/>
        <v>131.4</v>
      </c>
      <c r="AP86" s="33">
        <f t="shared" si="88"/>
        <v>131.4</v>
      </c>
      <c r="AQ86" s="33">
        <f t="shared" si="88"/>
        <v>131.4</v>
      </c>
      <c r="AR86" s="33">
        <f t="shared" si="88"/>
        <v>131.4</v>
      </c>
      <c r="AS86" s="33">
        <f t="shared" si="88"/>
        <v>131.4</v>
      </c>
      <c r="AT86" s="16">
        <f t="shared" si="89"/>
        <v>657</v>
      </c>
    </row>
    <row r="87" spans="1:46" ht="79.5" hidden="1" outlineLevel="1" thickBot="1" x14ac:dyDescent="0.3">
      <c r="A87" s="418"/>
      <c r="B87" s="399"/>
      <c r="C87" s="129" t="s">
        <v>178</v>
      </c>
      <c r="D87" s="4"/>
      <c r="E87" s="4"/>
      <c r="F87" s="4"/>
      <c r="G87" s="4"/>
      <c r="H87" s="16">
        <f t="shared" si="74"/>
        <v>0</v>
      </c>
      <c r="I87" s="4"/>
      <c r="J87" s="4"/>
      <c r="K87" s="4"/>
      <c r="L87" s="4"/>
      <c r="M87" s="16">
        <f t="shared" si="75"/>
        <v>0</v>
      </c>
      <c r="N87" s="4"/>
      <c r="O87" s="4"/>
      <c r="P87" s="4"/>
      <c r="Q87" s="4"/>
      <c r="R87" s="4"/>
      <c r="S87" s="16">
        <f t="shared" si="76"/>
        <v>0</v>
      </c>
      <c r="T87" s="4"/>
      <c r="U87" s="4"/>
      <c r="V87" s="4"/>
      <c r="W87" s="4"/>
      <c r="X87" s="16">
        <f t="shared" si="77"/>
        <v>0</v>
      </c>
      <c r="Y87" s="33">
        <f t="shared" si="78"/>
        <v>0</v>
      </c>
      <c r="Z87" s="33">
        <f t="shared" si="79"/>
        <v>0</v>
      </c>
      <c r="AA87" s="33">
        <f t="shared" si="79"/>
        <v>0</v>
      </c>
      <c r="AB87" s="33">
        <f t="shared" si="79"/>
        <v>0</v>
      </c>
      <c r="AC87" s="16">
        <f t="shared" si="80"/>
        <v>0</v>
      </c>
      <c r="AD87" s="33">
        <f t="shared" si="81"/>
        <v>0</v>
      </c>
      <c r="AE87" s="33">
        <f t="shared" si="82"/>
        <v>0</v>
      </c>
      <c r="AF87" s="33">
        <f t="shared" si="82"/>
        <v>0</v>
      </c>
      <c r="AG87" s="33">
        <f t="shared" si="82"/>
        <v>0</v>
      </c>
      <c r="AH87" s="33">
        <f t="shared" si="82"/>
        <v>0</v>
      </c>
      <c r="AI87" s="16">
        <f t="shared" si="83"/>
        <v>0</v>
      </c>
      <c r="AJ87" s="33">
        <f t="shared" si="84"/>
        <v>0</v>
      </c>
      <c r="AK87" s="33">
        <f t="shared" si="85"/>
        <v>0</v>
      </c>
      <c r="AL87" s="33">
        <f t="shared" si="85"/>
        <v>0</v>
      </c>
      <c r="AM87" s="33">
        <f t="shared" si="85"/>
        <v>0</v>
      </c>
      <c r="AN87" s="16">
        <f t="shared" si="86"/>
        <v>0</v>
      </c>
      <c r="AO87" s="33">
        <f t="shared" si="87"/>
        <v>0</v>
      </c>
      <c r="AP87" s="33">
        <f t="shared" si="88"/>
        <v>0</v>
      </c>
      <c r="AQ87" s="33">
        <f t="shared" si="88"/>
        <v>0</v>
      </c>
      <c r="AR87" s="33">
        <f t="shared" si="88"/>
        <v>0</v>
      </c>
      <c r="AS87" s="33">
        <f t="shared" si="88"/>
        <v>0</v>
      </c>
      <c r="AT87" s="16">
        <f t="shared" si="89"/>
        <v>0</v>
      </c>
    </row>
    <row r="88" spans="1:46" ht="15.75" collapsed="1" x14ac:dyDescent="0.25">
      <c r="A88" s="240" t="s">
        <v>179</v>
      </c>
      <c r="B88" s="22"/>
      <c r="C88" s="35"/>
      <c r="D88" s="23">
        <f t="shared" ref="D88:AB88" si="90">SUM(D80:D87)</f>
        <v>2550</v>
      </c>
      <c r="E88" s="23">
        <f t="shared" si="90"/>
        <v>2550</v>
      </c>
      <c r="F88" s="23">
        <f t="shared" si="90"/>
        <v>2550</v>
      </c>
      <c r="G88" s="23">
        <f t="shared" si="90"/>
        <v>2550</v>
      </c>
      <c r="H88" s="23">
        <f t="shared" si="90"/>
        <v>10200</v>
      </c>
      <c r="I88" s="23">
        <f t="shared" si="90"/>
        <v>2550</v>
      </c>
      <c r="J88" s="23">
        <f t="shared" si="90"/>
        <v>2550</v>
      </c>
      <c r="K88" s="23">
        <f t="shared" si="90"/>
        <v>2550</v>
      </c>
      <c r="L88" s="23">
        <f t="shared" si="90"/>
        <v>2550</v>
      </c>
      <c r="M88" s="23">
        <f t="shared" si="90"/>
        <v>10200</v>
      </c>
      <c r="N88" s="23">
        <f t="shared" si="90"/>
        <v>2550</v>
      </c>
      <c r="O88" s="23">
        <f t="shared" si="90"/>
        <v>2550</v>
      </c>
      <c r="P88" s="23">
        <f t="shared" si="90"/>
        <v>1276</v>
      </c>
      <c r="Q88" s="23">
        <f t="shared" si="90"/>
        <v>1276</v>
      </c>
      <c r="R88" s="23">
        <f t="shared" si="90"/>
        <v>1276</v>
      </c>
      <c r="S88" s="23">
        <f t="shared" si="90"/>
        <v>8928</v>
      </c>
      <c r="T88" s="23">
        <f t="shared" si="90"/>
        <v>1276</v>
      </c>
      <c r="U88" s="23">
        <f t="shared" si="90"/>
        <v>1276</v>
      </c>
      <c r="V88" s="23">
        <f t="shared" si="90"/>
        <v>1276</v>
      </c>
      <c r="W88" s="23">
        <f t="shared" si="90"/>
        <v>1276</v>
      </c>
      <c r="X88" s="23">
        <f t="shared" si="90"/>
        <v>5104</v>
      </c>
      <c r="Y88" s="23">
        <f t="shared" si="90"/>
        <v>382.8</v>
      </c>
      <c r="Z88" s="23">
        <f t="shared" si="90"/>
        <v>382.8</v>
      </c>
      <c r="AA88" s="23">
        <f t="shared" si="90"/>
        <v>382.8</v>
      </c>
      <c r="AB88" s="23">
        <f t="shared" si="90"/>
        <v>382.8</v>
      </c>
      <c r="AC88" s="23">
        <v>3000</v>
      </c>
      <c r="AD88" s="23">
        <f>SUM(AD80:AD87)</f>
        <v>382.8</v>
      </c>
      <c r="AE88" s="23">
        <f>SUM(AE80:AE87)</f>
        <v>382.8</v>
      </c>
      <c r="AF88" s="23">
        <f>SUM(AF80:AF87)</f>
        <v>382.8</v>
      </c>
      <c r="AG88" s="23">
        <f>SUM(AG80:AG87)</f>
        <v>382.8</v>
      </c>
      <c r="AH88" s="23">
        <f>SUM(AH80:AH87)</f>
        <v>382.8</v>
      </c>
      <c r="AI88" s="23">
        <v>3000</v>
      </c>
      <c r="AJ88" s="23">
        <f>SUM(AJ80:AJ87)</f>
        <v>382.8</v>
      </c>
      <c r="AK88" s="23">
        <f>SUM(AK80:AK87)</f>
        <v>382.8</v>
      </c>
      <c r="AL88" s="23">
        <f>SUM(AL80:AL87)</f>
        <v>382.8</v>
      </c>
      <c r="AM88" s="23">
        <f>SUM(AM80:AM87)</f>
        <v>382.8</v>
      </c>
      <c r="AN88" s="23">
        <v>3000</v>
      </c>
      <c r="AO88" s="23">
        <f>SUM(AO80:AO87)</f>
        <v>382.8</v>
      </c>
      <c r="AP88" s="23">
        <f>SUM(AP80:AP87)</f>
        <v>382.8</v>
      </c>
      <c r="AQ88" s="23">
        <f>SUM(AQ80:AQ87)</f>
        <v>382.8</v>
      </c>
      <c r="AR88" s="23">
        <f>SUM(AR80:AR87)</f>
        <v>382.8</v>
      </c>
      <c r="AS88" s="23">
        <f>SUM(AS80:AS87)</f>
        <v>382.8</v>
      </c>
      <c r="AT88" s="23">
        <v>3000</v>
      </c>
    </row>
    <row r="89" spans="1:46" ht="32.25" hidden="1" outlineLevel="1" thickBot="1" x14ac:dyDescent="0.3">
      <c r="A89" s="49" t="s">
        <v>72</v>
      </c>
      <c r="B89" s="62"/>
      <c r="C89" s="50" t="s">
        <v>180</v>
      </c>
      <c r="D89" s="51">
        <v>600</v>
      </c>
      <c r="E89" s="51">
        <v>600</v>
      </c>
      <c r="F89" s="51">
        <v>600</v>
      </c>
      <c r="G89" s="51">
        <v>600</v>
      </c>
      <c r="H89" s="16">
        <f>SUM(D89:G89)</f>
        <v>2400</v>
      </c>
      <c r="I89" s="51">
        <v>600</v>
      </c>
      <c r="J89" s="51">
        <v>600</v>
      </c>
      <c r="K89" s="51">
        <v>600</v>
      </c>
      <c r="L89" s="51">
        <v>600</v>
      </c>
      <c r="M89" s="16">
        <f>SUM(I89:L89)</f>
        <v>2400</v>
      </c>
      <c r="N89" s="51">
        <v>420</v>
      </c>
      <c r="O89" s="51">
        <v>420</v>
      </c>
      <c r="P89" s="51">
        <v>420</v>
      </c>
      <c r="Q89" s="51">
        <v>420</v>
      </c>
      <c r="R89" s="51">
        <v>420</v>
      </c>
      <c r="S89" s="16">
        <f>SUM(N89:R89)</f>
        <v>2100</v>
      </c>
      <c r="T89" s="51">
        <v>300</v>
      </c>
      <c r="U89" s="51">
        <v>300</v>
      </c>
      <c r="V89" s="51">
        <v>300</v>
      </c>
      <c r="W89" s="51">
        <v>300</v>
      </c>
      <c r="X89" s="16">
        <f>SUM(T89:W89)</f>
        <v>1200</v>
      </c>
      <c r="Y89" s="33">
        <f>W89*$B$1</f>
        <v>90</v>
      </c>
      <c r="Z89" s="33">
        <f>Y89</f>
        <v>90</v>
      </c>
      <c r="AA89" s="33">
        <f>Z89</f>
        <v>90</v>
      </c>
      <c r="AB89" s="33">
        <f>AA89</f>
        <v>90</v>
      </c>
      <c r="AC89" s="16">
        <f>SUM(Y89:AB89)</f>
        <v>360</v>
      </c>
      <c r="AD89" s="33">
        <f>AB89</f>
        <v>90</v>
      </c>
      <c r="AE89" s="33">
        <f>AD89</f>
        <v>90</v>
      </c>
      <c r="AF89" s="33">
        <f>AE89</f>
        <v>90</v>
      </c>
      <c r="AG89" s="33">
        <f>AF89</f>
        <v>90</v>
      </c>
      <c r="AH89" s="33">
        <f>AG89</f>
        <v>90</v>
      </c>
      <c r="AI89" s="16">
        <f>SUM(AD89:AH89)</f>
        <v>450</v>
      </c>
      <c r="AJ89" s="33">
        <f>AH89</f>
        <v>90</v>
      </c>
      <c r="AK89" s="33">
        <f>AJ89</f>
        <v>90</v>
      </c>
      <c r="AL89" s="33">
        <f>AK89</f>
        <v>90</v>
      </c>
      <c r="AM89" s="33">
        <f>AL89</f>
        <v>90</v>
      </c>
      <c r="AN89" s="16">
        <f>SUM(AJ89:AM89)</f>
        <v>360</v>
      </c>
      <c r="AO89" s="33">
        <f>AM89</f>
        <v>90</v>
      </c>
      <c r="AP89" s="33">
        <f>AO89</f>
        <v>90</v>
      </c>
      <c r="AQ89" s="33">
        <f>AP89</f>
        <v>90</v>
      </c>
      <c r="AR89" s="33">
        <f>AQ89</f>
        <v>90</v>
      </c>
      <c r="AS89" s="33">
        <f>AR89</f>
        <v>90</v>
      </c>
      <c r="AT89" s="16">
        <f>SUM(AO89:AS89)</f>
        <v>450</v>
      </c>
    </row>
    <row r="90" spans="1:46" ht="15.75" collapsed="1" x14ac:dyDescent="0.25">
      <c r="A90" s="240" t="s">
        <v>71</v>
      </c>
      <c r="B90" s="22"/>
      <c r="C90" s="22"/>
      <c r="D90" s="23">
        <f t="shared" ref="D90:AT90" si="91">SUM(D89:D89)</f>
        <v>600</v>
      </c>
      <c r="E90" s="23">
        <f t="shared" si="91"/>
        <v>600</v>
      </c>
      <c r="F90" s="23">
        <f t="shared" si="91"/>
        <v>600</v>
      </c>
      <c r="G90" s="23">
        <f t="shared" si="91"/>
        <v>600</v>
      </c>
      <c r="H90" s="23">
        <f t="shared" si="91"/>
        <v>2400</v>
      </c>
      <c r="I90" s="23">
        <f t="shared" si="91"/>
        <v>600</v>
      </c>
      <c r="J90" s="23">
        <f t="shared" si="91"/>
        <v>600</v>
      </c>
      <c r="K90" s="23">
        <f t="shared" si="91"/>
        <v>600</v>
      </c>
      <c r="L90" s="23">
        <f t="shared" si="91"/>
        <v>600</v>
      </c>
      <c r="M90" s="23">
        <f t="shared" si="91"/>
        <v>2400</v>
      </c>
      <c r="N90" s="23">
        <f t="shared" si="91"/>
        <v>420</v>
      </c>
      <c r="O90" s="23">
        <f t="shared" si="91"/>
        <v>420</v>
      </c>
      <c r="P90" s="23">
        <f t="shared" si="91"/>
        <v>420</v>
      </c>
      <c r="Q90" s="23">
        <f t="shared" si="91"/>
        <v>420</v>
      </c>
      <c r="R90" s="23">
        <f t="shared" si="91"/>
        <v>420</v>
      </c>
      <c r="S90" s="23">
        <f t="shared" si="91"/>
        <v>2100</v>
      </c>
      <c r="T90" s="23">
        <f t="shared" si="91"/>
        <v>300</v>
      </c>
      <c r="U90" s="23">
        <f t="shared" si="91"/>
        <v>300</v>
      </c>
      <c r="V90" s="23">
        <f t="shared" si="91"/>
        <v>300</v>
      </c>
      <c r="W90" s="23">
        <f t="shared" si="91"/>
        <v>300</v>
      </c>
      <c r="X90" s="23">
        <f t="shared" si="91"/>
        <v>1200</v>
      </c>
      <c r="Y90" s="23">
        <f t="shared" si="91"/>
        <v>90</v>
      </c>
      <c r="Z90" s="23">
        <f t="shared" si="91"/>
        <v>90</v>
      </c>
      <c r="AA90" s="23">
        <f t="shared" si="91"/>
        <v>90</v>
      </c>
      <c r="AB90" s="23">
        <f t="shared" si="91"/>
        <v>90</v>
      </c>
      <c r="AC90" s="23">
        <f t="shared" si="91"/>
        <v>360</v>
      </c>
      <c r="AD90" s="23">
        <f t="shared" si="91"/>
        <v>90</v>
      </c>
      <c r="AE90" s="23">
        <f t="shared" si="91"/>
        <v>90</v>
      </c>
      <c r="AF90" s="23">
        <f t="shared" si="91"/>
        <v>90</v>
      </c>
      <c r="AG90" s="23">
        <f t="shared" si="91"/>
        <v>90</v>
      </c>
      <c r="AH90" s="23">
        <f t="shared" si="91"/>
        <v>90</v>
      </c>
      <c r="AI90" s="23">
        <f t="shared" si="91"/>
        <v>450</v>
      </c>
      <c r="AJ90" s="23">
        <f t="shared" si="91"/>
        <v>90</v>
      </c>
      <c r="AK90" s="23">
        <f t="shared" si="91"/>
        <v>90</v>
      </c>
      <c r="AL90" s="23">
        <f t="shared" si="91"/>
        <v>90</v>
      </c>
      <c r="AM90" s="23">
        <f t="shared" si="91"/>
        <v>90</v>
      </c>
      <c r="AN90" s="23">
        <f t="shared" si="91"/>
        <v>360</v>
      </c>
      <c r="AO90" s="23">
        <f t="shared" si="91"/>
        <v>90</v>
      </c>
      <c r="AP90" s="23">
        <f t="shared" si="91"/>
        <v>90</v>
      </c>
      <c r="AQ90" s="23">
        <f t="shared" si="91"/>
        <v>90</v>
      </c>
      <c r="AR90" s="23">
        <f t="shared" si="91"/>
        <v>90</v>
      </c>
      <c r="AS90" s="23">
        <f t="shared" si="91"/>
        <v>90</v>
      </c>
      <c r="AT90" s="23">
        <f t="shared" si="91"/>
        <v>450</v>
      </c>
    </row>
    <row r="91" spans="1:46" ht="15.75" x14ac:dyDescent="0.25">
      <c r="A91" s="240" t="s">
        <v>73</v>
      </c>
      <c r="B91" s="22" t="s">
        <v>30</v>
      </c>
      <c r="C91" s="35" t="s">
        <v>181</v>
      </c>
      <c r="D91" s="52">
        <v>255</v>
      </c>
      <c r="E91" s="52">
        <v>255</v>
      </c>
      <c r="F91" s="52">
        <v>255</v>
      </c>
      <c r="G91" s="52">
        <v>255</v>
      </c>
      <c r="H91" s="23">
        <f>SUM(D91:G91)</f>
        <v>1020</v>
      </c>
      <c r="I91" s="52">
        <v>255</v>
      </c>
      <c r="J91" s="52">
        <v>255</v>
      </c>
      <c r="K91" s="52">
        <v>255</v>
      </c>
      <c r="L91" s="52">
        <v>255</v>
      </c>
      <c r="M91" s="23">
        <f>SUM(I91:L91)</f>
        <v>1020</v>
      </c>
      <c r="N91" s="52"/>
      <c r="O91" s="52"/>
      <c r="P91" s="52"/>
      <c r="Q91" s="52"/>
      <c r="R91" s="52"/>
      <c r="S91" s="23">
        <f>SUM(N91:R91)</f>
        <v>0</v>
      </c>
      <c r="T91" s="52"/>
      <c r="U91" s="52"/>
      <c r="V91" s="52"/>
      <c r="W91" s="52"/>
      <c r="X91" s="23">
        <f>SUM(T91:W91)</f>
        <v>0</v>
      </c>
      <c r="Y91" s="52"/>
      <c r="Z91" s="52"/>
      <c r="AA91" s="52"/>
      <c r="AB91" s="52"/>
      <c r="AC91" s="23">
        <f>SUM(Y91:AB91)</f>
        <v>0</v>
      </c>
      <c r="AD91" s="52"/>
      <c r="AE91" s="52"/>
      <c r="AF91" s="52"/>
      <c r="AG91" s="52"/>
      <c r="AH91" s="52"/>
      <c r="AI91" s="23">
        <f>SUM(AD91:AH91)</f>
        <v>0</v>
      </c>
      <c r="AJ91" s="52"/>
      <c r="AK91" s="52"/>
      <c r="AL91" s="52"/>
      <c r="AM91" s="52"/>
      <c r="AN91" s="23">
        <f>SUM(AJ91:AM91)</f>
        <v>0</v>
      </c>
      <c r="AO91" s="52"/>
      <c r="AP91" s="52"/>
      <c r="AQ91" s="52"/>
      <c r="AR91" s="52"/>
      <c r="AS91" s="52"/>
      <c r="AT91" s="23">
        <f>SUM(AO91:AS91)</f>
        <v>0</v>
      </c>
    </row>
    <row r="92" spans="1:46" ht="15.75" x14ac:dyDescent="0.25">
      <c r="A92" s="241" t="s">
        <v>289</v>
      </c>
      <c r="B92" s="22"/>
      <c r="C92" s="35"/>
      <c r="D92" s="52"/>
      <c r="E92" s="52"/>
      <c r="F92" s="52"/>
      <c r="G92" s="52"/>
      <c r="H92" s="23"/>
      <c r="I92" s="52"/>
      <c r="J92" s="52"/>
      <c r="K92" s="52"/>
      <c r="L92" s="52"/>
      <c r="M92" s="23"/>
      <c r="N92" s="52"/>
      <c r="O92" s="52"/>
      <c r="P92" s="52"/>
      <c r="Q92" s="52"/>
      <c r="R92" s="52"/>
      <c r="S92" s="23"/>
      <c r="T92" s="52"/>
      <c r="U92" s="52"/>
      <c r="V92" s="52"/>
      <c r="W92" s="52"/>
      <c r="X92" s="23"/>
      <c r="Y92" s="52"/>
      <c r="Z92" s="52"/>
      <c r="AA92" s="52"/>
      <c r="AB92" s="52"/>
      <c r="AC92" s="23">
        <v>384</v>
      </c>
      <c r="AD92" s="52"/>
      <c r="AE92" s="52"/>
      <c r="AF92" s="52"/>
      <c r="AG92" s="52"/>
      <c r="AH92" s="52"/>
      <c r="AI92" s="23">
        <v>384</v>
      </c>
      <c r="AJ92" s="52"/>
      <c r="AK92" s="52"/>
      <c r="AL92" s="52"/>
      <c r="AM92" s="52"/>
      <c r="AN92" s="23">
        <v>384</v>
      </c>
      <c r="AO92" s="52"/>
      <c r="AP92" s="52"/>
      <c r="AQ92" s="52"/>
      <c r="AR92" s="52"/>
      <c r="AS92" s="52"/>
      <c r="AT92" s="23">
        <v>384</v>
      </c>
    </row>
    <row r="93" spans="1:46" ht="15.75" x14ac:dyDescent="0.25">
      <c r="A93" s="240" t="s">
        <v>74</v>
      </c>
      <c r="B93" s="22" t="s">
        <v>30</v>
      </c>
      <c r="C93" s="30">
        <v>15</v>
      </c>
      <c r="D93" s="53">
        <v>15</v>
      </c>
      <c r="E93" s="53">
        <v>15</v>
      </c>
      <c r="F93" s="53">
        <v>15</v>
      </c>
      <c r="G93" s="53">
        <v>15</v>
      </c>
      <c r="H93" s="23">
        <f>SUM(D93:G93)</f>
        <v>60</v>
      </c>
      <c r="I93" s="53">
        <v>15</v>
      </c>
      <c r="J93" s="53">
        <v>15</v>
      </c>
      <c r="K93" s="53">
        <v>15</v>
      </c>
      <c r="L93" s="53">
        <v>15</v>
      </c>
      <c r="M93" s="23">
        <f>SUM(I93:L93)</f>
        <v>60</v>
      </c>
      <c r="N93" s="53">
        <v>15</v>
      </c>
      <c r="O93" s="53">
        <v>15</v>
      </c>
      <c r="P93" s="53">
        <v>15</v>
      </c>
      <c r="Q93" s="53">
        <v>15</v>
      </c>
      <c r="R93" s="53">
        <v>15</v>
      </c>
      <c r="S93" s="23">
        <f>SUM(N93:R93)</f>
        <v>75</v>
      </c>
      <c r="T93" s="53">
        <v>15</v>
      </c>
      <c r="U93" s="53">
        <v>15</v>
      </c>
      <c r="V93" s="53">
        <v>15</v>
      </c>
      <c r="W93" s="53">
        <v>15</v>
      </c>
      <c r="X93" s="23">
        <f>SUM(T93:W93)</f>
        <v>60</v>
      </c>
      <c r="Y93" s="33">
        <v>24</v>
      </c>
      <c r="Z93" s="33">
        <f>Y93</f>
        <v>24</v>
      </c>
      <c r="AA93" s="33">
        <f>Z93</f>
        <v>24</v>
      </c>
      <c r="AB93" s="33">
        <f>AA93</f>
        <v>24</v>
      </c>
      <c r="AC93" s="327">
        <v>98</v>
      </c>
      <c r="AD93" s="33">
        <v>28</v>
      </c>
      <c r="AE93" s="33">
        <f>AD93</f>
        <v>28</v>
      </c>
      <c r="AF93" s="33">
        <f>AE93</f>
        <v>28</v>
      </c>
      <c r="AG93" s="33">
        <f>AF93</f>
        <v>28</v>
      </c>
      <c r="AH93" s="33">
        <f>AG93</f>
        <v>28</v>
      </c>
      <c r="AI93" s="327">
        <v>140</v>
      </c>
      <c r="AJ93" s="33">
        <v>35</v>
      </c>
      <c r="AK93" s="33">
        <f>AJ93</f>
        <v>35</v>
      </c>
      <c r="AL93" s="33">
        <f>AK93</f>
        <v>35</v>
      </c>
      <c r="AM93" s="33">
        <f>AL93</f>
        <v>35</v>
      </c>
      <c r="AN93" s="327">
        <v>140</v>
      </c>
      <c r="AO93" s="33">
        <v>28</v>
      </c>
      <c r="AP93" s="33">
        <f>AO93</f>
        <v>28</v>
      </c>
      <c r="AQ93" s="33">
        <f>AP93</f>
        <v>28</v>
      </c>
      <c r="AR93" s="33">
        <f>AQ93</f>
        <v>28</v>
      </c>
      <c r="AS93" s="33">
        <f>AR93</f>
        <v>28</v>
      </c>
      <c r="AT93" s="327">
        <v>140</v>
      </c>
    </row>
    <row r="94" spans="1:46" x14ac:dyDescent="0.25">
      <c r="B94" s="54"/>
      <c r="C94" s="54" t="s">
        <v>182</v>
      </c>
      <c r="D94" s="55">
        <f t="shared" ref="D94:AT94" si="92">SUM(D93,D91,D90,D88,D79,D72,D61,D54,D47,D43,D37,D30,D24,D9)</f>
        <v>137274</v>
      </c>
      <c r="E94" s="55">
        <f t="shared" si="92"/>
        <v>103864</v>
      </c>
      <c r="F94" s="55">
        <f t="shared" si="92"/>
        <v>121161</v>
      </c>
      <c r="G94" s="55">
        <f t="shared" si="92"/>
        <v>110905</v>
      </c>
      <c r="H94" s="56">
        <f t="shared" si="92"/>
        <v>523712</v>
      </c>
      <c r="I94" s="55">
        <f t="shared" si="92"/>
        <v>109230</v>
      </c>
      <c r="J94" s="55">
        <f t="shared" si="92"/>
        <v>93881</v>
      </c>
      <c r="K94" s="55">
        <f t="shared" si="92"/>
        <v>102299</v>
      </c>
      <c r="L94" s="55">
        <f t="shared" si="92"/>
        <v>89220</v>
      </c>
      <c r="M94" s="56">
        <f t="shared" si="92"/>
        <v>447138</v>
      </c>
      <c r="N94" s="55">
        <f t="shared" si="92"/>
        <v>85016</v>
      </c>
      <c r="O94" s="55">
        <f t="shared" si="92"/>
        <v>84937</v>
      </c>
      <c r="P94" s="55">
        <f t="shared" si="92"/>
        <v>84483</v>
      </c>
      <c r="Q94" s="55">
        <f t="shared" si="92"/>
        <v>84188</v>
      </c>
      <c r="R94" s="55">
        <f t="shared" si="92"/>
        <v>84209</v>
      </c>
      <c r="S94" s="56">
        <f t="shared" si="92"/>
        <v>477841</v>
      </c>
      <c r="T94" s="55">
        <f t="shared" si="92"/>
        <v>83980</v>
      </c>
      <c r="U94" s="55">
        <f t="shared" si="92"/>
        <v>84019</v>
      </c>
      <c r="V94" s="55">
        <f t="shared" si="92"/>
        <v>84168</v>
      </c>
      <c r="W94" s="55">
        <f t="shared" si="92"/>
        <v>84560</v>
      </c>
      <c r="X94" s="56">
        <f t="shared" si="92"/>
        <v>389235</v>
      </c>
      <c r="Y94" s="55">
        <f t="shared" si="92"/>
        <v>176997.65</v>
      </c>
      <c r="Z94" s="55">
        <f t="shared" si="92"/>
        <v>173413.9</v>
      </c>
      <c r="AA94" s="55">
        <f t="shared" si="92"/>
        <v>173464.9</v>
      </c>
      <c r="AB94" s="55">
        <f t="shared" si="92"/>
        <v>186321.9</v>
      </c>
      <c r="AC94" s="56">
        <f>SUM(AC93,AC91,AC90,AC88,AC79,AC72,AC61,AC54,AC47,AC43,AC37,AC30,AC24,AC9)</f>
        <v>690880.45</v>
      </c>
      <c r="AD94" s="55">
        <f t="shared" si="92"/>
        <v>308849.90000000002</v>
      </c>
      <c r="AE94" s="55">
        <f t="shared" si="92"/>
        <v>287835.90000000002</v>
      </c>
      <c r="AF94" s="55">
        <f t="shared" si="92"/>
        <v>308850.90000000002</v>
      </c>
      <c r="AG94" s="55">
        <f t="shared" si="92"/>
        <v>282338.90000000002</v>
      </c>
      <c r="AH94" s="55">
        <f t="shared" si="92"/>
        <v>307627.90000000002</v>
      </c>
      <c r="AI94" s="56">
        <f t="shared" si="92"/>
        <v>1466154</v>
      </c>
      <c r="AJ94" s="55">
        <f t="shared" si="92"/>
        <v>286594.65000000002</v>
      </c>
      <c r="AK94" s="55">
        <f t="shared" si="92"/>
        <v>308795.90000000002</v>
      </c>
      <c r="AL94" s="55">
        <f t="shared" si="92"/>
        <v>282983.90000000002</v>
      </c>
      <c r="AM94" s="55">
        <f t="shared" si="92"/>
        <v>308847.90000000002</v>
      </c>
      <c r="AN94" s="56">
        <f t="shared" si="92"/>
        <v>1167848.55</v>
      </c>
      <c r="AO94" s="55">
        <f t="shared" si="92"/>
        <v>282223.90000000002</v>
      </c>
      <c r="AP94" s="55">
        <f t="shared" si="92"/>
        <v>312871.90000000002</v>
      </c>
      <c r="AQ94" s="55">
        <f t="shared" si="92"/>
        <v>283421.90000000002</v>
      </c>
      <c r="AR94" s="55">
        <f t="shared" si="92"/>
        <v>308835.90000000002</v>
      </c>
      <c r="AS94" s="55">
        <f t="shared" si="92"/>
        <v>282773.90000000002</v>
      </c>
      <c r="AT94" s="56">
        <f t="shared" si="92"/>
        <v>1447888</v>
      </c>
    </row>
    <row r="95" spans="1:46" x14ac:dyDescent="0.25">
      <c r="C95" s="7" t="s">
        <v>183</v>
      </c>
      <c r="D95" s="57">
        <f>D94/7</f>
        <v>19610.571428571428</v>
      </c>
      <c r="E95" s="57">
        <f>E94/7</f>
        <v>14837.714285714286</v>
      </c>
      <c r="F95" s="57">
        <f>F94/7</f>
        <v>17308.714285714286</v>
      </c>
      <c r="G95" s="57">
        <f>G94/7</f>
        <v>15843.571428571429</v>
      </c>
      <c r="H95" s="57"/>
      <c r="I95" s="57">
        <f>I94/7</f>
        <v>15604.285714285714</v>
      </c>
      <c r="J95" s="57">
        <f>J94/7</f>
        <v>13411.571428571429</v>
      </c>
      <c r="K95" s="57">
        <f>K94/7</f>
        <v>14614.142857142857</v>
      </c>
      <c r="L95" s="57">
        <f>L94/7</f>
        <v>12745.714285714286</v>
      </c>
      <c r="M95" s="57"/>
      <c r="N95" s="57">
        <f>N94/7</f>
        <v>12145.142857142857</v>
      </c>
      <c r="O95" s="57">
        <f>O94/7</f>
        <v>12133.857142857143</v>
      </c>
      <c r="P95" s="57">
        <f>P94/7</f>
        <v>12069</v>
      </c>
      <c r="Q95" s="57">
        <f>Q94/7</f>
        <v>12026.857142857143</v>
      </c>
      <c r="R95" s="57">
        <f>R94/7</f>
        <v>12029.857142857143</v>
      </c>
      <c r="S95" s="57"/>
      <c r="T95" s="57">
        <f>T94/7</f>
        <v>11997.142857142857</v>
      </c>
      <c r="U95" s="57">
        <f>U94/7</f>
        <v>12002.714285714286</v>
      </c>
      <c r="V95" s="57">
        <f>V94/7</f>
        <v>12024</v>
      </c>
      <c r="W95" s="57">
        <f>W94/7</f>
        <v>12080</v>
      </c>
      <c r="X95" s="57"/>
      <c r="Y95" s="57">
        <f>Y94/7</f>
        <v>25285.37857142857</v>
      </c>
      <c r="Z95" s="57">
        <f>Z94/7</f>
        <v>24773.414285714283</v>
      </c>
      <c r="AA95" s="57">
        <f>AA94/7</f>
        <v>24780.7</v>
      </c>
      <c r="AB95" s="57">
        <f>AB94/7</f>
        <v>26617.414285714283</v>
      </c>
      <c r="AC95" s="57"/>
      <c r="AD95" s="57">
        <f>AD94/7</f>
        <v>44121.414285714287</v>
      </c>
      <c r="AE95" s="57">
        <f>AE94/7</f>
        <v>41119.414285714287</v>
      </c>
      <c r="AF95" s="57">
        <f>AF94/7</f>
        <v>44121.557142857149</v>
      </c>
      <c r="AG95" s="57">
        <f>AG94/7</f>
        <v>40334.128571428577</v>
      </c>
      <c r="AH95" s="57">
        <f>AH94/7</f>
        <v>43946.842857142859</v>
      </c>
      <c r="AI95" s="57"/>
      <c r="AJ95" s="57">
        <f>AJ94/7</f>
        <v>40942.092857142859</v>
      </c>
      <c r="AK95" s="57">
        <f>AK94/7</f>
        <v>44113.700000000004</v>
      </c>
      <c r="AL95" s="57">
        <f>AL94/7</f>
        <v>40426.271428571432</v>
      </c>
      <c r="AM95" s="57">
        <f>AM94/7</f>
        <v>44121.128571428577</v>
      </c>
      <c r="AN95" s="57"/>
      <c r="AO95" s="57">
        <f>AO94/7</f>
        <v>40317.700000000004</v>
      </c>
      <c r="AP95" s="57">
        <f>AP94/7</f>
        <v>44695.985714285714</v>
      </c>
      <c r="AQ95" s="57">
        <f>AQ94/7</f>
        <v>40488.842857142859</v>
      </c>
      <c r="AR95" s="57">
        <f>AR94/7</f>
        <v>44119.414285714287</v>
      </c>
      <c r="AS95" s="57">
        <f>AS94/7</f>
        <v>40396.271428571432</v>
      </c>
      <c r="AT95" s="57"/>
    </row>
    <row r="96" spans="1:46" x14ac:dyDescent="0.25">
      <c r="C96" s="58" t="s">
        <v>184</v>
      </c>
      <c r="D96" s="59">
        <f t="shared" ref="D96:L96" si="93">D94/5</f>
        <v>27454.799999999999</v>
      </c>
      <c r="E96" s="59">
        <f t="shared" si="93"/>
        <v>20772.8</v>
      </c>
      <c r="F96" s="59">
        <f t="shared" si="93"/>
        <v>24232.2</v>
      </c>
      <c r="G96" s="59">
        <f t="shared" si="93"/>
        <v>22181</v>
      </c>
      <c r="H96" s="59">
        <f t="shared" si="93"/>
        <v>104742.39999999999</v>
      </c>
      <c r="I96" s="59">
        <f t="shared" si="93"/>
        <v>21846</v>
      </c>
      <c r="J96" s="59">
        <f t="shared" si="93"/>
        <v>18776.2</v>
      </c>
      <c r="K96" s="59">
        <f t="shared" si="93"/>
        <v>20459.8</v>
      </c>
      <c r="L96" s="59">
        <f t="shared" si="93"/>
        <v>17844</v>
      </c>
      <c r="M96" s="59">
        <f>M94/10</f>
        <v>44713.8</v>
      </c>
      <c r="N96" s="59">
        <f>N94/5</f>
        <v>17003.2</v>
      </c>
      <c r="O96" s="59">
        <f>O94/5</f>
        <v>16987.400000000001</v>
      </c>
      <c r="P96" s="59">
        <f>P94/5</f>
        <v>16896.599999999999</v>
      </c>
      <c r="Q96" s="59">
        <f>Q94/5</f>
        <v>16837.599999999999</v>
      </c>
      <c r="R96" s="59">
        <f>R94/5</f>
        <v>16841.8</v>
      </c>
      <c r="S96" s="59">
        <f>S94/10</f>
        <v>47784.1</v>
      </c>
      <c r="T96" s="59">
        <f>T94/5</f>
        <v>16796</v>
      </c>
      <c r="U96" s="59">
        <f>U94/5</f>
        <v>16803.8</v>
      </c>
      <c r="V96" s="59">
        <f>V94/5</f>
        <v>16833.599999999999</v>
      </c>
      <c r="W96" s="59">
        <f>W94/5</f>
        <v>16912</v>
      </c>
      <c r="X96" s="59">
        <f>X94/10</f>
        <v>38923.5</v>
      </c>
      <c r="Y96" s="59">
        <f t="shared" ref="Y96:AT96" si="94">Y94</f>
        <v>176997.65</v>
      </c>
      <c r="Z96" s="59">
        <f t="shared" si="94"/>
        <v>173413.9</v>
      </c>
      <c r="AA96" s="59">
        <f>AA94</f>
        <v>173464.9</v>
      </c>
      <c r="AB96" s="59">
        <f t="shared" si="94"/>
        <v>186321.9</v>
      </c>
      <c r="AC96" s="59">
        <f>AC94</f>
        <v>690880.45</v>
      </c>
      <c r="AD96" s="59">
        <f t="shared" si="94"/>
        <v>308849.90000000002</v>
      </c>
      <c r="AE96" s="59">
        <f t="shared" si="94"/>
        <v>287835.90000000002</v>
      </c>
      <c r="AF96" s="59">
        <f t="shared" si="94"/>
        <v>308850.90000000002</v>
      </c>
      <c r="AG96" s="59">
        <f t="shared" si="94"/>
        <v>282338.90000000002</v>
      </c>
      <c r="AH96" s="59">
        <f t="shared" si="94"/>
        <v>307627.90000000002</v>
      </c>
      <c r="AI96" s="59">
        <f t="shared" si="94"/>
        <v>1466154</v>
      </c>
      <c r="AJ96" s="59">
        <f t="shared" si="94"/>
        <v>286594.65000000002</v>
      </c>
      <c r="AK96" s="59">
        <f t="shared" si="94"/>
        <v>308795.90000000002</v>
      </c>
      <c r="AL96" s="59">
        <f t="shared" si="94"/>
        <v>282983.90000000002</v>
      </c>
      <c r="AM96" s="59">
        <f t="shared" si="94"/>
        <v>308847.90000000002</v>
      </c>
      <c r="AN96" s="59">
        <f t="shared" si="94"/>
        <v>1167848.55</v>
      </c>
      <c r="AO96" s="59">
        <f t="shared" si="94"/>
        <v>282223.90000000002</v>
      </c>
      <c r="AP96" s="59">
        <f t="shared" si="94"/>
        <v>312871.90000000002</v>
      </c>
      <c r="AQ96" s="59">
        <f t="shared" si="94"/>
        <v>283421.90000000002</v>
      </c>
      <c r="AR96" s="59">
        <f t="shared" si="94"/>
        <v>308835.90000000002</v>
      </c>
      <c r="AS96" s="59">
        <f t="shared" si="94"/>
        <v>282773.90000000002</v>
      </c>
      <c r="AT96" s="59">
        <f t="shared" si="94"/>
        <v>1447888</v>
      </c>
    </row>
    <row r="97" spans="1:49" x14ac:dyDescent="0.25">
      <c r="A97" t="s">
        <v>310</v>
      </c>
      <c r="C97" s="2" t="s">
        <v>75</v>
      </c>
      <c r="D97" s="60">
        <f t="shared" ref="D97:L97" si="95">9.56+3.36</f>
        <v>12.92</v>
      </c>
      <c r="E97" s="60">
        <f t="shared" si="95"/>
        <v>12.92</v>
      </c>
      <c r="F97" s="60">
        <f t="shared" si="95"/>
        <v>12.92</v>
      </c>
      <c r="G97" s="60">
        <f t="shared" si="95"/>
        <v>12.92</v>
      </c>
      <c r="H97" s="60">
        <f t="shared" si="95"/>
        <v>12.92</v>
      </c>
      <c r="I97" s="60">
        <f t="shared" si="95"/>
        <v>12.92</v>
      </c>
      <c r="J97" s="60">
        <f t="shared" si="95"/>
        <v>12.92</v>
      </c>
      <c r="K97" s="60">
        <f t="shared" si="95"/>
        <v>12.92</v>
      </c>
      <c r="L97" s="60">
        <f t="shared" si="95"/>
        <v>12.92</v>
      </c>
      <c r="M97" s="60">
        <f>7.42+3.36</f>
        <v>10.78</v>
      </c>
      <c r="N97" s="60">
        <f>9.56+3.36</f>
        <v>12.92</v>
      </c>
      <c r="O97" s="60">
        <f>9.56+3.36</f>
        <v>12.92</v>
      </c>
      <c r="P97" s="60">
        <f>9.56+3.36</f>
        <v>12.92</v>
      </c>
      <c r="Q97" s="60">
        <f>9.56+3.36</f>
        <v>12.92</v>
      </c>
      <c r="R97" s="60">
        <f>9.56+3.36</f>
        <v>12.92</v>
      </c>
      <c r="S97" s="60">
        <f>7.42+3.36</f>
        <v>10.78</v>
      </c>
      <c r="T97" s="60">
        <f>9.56+3.36</f>
        <v>12.92</v>
      </c>
      <c r="U97" s="60">
        <f>9.56+3.36</f>
        <v>12.92</v>
      </c>
      <c r="V97" s="60">
        <f>9.56+3.36</f>
        <v>12.92</v>
      </c>
      <c r="W97" s="60">
        <f>9.56+3.36</f>
        <v>12.92</v>
      </c>
      <c r="X97" s="60">
        <f>7.42+3.36</f>
        <v>10.78</v>
      </c>
      <c r="Y97" s="60">
        <f>7.42+3.36</f>
        <v>10.78</v>
      </c>
      <c r="Z97" s="60">
        <f t="shared" ref="Z97:AH97" si="96">7.42+3.36</f>
        <v>10.78</v>
      </c>
      <c r="AA97" s="60">
        <f t="shared" si="96"/>
        <v>10.78</v>
      </c>
      <c r="AB97" s="60">
        <f t="shared" si="96"/>
        <v>10.78</v>
      </c>
      <c r="AC97" s="60">
        <f>7.42+3.36</f>
        <v>10.78</v>
      </c>
      <c r="AD97" s="60">
        <f t="shared" si="96"/>
        <v>10.78</v>
      </c>
      <c r="AE97" s="60">
        <f t="shared" si="96"/>
        <v>10.78</v>
      </c>
      <c r="AF97" s="60">
        <f t="shared" si="96"/>
        <v>10.78</v>
      </c>
      <c r="AG97" s="60">
        <f t="shared" si="96"/>
        <v>10.78</v>
      </c>
      <c r="AH97" s="60">
        <f t="shared" si="96"/>
        <v>10.78</v>
      </c>
      <c r="AI97" s="60">
        <f>7.42+3.36</f>
        <v>10.78</v>
      </c>
      <c r="AJ97" s="60">
        <f t="shared" ref="AJ97:AT97" si="97">7.42+3.36</f>
        <v>10.78</v>
      </c>
      <c r="AK97" s="60">
        <f t="shared" si="97"/>
        <v>10.78</v>
      </c>
      <c r="AL97" s="60">
        <f t="shared" si="97"/>
        <v>10.78</v>
      </c>
      <c r="AM97" s="60">
        <f t="shared" si="97"/>
        <v>10.78</v>
      </c>
      <c r="AN97" s="60">
        <f t="shared" si="97"/>
        <v>10.78</v>
      </c>
      <c r="AO97" s="60">
        <f t="shared" si="97"/>
        <v>10.78</v>
      </c>
      <c r="AP97" s="60">
        <f t="shared" si="97"/>
        <v>10.78</v>
      </c>
      <c r="AQ97" s="60">
        <f t="shared" si="97"/>
        <v>10.78</v>
      </c>
      <c r="AR97" s="60">
        <f t="shared" si="97"/>
        <v>10.78</v>
      </c>
      <c r="AS97" s="60">
        <f t="shared" si="97"/>
        <v>10.78</v>
      </c>
      <c r="AT97" s="60">
        <f t="shared" si="97"/>
        <v>10.78</v>
      </c>
    </row>
    <row r="98" spans="1:49" x14ac:dyDescent="0.25">
      <c r="A98" t="s">
        <v>311</v>
      </c>
      <c r="B98" s="309"/>
      <c r="C98" s="2"/>
      <c r="D98" s="60"/>
      <c r="E98" s="60"/>
      <c r="F98" s="60"/>
      <c r="G98" s="60"/>
      <c r="I98" s="60"/>
      <c r="J98" s="60"/>
      <c r="K98" s="60"/>
      <c r="L98" s="60"/>
      <c r="N98" s="60"/>
      <c r="O98" s="60"/>
      <c r="P98" s="60"/>
      <c r="Q98" s="60"/>
      <c r="R98" s="60"/>
      <c r="T98" s="60"/>
      <c r="U98" s="60"/>
      <c r="V98" s="60"/>
      <c r="W98" s="60"/>
      <c r="Y98" s="60">
        <v>3.54</v>
      </c>
      <c r="Z98" s="60">
        <v>3.54</v>
      </c>
      <c r="AA98" s="60">
        <v>3.54</v>
      </c>
      <c r="AB98" s="60">
        <v>3.54</v>
      </c>
      <c r="AC98" s="60">
        <v>3.54</v>
      </c>
      <c r="AD98" s="60">
        <v>3.54</v>
      </c>
      <c r="AE98" s="60">
        <v>3.54</v>
      </c>
      <c r="AF98" s="60">
        <v>3.54</v>
      </c>
      <c r="AG98" s="60">
        <v>3.54</v>
      </c>
      <c r="AH98" s="60">
        <v>3.54</v>
      </c>
      <c r="AI98" s="60">
        <v>3.54</v>
      </c>
      <c r="AJ98" s="60">
        <v>3.54</v>
      </c>
      <c r="AK98" s="60">
        <v>3.54</v>
      </c>
      <c r="AL98" s="60">
        <v>3.54</v>
      </c>
      <c r="AM98" s="60">
        <v>3.54</v>
      </c>
      <c r="AN98" s="60">
        <v>3.54</v>
      </c>
      <c r="AO98" s="60">
        <v>3.54</v>
      </c>
      <c r="AP98" s="60">
        <v>3.54</v>
      </c>
      <c r="AQ98" s="60">
        <v>3.54</v>
      </c>
      <c r="AR98" s="60">
        <v>3.54</v>
      </c>
      <c r="AS98" s="60">
        <v>3.54</v>
      </c>
      <c r="AT98" s="60">
        <v>3.54</v>
      </c>
    </row>
    <row r="99" spans="1:49" s="316" customFormat="1" x14ac:dyDescent="0.25">
      <c r="B99" s="317"/>
      <c r="C99" s="318"/>
      <c r="D99" s="319"/>
      <c r="E99" s="319"/>
      <c r="F99" s="319"/>
      <c r="G99" s="319"/>
      <c r="H99" s="319"/>
      <c r="I99" s="319"/>
      <c r="J99" s="319"/>
      <c r="K99" s="319"/>
      <c r="L99" s="319"/>
      <c r="M99" s="319"/>
      <c r="N99" s="319"/>
      <c r="O99" s="319"/>
      <c r="P99" s="319"/>
      <c r="Q99" s="319"/>
      <c r="R99" s="319"/>
      <c r="S99" s="319"/>
      <c r="T99" s="319"/>
      <c r="U99" s="319"/>
      <c r="V99" s="319"/>
      <c r="W99" s="319"/>
      <c r="X99" s="319"/>
      <c r="Y99" s="319"/>
      <c r="Z99" s="319"/>
      <c r="AA99" s="319"/>
      <c r="AB99" s="319"/>
      <c r="AC99" s="319"/>
      <c r="AD99" s="319"/>
      <c r="AE99" s="319"/>
      <c r="AF99" s="319"/>
      <c r="AG99" s="319"/>
      <c r="AH99" s="319"/>
      <c r="AI99" s="319"/>
      <c r="AJ99" s="319"/>
      <c r="AK99" s="319"/>
      <c r="AL99" s="319"/>
      <c r="AM99" s="319"/>
      <c r="AN99" s="319"/>
      <c r="AO99" s="319"/>
      <c r="AP99" s="319"/>
      <c r="AQ99" s="319"/>
      <c r="AR99" s="319"/>
      <c r="AS99" s="319"/>
      <c r="AT99" s="319"/>
      <c r="AW99" s="320"/>
    </row>
    <row r="100" spans="1:49" s="316" customFormat="1" x14ac:dyDescent="0.25">
      <c r="B100" s="317"/>
      <c r="C100" s="318"/>
      <c r="D100" s="319"/>
      <c r="E100" s="319"/>
      <c r="F100" s="319"/>
      <c r="G100" s="319"/>
      <c r="H100" s="319"/>
      <c r="I100" s="319"/>
      <c r="J100" s="319"/>
      <c r="K100" s="319"/>
      <c r="L100" s="319"/>
      <c r="M100" s="319"/>
      <c r="N100" s="319"/>
      <c r="O100" s="319"/>
      <c r="P100" s="319"/>
      <c r="Q100" s="319"/>
      <c r="R100" s="319"/>
      <c r="S100" s="319"/>
      <c r="T100" s="319"/>
      <c r="U100" s="319"/>
      <c r="V100" s="319"/>
      <c r="W100" s="319"/>
      <c r="X100" s="319"/>
      <c r="Y100" s="319"/>
      <c r="Z100" s="319"/>
      <c r="AA100" s="319"/>
      <c r="AB100" s="319"/>
      <c r="AC100" s="319"/>
      <c r="AD100" s="319"/>
      <c r="AE100" s="319"/>
      <c r="AF100" s="319"/>
      <c r="AG100" s="319"/>
      <c r="AH100" s="319"/>
      <c r="AI100" s="319"/>
      <c r="AJ100" s="319"/>
      <c r="AK100" s="319"/>
      <c r="AL100" s="319"/>
      <c r="AM100" s="319"/>
      <c r="AN100" s="319"/>
      <c r="AO100" s="319"/>
      <c r="AP100" s="319"/>
      <c r="AQ100" s="319"/>
      <c r="AR100" s="319"/>
      <c r="AS100" s="319"/>
      <c r="AT100" s="319"/>
      <c r="AW100" s="320"/>
    </row>
    <row r="101" spans="1:49" x14ac:dyDescent="0.25">
      <c r="A101" t="s">
        <v>308</v>
      </c>
      <c r="Y101" s="59">
        <f>Y5+Y6+Y25+Y26+Y36+Y62+Y16</f>
        <v>17496.3</v>
      </c>
      <c r="Z101" s="59">
        <f t="shared" ref="Z101:AT101" si="98">Z5+Z6+Z25+Z26+Z36+Z62+Z16</f>
        <v>17338.3</v>
      </c>
      <c r="AA101" s="59">
        <f t="shared" si="98"/>
        <v>17339.3</v>
      </c>
      <c r="AB101" s="59">
        <f t="shared" si="98"/>
        <v>30246.3</v>
      </c>
      <c r="AC101" s="59">
        <f>AC5+AC6+AC25+AC26+AC36+AC62+AC16</f>
        <v>76633</v>
      </c>
      <c r="AD101" s="59">
        <f t="shared" si="98"/>
        <v>30238.3</v>
      </c>
      <c r="AE101" s="59">
        <f t="shared" si="98"/>
        <v>4655.3</v>
      </c>
      <c r="AF101" s="59">
        <f t="shared" si="98"/>
        <v>30239.3</v>
      </c>
      <c r="AG101" s="59">
        <f t="shared" si="98"/>
        <v>4427.3</v>
      </c>
      <c r="AH101" s="59">
        <f t="shared" si="98"/>
        <v>30241.3</v>
      </c>
      <c r="AI101" s="59">
        <f t="shared" si="98"/>
        <v>90895</v>
      </c>
      <c r="AJ101" s="59">
        <f t="shared" si="98"/>
        <v>4625.3</v>
      </c>
      <c r="AK101" s="59">
        <f t="shared" si="98"/>
        <v>30253.3</v>
      </c>
      <c r="AL101" s="59">
        <f t="shared" si="98"/>
        <v>4441.3</v>
      </c>
      <c r="AM101" s="59">
        <f t="shared" si="98"/>
        <v>30255.3</v>
      </c>
      <c r="AN101" s="59">
        <f t="shared" si="98"/>
        <v>63734.1</v>
      </c>
      <c r="AO101" s="59">
        <f t="shared" si="98"/>
        <v>4434.3</v>
      </c>
      <c r="AP101" s="59">
        <f t="shared" si="98"/>
        <v>30513.3</v>
      </c>
      <c r="AQ101" s="59">
        <f t="shared" si="98"/>
        <v>4432.3</v>
      </c>
      <c r="AR101" s="59">
        <f t="shared" si="98"/>
        <v>30246.3</v>
      </c>
      <c r="AS101" s="59">
        <f t="shared" si="98"/>
        <v>4434.3</v>
      </c>
      <c r="AT101" s="59">
        <f t="shared" si="98"/>
        <v>65626</v>
      </c>
    </row>
    <row r="102" spans="1:49" x14ac:dyDescent="0.25">
      <c r="A102" t="s">
        <v>309</v>
      </c>
      <c r="B102" s="309"/>
      <c r="C102" s="309"/>
      <c r="Y102" s="310">
        <f>Y15</f>
        <v>123246</v>
      </c>
      <c r="Z102" s="310">
        <f t="shared" ref="Z102:AT102" si="99">Z15</f>
        <v>123246</v>
      </c>
      <c r="AA102" s="310">
        <f>AA15</f>
        <v>123246</v>
      </c>
      <c r="AB102" s="310">
        <f t="shared" si="99"/>
        <v>123246</v>
      </c>
      <c r="AC102" s="310">
        <f>AC15</f>
        <v>492984</v>
      </c>
      <c r="AD102" s="310">
        <f>AD15</f>
        <v>246493</v>
      </c>
      <c r="AE102" s="310">
        <f t="shared" si="99"/>
        <v>246493</v>
      </c>
      <c r="AF102" s="310">
        <f t="shared" si="99"/>
        <v>246493</v>
      </c>
      <c r="AG102" s="310">
        <f t="shared" si="99"/>
        <v>246493</v>
      </c>
      <c r="AH102" s="310">
        <f t="shared" si="99"/>
        <v>246493</v>
      </c>
      <c r="AI102" s="310">
        <f t="shared" si="99"/>
        <v>1232465</v>
      </c>
      <c r="AJ102" s="310">
        <f t="shared" si="99"/>
        <v>246493</v>
      </c>
      <c r="AK102" s="310">
        <f t="shared" si="99"/>
        <v>246493</v>
      </c>
      <c r="AL102" s="310">
        <f t="shared" si="99"/>
        <v>246493</v>
      </c>
      <c r="AM102" s="310">
        <f t="shared" si="99"/>
        <v>246493</v>
      </c>
      <c r="AN102" s="310">
        <f t="shared" si="99"/>
        <v>985972</v>
      </c>
      <c r="AO102" s="310">
        <f t="shared" si="99"/>
        <v>246493</v>
      </c>
      <c r="AP102" s="310">
        <f t="shared" si="99"/>
        <v>246493</v>
      </c>
      <c r="AQ102" s="310">
        <f t="shared" si="99"/>
        <v>246493</v>
      </c>
      <c r="AR102" s="310">
        <f t="shared" si="99"/>
        <v>246493</v>
      </c>
      <c r="AS102" s="310">
        <f t="shared" si="99"/>
        <v>246493</v>
      </c>
      <c r="AT102" s="310">
        <f t="shared" si="99"/>
        <v>1232465</v>
      </c>
    </row>
    <row r="103" spans="1:49" x14ac:dyDescent="0.25">
      <c r="A103" t="s">
        <v>295</v>
      </c>
      <c r="Y103" s="321">
        <f>Y101*Y97</f>
        <v>188610.11399999997</v>
      </c>
      <c r="Z103" s="321">
        <f>Z101*Z97</f>
        <v>186906.87399999998</v>
      </c>
      <c r="AA103" s="321">
        <f t="shared" ref="AA103" si="100">AA101*AA97</f>
        <v>186917.65399999998</v>
      </c>
      <c r="AB103" s="321">
        <f>AB101*AB97</f>
        <v>326055.114</v>
      </c>
      <c r="AC103" s="61">
        <f>Y103+Z103+AA103+AB103</f>
        <v>888489.75600000005</v>
      </c>
      <c r="AD103" s="61">
        <f>AD101*AD97</f>
        <v>325968.87399999995</v>
      </c>
      <c r="AE103" s="61">
        <f t="shared" ref="AE103:AG103" si="101">AE101*AE97</f>
        <v>50184.133999999998</v>
      </c>
      <c r="AF103" s="61">
        <f t="shared" si="101"/>
        <v>325979.65399999998</v>
      </c>
      <c r="AG103" s="61">
        <f t="shared" si="101"/>
        <v>47726.294000000002</v>
      </c>
      <c r="AH103" s="61">
        <f>AH101*AH97</f>
        <v>326001.21399999998</v>
      </c>
      <c r="AI103" s="61">
        <f>AE103+AF103+AG103+AH103+AD103</f>
        <v>1075860.17</v>
      </c>
      <c r="AJ103" s="61">
        <f>AJ101*AJ97</f>
        <v>49860.733999999997</v>
      </c>
      <c r="AK103" s="61">
        <f>AK101*AK97</f>
        <v>326130.57399999996</v>
      </c>
      <c r="AL103" s="61">
        <f>AL101*AL97</f>
        <v>47877.214</v>
      </c>
      <c r="AM103" s="61">
        <f>AM101*AM97</f>
        <v>326152.13399999996</v>
      </c>
      <c r="AN103" s="61">
        <f>AJ103+AK103+AL103+AM103</f>
        <v>750020.65599999996</v>
      </c>
      <c r="AO103" s="61">
        <f>AO101*AO97</f>
        <v>47801.754000000001</v>
      </c>
      <c r="AP103" s="61">
        <f t="shared" ref="AP103:AS103" si="102">AP101*AP97</f>
        <v>328933.37399999995</v>
      </c>
      <c r="AQ103" s="61">
        <f t="shared" si="102"/>
        <v>47780.193999999996</v>
      </c>
      <c r="AR103" s="61">
        <f t="shared" si="102"/>
        <v>326055.114</v>
      </c>
      <c r="AS103" s="61">
        <f t="shared" si="102"/>
        <v>47801.754000000001</v>
      </c>
      <c r="AT103" s="61">
        <f>AP103+AQ103+AR103+AS103+AO103</f>
        <v>798372.19</v>
      </c>
    </row>
    <row r="104" spans="1:49" x14ac:dyDescent="0.25">
      <c r="A104" t="s">
        <v>306</v>
      </c>
      <c r="Y104" s="321">
        <f>Y102*Y97</f>
        <v>1328591.8799999999</v>
      </c>
      <c r="Z104" s="321">
        <f>Z102*Z97</f>
        <v>1328591.8799999999</v>
      </c>
      <c r="AA104" s="321">
        <f>AA107</f>
        <v>1060901.568</v>
      </c>
      <c r="AB104" s="321">
        <f>AB107</f>
        <v>1060901.568</v>
      </c>
      <c r="AC104" s="61">
        <f>Y104+Z104+AA104+AB104</f>
        <v>4778986.8959999997</v>
      </c>
      <c r="AD104" s="61">
        <f>AD107</f>
        <v>1051046.1520000002</v>
      </c>
      <c r="AE104" s="61">
        <f t="shared" ref="AE104:AH104" si="103">AE107</f>
        <v>1051046.1520000002</v>
      </c>
      <c r="AF104" s="61">
        <f t="shared" si="103"/>
        <v>1051046.1520000002</v>
      </c>
      <c r="AG104" s="61">
        <f t="shared" si="103"/>
        <v>1051046.1520000002</v>
      </c>
      <c r="AH104" s="61">
        <f t="shared" si="103"/>
        <v>1051046.1520000002</v>
      </c>
      <c r="AI104" s="61">
        <f>AE104+AF104+AG104+AH104+AD104</f>
        <v>5255230.7600000016</v>
      </c>
      <c r="AJ104" s="61">
        <f>AJ107</f>
        <v>1051046.1520000002</v>
      </c>
      <c r="AK104" s="61">
        <f t="shared" ref="AK104:AM104" si="104">AK107</f>
        <v>1051046.1520000002</v>
      </c>
      <c r="AL104" s="61">
        <f t="shared" si="104"/>
        <v>1051046.1520000002</v>
      </c>
      <c r="AM104" s="61">
        <f t="shared" si="104"/>
        <v>1051046.1520000002</v>
      </c>
      <c r="AN104" s="61">
        <f>AJ104+AK104+AL104+AM104</f>
        <v>4204184.6080000009</v>
      </c>
      <c r="AO104" s="61">
        <f>AO107</f>
        <v>1051046.1520000002</v>
      </c>
      <c r="AP104" s="61">
        <f t="shared" ref="AP104:AS104" si="105">AP107</f>
        <v>1051046.1520000002</v>
      </c>
      <c r="AQ104" s="61">
        <f t="shared" si="105"/>
        <v>1051046.1520000002</v>
      </c>
      <c r="AR104" s="61">
        <f t="shared" si="105"/>
        <v>1051046.1520000002</v>
      </c>
      <c r="AS104" s="61">
        <f t="shared" si="105"/>
        <v>1051046.1520000002</v>
      </c>
      <c r="AT104" s="61">
        <f>AP104+AQ104+AR104+AS104+AO104</f>
        <v>5255230.7600000016</v>
      </c>
    </row>
    <row r="105" spans="1:49" x14ac:dyDescent="0.25">
      <c r="A105" s="322" t="s">
        <v>312</v>
      </c>
      <c r="Y105" s="324">
        <f>Y103+Y104</f>
        <v>1517201.9939999999</v>
      </c>
      <c r="Z105" s="324">
        <f t="shared" ref="Z105:AT105" si="106">Z103+Z104</f>
        <v>1515498.754</v>
      </c>
      <c r="AA105" s="324">
        <f>AA103+AA104</f>
        <v>1247819.2220000001</v>
      </c>
      <c r="AB105" s="324">
        <f t="shared" si="106"/>
        <v>1386956.682</v>
      </c>
      <c r="AC105" s="324">
        <f t="shared" si="106"/>
        <v>5667476.6519999998</v>
      </c>
      <c r="AD105" s="324">
        <f>AD103+AD104</f>
        <v>1377015.0260000001</v>
      </c>
      <c r="AE105" s="324">
        <f t="shared" si="106"/>
        <v>1101230.2860000003</v>
      </c>
      <c r="AF105" s="324">
        <f t="shared" si="106"/>
        <v>1377025.8060000003</v>
      </c>
      <c r="AG105" s="324">
        <f t="shared" si="106"/>
        <v>1098772.4460000002</v>
      </c>
      <c r="AH105" s="324">
        <f t="shared" si="106"/>
        <v>1377047.3660000002</v>
      </c>
      <c r="AI105" s="324">
        <f>AI103+AI104+Konsilijs!T13</f>
        <v>6346210.4300000016</v>
      </c>
      <c r="AJ105" s="324">
        <f t="shared" si="106"/>
        <v>1100906.8860000002</v>
      </c>
      <c r="AK105" s="324">
        <f t="shared" si="106"/>
        <v>1377176.7260000003</v>
      </c>
      <c r="AL105" s="324">
        <f t="shared" si="106"/>
        <v>1098923.3660000002</v>
      </c>
      <c r="AM105" s="324">
        <f t="shared" si="106"/>
        <v>1377198.2860000003</v>
      </c>
      <c r="AN105" s="324">
        <f>AN103+AN104</f>
        <v>4954205.2640000004</v>
      </c>
      <c r="AO105" s="324">
        <f t="shared" si="106"/>
        <v>1098847.9060000002</v>
      </c>
      <c r="AP105" s="324">
        <f t="shared" si="106"/>
        <v>1379979.5260000001</v>
      </c>
      <c r="AQ105" s="324">
        <f t="shared" si="106"/>
        <v>1098826.3460000001</v>
      </c>
      <c r="AR105" s="324">
        <f t="shared" si="106"/>
        <v>1377101.2660000003</v>
      </c>
      <c r="AS105" s="324">
        <f t="shared" si="106"/>
        <v>1098847.9060000002</v>
      </c>
      <c r="AT105" s="324">
        <f t="shared" si="106"/>
        <v>6053602.9500000011</v>
      </c>
    </row>
    <row r="106" spans="1:49" x14ac:dyDescent="0.25">
      <c r="A106" s="311" t="s">
        <v>307</v>
      </c>
      <c r="B106" s="312"/>
      <c r="C106" s="312"/>
      <c r="D106" s="311"/>
      <c r="E106" s="311"/>
      <c r="F106" s="311"/>
      <c r="G106" s="311"/>
      <c r="H106" s="312"/>
      <c r="I106" s="311"/>
      <c r="J106" s="311"/>
      <c r="K106" s="311"/>
      <c r="L106" s="311"/>
      <c r="M106" s="312"/>
      <c r="N106" s="311"/>
      <c r="O106" s="311"/>
      <c r="P106" s="311"/>
      <c r="Q106" s="311"/>
      <c r="R106" s="311"/>
      <c r="S106" s="312"/>
      <c r="T106" s="311"/>
      <c r="U106" s="311"/>
      <c r="V106" s="311"/>
      <c r="W106" s="311"/>
      <c r="X106" s="312"/>
      <c r="Y106" s="314">
        <f>Y15</f>
        <v>123246</v>
      </c>
      <c r="Z106" s="313">
        <f>Z15</f>
        <v>123246</v>
      </c>
      <c r="AA106" s="313">
        <f>AA15</f>
        <v>123246</v>
      </c>
      <c r="AB106" s="313">
        <f t="shared" ref="AB106" si="107">AB15</f>
        <v>123246</v>
      </c>
      <c r="AC106" s="314">
        <f t="shared" ref="AC106:AT106" si="108">AC15</f>
        <v>492984</v>
      </c>
      <c r="AD106" s="314">
        <f t="shared" si="108"/>
        <v>246493</v>
      </c>
      <c r="AE106" s="314">
        <f t="shared" si="108"/>
        <v>246493</v>
      </c>
      <c r="AF106" s="314">
        <f t="shared" si="108"/>
        <v>246493</v>
      </c>
      <c r="AG106" s="314">
        <f t="shared" si="108"/>
        <v>246493</v>
      </c>
      <c r="AH106" s="314">
        <f t="shared" si="108"/>
        <v>246493</v>
      </c>
      <c r="AI106" s="314">
        <f t="shared" si="108"/>
        <v>1232465</v>
      </c>
      <c r="AJ106" s="314">
        <f t="shared" si="108"/>
        <v>246493</v>
      </c>
      <c r="AK106" s="314">
        <f t="shared" si="108"/>
        <v>246493</v>
      </c>
      <c r="AL106" s="314">
        <f t="shared" si="108"/>
        <v>246493</v>
      </c>
      <c r="AM106" s="314">
        <f t="shared" si="108"/>
        <v>246493</v>
      </c>
      <c r="AN106" s="314">
        <f t="shared" si="108"/>
        <v>985972</v>
      </c>
      <c r="AO106" s="314">
        <f t="shared" si="108"/>
        <v>246493</v>
      </c>
      <c r="AP106" s="314">
        <f t="shared" si="108"/>
        <v>246493</v>
      </c>
      <c r="AQ106" s="314">
        <f t="shared" si="108"/>
        <v>246493</v>
      </c>
      <c r="AR106" s="314">
        <f t="shared" si="108"/>
        <v>246493</v>
      </c>
      <c r="AS106" s="314">
        <f t="shared" si="108"/>
        <v>246493</v>
      </c>
      <c r="AT106" s="314">
        <f t="shared" si="108"/>
        <v>1232465</v>
      </c>
    </row>
    <row r="107" spans="1:49" x14ac:dyDescent="0.25">
      <c r="B107" s="312"/>
      <c r="C107" s="312"/>
      <c r="D107" s="311"/>
      <c r="E107" s="311"/>
      <c r="F107" s="311"/>
      <c r="G107" s="311"/>
      <c r="H107" s="312"/>
      <c r="I107" s="311"/>
      <c r="J107" s="311"/>
      <c r="K107" s="311"/>
      <c r="L107" s="311"/>
      <c r="M107" s="312"/>
      <c r="N107" s="311"/>
      <c r="O107" s="311"/>
      <c r="P107" s="311"/>
      <c r="Q107" s="311"/>
      <c r="R107" s="311"/>
      <c r="S107" s="312"/>
      <c r="T107" s="311"/>
      <c r="U107" s="311"/>
      <c r="V107" s="311"/>
      <c r="W107" s="311"/>
      <c r="X107" s="312"/>
      <c r="Y107" s="314">
        <f>Y15*Y97</f>
        <v>1328591.8799999999</v>
      </c>
      <c r="Z107" s="314">
        <f>Z15*Z97</f>
        <v>1328591.8799999999</v>
      </c>
      <c r="AA107" s="314">
        <f>(AA15*0.3)*AA98+(AA15*0.7)*AA97</f>
        <v>1060901.568</v>
      </c>
      <c r="AB107" s="314">
        <f>(AB15*0.3)*AB98+(AB15*0.7)*AB97</f>
        <v>1060901.568</v>
      </c>
      <c r="AC107" s="315">
        <f>Y107+Z107+AA107+AB107</f>
        <v>4778986.8959999997</v>
      </c>
      <c r="AD107" s="314">
        <f>(AD15*0.9)*AD98+(AD15*0.1)*AD97</f>
        <v>1051046.1520000002</v>
      </c>
      <c r="AE107" s="314">
        <f t="shared" ref="AE107:AH107" si="109">(AE15*0.9)*AE98+(AE15*0.1)*AE97</f>
        <v>1051046.1520000002</v>
      </c>
      <c r="AF107" s="314">
        <f t="shared" si="109"/>
        <v>1051046.1520000002</v>
      </c>
      <c r="AG107" s="314">
        <f t="shared" si="109"/>
        <v>1051046.1520000002</v>
      </c>
      <c r="AH107" s="314">
        <f t="shared" si="109"/>
        <v>1051046.1520000002</v>
      </c>
      <c r="AI107" s="315">
        <f>AD107+AE107+AF107+AG107+AH107</f>
        <v>5255230.7600000016</v>
      </c>
      <c r="AJ107" s="314">
        <f>(AJ15*0.9)*AJ98+(AJ15*0.1)*AJ97</f>
        <v>1051046.1520000002</v>
      </c>
      <c r="AK107" s="314">
        <f>(AK15*0.9)*AK98+(AK15*0.1)*AK97</f>
        <v>1051046.1520000002</v>
      </c>
      <c r="AL107" s="314">
        <f t="shared" ref="AL107:AS107" si="110">(AL15*0.9)*AL98+(AL15*0.1)*AL97</f>
        <v>1051046.1520000002</v>
      </c>
      <c r="AM107" s="314">
        <f t="shared" si="110"/>
        <v>1051046.1520000002</v>
      </c>
      <c r="AN107" s="315">
        <f>AJ107+AK107+AL107+AM107</f>
        <v>4204184.6080000009</v>
      </c>
      <c r="AO107" s="314">
        <f t="shared" si="110"/>
        <v>1051046.1520000002</v>
      </c>
      <c r="AP107" s="314">
        <f t="shared" si="110"/>
        <v>1051046.1520000002</v>
      </c>
      <c r="AQ107" s="314">
        <f t="shared" si="110"/>
        <v>1051046.1520000002</v>
      </c>
      <c r="AR107" s="314">
        <f t="shared" si="110"/>
        <v>1051046.1520000002</v>
      </c>
      <c r="AS107" s="314">
        <f t="shared" si="110"/>
        <v>1051046.1520000002</v>
      </c>
      <c r="AT107" s="315">
        <f>AO107+AP107+AQ107+AR107+AS107</f>
        <v>5255230.7600000016</v>
      </c>
      <c r="AU107" s="3">
        <f>AC107+AI107+AN107+AT107</f>
        <v>19493633.024000004</v>
      </c>
    </row>
    <row r="108" spans="1:49" s="316" customFormat="1" x14ac:dyDescent="0.25">
      <c r="B108" s="317"/>
      <c r="C108" s="317"/>
      <c r="H108" s="317"/>
      <c r="M108" s="317"/>
      <c r="S108" s="317"/>
      <c r="X108" s="317"/>
      <c r="Y108" s="323"/>
      <c r="Z108" s="323"/>
      <c r="AA108" s="323"/>
      <c r="AB108" s="323"/>
      <c r="AC108" s="323"/>
      <c r="AD108" s="323"/>
      <c r="AE108" s="323"/>
      <c r="AF108" s="323"/>
      <c r="AG108" s="323"/>
      <c r="AH108" s="323"/>
      <c r="AI108" s="323"/>
      <c r="AJ108" s="323"/>
      <c r="AK108" s="323"/>
      <c r="AL108" s="323"/>
      <c r="AM108" s="323"/>
      <c r="AN108" s="323"/>
      <c r="AO108" s="323"/>
      <c r="AP108" s="323"/>
      <c r="AQ108" s="323"/>
      <c r="AR108" s="323"/>
      <c r="AS108" s="323"/>
      <c r="AT108" s="323"/>
    </row>
    <row r="109" spans="1:49" s="316" customFormat="1" x14ac:dyDescent="0.25">
      <c r="B109" s="317"/>
      <c r="C109" s="317"/>
      <c r="H109" s="317"/>
      <c r="M109" s="317"/>
      <c r="S109" s="317"/>
      <c r="X109" s="317"/>
      <c r="Y109" s="323"/>
      <c r="Z109" s="323"/>
      <c r="AA109" s="323"/>
      <c r="AB109" s="323"/>
      <c r="AC109" s="323"/>
      <c r="AD109" s="323"/>
      <c r="AE109" s="323"/>
      <c r="AF109" s="323"/>
      <c r="AG109" s="323"/>
      <c r="AH109" s="323"/>
      <c r="AI109" s="323"/>
      <c r="AJ109" s="323"/>
      <c r="AK109" s="323"/>
      <c r="AL109" s="323"/>
      <c r="AM109" s="323"/>
      <c r="AN109" s="323"/>
      <c r="AO109" s="323"/>
      <c r="AP109" s="323"/>
      <c r="AQ109" s="323"/>
      <c r="AR109" s="323"/>
      <c r="AS109" s="323"/>
      <c r="AT109" s="323"/>
    </row>
    <row r="110" spans="1:49" ht="15.75" x14ac:dyDescent="0.25">
      <c r="A110" s="434" t="s">
        <v>129</v>
      </c>
      <c r="AC110" s="61">
        <f>AC3*AC97</f>
        <v>77572.87999999999</v>
      </c>
      <c r="AD110" s="61">
        <f t="shared" ref="AD110:AT110" si="111">AD3*AD97</f>
        <v>15512.419999999998</v>
      </c>
      <c r="AE110" s="61">
        <f t="shared" si="111"/>
        <v>15512.419999999998</v>
      </c>
      <c r="AF110" s="61">
        <f t="shared" si="111"/>
        <v>15512.419999999998</v>
      </c>
      <c r="AG110" s="61">
        <f t="shared" si="111"/>
        <v>15512.419999999998</v>
      </c>
      <c r="AH110" s="61">
        <f t="shared" si="111"/>
        <v>15512.419999999998</v>
      </c>
      <c r="AI110" s="61">
        <f t="shared" si="111"/>
        <v>77562.099999999991</v>
      </c>
      <c r="AJ110" s="61">
        <f t="shared" si="111"/>
        <v>19393.219999999998</v>
      </c>
      <c r="AK110" s="61">
        <f t="shared" si="111"/>
        <v>19393.219999999998</v>
      </c>
      <c r="AL110" s="61">
        <f t="shared" si="111"/>
        <v>19393.219999999998</v>
      </c>
      <c r="AM110" s="61">
        <f t="shared" si="111"/>
        <v>19393.219999999998</v>
      </c>
      <c r="AN110" s="61">
        <f t="shared" si="111"/>
        <v>77572.87999999999</v>
      </c>
      <c r="AO110" s="61">
        <f t="shared" si="111"/>
        <v>15512.419999999998</v>
      </c>
      <c r="AP110" s="61">
        <f t="shared" si="111"/>
        <v>15512.419999999998</v>
      </c>
      <c r="AQ110" s="61">
        <f t="shared" si="111"/>
        <v>15512.419999999998</v>
      </c>
      <c r="AR110" s="61">
        <f t="shared" si="111"/>
        <v>15512.419999999998</v>
      </c>
      <c r="AS110" s="61">
        <f t="shared" si="111"/>
        <v>15512.419999999998</v>
      </c>
      <c r="AT110" s="61">
        <f t="shared" si="111"/>
        <v>77562.099999999991</v>
      </c>
    </row>
    <row r="111" spans="1:49" ht="15.75" x14ac:dyDescent="0.25">
      <c r="A111" s="433" t="s">
        <v>130</v>
      </c>
      <c r="AC111" s="61">
        <f>AC4*AC97</f>
        <v>76882.959999999992</v>
      </c>
      <c r="AD111" s="61">
        <f t="shared" ref="AD111:AT111" si="112">AD4*AD97</f>
        <v>15339.939999999999</v>
      </c>
      <c r="AE111" s="61">
        <f t="shared" si="112"/>
        <v>15339.939999999999</v>
      </c>
      <c r="AF111" s="61">
        <f t="shared" si="112"/>
        <v>15339.939999999999</v>
      </c>
      <c r="AG111" s="61">
        <f t="shared" si="112"/>
        <v>15339.939999999999</v>
      </c>
      <c r="AH111" s="61">
        <f t="shared" si="112"/>
        <v>15339.939999999999</v>
      </c>
      <c r="AI111" s="61">
        <f t="shared" si="112"/>
        <v>76699.7</v>
      </c>
      <c r="AJ111" s="61">
        <f t="shared" si="112"/>
        <v>19220.739999999998</v>
      </c>
      <c r="AK111" s="61">
        <f t="shared" si="112"/>
        <v>19220.739999999998</v>
      </c>
      <c r="AL111" s="61">
        <f t="shared" si="112"/>
        <v>19220.739999999998</v>
      </c>
      <c r="AM111" s="61">
        <f t="shared" si="112"/>
        <v>19220.739999999998</v>
      </c>
      <c r="AN111" s="61">
        <f t="shared" si="112"/>
        <v>76882.959999999992</v>
      </c>
      <c r="AO111" s="61">
        <f t="shared" si="112"/>
        <v>15339.939999999999</v>
      </c>
      <c r="AP111" s="61">
        <f t="shared" si="112"/>
        <v>15339.939999999999</v>
      </c>
      <c r="AQ111" s="61">
        <f t="shared" si="112"/>
        <v>15339.939999999999</v>
      </c>
      <c r="AR111" s="61">
        <f t="shared" si="112"/>
        <v>15339.939999999999</v>
      </c>
      <c r="AS111" s="61">
        <f t="shared" si="112"/>
        <v>15339.939999999999</v>
      </c>
      <c r="AT111" s="61">
        <f t="shared" si="112"/>
        <v>76699.7</v>
      </c>
    </row>
    <row r="112" spans="1:49" ht="15.75" x14ac:dyDescent="0.25">
      <c r="A112" s="433" t="s">
        <v>305</v>
      </c>
      <c r="AC112" s="61">
        <f>AC16*AC97</f>
        <v>695676.5199999999</v>
      </c>
      <c r="AD112" s="61">
        <f t="shared" ref="AD112:AT112" si="113">AD16*AD97</f>
        <v>278264.13999999996</v>
      </c>
      <c r="AE112" s="61">
        <f t="shared" si="113"/>
        <v>0</v>
      </c>
      <c r="AF112" s="61">
        <f t="shared" si="113"/>
        <v>278264.13999999996</v>
      </c>
      <c r="AG112" s="61">
        <f t="shared" si="113"/>
        <v>0</v>
      </c>
      <c r="AH112" s="61">
        <f t="shared" si="113"/>
        <v>278264.13999999996</v>
      </c>
      <c r="AI112" s="61">
        <f t="shared" si="113"/>
        <v>834792.41999999993</v>
      </c>
      <c r="AJ112" s="61">
        <f t="shared" si="113"/>
        <v>0</v>
      </c>
      <c r="AK112" s="61">
        <f t="shared" si="113"/>
        <v>278264.13999999996</v>
      </c>
      <c r="AL112" s="61">
        <f t="shared" si="113"/>
        <v>0</v>
      </c>
      <c r="AM112" s="61">
        <f t="shared" si="113"/>
        <v>278264.13999999996</v>
      </c>
      <c r="AN112" s="61">
        <f t="shared" si="113"/>
        <v>556528.27999999991</v>
      </c>
      <c r="AO112" s="61">
        <f t="shared" si="113"/>
        <v>0</v>
      </c>
      <c r="AP112" s="61">
        <f t="shared" si="113"/>
        <v>278264.13999999996</v>
      </c>
      <c r="AQ112" s="61">
        <f t="shared" si="113"/>
        <v>0</v>
      </c>
      <c r="AR112" s="61">
        <f t="shared" si="113"/>
        <v>278264.13999999996</v>
      </c>
      <c r="AS112" s="61">
        <f t="shared" si="113"/>
        <v>0</v>
      </c>
      <c r="AT112" s="61">
        <f t="shared" si="113"/>
        <v>556528.27999999991</v>
      </c>
    </row>
    <row r="113" spans="1:46" ht="15.75" x14ac:dyDescent="0.25">
      <c r="A113" s="89" t="s">
        <v>40</v>
      </c>
      <c r="AC113" s="61">
        <f>AC45*AC97</f>
        <v>279023.05199999997</v>
      </c>
      <c r="AD113" s="61">
        <f t="shared" ref="AD113:AT113" si="114">AD45*AD97</f>
        <v>69755.762999999992</v>
      </c>
      <c r="AE113" s="61">
        <f t="shared" si="114"/>
        <v>69755.762999999992</v>
      </c>
      <c r="AF113" s="61">
        <f t="shared" si="114"/>
        <v>69755.762999999992</v>
      </c>
      <c r="AG113" s="61">
        <f t="shared" si="114"/>
        <v>69755.762999999992</v>
      </c>
      <c r="AH113" s="61">
        <f t="shared" si="114"/>
        <v>69755.762999999992</v>
      </c>
      <c r="AI113" s="61">
        <f t="shared" si="114"/>
        <v>348778.81499999994</v>
      </c>
      <c r="AJ113" s="61">
        <f t="shared" si="114"/>
        <v>69755.762999999992</v>
      </c>
      <c r="AK113" s="61">
        <f t="shared" si="114"/>
        <v>69755.762999999992</v>
      </c>
      <c r="AL113" s="61">
        <f t="shared" si="114"/>
        <v>69755.762999999992</v>
      </c>
      <c r="AM113" s="61">
        <f t="shared" si="114"/>
        <v>69755.762999999992</v>
      </c>
      <c r="AN113" s="61">
        <f t="shared" si="114"/>
        <v>279023.05199999997</v>
      </c>
      <c r="AO113" s="61">
        <f t="shared" si="114"/>
        <v>69755.762999999992</v>
      </c>
      <c r="AP113" s="61">
        <f t="shared" si="114"/>
        <v>69755.762999999992</v>
      </c>
      <c r="AQ113" s="61">
        <f t="shared" si="114"/>
        <v>69755.762999999992</v>
      </c>
      <c r="AR113" s="61">
        <f t="shared" si="114"/>
        <v>69755.762999999992</v>
      </c>
      <c r="AS113" s="61">
        <f t="shared" si="114"/>
        <v>69755.762999999992</v>
      </c>
      <c r="AT113" s="61">
        <f t="shared" si="114"/>
        <v>348778.81499999994</v>
      </c>
    </row>
    <row r="114" spans="1:46" ht="15.75" x14ac:dyDescent="0.25">
      <c r="A114" s="89" t="s">
        <v>47</v>
      </c>
      <c r="AC114" s="61">
        <f>AC52*AC97</f>
        <v>135828</v>
      </c>
      <c r="AD114" s="61">
        <f t="shared" ref="AD114:AT114" si="115">AD52*AD97</f>
        <v>33957</v>
      </c>
      <c r="AE114" s="61">
        <f t="shared" si="115"/>
        <v>33957</v>
      </c>
      <c r="AF114" s="61">
        <f t="shared" si="115"/>
        <v>33957</v>
      </c>
      <c r="AG114" s="61">
        <f t="shared" si="115"/>
        <v>33957</v>
      </c>
      <c r="AH114" s="61">
        <f t="shared" si="115"/>
        <v>33957</v>
      </c>
      <c r="AI114" s="61">
        <f t="shared" si="115"/>
        <v>169785</v>
      </c>
      <c r="AJ114" s="61">
        <f t="shared" si="115"/>
        <v>33957</v>
      </c>
      <c r="AK114" s="61">
        <f t="shared" si="115"/>
        <v>33957</v>
      </c>
      <c r="AL114" s="61">
        <f t="shared" si="115"/>
        <v>33957</v>
      </c>
      <c r="AM114" s="61">
        <f t="shared" si="115"/>
        <v>33957</v>
      </c>
      <c r="AN114" s="61">
        <f t="shared" si="115"/>
        <v>135828</v>
      </c>
      <c r="AO114" s="61">
        <f t="shared" si="115"/>
        <v>33957</v>
      </c>
      <c r="AP114" s="61">
        <f t="shared" si="115"/>
        <v>33957</v>
      </c>
      <c r="AQ114" s="61">
        <f t="shared" si="115"/>
        <v>33957</v>
      </c>
      <c r="AR114" s="61">
        <f t="shared" si="115"/>
        <v>33957</v>
      </c>
      <c r="AS114" s="61">
        <f t="shared" si="115"/>
        <v>33957</v>
      </c>
      <c r="AT114" s="61">
        <f t="shared" si="115"/>
        <v>169785</v>
      </c>
    </row>
  </sheetData>
  <mergeCells count="24">
    <mergeCell ref="AU20:AV20"/>
    <mergeCell ref="AU22:AX22"/>
    <mergeCell ref="B25:B29"/>
    <mergeCell ref="A86:A87"/>
    <mergeCell ref="B86:B87"/>
    <mergeCell ref="B49:B50"/>
    <mergeCell ref="B51:B53"/>
    <mergeCell ref="B80:B81"/>
    <mergeCell ref="A83:A85"/>
    <mergeCell ref="B83:B85"/>
    <mergeCell ref="A6:A7"/>
    <mergeCell ref="B6:B7"/>
    <mergeCell ref="C6:C7"/>
    <mergeCell ref="D1:G1"/>
    <mergeCell ref="I1:L1"/>
    <mergeCell ref="B15:B18"/>
    <mergeCell ref="AJ1:AM1"/>
    <mergeCell ref="AO1:AS1"/>
    <mergeCell ref="B3:B5"/>
    <mergeCell ref="N1:R1"/>
    <mergeCell ref="T1:W1"/>
    <mergeCell ref="Y1:AB1"/>
    <mergeCell ref="AD1:AH1"/>
    <mergeCell ref="B10:B13"/>
  </mergeCells>
  <hyperlinks>
    <hyperlink ref="A44" location="_ftn1" display="_ftn1" xr:uid="{E5EB5DEF-6128-4696-813C-ECE9C4E6A993}"/>
    <hyperlink ref="A71" location="_ftn4" display="_ftn4" xr:uid="{01E15B24-E51D-4242-BF3E-5472391582C4}"/>
    <hyperlink ref="A48" location="_ftn2" display="_ftn2" xr:uid="{BADDDAF0-8A6E-42EF-88A9-84FC51D13005}"/>
    <hyperlink ref="A57" location="_ftn3" display="_ftn3" xr:uid="{25BB83A6-F9A5-49D4-B21D-AA03D9C5FFF0}"/>
  </hyperlinks>
  <pageMargins left="0.7" right="0.7" top="0.75" bottom="0.75" header="0.3" footer="0.3"/>
  <pageSetup paperSize="9" orientation="portrait" horizontalDpi="90" verticalDpi="9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88077-8FC6-43B8-941F-F26183B1ED94}">
  <dimension ref="A2:T21"/>
  <sheetViews>
    <sheetView topLeftCell="B1" workbookViewId="0">
      <selection activeCell="F13" sqref="F13"/>
    </sheetView>
  </sheetViews>
  <sheetFormatPr defaultRowHeight="15" x14ac:dyDescent="0.25"/>
  <cols>
    <col min="2" max="2" width="62.42578125" customWidth="1"/>
    <col min="5" max="5" width="12.42578125" customWidth="1"/>
    <col min="20" max="20" width="9.5703125" bestFit="1" customWidth="1"/>
  </cols>
  <sheetData>
    <row r="2" spans="1:20" ht="15.75" customHeight="1" x14ac:dyDescent="0.25">
      <c r="E2" s="199"/>
      <c r="F2" s="425" t="s">
        <v>286</v>
      </c>
      <c r="G2" s="425"/>
      <c r="H2" s="425"/>
      <c r="I2" s="425"/>
      <c r="O2" s="198" t="s">
        <v>285</v>
      </c>
      <c r="P2" s="197" t="s">
        <v>284</v>
      </c>
      <c r="Q2" s="197" t="s">
        <v>283</v>
      </c>
    </row>
    <row r="3" spans="1:20" ht="15.75" x14ac:dyDescent="0.25">
      <c r="E3" s="196"/>
      <c r="F3" s="195">
        <v>1862</v>
      </c>
      <c r="G3" s="195">
        <v>1117</v>
      </c>
      <c r="H3" s="195">
        <v>745</v>
      </c>
      <c r="I3" s="194" t="s">
        <v>282</v>
      </c>
      <c r="O3" s="193">
        <v>0.31330000000000002</v>
      </c>
      <c r="P3" s="193">
        <v>2.5100000000000001E-2</v>
      </c>
      <c r="Q3" s="193">
        <v>4.0099999999999997E-2</v>
      </c>
    </row>
    <row r="4" spans="1:20" ht="15.75" x14ac:dyDescent="0.25">
      <c r="E4" s="192" t="s">
        <v>281</v>
      </c>
      <c r="F4" s="191">
        <f>ROUND((F3/9600),4)</f>
        <v>0.19400000000000001</v>
      </c>
      <c r="G4" s="191">
        <f>ROUND((G3/9600),4)</f>
        <v>0.1164</v>
      </c>
      <c r="H4" s="191">
        <f>ROUND((H3/9600),4)</f>
        <v>7.7600000000000002E-2</v>
      </c>
      <c r="I4" s="190">
        <v>0.2359</v>
      </c>
    </row>
    <row r="7" spans="1:20" ht="105" x14ac:dyDescent="0.25">
      <c r="A7" s="423" t="s">
        <v>280</v>
      </c>
      <c r="B7" s="423" t="s">
        <v>279</v>
      </c>
      <c r="C7" s="423" t="s">
        <v>278</v>
      </c>
      <c r="D7" s="423"/>
      <c r="E7" s="423"/>
      <c r="F7" s="423" t="s">
        <v>277</v>
      </c>
      <c r="G7" s="423"/>
      <c r="H7" s="423"/>
      <c r="I7" s="189" t="s">
        <v>276</v>
      </c>
      <c r="J7" s="423" t="s">
        <v>275</v>
      </c>
      <c r="K7" s="423"/>
      <c r="L7" s="423"/>
      <c r="M7" s="423" t="s">
        <v>274</v>
      </c>
      <c r="N7" s="423" t="s">
        <v>273</v>
      </c>
      <c r="O7" s="423" t="s">
        <v>272</v>
      </c>
      <c r="P7" s="423" t="s">
        <v>271</v>
      </c>
      <c r="Q7" s="423" t="s">
        <v>270</v>
      </c>
      <c r="R7" s="424" t="s">
        <v>269</v>
      </c>
    </row>
    <row r="8" spans="1:20" ht="90" x14ac:dyDescent="0.25">
      <c r="A8" s="423"/>
      <c r="B8" s="423"/>
      <c r="C8" s="189" t="s">
        <v>267</v>
      </c>
      <c r="D8" s="189" t="s">
        <v>266</v>
      </c>
      <c r="E8" s="189" t="s">
        <v>268</v>
      </c>
      <c r="F8" s="189" t="s">
        <v>267</v>
      </c>
      <c r="G8" s="189" t="s">
        <v>266</v>
      </c>
      <c r="H8" s="189" t="s">
        <v>265</v>
      </c>
      <c r="I8" s="189" t="s">
        <v>264</v>
      </c>
      <c r="J8" s="189" t="s">
        <v>263</v>
      </c>
      <c r="K8" s="189" t="s">
        <v>262</v>
      </c>
      <c r="L8" s="189" t="s">
        <v>261</v>
      </c>
      <c r="M8" s="423"/>
      <c r="N8" s="423"/>
      <c r="O8" s="423"/>
      <c r="P8" s="423"/>
      <c r="Q8" s="423"/>
      <c r="R8" s="424"/>
      <c r="S8" s="189" t="s">
        <v>260</v>
      </c>
      <c r="T8" s="188" t="s">
        <v>259</v>
      </c>
    </row>
    <row r="9" spans="1:20" x14ac:dyDescent="0.25">
      <c r="A9" s="187">
        <v>1</v>
      </c>
      <c r="B9" s="187">
        <v>2</v>
      </c>
      <c r="C9" s="187">
        <v>3</v>
      </c>
      <c r="D9" s="187">
        <v>4</v>
      </c>
      <c r="E9" s="187">
        <v>5</v>
      </c>
      <c r="F9" s="187">
        <v>6</v>
      </c>
      <c r="G9" s="187">
        <v>7</v>
      </c>
      <c r="H9" s="187">
        <v>8</v>
      </c>
      <c r="I9" s="187">
        <v>9</v>
      </c>
      <c r="J9" s="187" t="s">
        <v>258</v>
      </c>
      <c r="K9" s="187">
        <v>11</v>
      </c>
      <c r="L9" s="187">
        <v>12</v>
      </c>
      <c r="M9" s="187">
        <v>13</v>
      </c>
      <c r="N9" s="187">
        <v>14</v>
      </c>
      <c r="O9" s="187">
        <v>15</v>
      </c>
      <c r="P9" s="187">
        <v>16</v>
      </c>
      <c r="Q9" s="187">
        <v>17</v>
      </c>
      <c r="R9" s="186">
        <v>18</v>
      </c>
      <c r="S9" s="4"/>
      <c r="T9" s="185"/>
    </row>
    <row r="10" spans="1:20" ht="45" x14ac:dyDescent="0.25">
      <c r="A10" s="177" t="s">
        <v>255</v>
      </c>
      <c r="B10" s="142" t="s">
        <v>257</v>
      </c>
      <c r="C10" s="183">
        <v>360</v>
      </c>
      <c r="D10" s="177">
        <v>50</v>
      </c>
      <c r="E10" s="177">
        <v>0</v>
      </c>
      <c r="F10" s="177">
        <f t="shared" ref="F10:H12" si="0">ROUND(C10*F$4,2)</f>
        <v>69.84</v>
      </c>
      <c r="G10" s="177">
        <f t="shared" si="0"/>
        <v>5.82</v>
      </c>
      <c r="H10" s="177">
        <f t="shared" si="0"/>
        <v>0</v>
      </c>
      <c r="I10" s="177">
        <f>ROUND((F10+G10+H10)*$I$4,2)</f>
        <v>17.850000000000001</v>
      </c>
      <c r="J10" s="177">
        <f>L10+K10</f>
        <v>0.88</v>
      </c>
      <c r="K10" s="177">
        <v>0</v>
      </c>
      <c r="L10" s="177">
        <v>0.88</v>
      </c>
      <c r="M10" s="177">
        <v>0</v>
      </c>
      <c r="N10" s="177">
        <v>0</v>
      </c>
      <c r="O10" s="177">
        <f>ROUND(($F$10+$G$10+$H$10)*O$3,2)</f>
        <v>23.7</v>
      </c>
      <c r="P10" s="177">
        <f>ROUND(($F$10+$G$10+$H$10)*P$3,2)</f>
        <v>1.9</v>
      </c>
      <c r="Q10" s="177">
        <f>ROUND(($F$10+$G$10+$H$10)*Q$3,2)</f>
        <v>3.03</v>
      </c>
      <c r="R10" s="178">
        <f>F10+G10+H10+I10+J10+M10+N10+O10+P10+Q10</f>
        <v>123.02</v>
      </c>
      <c r="S10" s="177">
        <v>100</v>
      </c>
      <c r="T10" s="182">
        <f>R10*S10</f>
        <v>12302</v>
      </c>
    </row>
    <row r="11" spans="1:20" ht="60" x14ac:dyDescent="0.25">
      <c r="A11" s="177" t="s">
        <v>255</v>
      </c>
      <c r="B11" s="184" t="s">
        <v>256</v>
      </c>
      <c r="C11" s="183">
        <v>120</v>
      </c>
      <c r="D11" s="177">
        <v>0</v>
      </c>
      <c r="E11" s="177">
        <v>0</v>
      </c>
      <c r="F11" s="177">
        <f t="shared" si="0"/>
        <v>23.28</v>
      </c>
      <c r="G11" s="177">
        <f t="shared" si="0"/>
        <v>0</v>
      </c>
      <c r="H11" s="177">
        <f t="shared" si="0"/>
        <v>0</v>
      </c>
      <c r="I11" s="177">
        <f>ROUND((F11+G11+H11)*$I$4,2)</f>
        <v>5.49</v>
      </c>
      <c r="J11" s="177">
        <v>0</v>
      </c>
      <c r="K11" s="177">
        <v>0</v>
      </c>
      <c r="L11" s="177">
        <v>0</v>
      </c>
      <c r="M11" s="177">
        <v>0</v>
      </c>
      <c r="N11" s="177">
        <v>0</v>
      </c>
      <c r="O11" s="177">
        <f>ROUND(($F$11+$G$11+$H$11)*O$3,2)</f>
        <v>7.29</v>
      </c>
      <c r="P11" s="177">
        <f>ROUND(($F$11+$G$11+$H$11)*P$3,2)</f>
        <v>0.57999999999999996</v>
      </c>
      <c r="Q11" s="177">
        <f>ROUND(($F$11+$G$11+$H$11)*Q$3,2)</f>
        <v>0.93</v>
      </c>
      <c r="R11" s="178">
        <f>F11+G11+H11+I11+J11+M11+N11+O11+P11+Q11</f>
        <v>37.57</v>
      </c>
      <c r="S11" s="177">
        <v>50</v>
      </c>
      <c r="T11" s="182">
        <f>R11*S11</f>
        <v>1878.5</v>
      </c>
    </row>
    <row r="12" spans="1:20" ht="63.75" thickBot="1" x14ac:dyDescent="0.3">
      <c r="A12" s="177" t="s">
        <v>255</v>
      </c>
      <c r="B12" s="181" t="s">
        <v>254</v>
      </c>
      <c r="C12" s="180">
        <v>30</v>
      </c>
      <c r="D12" s="179">
        <v>0</v>
      </c>
      <c r="E12" s="179">
        <v>0</v>
      </c>
      <c r="F12" s="177">
        <f t="shared" si="0"/>
        <v>5.82</v>
      </c>
      <c r="G12" s="177">
        <f t="shared" si="0"/>
        <v>0</v>
      </c>
      <c r="H12" s="177">
        <f t="shared" si="0"/>
        <v>0</v>
      </c>
      <c r="I12" s="177">
        <f>ROUND((F12+G12+H12)*$I$4,2)</f>
        <v>1.37</v>
      </c>
      <c r="J12" s="177">
        <f>L12+K12</f>
        <v>0</v>
      </c>
      <c r="K12" s="177">
        <v>0</v>
      </c>
      <c r="L12" s="177">
        <v>0</v>
      </c>
      <c r="M12" s="177">
        <v>0</v>
      </c>
      <c r="N12" s="177">
        <v>0</v>
      </c>
      <c r="O12" s="177">
        <f>ROUND(($F$12+$G$12+$H$12)*O$3,2)</f>
        <v>1.82</v>
      </c>
      <c r="P12" s="177">
        <f>ROUND(($F$12+$G$12+$H$12)*P$3,2)</f>
        <v>0.15</v>
      </c>
      <c r="Q12" s="177">
        <f>ROUND(($F$12+$G$12+$H$12)*Q$3,2)</f>
        <v>0.23</v>
      </c>
      <c r="R12" s="178">
        <f>F12+G12+H12+I12+J12+M12+N12+O12+P12+Q12</f>
        <v>9.39</v>
      </c>
      <c r="S12" s="177">
        <v>100</v>
      </c>
      <c r="T12" s="176">
        <f>R12*S12</f>
        <v>939</v>
      </c>
    </row>
    <row r="13" spans="1:20" ht="15.75" thickBot="1" x14ac:dyDescent="0.3">
      <c r="T13" s="175">
        <f>SUM(T10:T12)</f>
        <v>15119.5</v>
      </c>
    </row>
    <row r="17" spans="2:2" x14ac:dyDescent="0.25">
      <c r="B17" s="1"/>
    </row>
    <row r="18" spans="2:2" x14ac:dyDescent="0.25">
      <c r="B18" s="1"/>
    </row>
    <row r="19" spans="2:2" x14ac:dyDescent="0.25">
      <c r="B19" s="1"/>
    </row>
    <row r="20" spans="2:2" x14ac:dyDescent="0.25">
      <c r="B20" s="1"/>
    </row>
    <row r="21" spans="2:2" x14ac:dyDescent="0.25">
      <c r="B21" s="1"/>
    </row>
  </sheetData>
  <mergeCells count="12">
    <mergeCell ref="J7:L7"/>
    <mergeCell ref="M7:M8"/>
    <mergeCell ref="F2:I2"/>
    <mergeCell ref="A7:A8"/>
    <mergeCell ref="B7:B8"/>
    <mergeCell ref="C7:E7"/>
    <mergeCell ref="F7:H7"/>
    <mergeCell ref="N7:N8"/>
    <mergeCell ref="O7:O8"/>
    <mergeCell ref="P7:P8"/>
    <mergeCell ref="Q7:Q8"/>
    <mergeCell ref="R7:R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test_sept_dec</vt:lpstr>
      <vt:lpstr>Skrinings</vt:lpstr>
      <vt:lpstr>Konsilijs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Lāsma Zandberga</cp:lastModifiedBy>
  <cp:revision/>
  <cp:lastPrinted>2021-02-16T07:17:37Z</cp:lastPrinted>
  <dcterms:created xsi:type="dcterms:W3CDTF">2021-02-11T10:08:50Z</dcterms:created>
  <dcterms:modified xsi:type="dcterms:W3CDTF">2021-09-17T08:47:03Z</dcterms:modified>
  <cp:category/>
  <cp:contentStatus/>
</cp:coreProperties>
</file>