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FK\Personal$\TAD\jd-gaili\07 Darba grupas\LZA darba grupa\2021.09.28. LZA Rikojums un anotacija\Pielikumi ievietoti TAP\"/>
    </mc:Choice>
  </mc:AlternateContent>
  <xr:revisionPtr revIDLastSave="0" documentId="8_{296FB14E-CA48-4861-A344-ACC2DB164FA8}" xr6:coauthVersionLast="47" xr6:coauthVersionMax="47" xr10:uidLastSave="{00000000-0000-0000-0000-000000000000}"/>
  <bookViews>
    <workbookView xWindow="2985" yWindow="2985" windowWidth="21600" windowHeight="11385" xr2:uid="{00000000-000D-0000-FFFF-FFFF00000000}"/>
  </bookViews>
  <sheets>
    <sheet name="Ietekme uz budžeta bilanc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1" l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E33" i="1"/>
  <c r="D33" i="1"/>
  <c r="F27" i="1"/>
  <c r="G27" i="1"/>
  <c r="H27" i="1"/>
  <c r="E27" i="1"/>
  <c r="D27" i="1"/>
  <c r="F20" i="1"/>
  <c r="G20" i="1"/>
  <c r="H20" i="1"/>
  <c r="E20" i="1"/>
  <c r="D20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H9" i="1"/>
  <c r="I9" i="1"/>
  <c r="F9" i="1"/>
  <c r="G9" i="1"/>
  <c r="E9" i="1"/>
  <c r="D9" i="1"/>
  <c r="N44" i="1"/>
  <c r="R44" i="1"/>
  <c r="V44" i="1"/>
  <c r="Z44" i="1"/>
  <c r="H44" i="1"/>
  <c r="J44" i="1"/>
  <c r="F44" i="1"/>
  <c r="I38" i="1"/>
  <c r="J38" i="1"/>
  <c r="K38" i="1"/>
  <c r="K44" i="1" s="1"/>
  <c r="L38" i="1"/>
  <c r="L44" i="1" s="1"/>
  <c r="M38" i="1"/>
  <c r="N38" i="1"/>
  <c r="O38" i="1"/>
  <c r="O44" i="1" s="1"/>
  <c r="P38" i="1"/>
  <c r="P44" i="1" s="1"/>
  <c r="Q38" i="1"/>
  <c r="R38" i="1"/>
  <c r="S38" i="1"/>
  <c r="S44" i="1" s="1"/>
  <c r="T38" i="1"/>
  <c r="T44" i="1" s="1"/>
  <c r="U38" i="1"/>
  <c r="V38" i="1"/>
  <c r="W38" i="1"/>
  <c r="W44" i="1" s="1"/>
  <c r="X38" i="1"/>
  <c r="X44" i="1" s="1"/>
  <c r="Y38" i="1"/>
  <c r="Z38" i="1"/>
  <c r="AA38" i="1"/>
  <c r="AA44" i="1" s="1"/>
  <c r="I39" i="1"/>
  <c r="I44" i="1" s="1"/>
  <c r="J39" i="1"/>
  <c r="K39" i="1"/>
  <c r="L39" i="1"/>
  <c r="M39" i="1"/>
  <c r="M44" i="1" s="1"/>
  <c r="N39" i="1"/>
  <c r="O39" i="1"/>
  <c r="P39" i="1"/>
  <c r="Q39" i="1"/>
  <c r="Q44" i="1" s="1"/>
  <c r="R39" i="1"/>
  <c r="S39" i="1"/>
  <c r="T39" i="1"/>
  <c r="U39" i="1"/>
  <c r="U44" i="1" s="1"/>
  <c r="V39" i="1"/>
  <c r="W39" i="1"/>
  <c r="X39" i="1"/>
  <c r="Y39" i="1"/>
  <c r="Y44" i="1" s="1"/>
  <c r="Z39" i="1"/>
  <c r="AA39" i="1"/>
  <c r="F42" i="1"/>
  <c r="G42" i="1"/>
  <c r="G44" i="1" s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D44" i="1"/>
  <c r="I21" i="1"/>
  <c r="AB28" i="1"/>
  <c r="AB12" i="1"/>
  <c r="I15" i="1"/>
  <c r="AB15" i="1" l="1"/>
  <c r="AB34" i="1"/>
  <c r="AB41" i="1"/>
  <c r="AB30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 s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AB39" i="1" l="1"/>
  <c r="AB24" i="1"/>
  <c r="AB19" i="1"/>
  <c r="AB11" i="1"/>
  <c r="AB10" i="1"/>
  <c r="AB13" i="1" s="1"/>
  <c r="AA13" i="1"/>
  <c r="AB17" i="1"/>
  <c r="AB14" i="1"/>
  <c r="AA18" i="1"/>
  <c r="AA20" i="1" s="1"/>
  <c r="AB25" i="1"/>
  <c r="AB22" i="1"/>
  <c r="AA23" i="1"/>
  <c r="AA27" i="1" s="1"/>
  <c r="AB32" i="1"/>
  <c r="AB31" i="1"/>
  <c r="AB29" i="1"/>
  <c r="AB33" i="1" s="1"/>
  <c r="AB43" i="1"/>
  <c r="AB40" i="1"/>
  <c r="AB37" i="1"/>
  <c r="AB36" i="1"/>
  <c r="AB35" i="1"/>
  <c r="AB7" i="1"/>
  <c r="AB8" i="1"/>
  <c r="AB5" i="1"/>
  <c r="AB6" i="1"/>
  <c r="AB38" i="1" l="1"/>
  <c r="I18" i="1"/>
  <c r="K18" i="1"/>
  <c r="K20" i="1" s="1"/>
  <c r="L18" i="1"/>
  <c r="L20" i="1" s="1"/>
  <c r="M18" i="1"/>
  <c r="M20" i="1" s="1"/>
  <c r="N18" i="1"/>
  <c r="N20" i="1" s="1"/>
  <c r="O18" i="1"/>
  <c r="O20" i="1" s="1"/>
  <c r="P18" i="1"/>
  <c r="P20" i="1" s="1"/>
  <c r="Q18" i="1"/>
  <c r="Q20" i="1" s="1"/>
  <c r="R18" i="1"/>
  <c r="R20" i="1" s="1"/>
  <c r="S18" i="1"/>
  <c r="S20" i="1" s="1"/>
  <c r="T18" i="1"/>
  <c r="T20" i="1" s="1"/>
  <c r="U18" i="1"/>
  <c r="U20" i="1" s="1"/>
  <c r="V18" i="1"/>
  <c r="V20" i="1" s="1"/>
  <c r="W18" i="1"/>
  <c r="W20" i="1" s="1"/>
  <c r="X18" i="1"/>
  <c r="X20" i="1" s="1"/>
  <c r="Y18" i="1"/>
  <c r="Y20" i="1" s="1"/>
  <c r="Z18" i="1"/>
  <c r="Z20" i="1" s="1"/>
  <c r="J18" i="1"/>
  <c r="J20" i="1" s="1"/>
  <c r="I23" i="1"/>
  <c r="Z23" i="1"/>
  <c r="Z27" i="1" s="1"/>
  <c r="Y23" i="1"/>
  <c r="Y27" i="1" s="1"/>
  <c r="X23" i="1"/>
  <c r="X27" i="1" s="1"/>
  <c r="W23" i="1"/>
  <c r="W27" i="1" s="1"/>
  <c r="V23" i="1"/>
  <c r="V27" i="1" s="1"/>
  <c r="U23" i="1"/>
  <c r="U27" i="1" s="1"/>
  <c r="T23" i="1"/>
  <c r="T27" i="1" s="1"/>
  <c r="S23" i="1"/>
  <c r="S27" i="1" s="1"/>
  <c r="R23" i="1"/>
  <c r="R27" i="1" s="1"/>
  <c r="Q23" i="1"/>
  <c r="Q27" i="1" s="1"/>
  <c r="P23" i="1"/>
  <c r="P27" i="1" s="1"/>
  <c r="O23" i="1"/>
  <c r="O27" i="1" s="1"/>
  <c r="N23" i="1"/>
  <c r="N27" i="1" s="1"/>
  <c r="M23" i="1"/>
  <c r="M27" i="1" s="1"/>
  <c r="L23" i="1"/>
  <c r="L27" i="1" s="1"/>
  <c r="K23" i="1"/>
  <c r="K27" i="1" s="1"/>
  <c r="J23" i="1"/>
  <c r="J27" i="1" s="1"/>
  <c r="AB23" i="1" l="1"/>
  <c r="AB18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D13" i="1"/>
  <c r="E42" i="1"/>
  <c r="E44" i="1" s="1"/>
  <c r="AB42" i="1" l="1"/>
  <c r="AB44" i="1" s="1"/>
  <c r="AB4" i="1" l="1"/>
  <c r="AB9" i="1" s="1"/>
  <c r="I26" i="1" l="1"/>
  <c r="AB21" i="1"/>
  <c r="I16" i="1"/>
  <c r="AB16" i="1" l="1"/>
  <c r="AB20" i="1" s="1"/>
  <c r="I20" i="1"/>
  <c r="AB26" i="1"/>
  <c r="AB27" i="1" s="1"/>
  <c r="I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Anna Deksne</author>
  </authors>
  <commentList>
    <comment ref="G17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>Anna Deksne:</t>
        </r>
        <r>
          <rPr>
            <sz val="9"/>
            <color indexed="81"/>
            <rFont val="Tahoma"/>
            <family val="2"/>
            <charset val="186"/>
          </rPr>
          <t xml:space="preserve">
no 140 900 līdz 211 350</t>
        </r>
      </text>
    </comment>
    <comment ref="H17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186"/>
          </rPr>
          <t>Anna Deksne:</t>
        </r>
        <r>
          <rPr>
            <sz val="9"/>
            <color indexed="81"/>
            <rFont val="Tahoma"/>
            <family val="2"/>
            <charset val="186"/>
          </rPr>
          <t xml:space="preserve">
no 845 400 līdz 1 268 100</t>
        </r>
      </text>
    </comment>
    <comment ref="I17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186"/>
          </rPr>
          <t>Anna Deksne:</t>
        </r>
        <r>
          <rPr>
            <sz val="9"/>
            <color indexed="81"/>
            <rFont val="Tahoma"/>
            <family val="2"/>
            <charset val="186"/>
          </rPr>
          <t xml:space="preserve">
no 1 831 700 līdz 2 747 550</t>
        </r>
      </text>
    </comment>
    <comment ref="G22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186"/>
          </rPr>
          <t>Anna Deksne:</t>
        </r>
        <r>
          <rPr>
            <sz val="9"/>
            <color indexed="81"/>
            <rFont val="Tahoma"/>
            <family val="2"/>
            <charset val="186"/>
          </rPr>
          <t xml:space="preserve">
no 140 900 līdz 211 350</t>
        </r>
      </text>
    </comment>
    <comment ref="H22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186"/>
          </rPr>
          <t>Anna Deksne:</t>
        </r>
        <r>
          <rPr>
            <sz val="9"/>
            <color indexed="81"/>
            <rFont val="Tahoma"/>
            <family val="2"/>
            <charset val="186"/>
          </rPr>
          <t xml:space="preserve">
no 845 400 līdz 1 268 100</t>
        </r>
      </text>
    </comment>
    <comment ref="I22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186"/>
          </rPr>
          <t>Anna Deksne:</t>
        </r>
        <r>
          <rPr>
            <sz val="9"/>
            <color indexed="81"/>
            <rFont val="Tahoma"/>
            <family val="2"/>
            <charset val="186"/>
          </rPr>
          <t xml:space="preserve">
no 1 831 700 līdz 2 747 550</t>
        </r>
      </text>
    </comment>
    <comment ref="G37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186"/>
          </rPr>
          <t>Anna Deksne:</t>
        </r>
        <r>
          <rPr>
            <sz val="9"/>
            <color indexed="81"/>
            <rFont val="Tahoma"/>
            <family val="2"/>
            <charset val="186"/>
          </rPr>
          <t xml:space="preserve">
no 140 900 līdz 211 350</t>
        </r>
      </text>
    </comment>
    <comment ref="H37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186"/>
          </rPr>
          <t>Anna Deksne:</t>
        </r>
        <r>
          <rPr>
            <sz val="9"/>
            <color indexed="81"/>
            <rFont val="Tahoma"/>
            <family val="2"/>
            <charset val="186"/>
          </rPr>
          <t xml:space="preserve">
no 845 400 līdz 1 268 100</t>
        </r>
      </text>
    </comment>
    <comment ref="I37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186"/>
          </rPr>
          <t>Anna Deksne:</t>
        </r>
        <r>
          <rPr>
            <sz val="9"/>
            <color indexed="81"/>
            <rFont val="Tahoma"/>
            <family val="2"/>
            <charset val="186"/>
          </rPr>
          <t xml:space="preserve">
no 1 831 700 līdz 2 747 550</t>
        </r>
      </text>
    </comment>
  </commentList>
</comments>
</file>

<file path=xl/sharedStrings.xml><?xml version="1.0" encoding="utf-8"?>
<sst xmlns="http://schemas.openxmlformats.org/spreadsheetml/2006/main" count="87" uniqueCount="57">
  <si>
    <t>A1</t>
  </si>
  <si>
    <t>A2</t>
  </si>
  <si>
    <t>C</t>
  </si>
  <si>
    <t>D</t>
  </si>
  <si>
    <t xml:space="preserve">LZA ēkas nodošana LZA īpašumā bez tiesībām to atsavināt.  </t>
  </si>
  <si>
    <t>B1</t>
  </si>
  <si>
    <t>B2</t>
  </si>
  <si>
    <t xml:space="preserve">LZA ēkas pārņemšana VNĪ pārvaldīšanā, risinot jautājumu par LZA izvietošanu citā nekustamajā īpašumā ēku pārdodot </t>
  </si>
  <si>
    <t>LZA ēkas pārņemšana VNĪ pārvaldīšanā, risinot jautājumu par LZA izvietošanu citā nekustamajā īpašumā ēku iznomājot</t>
  </si>
  <si>
    <t>LZA ēkas pārņemšana VNĪ pārvaldīšanā, nododot lietošanā LZA</t>
  </si>
  <si>
    <t xml:space="preserve">LZA ēkas izmantošana vairāku ar izglītību un zinātni saistītu institūciju izvietošanai, īstenojot valsts iestāžu biroju optimizāciju </t>
  </si>
  <si>
    <t>Ieņēmumi</t>
  </si>
  <si>
    <t>Ietekme uz vispārējās valdības budžeta bilanci</t>
  </si>
  <si>
    <t>Ietekmes uz vispārējās valdības budžeta bilanci aprēķinu tabula</t>
  </si>
  <si>
    <t>Turpmākās attīstības alternatīva</t>
  </si>
  <si>
    <t>Ietekmes uz vispārējās valdības budžeta bilanci sadalījums par gadiem</t>
  </si>
  <si>
    <t>Piezīmes</t>
  </si>
  <si>
    <t>Ieguldījumi telpu pielāgošanai LZA vajadzībām(1000-1500 EUR/kv/m). Telpas 2818 kv.m.(kopā no 2 818 000 līdz 4 227 000 EUR)</t>
  </si>
  <si>
    <t>LZA ēkas rekonstrukcija (kopā 39,33 milj.EUR) kas ietver būvniecību, ar būvniecību saistīto pakalpojumu (tehniskā projekta dokumentācija, ekspertīze, autoruzraudzība, būvuzraudzība) un projekta vadības izmaksa.</t>
  </si>
  <si>
    <t>VNĪ ikgadējās administratīvās izmaksas</t>
  </si>
  <si>
    <t>Iespējamā LZA ēkas pārdošanas cena. LZA ēkas pārdošana veicama pēc LZA pārcelšanās uz citām telpām, kas prognozējami varētu notikt 2025.gada beigās.</t>
  </si>
  <si>
    <t>Izdevumi (būvniecības)</t>
  </si>
  <si>
    <t>Izdevumi (uzturēšanas)</t>
  </si>
  <si>
    <t>Izdevumi (pieejamības maksājums)</t>
  </si>
  <si>
    <t>Ieņēmumi (no IZM ēkas pārdošanas)</t>
  </si>
  <si>
    <t>Iekļauti tikai atsavināšanas ieņēmumi no Vaļņu ielas 2, Rīgā. Ar šiem atsavināšanas ieņēmumiem daļēji plānots segt nepieciešamos ieguldījumus un pie šāda nosacījuma nomas maksa varētu būt  14,70  eur/m2 mēnesī. Ja šie ieņēmumi netiek novirzīti ieguldījumu segšanai, tad nomas maksas apmērs ir lielāks.</t>
  </si>
  <si>
    <t>Izdevumi (procentu maksājumi)</t>
  </si>
  <si>
    <t>Pozīcija</t>
  </si>
  <si>
    <t>LZA ēkas ikgadējās ekspluatācijas izmaksas, kas rodas LZA šīs alternatīvas īstenošanas gadījumā.</t>
  </si>
  <si>
    <t>Kapitāla izmaksas.</t>
  </si>
  <si>
    <t>Kapitāla izmaksas</t>
  </si>
  <si>
    <t>LZA attīstības projekta projektēšanas un būvniecības paredzamā koptāme ir 47 243 083 EUR, no kuriem 80% ir EIB un privātu institūciju aizdevums un LZA pašu kapitāls, 20% granti. Attiecīgi ietekme uz vispārējās valdības budžeta bilanci radīsies aizdevuma un LZA pašu finansējuma apmērā.</t>
  </si>
  <si>
    <t>Ieņēmumi (telpu iznomāšana līdz projekta uzsākšanai)</t>
  </si>
  <si>
    <t xml:space="preserve">Summārā ietekme </t>
  </si>
  <si>
    <t>LZA ēkas ekspluatācijas izdevumi līdz ēkas pārdošanai.</t>
  </si>
  <si>
    <t>Katru gadu turpmākajā periodā. LZA telpu nomas maksa 8-11 EUR/kv.m./mēn (telpas 2818 kv.m.)</t>
  </si>
  <si>
    <t>VNĪ ikgadējās administratīvās izmaksas.</t>
  </si>
  <si>
    <t xml:space="preserve">LZA telpu nomas maksa 8-11 EUR/kv.m./mēn (telpas 2818 kv.m.) </t>
  </si>
  <si>
    <t>LZA ēkas rekonstrukcija (kopā 39,33 milj.EUR) kas ietver būvniecību, ar būvniecību saistīto pakalpojumu (tehniskā projekta dokumentācija, ekspertīze, autoruzraudzība, būvuzraudzība) un projekta vadības izmaksas.</t>
  </si>
  <si>
    <t>Prognozei izmantots pēdējo četru gadu LZA ieņēmumu no saimnieciskās darbības vidējais rādītājs.</t>
  </si>
  <si>
    <t>LZA attīstības projekta plānotie ieņēmumi.</t>
  </si>
  <si>
    <r>
      <t>LZA ēkas iznomāšana komercnomniekiem, nepieciešamā nomas maksa gadā būtu 966 570 EUR</t>
    </r>
    <r>
      <rPr>
        <sz val="11"/>
        <rFont val="Times New Roman"/>
        <family val="1"/>
        <charset val="186"/>
      </rPr>
      <t xml:space="preserve"> (VNĪ sākot ar 2025.g.4.cet.). LZA ieņēmumi no iznomātajām telpām līdz 2024.gadam un 3/4 no 2025.gada.</t>
    </r>
  </si>
  <si>
    <t>LZA ēkas nodošana LZA īpašumā bez tiesībām to atsavināt (PPP)</t>
  </si>
  <si>
    <t>Izdevumi (ēkas uzturēšanai līdz pārdošanai)</t>
  </si>
  <si>
    <t>Izdevumi (telpu pielāgošanai LZA vajadzībām)</t>
  </si>
  <si>
    <t>Izdevumi (LZA jauno telpu nomas maksa)</t>
  </si>
  <si>
    <t>Izdevumi (Brīvības bulvāris 32, procentu maksājumi)</t>
  </si>
  <si>
    <t>Izdevumi (LZA ēkas uzturēšana)</t>
  </si>
  <si>
    <t>Ikgadējie izdevumi (VNĪ administratīvās izmaksas)</t>
  </si>
  <si>
    <t>Izdevumi (Akadēmijas laukums 1, procentu maksājumi)</t>
  </si>
  <si>
    <t>Ieņēmumi (VNĪ, telpu noma)</t>
  </si>
  <si>
    <t>Izdevumi (IZM, telpu noma)</t>
  </si>
  <si>
    <t>Izdevumi (telpu pielāgošana LZA vajadzībām)</t>
  </si>
  <si>
    <t>Ikgadējie izdevumi (LZA jauno telpu nomas maksa)</t>
  </si>
  <si>
    <t>Ieņēmumi (LZA ēas pārdošana)</t>
  </si>
  <si>
    <t>Ieņēmumi (telpu noma)</t>
  </si>
  <si>
    <t>Piezīme: Aprēķinos nav iekļauta IZM pašreiz izmantoto telpu esošo nomas un apsaimniekošanas izdevumu samazinājuma pozitīvā ietekme uz vispārējās valdības budžeta bilanci, ņemot vērā, ka nav pieejama informācija par to apmēru.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</si>
</sst>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&quot;-&quot;"/>
  </numFmts>
  <fonts count="12" x14ac:knownFonts="1">
    <font>
      <sz val="11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10"/>
      <color theme="1"/>
      <name val="Arial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6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75">
    <xf numFmtId="0" fontId="0" fillId="0" borderId="0" xfId="0"/>
    <xf numFmtId="3" fontId="5" fillId="0" borderId="1" xfId="0" applyNumberFormat="1" applyFont="1" applyBorder="1" applyAlignment="1"/>
    <xf numFmtId="3" fontId="5" fillId="0" borderId="1" xfId="0" applyNumberFormat="1" applyFont="1" applyFill="1" applyBorder="1" applyAlignment="1">
      <alignment horizontal="right"/>
    </xf>
    <xf numFmtId="3" fontId="6" fillId="0" borderId="4" xfId="0" applyNumberFormat="1" applyFont="1" applyBorder="1" applyAlignment="1">
      <alignment horizontal="left"/>
    </xf>
    <xf numFmtId="3" fontId="6" fillId="0" borderId="1" xfId="0" applyNumberFormat="1" applyFont="1" applyBorder="1" applyAlignment="1">
      <alignment horizontal="right"/>
    </xf>
    <xf numFmtId="3" fontId="5" fillId="0" borderId="0" xfId="0" applyNumberFormat="1" applyFont="1" applyAlignment="1"/>
    <xf numFmtId="3" fontId="5" fillId="0" borderId="0" xfId="0" applyNumberFormat="1" applyFont="1" applyAlignment="1">
      <alignment vertical="center"/>
    </xf>
    <xf numFmtId="3" fontId="5" fillId="0" borderId="1" xfId="0" applyNumberFormat="1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left" vertical="center"/>
    </xf>
    <xf numFmtId="3" fontId="5" fillId="0" borderId="0" xfId="0" applyNumberFormat="1" applyFont="1" applyAlignment="1">
      <alignment horizontal="left"/>
    </xf>
    <xf numFmtId="3" fontId="5" fillId="0" borderId="1" xfId="0" applyNumberFormat="1" applyFont="1" applyBorder="1" applyAlignment="1">
      <alignment vertical="center"/>
    </xf>
    <xf numFmtId="3" fontId="5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/>
    <xf numFmtId="164" fontId="5" fillId="0" borderId="1" xfId="0" applyNumberFormat="1" applyFont="1" applyBorder="1" applyAlignment="1"/>
    <xf numFmtId="3" fontId="6" fillId="0" borderId="1" xfId="0" applyNumberFormat="1" applyFont="1" applyBorder="1" applyAlignment="1">
      <alignment horizontal="left" wrapText="1"/>
    </xf>
    <xf numFmtId="3" fontId="5" fillId="3" borderId="1" xfId="0" applyNumberFormat="1" applyFont="1" applyFill="1" applyBorder="1" applyAlignment="1">
      <alignment horizontal="right"/>
    </xf>
    <xf numFmtId="3" fontId="6" fillId="2" borderId="1" xfId="0" applyNumberFormat="1" applyFont="1" applyFill="1" applyBorder="1" applyAlignment="1"/>
    <xf numFmtId="3" fontId="7" fillId="2" borderId="1" xfId="0" applyNumberFormat="1" applyFont="1" applyFill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6" fillId="0" borderId="4" xfId="0" applyNumberFormat="1" applyFont="1" applyBorder="1" applyAlignment="1">
      <alignment horizontal="right"/>
    </xf>
    <xf numFmtId="3" fontId="5" fillId="3" borderId="5" xfId="0" applyNumberFormat="1" applyFont="1" applyFill="1" applyBorder="1" applyAlignment="1">
      <alignment horizontal="right"/>
    </xf>
    <xf numFmtId="3" fontId="6" fillId="0" borderId="1" xfId="0" applyNumberFormat="1" applyFont="1" applyFill="1" applyBorder="1" applyAlignment="1"/>
    <xf numFmtId="3" fontId="5" fillId="0" borderId="0" xfId="0" applyNumberFormat="1" applyFont="1" applyFill="1" applyAlignment="1"/>
    <xf numFmtId="3" fontId="5" fillId="0" borderId="1" xfId="0" applyNumberFormat="1" applyFont="1" applyFill="1" applyBorder="1" applyAlignment="1"/>
    <xf numFmtId="3" fontId="6" fillId="0" borderId="1" xfId="0" applyNumberFormat="1" applyFont="1" applyFill="1" applyBorder="1" applyAlignment="1">
      <alignment horizontal="right" wrapText="1"/>
    </xf>
    <xf numFmtId="3" fontId="6" fillId="0" borderId="2" xfId="0" applyNumberFormat="1" applyFont="1" applyFill="1" applyBorder="1" applyAlignment="1">
      <alignment horizontal="right" wrapText="1"/>
    </xf>
    <xf numFmtId="3" fontId="6" fillId="0" borderId="1" xfId="0" applyNumberFormat="1" applyFont="1" applyBorder="1" applyAlignment="1">
      <alignment horizontal="right" wrapText="1"/>
    </xf>
    <xf numFmtId="3" fontId="8" fillId="3" borderId="2" xfId="0" applyNumberFormat="1" applyFont="1" applyFill="1" applyBorder="1" applyAlignment="1">
      <alignment horizontal="right" wrapText="1"/>
    </xf>
    <xf numFmtId="3" fontId="5" fillId="0" borderId="2" xfId="0" applyNumberFormat="1" applyFont="1" applyFill="1" applyBorder="1" applyAlignment="1">
      <alignment horizontal="right" wrapText="1"/>
    </xf>
    <xf numFmtId="3" fontId="5" fillId="3" borderId="2" xfId="0" applyNumberFormat="1" applyFont="1" applyFill="1" applyBorder="1" applyAlignment="1">
      <alignment horizontal="right" wrapText="1"/>
    </xf>
    <xf numFmtId="3" fontId="5" fillId="0" borderId="0" xfId="0" applyNumberFormat="1" applyFont="1" applyFill="1" applyBorder="1" applyAlignment="1"/>
    <xf numFmtId="3" fontId="5" fillId="0" borderId="0" xfId="0" applyNumberFormat="1" applyFont="1" applyAlignment="1">
      <alignment horizontal="right"/>
    </xf>
    <xf numFmtId="3" fontId="6" fillId="0" borderId="1" xfId="0" applyNumberFormat="1" applyFont="1" applyFill="1" applyBorder="1" applyAlignment="1">
      <alignment horizontal="right"/>
    </xf>
    <xf numFmtId="3" fontId="6" fillId="3" borderId="1" xfId="0" applyNumberFormat="1" applyFont="1" applyFill="1" applyBorder="1" applyAlignment="1"/>
    <xf numFmtId="3" fontId="10" fillId="0" borderId="0" xfId="0" applyNumberFormat="1" applyFont="1" applyFill="1" applyAlignment="1"/>
    <xf numFmtId="3" fontId="8" fillId="0" borderId="2" xfId="0" applyNumberFormat="1" applyFont="1" applyFill="1" applyBorder="1" applyAlignment="1">
      <alignment horizontal="right" wrapText="1"/>
    </xf>
    <xf numFmtId="3" fontId="6" fillId="3" borderId="1" xfId="0" applyNumberFormat="1" applyFont="1" applyFill="1" applyBorder="1" applyAlignment="1">
      <alignment horizontal="right"/>
    </xf>
    <xf numFmtId="3" fontId="5" fillId="3" borderId="1" xfId="0" applyNumberFormat="1" applyFont="1" applyFill="1" applyBorder="1" applyAlignment="1">
      <alignment horizontal="right" wrapText="1"/>
    </xf>
    <xf numFmtId="3" fontId="7" fillId="0" borderId="1" xfId="0" applyNumberFormat="1" applyFont="1" applyBorder="1" applyAlignment="1">
      <alignment horizontal="right" wrapText="1"/>
    </xf>
    <xf numFmtId="3" fontId="7" fillId="0" borderId="1" xfId="0" applyNumberFormat="1" applyFont="1" applyBorder="1" applyAlignment="1">
      <alignment horizontal="right"/>
    </xf>
    <xf numFmtId="3" fontId="6" fillId="0" borderId="2" xfId="0" applyNumberFormat="1" applyFont="1" applyBorder="1" applyAlignment="1">
      <alignment wrapText="1"/>
    </xf>
    <xf numFmtId="3" fontId="6" fillId="0" borderId="5" xfId="0" applyNumberFormat="1" applyFont="1" applyFill="1" applyBorder="1" applyAlignment="1">
      <alignment horizontal="right"/>
    </xf>
    <xf numFmtId="3" fontId="5" fillId="0" borderId="4" xfId="0" applyNumberFormat="1" applyFont="1" applyBorder="1" applyAlignment="1"/>
    <xf numFmtId="3" fontId="5" fillId="0" borderId="8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3" fontId="6" fillId="0" borderId="2" xfId="0" applyNumberFormat="1" applyFont="1" applyBorder="1" applyAlignment="1">
      <alignment horizontal="right"/>
    </xf>
    <xf numFmtId="3" fontId="5" fillId="0" borderId="2" xfId="0" applyNumberFormat="1" applyFont="1" applyFill="1" applyBorder="1" applyAlignment="1">
      <alignment horizontal="right"/>
    </xf>
    <xf numFmtId="3" fontId="5" fillId="2" borderId="1" xfId="0" applyNumberFormat="1" applyFont="1" applyFill="1" applyBorder="1" applyAlignment="1">
      <alignment vertical="center"/>
    </xf>
    <xf numFmtId="3" fontId="5" fillId="2" borderId="3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vertical="center" wrapText="1"/>
    </xf>
    <xf numFmtId="3" fontId="5" fillId="0" borderId="5" xfId="0" applyNumberFormat="1" applyFont="1" applyBorder="1" applyAlignment="1">
      <alignment vertical="center" wrapText="1"/>
    </xf>
    <xf numFmtId="3" fontId="6" fillId="0" borderId="5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3" fontId="6" fillId="3" borderId="5" xfId="0" applyNumberFormat="1" applyFont="1" applyFill="1" applyBorder="1" applyAlignment="1">
      <alignment vertical="center" wrapText="1"/>
    </xf>
    <xf numFmtId="3" fontId="9" fillId="0" borderId="1" xfId="0" applyNumberFormat="1" applyFont="1" applyFill="1" applyBorder="1" applyAlignment="1">
      <alignment vertical="center" wrapText="1"/>
    </xf>
    <xf numFmtId="3" fontId="6" fillId="0" borderId="1" xfId="0" applyNumberFormat="1" applyFont="1" applyFill="1" applyBorder="1" applyAlignment="1">
      <alignment vertical="center" wrapText="1"/>
    </xf>
    <xf numFmtId="3" fontId="5" fillId="0" borderId="1" xfId="0" applyNumberFormat="1" applyFont="1" applyBorder="1" applyAlignment="1">
      <alignment vertical="center" wrapText="1"/>
    </xf>
    <xf numFmtId="3" fontId="9" fillId="0" borderId="4" xfId="0" applyNumberFormat="1" applyFont="1" applyFill="1" applyBorder="1" applyAlignment="1">
      <alignment vertical="center" wrapText="1"/>
    </xf>
    <xf numFmtId="3" fontId="6" fillId="0" borderId="3" xfId="0" applyNumberFormat="1" applyFont="1" applyBorder="1" applyAlignment="1">
      <alignment vertical="center" wrapText="1"/>
    </xf>
    <xf numFmtId="3" fontId="6" fillId="0" borderId="8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vertical="center" wrapText="1"/>
    </xf>
    <xf numFmtId="3" fontId="6" fillId="3" borderId="2" xfId="0" applyNumberFormat="1" applyFont="1" applyFill="1" applyBorder="1" applyAlignment="1">
      <alignment horizontal="right"/>
    </xf>
    <xf numFmtId="3" fontId="5" fillId="2" borderId="4" xfId="0" applyNumberFormat="1" applyFont="1" applyFill="1" applyBorder="1" applyAlignment="1">
      <alignment vertical="center" wrapText="1"/>
    </xf>
    <xf numFmtId="3" fontId="5" fillId="0" borderId="8" xfId="0" applyNumberFormat="1" applyFont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vertical="center" wrapText="1"/>
    </xf>
    <xf numFmtId="3" fontId="6" fillId="0" borderId="8" xfId="0" applyNumberFormat="1" applyFont="1" applyFill="1" applyBorder="1" applyAlignment="1">
      <alignment vertical="center" wrapText="1"/>
    </xf>
    <xf numFmtId="3" fontId="11" fillId="2" borderId="1" xfId="0" applyNumberFormat="1" applyFont="1" applyFill="1" applyBorder="1" applyAlignment="1">
      <alignment horizontal="left" wrapText="1"/>
    </xf>
    <xf numFmtId="3" fontId="7" fillId="0" borderId="7" xfId="0" applyNumberFormat="1" applyFont="1" applyBorder="1" applyAlignment="1">
      <alignment horizontal="left"/>
    </xf>
    <xf numFmtId="3" fontId="5" fillId="0" borderId="1" xfId="0" applyNumberFormat="1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left" vertical="center"/>
    </xf>
    <xf numFmtId="3" fontId="5" fillId="0" borderId="6" xfId="0" applyNumberFormat="1" applyFont="1" applyBorder="1" applyAlignment="1">
      <alignment horizontal="left" vertical="center"/>
    </xf>
    <xf numFmtId="3" fontId="5" fillId="0" borderId="5" xfId="0" applyNumberFormat="1" applyFont="1" applyBorder="1" applyAlignment="1">
      <alignment horizontal="left" vertical="center"/>
    </xf>
  </cellXfs>
  <cellStyles count="3">
    <cellStyle name="Normal" xfId="0" builtinId="0"/>
    <cellStyle name="Normal 2 6" xfId="2" xr:uid="{00000000-0005-0000-0000-000002000000}"/>
    <cellStyle name="Normalny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9"/>
  <sheetViews>
    <sheetView tabSelected="1" zoomScale="70" zoomScaleNormal="70" workbookViewId="0">
      <pane xSplit="3" ySplit="3" topLeftCell="W4" activePane="bottomRight" state="frozen"/>
      <selection pane="topRight" activeCell="D1" sqref="D1"/>
      <selection pane="bottomLeft" activeCell="A4" sqref="A4"/>
      <selection pane="bottomRight" activeCell="AC16" sqref="AC16"/>
    </sheetView>
  </sheetViews>
  <sheetFormatPr defaultColWidth="9.140625" defaultRowHeight="15" x14ac:dyDescent="0.25"/>
  <cols>
    <col min="1" max="1" width="4.7109375" style="6" customWidth="1"/>
    <col min="2" max="2" width="43.85546875" style="6" customWidth="1"/>
    <col min="3" max="3" width="47.7109375" style="5" customWidth="1"/>
    <col min="4" max="4" width="11" style="31" customWidth="1"/>
    <col min="5" max="5" width="12" style="31" bestFit="1" customWidth="1"/>
    <col min="6" max="6" width="12" style="31" customWidth="1"/>
    <col min="7" max="7" width="12.7109375" style="31" customWidth="1"/>
    <col min="8" max="8" width="15.42578125" style="31" customWidth="1"/>
    <col min="9" max="9" width="13.42578125" style="31" customWidth="1"/>
    <col min="10" max="27" width="13.7109375" style="31" customWidth="1"/>
    <col min="28" max="28" width="17" style="31" customWidth="1"/>
    <col min="29" max="29" width="139.85546875" style="6" customWidth="1"/>
    <col min="30" max="30" width="9.140625" style="5"/>
    <col min="31" max="31" width="59" style="5" customWidth="1"/>
    <col min="32" max="16384" width="9.140625" style="5"/>
  </cols>
  <sheetData>
    <row r="1" spans="1:29" ht="30" customHeight="1" x14ac:dyDescent="0.25">
      <c r="A1" s="68" t="s">
        <v>13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 s="9" customFormat="1" ht="30" customHeight="1" x14ac:dyDescent="0.25">
      <c r="A2" s="7"/>
      <c r="B2" s="8" t="s">
        <v>14</v>
      </c>
      <c r="C2" s="7" t="s">
        <v>27</v>
      </c>
      <c r="D2" s="72" t="s">
        <v>15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4"/>
      <c r="AC2" s="7" t="s">
        <v>16</v>
      </c>
    </row>
    <row r="3" spans="1:29" ht="30" customHeight="1" x14ac:dyDescent="0.25">
      <c r="A3" s="10"/>
      <c r="B3" s="10"/>
      <c r="C3" s="1"/>
      <c r="D3" s="39">
        <v>2020</v>
      </c>
      <c r="E3" s="39">
        <v>2021</v>
      </c>
      <c r="F3" s="39">
        <v>2022</v>
      </c>
      <c r="G3" s="39">
        <v>2023</v>
      </c>
      <c r="H3" s="39">
        <v>2024</v>
      </c>
      <c r="I3" s="39">
        <v>2025</v>
      </c>
      <c r="J3" s="39">
        <v>2026</v>
      </c>
      <c r="K3" s="39">
        <v>2027</v>
      </c>
      <c r="L3" s="39">
        <v>2028</v>
      </c>
      <c r="M3" s="39">
        <v>2029</v>
      </c>
      <c r="N3" s="39">
        <v>2030</v>
      </c>
      <c r="O3" s="39">
        <v>2031</v>
      </c>
      <c r="P3" s="39">
        <v>2032</v>
      </c>
      <c r="Q3" s="39">
        <v>2033</v>
      </c>
      <c r="R3" s="39">
        <v>2034</v>
      </c>
      <c r="S3" s="39">
        <v>2035</v>
      </c>
      <c r="T3" s="39">
        <v>2036</v>
      </c>
      <c r="U3" s="39">
        <v>2037</v>
      </c>
      <c r="V3" s="39">
        <v>2038</v>
      </c>
      <c r="W3" s="39">
        <v>2039</v>
      </c>
      <c r="X3" s="39">
        <v>2040</v>
      </c>
      <c r="Y3" s="39">
        <v>2041</v>
      </c>
      <c r="Z3" s="39">
        <v>2042</v>
      </c>
      <c r="AA3" s="39">
        <v>2043</v>
      </c>
      <c r="AB3" s="38" t="s">
        <v>33</v>
      </c>
      <c r="AC3" s="10"/>
    </row>
    <row r="4" spans="1:29" ht="30" customHeight="1" x14ac:dyDescent="0.25">
      <c r="A4" s="70" t="s">
        <v>0</v>
      </c>
      <c r="B4" s="71" t="s">
        <v>4</v>
      </c>
      <c r="C4" s="12" t="s">
        <v>11</v>
      </c>
      <c r="D4" s="11">
        <v>0</v>
      </c>
      <c r="E4" s="11">
        <v>0</v>
      </c>
      <c r="F4" s="11">
        <v>0</v>
      </c>
      <c r="G4" s="31">
        <v>0</v>
      </c>
      <c r="H4" s="36">
        <v>2592486</v>
      </c>
      <c r="I4" s="15">
        <v>3687382</v>
      </c>
      <c r="J4" s="15">
        <v>4825037</v>
      </c>
      <c r="K4" s="37">
        <v>5464131</v>
      </c>
      <c r="L4" s="13">
        <v>5573414</v>
      </c>
      <c r="M4" s="13">
        <v>5684882</v>
      </c>
      <c r="N4" s="13">
        <v>5798579</v>
      </c>
      <c r="O4" s="13">
        <v>5914551</v>
      </c>
      <c r="P4" s="13">
        <v>6032842</v>
      </c>
      <c r="Q4" s="13">
        <v>6153499</v>
      </c>
      <c r="R4" s="13">
        <v>6276569</v>
      </c>
      <c r="S4" s="13">
        <v>6402100</v>
      </c>
      <c r="T4" s="13">
        <v>6530142</v>
      </c>
      <c r="U4" s="13">
        <v>6660745</v>
      </c>
      <c r="V4" s="13">
        <v>6793960</v>
      </c>
      <c r="W4" s="13">
        <v>6929839</v>
      </c>
      <c r="X4" s="13">
        <v>7068436</v>
      </c>
      <c r="Y4" s="13">
        <v>7209805</v>
      </c>
      <c r="Z4" s="13">
        <v>7354001</v>
      </c>
      <c r="AA4" s="13">
        <v>7501081</v>
      </c>
      <c r="AB4" s="13">
        <f>SUM(D4:AA4)</f>
        <v>120453481</v>
      </c>
      <c r="AC4" s="65" t="s">
        <v>40</v>
      </c>
    </row>
    <row r="5" spans="1:29" ht="30" customHeight="1" x14ac:dyDescent="0.25">
      <c r="A5" s="70"/>
      <c r="B5" s="71"/>
      <c r="C5" s="14" t="s">
        <v>32</v>
      </c>
      <c r="D5" s="15">
        <v>559653.25</v>
      </c>
      <c r="E5" s="15">
        <v>559653.25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3">
        <f>SUM(D5:AA5)</f>
        <v>1119306.5</v>
      </c>
      <c r="AC5" s="50" t="s">
        <v>39</v>
      </c>
    </row>
    <row r="6" spans="1:29" ht="30" customHeight="1" x14ac:dyDescent="0.25">
      <c r="A6" s="70"/>
      <c r="B6" s="71"/>
      <c r="C6" s="12" t="s">
        <v>21</v>
      </c>
      <c r="D6" s="11">
        <v>0</v>
      </c>
      <c r="E6" s="11">
        <v>628223</v>
      </c>
      <c r="F6" s="15">
        <v>5654007</v>
      </c>
      <c r="G6" s="15">
        <v>15705576</v>
      </c>
      <c r="H6" s="15">
        <v>15806660</v>
      </c>
      <c r="I6" s="15">
        <v>0</v>
      </c>
      <c r="J6" s="15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1">
        <v>0</v>
      </c>
      <c r="Y6" s="11">
        <v>0</v>
      </c>
      <c r="Z6" s="11">
        <v>0</v>
      </c>
      <c r="AA6" s="11">
        <v>0</v>
      </c>
      <c r="AB6" s="13">
        <f>SUM(D6:AA6)</f>
        <v>37794466</v>
      </c>
      <c r="AC6" s="51" t="s">
        <v>31</v>
      </c>
    </row>
    <row r="7" spans="1:29" ht="30" customHeight="1" x14ac:dyDescent="0.25">
      <c r="A7" s="70"/>
      <c r="B7" s="71"/>
      <c r="C7" s="12" t="s">
        <v>26</v>
      </c>
      <c r="D7" s="11">
        <v>0</v>
      </c>
      <c r="E7" s="11">
        <v>3835</v>
      </c>
      <c r="F7" s="15">
        <v>38353</v>
      </c>
      <c r="G7" s="15">
        <v>134235</v>
      </c>
      <c r="H7" s="15">
        <v>230734</v>
      </c>
      <c r="I7" s="15">
        <v>219198</v>
      </c>
      <c r="J7" s="15">
        <v>207661</v>
      </c>
      <c r="K7" s="11">
        <v>196124</v>
      </c>
      <c r="L7" s="11">
        <v>184588</v>
      </c>
      <c r="M7" s="11">
        <v>173051</v>
      </c>
      <c r="N7" s="11">
        <v>161514</v>
      </c>
      <c r="O7" s="11">
        <v>149977</v>
      </c>
      <c r="P7" s="11">
        <v>138441</v>
      </c>
      <c r="Q7" s="11">
        <v>126904</v>
      </c>
      <c r="R7" s="11">
        <v>115367</v>
      </c>
      <c r="S7" s="11">
        <v>103830</v>
      </c>
      <c r="T7" s="11">
        <v>92294</v>
      </c>
      <c r="U7" s="11">
        <v>80757</v>
      </c>
      <c r="V7" s="11">
        <v>69220</v>
      </c>
      <c r="W7" s="11">
        <v>57684</v>
      </c>
      <c r="X7" s="11">
        <v>46147</v>
      </c>
      <c r="Y7" s="11">
        <v>34610</v>
      </c>
      <c r="Z7" s="11">
        <v>23073</v>
      </c>
      <c r="AA7" s="11">
        <v>11537</v>
      </c>
      <c r="AB7" s="13">
        <f>SUM(D7:AA7)</f>
        <v>2599134</v>
      </c>
      <c r="AC7" s="51"/>
    </row>
    <row r="8" spans="1:29" ht="30" customHeight="1" x14ac:dyDescent="0.25">
      <c r="A8" s="70"/>
      <c r="B8" s="71"/>
      <c r="C8" s="12" t="s">
        <v>22</v>
      </c>
      <c r="D8" s="1">
        <v>465661</v>
      </c>
      <c r="E8" s="1">
        <v>465661</v>
      </c>
      <c r="F8" s="1">
        <v>465661</v>
      </c>
      <c r="G8" s="1">
        <v>465661</v>
      </c>
      <c r="H8" s="1">
        <v>465661</v>
      </c>
      <c r="I8" s="1">
        <v>465661</v>
      </c>
      <c r="J8" s="1">
        <v>465661</v>
      </c>
      <c r="K8" s="1">
        <v>465661</v>
      </c>
      <c r="L8" s="1">
        <v>465661</v>
      </c>
      <c r="M8" s="1">
        <v>465661</v>
      </c>
      <c r="N8" s="1">
        <v>465661</v>
      </c>
      <c r="O8" s="1">
        <v>465661</v>
      </c>
      <c r="P8" s="1">
        <v>465661</v>
      </c>
      <c r="Q8" s="1">
        <v>465661</v>
      </c>
      <c r="R8" s="1">
        <v>465661</v>
      </c>
      <c r="S8" s="1">
        <v>465661</v>
      </c>
      <c r="T8" s="1">
        <v>465661</v>
      </c>
      <c r="U8" s="1">
        <v>465661</v>
      </c>
      <c r="V8" s="1">
        <v>465661</v>
      </c>
      <c r="W8" s="1">
        <v>465661</v>
      </c>
      <c r="X8" s="1">
        <v>465661</v>
      </c>
      <c r="Y8" s="1">
        <v>465661</v>
      </c>
      <c r="Z8" s="1">
        <v>465661</v>
      </c>
      <c r="AA8" s="1">
        <v>465661</v>
      </c>
      <c r="AB8" s="13">
        <f>SUM(D8:AA8)</f>
        <v>11175864</v>
      </c>
      <c r="AC8" s="52"/>
    </row>
    <row r="9" spans="1:29" ht="30" customHeight="1" x14ac:dyDescent="0.25">
      <c r="A9" s="70"/>
      <c r="B9" s="71"/>
      <c r="C9" s="16" t="s">
        <v>12</v>
      </c>
      <c r="D9" s="17">
        <f>D4+D5-D6--D7-D8</f>
        <v>93992.25</v>
      </c>
      <c r="E9" s="17">
        <f>E4+E5-E6-E7-E8</f>
        <v>-538065.75</v>
      </c>
      <c r="F9" s="17">
        <f>F4+F5-F6--F7-F8</f>
        <v>-6081315</v>
      </c>
      <c r="G9" s="17">
        <f>G4+G5-G6-G7-G8</f>
        <v>-16305472</v>
      </c>
      <c r="H9" s="17">
        <f>H4+H5-H6--H7-H8</f>
        <v>-13449101</v>
      </c>
      <c r="I9" s="17">
        <f>I4+I5-I6-I7-I8</f>
        <v>3002523</v>
      </c>
      <c r="J9" s="17">
        <f>J4+J5-J6--J7-J8</f>
        <v>4567037</v>
      </c>
      <c r="K9" s="17">
        <f>K4+K5-K6-K7-K8</f>
        <v>4802346</v>
      </c>
      <c r="L9" s="17">
        <f>L4+L5-L6--L7-L8</f>
        <v>5292341</v>
      </c>
      <c r="M9" s="17">
        <f>M4+M5-M6-M7-M8</f>
        <v>5046170</v>
      </c>
      <c r="N9" s="17">
        <f>N4+N5-N6--N7-N8</f>
        <v>5494432</v>
      </c>
      <c r="O9" s="17">
        <f>O4+O5-O6-O7-O8</f>
        <v>5298913</v>
      </c>
      <c r="P9" s="17">
        <f>P4+P5-P6--P7-P8</f>
        <v>5705622</v>
      </c>
      <c r="Q9" s="17">
        <f>Q4+Q5-Q6-Q7-Q8</f>
        <v>5560934</v>
      </c>
      <c r="R9" s="17">
        <f>R4+R5-R6--R7-R8</f>
        <v>5926275</v>
      </c>
      <c r="S9" s="17">
        <f>S4+S5-S6-S7-S8</f>
        <v>5832609</v>
      </c>
      <c r="T9" s="17">
        <f>T4+T5-T6--T7-T8</f>
        <v>6156775</v>
      </c>
      <c r="U9" s="17">
        <f>U4+U5-U6-U7-U8</f>
        <v>6114327</v>
      </c>
      <c r="V9" s="17">
        <f>V4+V5-V6--V7-V8</f>
        <v>6397519</v>
      </c>
      <c r="W9" s="17">
        <f>W4+W5-W6-W7-W8</f>
        <v>6406494</v>
      </c>
      <c r="X9" s="17">
        <f>X4+X5-X6--X7-X8</f>
        <v>6648922</v>
      </c>
      <c r="Y9" s="17">
        <f>Y4+Y5-Y6-Y7-Y8</f>
        <v>6709534</v>
      </c>
      <c r="Z9" s="17">
        <f>Z4+Z5-Z6--Z7-Z8</f>
        <v>6911413</v>
      </c>
      <c r="AA9" s="17">
        <f>AA4+AA5-AA6-AA7-AA8</f>
        <v>7023883</v>
      </c>
      <c r="AB9" s="17">
        <f>AB4+AB5-AB6-AB7-AB8</f>
        <v>70003323.5</v>
      </c>
      <c r="AC9" s="48"/>
    </row>
    <row r="10" spans="1:29" ht="30" customHeight="1" x14ac:dyDescent="0.25">
      <c r="A10" s="70" t="s">
        <v>1</v>
      </c>
      <c r="B10" s="71" t="s">
        <v>42</v>
      </c>
      <c r="C10" s="12" t="s">
        <v>11</v>
      </c>
      <c r="D10" s="11">
        <v>0</v>
      </c>
      <c r="E10" s="11">
        <v>0</v>
      </c>
      <c r="F10" s="11">
        <v>0</v>
      </c>
      <c r="G10" s="11">
        <v>0</v>
      </c>
      <c r="H10" s="33">
        <v>2592486</v>
      </c>
      <c r="I10" s="15">
        <v>3687382</v>
      </c>
      <c r="J10" s="15">
        <v>4825037</v>
      </c>
      <c r="K10" s="18">
        <v>5464131</v>
      </c>
      <c r="L10" s="18">
        <v>5573413.5734905722</v>
      </c>
      <c r="M10" s="18">
        <v>5684881.8449603841</v>
      </c>
      <c r="N10" s="18">
        <v>5798579.4818595927</v>
      </c>
      <c r="O10" s="18">
        <v>5914551.0714967819</v>
      </c>
      <c r="P10" s="18">
        <v>6032842.0929267192</v>
      </c>
      <c r="Q10" s="18">
        <v>6153498.9347852524</v>
      </c>
      <c r="R10" s="13">
        <v>6276568.9134809589</v>
      </c>
      <c r="S10" s="13">
        <v>6402100</v>
      </c>
      <c r="T10" s="13">
        <v>6530142</v>
      </c>
      <c r="U10" s="13">
        <v>6660745</v>
      </c>
      <c r="V10" s="13">
        <v>6793960</v>
      </c>
      <c r="W10" s="13">
        <v>6929839.247336207</v>
      </c>
      <c r="X10" s="13">
        <v>7068436.0322829317</v>
      </c>
      <c r="Y10" s="13">
        <v>7209804.7529285904</v>
      </c>
      <c r="Z10" s="13">
        <v>7354000.8479871619</v>
      </c>
      <c r="AA10" s="13">
        <v>7501081</v>
      </c>
      <c r="AB10" s="44">
        <f>SUM(D10:AA10)</f>
        <v>120453480.79353514</v>
      </c>
      <c r="AC10" s="66" t="s">
        <v>40</v>
      </c>
    </row>
    <row r="11" spans="1:29" ht="30" customHeight="1" x14ac:dyDescent="0.25">
      <c r="A11" s="70"/>
      <c r="B11" s="71"/>
      <c r="C11" s="3" t="s">
        <v>23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4">
        <v>3670705</v>
      </c>
      <c r="L11" s="4">
        <v>3670705</v>
      </c>
      <c r="M11" s="4">
        <v>3670705</v>
      </c>
      <c r="N11" s="4">
        <v>3670705</v>
      </c>
      <c r="O11" s="4">
        <v>3670705</v>
      </c>
      <c r="P11" s="4">
        <v>3670705</v>
      </c>
      <c r="Q11" s="4">
        <v>3670705</v>
      </c>
      <c r="R11" s="4">
        <v>3670705</v>
      </c>
      <c r="S11" s="4">
        <v>3670705</v>
      </c>
      <c r="T11" s="4">
        <v>3670705</v>
      </c>
      <c r="U11" s="4">
        <v>3670705</v>
      </c>
      <c r="V11" s="4">
        <v>3670705</v>
      </c>
      <c r="W11" s="4">
        <v>3670705</v>
      </c>
      <c r="X11" s="4">
        <v>3670705</v>
      </c>
      <c r="Y11" s="4">
        <v>3670705</v>
      </c>
      <c r="Z11" s="4">
        <v>3670705</v>
      </c>
      <c r="AA11" s="4">
        <v>3670705</v>
      </c>
      <c r="AB11" s="61">
        <f>SUM(D11:AA11)</f>
        <v>62401985</v>
      </c>
      <c r="AC11" s="63"/>
    </row>
    <row r="12" spans="1:29" ht="30" customHeight="1" x14ac:dyDescent="0.25">
      <c r="A12" s="70"/>
      <c r="B12" s="71"/>
      <c r="C12" s="3" t="s">
        <v>22</v>
      </c>
      <c r="D12" s="1">
        <v>465661</v>
      </c>
      <c r="E12" s="1">
        <v>465661</v>
      </c>
      <c r="F12" s="1">
        <v>465661</v>
      </c>
      <c r="G12" s="1">
        <v>465661</v>
      </c>
      <c r="H12" s="1">
        <v>465661</v>
      </c>
      <c r="I12" s="1">
        <v>465661</v>
      </c>
      <c r="J12" s="1">
        <v>465661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5">
        <f>SUM(D12:AA12)</f>
        <v>3259627</v>
      </c>
      <c r="AC12" s="63"/>
    </row>
    <row r="13" spans="1:29" ht="30" customHeight="1" x14ac:dyDescent="0.25">
      <c r="A13" s="70"/>
      <c r="B13" s="71"/>
      <c r="C13" s="16" t="s">
        <v>12</v>
      </c>
      <c r="D13" s="17">
        <f>D10-D11-D12</f>
        <v>-465661</v>
      </c>
      <c r="E13" s="17">
        <f t="shared" ref="E13:Z13" si="0">E10-E11-E12</f>
        <v>-465661</v>
      </c>
      <c r="F13" s="17">
        <f t="shared" si="0"/>
        <v>-465661</v>
      </c>
      <c r="G13" s="17">
        <f t="shared" si="0"/>
        <v>-465661</v>
      </c>
      <c r="H13" s="17">
        <f t="shared" si="0"/>
        <v>2126825</v>
      </c>
      <c r="I13" s="17">
        <f t="shared" si="0"/>
        <v>3221721</v>
      </c>
      <c r="J13" s="17">
        <f t="shared" si="0"/>
        <v>4359376</v>
      </c>
      <c r="K13" s="17">
        <f t="shared" si="0"/>
        <v>1793426</v>
      </c>
      <c r="L13" s="17">
        <f t="shared" si="0"/>
        <v>1902708.5734905722</v>
      </c>
      <c r="M13" s="17">
        <f t="shared" si="0"/>
        <v>2014176.8449603841</v>
      </c>
      <c r="N13" s="17">
        <f t="shared" si="0"/>
        <v>2127874.4818595927</v>
      </c>
      <c r="O13" s="17">
        <f t="shared" si="0"/>
        <v>2243846.0714967819</v>
      </c>
      <c r="P13" s="17">
        <f t="shared" si="0"/>
        <v>2362137.0929267192</v>
      </c>
      <c r="Q13" s="17">
        <f t="shared" si="0"/>
        <v>2482793.9347852524</v>
      </c>
      <c r="R13" s="17">
        <f t="shared" si="0"/>
        <v>2605863.9134809589</v>
      </c>
      <c r="S13" s="17">
        <f t="shared" si="0"/>
        <v>2731395</v>
      </c>
      <c r="T13" s="17">
        <f t="shared" si="0"/>
        <v>2859437</v>
      </c>
      <c r="U13" s="17">
        <f t="shared" si="0"/>
        <v>2990040</v>
      </c>
      <c r="V13" s="17">
        <f t="shared" si="0"/>
        <v>3123255</v>
      </c>
      <c r="W13" s="17">
        <f t="shared" si="0"/>
        <v>3259134.247336207</v>
      </c>
      <c r="X13" s="17">
        <f t="shared" si="0"/>
        <v>3397731.0322829317</v>
      </c>
      <c r="Y13" s="17">
        <f t="shared" si="0"/>
        <v>3539099.7529285904</v>
      </c>
      <c r="Z13" s="17">
        <f t="shared" si="0"/>
        <v>3683295.8479871619</v>
      </c>
      <c r="AA13" s="17">
        <f>AA10-AA11-AA12</f>
        <v>3830376</v>
      </c>
      <c r="AB13" s="17">
        <f>AB10-AB11-AB12</f>
        <v>54791868.793535143</v>
      </c>
      <c r="AC13" s="62"/>
    </row>
    <row r="14" spans="1:29" ht="30" customHeight="1" x14ac:dyDescent="0.25">
      <c r="A14" s="70" t="s">
        <v>5</v>
      </c>
      <c r="B14" s="69" t="s">
        <v>7</v>
      </c>
      <c r="C14" s="12" t="s">
        <v>54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15">
        <v>7800000</v>
      </c>
      <c r="J14" s="1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f t="shared" ref="AB14:AB19" si="1">SUM(D14:AA14)</f>
        <v>7800000</v>
      </c>
      <c r="AC14" s="53" t="s">
        <v>20</v>
      </c>
    </row>
    <row r="15" spans="1:29" ht="30" customHeight="1" x14ac:dyDescent="0.25">
      <c r="A15" s="70"/>
      <c r="B15" s="69"/>
      <c r="C15" s="33" t="s">
        <v>55</v>
      </c>
      <c r="D15" s="15">
        <v>559653.25</v>
      </c>
      <c r="E15" s="15">
        <v>559653.25</v>
      </c>
      <c r="F15" s="15">
        <v>559653.25</v>
      </c>
      <c r="G15" s="15">
        <v>559653.25</v>
      </c>
      <c r="H15" s="15">
        <v>559653.25</v>
      </c>
      <c r="I15" s="15">
        <f>559653.25/4*3</f>
        <v>419739.9375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f t="shared" si="1"/>
        <v>3218006.1875</v>
      </c>
      <c r="AC15" s="50" t="s">
        <v>39</v>
      </c>
    </row>
    <row r="16" spans="1:29" s="22" customFormat="1" ht="30" customHeight="1" x14ac:dyDescent="0.25">
      <c r="A16" s="70"/>
      <c r="B16" s="69"/>
      <c r="C16" s="21" t="s">
        <v>43</v>
      </c>
      <c r="D16" s="1">
        <v>465661</v>
      </c>
      <c r="E16" s="1">
        <v>465661</v>
      </c>
      <c r="F16" s="1">
        <v>465661</v>
      </c>
      <c r="G16" s="1">
        <v>465661</v>
      </c>
      <c r="H16" s="1">
        <v>465661</v>
      </c>
      <c r="I16" s="2">
        <f>H16/4*3</f>
        <v>349245.75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f t="shared" si="1"/>
        <v>2677550.75</v>
      </c>
      <c r="AC16" s="64" t="s">
        <v>34</v>
      </c>
    </row>
    <row r="17" spans="1:35" s="22" customFormat="1" ht="30" customHeight="1" x14ac:dyDescent="0.25">
      <c r="A17" s="70"/>
      <c r="B17" s="69"/>
      <c r="C17" s="21" t="s">
        <v>44</v>
      </c>
      <c r="D17" s="2">
        <v>0</v>
      </c>
      <c r="E17" s="2">
        <v>0</v>
      </c>
      <c r="F17" s="23">
        <v>0</v>
      </c>
      <c r="G17" s="24">
        <v>176125</v>
      </c>
      <c r="H17" s="24">
        <v>1056750</v>
      </c>
      <c r="I17" s="25">
        <v>2289625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f t="shared" si="1"/>
        <v>3522500</v>
      </c>
      <c r="AC17" s="55" t="s">
        <v>17</v>
      </c>
    </row>
    <row r="18" spans="1:35" ht="30" customHeight="1" x14ac:dyDescent="0.25">
      <c r="A18" s="70"/>
      <c r="B18" s="69"/>
      <c r="C18" s="12" t="s">
        <v>45</v>
      </c>
      <c r="D18" s="11">
        <v>0</v>
      </c>
      <c r="E18" s="11">
        <v>0</v>
      </c>
      <c r="F18" s="1">
        <v>0</v>
      </c>
      <c r="G18" s="26">
        <v>0</v>
      </c>
      <c r="H18" s="26">
        <v>0</v>
      </c>
      <c r="I18" s="27">
        <f>((8*2818*12-129053-69661)+(11*2818*12-193580-106520))/2/4+(0.05+1.1+0.6+0.1+0.6)*2818*3</f>
        <v>38673.550000000003</v>
      </c>
      <c r="J18" s="27">
        <f>((8*2818*12-129053-69661)+(11*2818*12-193580-106520))/2+(0.05+1.1+0.6+0.1+0.6)*2818*12</f>
        <v>154694.20000000001</v>
      </c>
      <c r="K18" s="27">
        <f t="shared" ref="K18:AA18" si="2">((8*2818*12-129053-69661)+(11*2818*12-193580-106520))/2+(0.05+1.1+0.6+0.1+0.6)*2818*12</f>
        <v>154694.20000000001</v>
      </c>
      <c r="L18" s="27">
        <f t="shared" si="2"/>
        <v>154694.20000000001</v>
      </c>
      <c r="M18" s="27">
        <f t="shared" si="2"/>
        <v>154694.20000000001</v>
      </c>
      <c r="N18" s="27">
        <f t="shared" si="2"/>
        <v>154694.20000000001</v>
      </c>
      <c r="O18" s="27">
        <f t="shared" si="2"/>
        <v>154694.20000000001</v>
      </c>
      <c r="P18" s="27">
        <f t="shared" si="2"/>
        <v>154694.20000000001</v>
      </c>
      <c r="Q18" s="27">
        <f t="shared" si="2"/>
        <v>154694.20000000001</v>
      </c>
      <c r="R18" s="27">
        <f t="shared" si="2"/>
        <v>154694.20000000001</v>
      </c>
      <c r="S18" s="27">
        <f t="shared" si="2"/>
        <v>154694.20000000001</v>
      </c>
      <c r="T18" s="27">
        <f t="shared" si="2"/>
        <v>154694.20000000001</v>
      </c>
      <c r="U18" s="27">
        <f t="shared" si="2"/>
        <v>154694.20000000001</v>
      </c>
      <c r="V18" s="27">
        <f t="shared" si="2"/>
        <v>154694.20000000001</v>
      </c>
      <c r="W18" s="27">
        <f t="shared" si="2"/>
        <v>154694.20000000001</v>
      </c>
      <c r="X18" s="27">
        <f t="shared" si="2"/>
        <v>154694.20000000001</v>
      </c>
      <c r="Y18" s="27">
        <f t="shared" si="2"/>
        <v>154694.20000000001</v>
      </c>
      <c r="Z18" s="27">
        <f t="shared" si="2"/>
        <v>154694.20000000001</v>
      </c>
      <c r="AA18" s="27">
        <f t="shared" si="2"/>
        <v>154694.20000000001</v>
      </c>
      <c r="AB18" s="27">
        <f t="shared" si="1"/>
        <v>2823169.1500000004</v>
      </c>
      <c r="AC18" s="52"/>
    </row>
    <row r="19" spans="1:35" ht="30" customHeight="1" x14ac:dyDescent="0.25">
      <c r="A19" s="70"/>
      <c r="B19" s="69"/>
      <c r="C19" s="12" t="s">
        <v>46</v>
      </c>
      <c r="D19" s="11">
        <v>0</v>
      </c>
      <c r="E19" s="11">
        <v>0</v>
      </c>
      <c r="F19" s="1">
        <v>0</v>
      </c>
      <c r="G19" s="26">
        <v>0</v>
      </c>
      <c r="H19" s="26">
        <v>0</v>
      </c>
      <c r="I19" s="27">
        <f>(2926.67774070072*3+4390.01661105108*3)/2</f>
        <v>10975.0415276277</v>
      </c>
      <c r="J19" s="27">
        <f>(2926.67774070072*12+4390.01661105108*12)/2</f>
        <v>43900.1661105108</v>
      </c>
      <c r="K19" s="27">
        <f t="shared" ref="K19:AA19" si="3">(2926.67774070072*12+4390.01661105108*12)/2</f>
        <v>43900.1661105108</v>
      </c>
      <c r="L19" s="27">
        <f t="shared" si="3"/>
        <v>43900.1661105108</v>
      </c>
      <c r="M19" s="27">
        <f t="shared" si="3"/>
        <v>43900.1661105108</v>
      </c>
      <c r="N19" s="27">
        <f t="shared" si="3"/>
        <v>43900.1661105108</v>
      </c>
      <c r="O19" s="27">
        <f t="shared" si="3"/>
        <v>43900.1661105108</v>
      </c>
      <c r="P19" s="27">
        <f t="shared" si="3"/>
        <v>43900.1661105108</v>
      </c>
      <c r="Q19" s="27">
        <f t="shared" si="3"/>
        <v>43900.1661105108</v>
      </c>
      <c r="R19" s="27">
        <f t="shared" si="3"/>
        <v>43900.1661105108</v>
      </c>
      <c r="S19" s="27">
        <f t="shared" si="3"/>
        <v>43900.1661105108</v>
      </c>
      <c r="T19" s="27">
        <f t="shared" si="3"/>
        <v>43900.1661105108</v>
      </c>
      <c r="U19" s="27">
        <f t="shared" si="3"/>
        <v>43900.1661105108</v>
      </c>
      <c r="V19" s="27">
        <f t="shared" si="3"/>
        <v>43900.1661105108</v>
      </c>
      <c r="W19" s="27">
        <f t="shared" si="3"/>
        <v>43900.1661105108</v>
      </c>
      <c r="X19" s="27">
        <f t="shared" si="3"/>
        <v>43900.1661105108</v>
      </c>
      <c r="Y19" s="27">
        <f t="shared" si="3"/>
        <v>43900.1661105108</v>
      </c>
      <c r="Z19" s="27">
        <f t="shared" si="3"/>
        <v>43900.1661105108</v>
      </c>
      <c r="AA19" s="27">
        <f t="shared" si="3"/>
        <v>43900.1661105108</v>
      </c>
      <c r="AB19" s="27">
        <f t="shared" si="1"/>
        <v>801178.03151682229</v>
      </c>
      <c r="AC19" s="52"/>
    </row>
    <row r="20" spans="1:35" ht="30" customHeight="1" x14ac:dyDescent="0.25">
      <c r="A20" s="70"/>
      <c r="B20" s="69"/>
      <c r="C20" s="16" t="s">
        <v>12</v>
      </c>
      <c r="D20" s="17">
        <f>D14+D15-D16-D17-D18-D19</f>
        <v>93992.25</v>
      </c>
      <c r="E20" s="17">
        <f>E14+E15-E16-E17-E18-E19</f>
        <v>93992.25</v>
      </c>
      <c r="F20" s="17">
        <f t="shared" ref="F20:AA20" si="4">F14+F15-F16-F17-F18-F19</f>
        <v>93992.25</v>
      </c>
      <c r="G20" s="17">
        <f t="shared" si="4"/>
        <v>-82132.75</v>
      </c>
      <c r="H20" s="17">
        <f t="shared" si="4"/>
        <v>-962757.75</v>
      </c>
      <c r="I20" s="17">
        <f t="shared" si="4"/>
        <v>5531220.5959723722</v>
      </c>
      <c r="J20" s="17">
        <f t="shared" si="4"/>
        <v>-198594.3661105108</v>
      </c>
      <c r="K20" s="17">
        <f t="shared" si="4"/>
        <v>-198594.3661105108</v>
      </c>
      <c r="L20" s="17">
        <f t="shared" si="4"/>
        <v>-198594.3661105108</v>
      </c>
      <c r="M20" s="17">
        <f t="shared" si="4"/>
        <v>-198594.3661105108</v>
      </c>
      <c r="N20" s="17">
        <f t="shared" si="4"/>
        <v>-198594.3661105108</v>
      </c>
      <c r="O20" s="17">
        <f t="shared" si="4"/>
        <v>-198594.3661105108</v>
      </c>
      <c r="P20" s="17">
        <f t="shared" si="4"/>
        <v>-198594.3661105108</v>
      </c>
      <c r="Q20" s="17">
        <f t="shared" si="4"/>
        <v>-198594.3661105108</v>
      </c>
      <c r="R20" s="17">
        <f t="shared" si="4"/>
        <v>-198594.3661105108</v>
      </c>
      <c r="S20" s="17">
        <f t="shared" si="4"/>
        <v>-198594.3661105108</v>
      </c>
      <c r="T20" s="17">
        <f t="shared" si="4"/>
        <v>-198594.3661105108</v>
      </c>
      <c r="U20" s="17">
        <f t="shared" si="4"/>
        <v>-198594.3661105108</v>
      </c>
      <c r="V20" s="17">
        <f t="shared" si="4"/>
        <v>-198594.3661105108</v>
      </c>
      <c r="W20" s="17">
        <f t="shared" si="4"/>
        <v>-198594.3661105108</v>
      </c>
      <c r="X20" s="17">
        <f t="shared" si="4"/>
        <v>-198594.3661105108</v>
      </c>
      <c r="Y20" s="17">
        <f t="shared" si="4"/>
        <v>-198594.3661105108</v>
      </c>
      <c r="Z20" s="17">
        <f t="shared" si="4"/>
        <v>-198594.3661105108</v>
      </c>
      <c r="AA20" s="17">
        <f t="shared" si="4"/>
        <v>-198594.3661105108</v>
      </c>
      <c r="AB20" s="17">
        <f>AB14+AB15-AB16-AB17-AB18-AB19</f>
        <v>1193608.2559831773</v>
      </c>
      <c r="AC20" s="47"/>
    </row>
    <row r="21" spans="1:35" s="22" customFormat="1" ht="30" customHeight="1" x14ac:dyDescent="0.25">
      <c r="A21" s="70" t="s">
        <v>6</v>
      </c>
      <c r="B21" s="69" t="s">
        <v>8</v>
      </c>
      <c r="C21" s="21" t="s">
        <v>55</v>
      </c>
      <c r="D21" s="15">
        <v>559653.25</v>
      </c>
      <c r="E21" s="15">
        <v>559653.25</v>
      </c>
      <c r="F21" s="15">
        <v>559653.25</v>
      </c>
      <c r="G21" s="15">
        <v>559653.25</v>
      </c>
      <c r="H21" s="15">
        <v>559653.25</v>
      </c>
      <c r="I21" s="29">
        <f>H21/4*3+J21/4</f>
        <v>661382.4375</v>
      </c>
      <c r="J21" s="28">
        <v>966570</v>
      </c>
      <c r="K21" s="28">
        <v>966570</v>
      </c>
      <c r="L21" s="28">
        <v>966570</v>
      </c>
      <c r="M21" s="28">
        <v>966570</v>
      </c>
      <c r="N21" s="28">
        <v>966570</v>
      </c>
      <c r="O21" s="28">
        <v>966570</v>
      </c>
      <c r="P21" s="28">
        <v>966570</v>
      </c>
      <c r="Q21" s="28">
        <v>966570</v>
      </c>
      <c r="R21" s="28">
        <v>966570</v>
      </c>
      <c r="S21" s="28">
        <v>966570</v>
      </c>
      <c r="T21" s="28">
        <v>966570</v>
      </c>
      <c r="U21" s="28">
        <v>966570</v>
      </c>
      <c r="V21" s="28">
        <v>966570</v>
      </c>
      <c r="W21" s="28">
        <v>966570</v>
      </c>
      <c r="X21" s="28">
        <v>966570</v>
      </c>
      <c r="Y21" s="28">
        <v>966570</v>
      </c>
      <c r="Z21" s="28">
        <v>966570</v>
      </c>
      <c r="AA21" s="28">
        <v>966570</v>
      </c>
      <c r="AB21" s="28">
        <f t="shared" ref="AB21:AB26" si="5">SUM(D21:AA21)</f>
        <v>20857908.6875</v>
      </c>
      <c r="AC21" s="55" t="s">
        <v>41</v>
      </c>
    </row>
    <row r="22" spans="1:35" s="22" customFormat="1" ht="30" customHeight="1" x14ac:dyDescent="0.25">
      <c r="A22" s="70"/>
      <c r="B22" s="69"/>
      <c r="C22" s="23" t="s">
        <v>44</v>
      </c>
      <c r="D22" s="2">
        <v>0</v>
      </c>
      <c r="E22" s="2">
        <v>0</v>
      </c>
      <c r="F22" s="2">
        <v>0</v>
      </c>
      <c r="G22" s="24">
        <v>176125</v>
      </c>
      <c r="H22" s="24">
        <v>1056750</v>
      </c>
      <c r="I22" s="25">
        <v>2289625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f t="shared" si="5"/>
        <v>3522500</v>
      </c>
      <c r="AC22" s="55" t="s">
        <v>17</v>
      </c>
    </row>
    <row r="23" spans="1:35" ht="30" customHeight="1" x14ac:dyDescent="0.25">
      <c r="A23" s="70"/>
      <c r="B23" s="69"/>
      <c r="C23" s="12" t="s">
        <v>45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27">
        <f>((8*2818*12-129053-69661)+(11*2818*12-193580-106520))/2/4+(0.05+1.1+0.6+0.1+0.6)*2818*3</f>
        <v>38673.550000000003</v>
      </c>
      <c r="J23" s="27">
        <f>((8*2818*12-129053-69661)+(11*2818*12-193580-106520))/2+(0.05+1.1+0.6+0.1+0.6)*2818*12</f>
        <v>154694.20000000001</v>
      </c>
      <c r="K23" s="27">
        <f t="shared" ref="K23:AA23" si="6">((8*2818*12-129053-69661)+(11*2818*12-193580-106520))/2+(0.05+1.1+0.6+0.1+0.6)*2818*12</f>
        <v>154694.20000000001</v>
      </c>
      <c r="L23" s="27">
        <f t="shared" si="6"/>
        <v>154694.20000000001</v>
      </c>
      <c r="M23" s="27">
        <f t="shared" si="6"/>
        <v>154694.20000000001</v>
      </c>
      <c r="N23" s="27">
        <f t="shared" si="6"/>
        <v>154694.20000000001</v>
      </c>
      <c r="O23" s="27">
        <f t="shared" si="6"/>
        <v>154694.20000000001</v>
      </c>
      <c r="P23" s="27">
        <f t="shared" si="6"/>
        <v>154694.20000000001</v>
      </c>
      <c r="Q23" s="27">
        <f t="shared" si="6"/>
        <v>154694.20000000001</v>
      </c>
      <c r="R23" s="27">
        <f t="shared" si="6"/>
        <v>154694.20000000001</v>
      </c>
      <c r="S23" s="27">
        <f t="shared" si="6"/>
        <v>154694.20000000001</v>
      </c>
      <c r="T23" s="27">
        <f t="shared" si="6"/>
        <v>154694.20000000001</v>
      </c>
      <c r="U23" s="27">
        <f t="shared" si="6"/>
        <v>154694.20000000001</v>
      </c>
      <c r="V23" s="27">
        <f t="shared" si="6"/>
        <v>154694.20000000001</v>
      </c>
      <c r="W23" s="27">
        <f t="shared" si="6"/>
        <v>154694.20000000001</v>
      </c>
      <c r="X23" s="27">
        <f t="shared" si="6"/>
        <v>154694.20000000001</v>
      </c>
      <c r="Y23" s="27">
        <f t="shared" si="6"/>
        <v>154694.20000000001</v>
      </c>
      <c r="Z23" s="27">
        <f t="shared" si="6"/>
        <v>154694.20000000001</v>
      </c>
      <c r="AA23" s="27">
        <f t="shared" si="6"/>
        <v>154694.20000000001</v>
      </c>
      <c r="AB23" s="29">
        <f t="shared" si="5"/>
        <v>2823169.1500000004</v>
      </c>
      <c r="AC23" s="52" t="s">
        <v>35</v>
      </c>
    </row>
    <row r="24" spans="1:35" ht="30" customHeight="1" x14ac:dyDescent="0.25">
      <c r="A24" s="70"/>
      <c r="B24" s="69"/>
      <c r="C24" s="12" t="s">
        <v>46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27">
        <f>(2926.67774070072*3+4390.01661105108*3)/2</f>
        <v>10975.0415276277</v>
      </c>
      <c r="J24" s="27">
        <f>(2926.67774070072*12+4390.01661105108*12)/2</f>
        <v>43900.1661105108</v>
      </c>
      <c r="K24" s="27">
        <f t="shared" ref="K24:AA24" si="7">(2926.67774070072*12+4390.01661105108*12)/2</f>
        <v>43900.1661105108</v>
      </c>
      <c r="L24" s="27">
        <f t="shared" si="7"/>
        <v>43900.1661105108</v>
      </c>
      <c r="M24" s="27">
        <f t="shared" si="7"/>
        <v>43900.1661105108</v>
      </c>
      <c r="N24" s="27">
        <f t="shared" si="7"/>
        <v>43900.1661105108</v>
      </c>
      <c r="O24" s="27">
        <f t="shared" si="7"/>
        <v>43900.1661105108</v>
      </c>
      <c r="P24" s="27">
        <f t="shared" si="7"/>
        <v>43900.1661105108</v>
      </c>
      <c r="Q24" s="27">
        <f t="shared" si="7"/>
        <v>43900.1661105108</v>
      </c>
      <c r="R24" s="27">
        <f t="shared" si="7"/>
        <v>43900.1661105108</v>
      </c>
      <c r="S24" s="27">
        <f t="shared" si="7"/>
        <v>43900.1661105108</v>
      </c>
      <c r="T24" s="27">
        <f t="shared" si="7"/>
        <v>43900.1661105108</v>
      </c>
      <c r="U24" s="27">
        <f t="shared" si="7"/>
        <v>43900.1661105108</v>
      </c>
      <c r="V24" s="27">
        <f t="shared" si="7"/>
        <v>43900.1661105108</v>
      </c>
      <c r="W24" s="27">
        <f t="shared" si="7"/>
        <v>43900.1661105108</v>
      </c>
      <c r="X24" s="27">
        <f t="shared" si="7"/>
        <v>43900.1661105108</v>
      </c>
      <c r="Y24" s="27">
        <f t="shared" si="7"/>
        <v>43900.1661105108</v>
      </c>
      <c r="Z24" s="27">
        <f t="shared" si="7"/>
        <v>43900.1661105108</v>
      </c>
      <c r="AA24" s="27">
        <f t="shared" si="7"/>
        <v>43900.1661105108</v>
      </c>
      <c r="AB24" s="29">
        <f t="shared" si="5"/>
        <v>801178.03151682229</v>
      </c>
      <c r="AC24" s="52" t="s">
        <v>29</v>
      </c>
    </row>
    <row r="25" spans="1:35" s="22" customFormat="1" ht="30" customHeight="1" x14ac:dyDescent="0.3">
      <c r="A25" s="70"/>
      <c r="B25" s="69"/>
      <c r="C25" s="23" t="s">
        <v>47</v>
      </c>
      <c r="D25" s="11">
        <v>465661</v>
      </c>
      <c r="E25" s="11">
        <v>465661</v>
      </c>
      <c r="F25" s="11">
        <v>465661</v>
      </c>
      <c r="G25" s="11">
        <v>465661</v>
      </c>
      <c r="H25" s="11">
        <v>465661</v>
      </c>
      <c r="I25" s="2">
        <f>H25/4*3+J25/4</f>
        <v>536594.73</v>
      </c>
      <c r="J25" s="2">
        <f>(14657.6*2.5+15179.8*1.7)*12</f>
        <v>749395.92</v>
      </c>
      <c r="K25" s="2">
        <f t="shared" ref="K25:AA25" si="8">(14657.6*2.5+15179.8*1.7)*12</f>
        <v>749395.92</v>
      </c>
      <c r="L25" s="2">
        <f t="shared" si="8"/>
        <v>749395.92</v>
      </c>
      <c r="M25" s="2">
        <f t="shared" si="8"/>
        <v>749395.92</v>
      </c>
      <c r="N25" s="2">
        <f t="shared" si="8"/>
        <v>749395.92</v>
      </c>
      <c r="O25" s="2">
        <f t="shared" si="8"/>
        <v>749395.92</v>
      </c>
      <c r="P25" s="2">
        <f t="shared" si="8"/>
        <v>749395.92</v>
      </c>
      <c r="Q25" s="2">
        <f t="shared" si="8"/>
        <v>749395.92</v>
      </c>
      <c r="R25" s="2">
        <f t="shared" si="8"/>
        <v>749395.92</v>
      </c>
      <c r="S25" s="2">
        <f t="shared" si="8"/>
        <v>749395.92</v>
      </c>
      <c r="T25" s="2">
        <f t="shared" si="8"/>
        <v>749395.92</v>
      </c>
      <c r="U25" s="2">
        <f t="shared" si="8"/>
        <v>749395.92</v>
      </c>
      <c r="V25" s="2">
        <f t="shared" si="8"/>
        <v>749395.92</v>
      </c>
      <c r="W25" s="2">
        <f t="shared" si="8"/>
        <v>749395.92</v>
      </c>
      <c r="X25" s="2">
        <f t="shared" si="8"/>
        <v>749395.92</v>
      </c>
      <c r="Y25" s="2">
        <f t="shared" si="8"/>
        <v>749395.92</v>
      </c>
      <c r="Z25" s="2">
        <f t="shared" si="8"/>
        <v>749395.92</v>
      </c>
      <c r="AA25" s="2">
        <f t="shared" si="8"/>
        <v>749395.92</v>
      </c>
      <c r="AB25" s="2">
        <f t="shared" si="5"/>
        <v>16354026.289999999</v>
      </c>
      <c r="AC25" s="55" t="s">
        <v>28</v>
      </c>
      <c r="AE25" s="34"/>
    </row>
    <row r="26" spans="1:35" ht="30" customHeight="1" x14ac:dyDescent="0.25">
      <c r="A26" s="70"/>
      <c r="B26" s="69"/>
      <c r="C26" s="12" t="s">
        <v>48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11">
        <f>J26/4</f>
        <v>17250</v>
      </c>
      <c r="J26" s="4">
        <v>69000</v>
      </c>
      <c r="K26" s="4">
        <v>69000</v>
      </c>
      <c r="L26" s="4">
        <v>69000</v>
      </c>
      <c r="M26" s="4">
        <v>69000</v>
      </c>
      <c r="N26" s="4">
        <v>69000</v>
      </c>
      <c r="O26" s="4">
        <v>69000</v>
      </c>
      <c r="P26" s="4">
        <v>69000</v>
      </c>
      <c r="Q26" s="4">
        <v>69000</v>
      </c>
      <c r="R26" s="4">
        <v>69000</v>
      </c>
      <c r="S26" s="4">
        <v>69000</v>
      </c>
      <c r="T26" s="4">
        <v>69000</v>
      </c>
      <c r="U26" s="4">
        <v>69000</v>
      </c>
      <c r="V26" s="4">
        <v>69000</v>
      </c>
      <c r="W26" s="4">
        <v>69000</v>
      </c>
      <c r="X26" s="4">
        <v>69000</v>
      </c>
      <c r="Y26" s="4">
        <v>69000</v>
      </c>
      <c r="Z26" s="4">
        <v>69000</v>
      </c>
      <c r="AA26" s="4">
        <v>69000</v>
      </c>
      <c r="AB26" s="4">
        <f t="shared" si="5"/>
        <v>1259250</v>
      </c>
      <c r="AC26" s="56" t="s">
        <v>36</v>
      </c>
    </row>
    <row r="27" spans="1:35" ht="30" customHeight="1" x14ac:dyDescent="0.25">
      <c r="A27" s="70"/>
      <c r="B27" s="69"/>
      <c r="C27" s="16" t="s">
        <v>12</v>
      </c>
      <c r="D27" s="17">
        <f>D21-D22-D23-D24-D25-D26</f>
        <v>93992.25</v>
      </c>
      <c r="E27" s="17">
        <f>E21-E22-E23-E24-E25-E26</f>
        <v>93992.25</v>
      </c>
      <c r="F27" s="17">
        <f t="shared" ref="F27:AB27" si="9">F21-F22-F23-F24-F25-F26</f>
        <v>93992.25</v>
      </c>
      <c r="G27" s="17">
        <f t="shared" si="9"/>
        <v>-82132.75</v>
      </c>
      <c r="H27" s="17">
        <f t="shared" si="9"/>
        <v>-962757.75</v>
      </c>
      <c r="I27" s="17">
        <f t="shared" si="9"/>
        <v>-2231735.8840276278</v>
      </c>
      <c r="J27" s="17">
        <f t="shared" si="9"/>
        <v>-50420.286110510817</v>
      </c>
      <c r="K27" s="17">
        <f t="shared" si="9"/>
        <v>-50420.286110510817</v>
      </c>
      <c r="L27" s="17">
        <f t="shared" si="9"/>
        <v>-50420.286110510817</v>
      </c>
      <c r="M27" s="17">
        <f t="shared" si="9"/>
        <v>-50420.286110510817</v>
      </c>
      <c r="N27" s="17">
        <f t="shared" si="9"/>
        <v>-50420.286110510817</v>
      </c>
      <c r="O27" s="17">
        <f t="shared" si="9"/>
        <v>-50420.286110510817</v>
      </c>
      <c r="P27" s="17">
        <f t="shared" si="9"/>
        <v>-50420.286110510817</v>
      </c>
      <c r="Q27" s="17">
        <f t="shared" si="9"/>
        <v>-50420.286110510817</v>
      </c>
      <c r="R27" s="17">
        <f t="shared" si="9"/>
        <v>-50420.286110510817</v>
      </c>
      <c r="S27" s="17">
        <f t="shared" si="9"/>
        <v>-50420.286110510817</v>
      </c>
      <c r="T27" s="17">
        <f t="shared" si="9"/>
        <v>-50420.286110510817</v>
      </c>
      <c r="U27" s="17">
        <f t="shared" si="9"/>
        <v>-50420.286110510817</v>
      </c>
      <c r="V27" s="17">
        <f t="shared" si="9"/>
        <v>-50420.286110510817</v>
      </c>
      <c r="W27" s="17">
        <f t="shared" si="9"/>
        <v>-50420.286110510817</v>
      </c>
      <c r="X27" s="17">
        <f t="shared" si="9"/>
        <v>-50420.286110510817</v>
      </c>
      <c r="Y27" s="17">
        <f t="shared" si="9"/>
        <v>-50420.286110510817</v>
      </c>
      <c r="Z27" s="17">
        <f t="shared" si="9"/>
        <v>-50420.286110510817</v>
      </c>
      <c r="AA27" s="17">
        <f t="shared" si="9"/>
        <v>-50420.286110510817</v>
      </c>
      <c r="AB27" s="17">
        <f t="shared" si="9"/>
        <v>-3902214.7840168215</v>
      </c>
      <c r="AC27" s="47"/>
      <c r="AG27" s="30"/>
      <c r="AH27" s="30"/>
      <c r="AI27" s="30"/>
    </row>
    <row r="28" spans="1:35" ht="30" customHeight="1" x14ac:dyDescent="0.25">
      <c r="A28" s="70" t="s">
        <v>2</v>
      </c>
      <c r="B28" s="69" t="s">
        <v>9</v>
      </c>
      <c r="C28" s="12" t="s">
        <v>55</v>
      </c>
      <c r="D28" s="15">
        <v>559653.25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559653.25</v>
      </c>
      <c r="K28" s="15">
        <v>559653.25</v>
      </c>
      <c r="L28" s="15">
        <v>559653.25</v>
      </c>
      <c r="M28" s="15">
        <v>559653.25</v>
      </c>
      <c r="N28" s="15">
        <v>559653.25</v>
      </c>
      <c r="O28" s="15">
        <v>559653.25</v>
      </c>
      <c r="P28" s="15">
        <v>559653.25</v>
      </c>
      <c r="Q28" s="15">
        <v>559653.25</v>
      </c>
      <c r="R28" s="15">
        <v>559653.25</v>
      </c>
      <c r="S28" s="15">
        <v>559653.25</v>
      </c>
      <c r="T28" s="15">
        <v>559653.25</v>
      </c>
      <c r="U28" s="15">
        <v>559653.25</v>
      </c>
      <c r="V28" s="15">
        <v>559653.25</v>
      </c>
      <c r="W28" s="15">
        <v>559653.25</v>
      </c>
      <c r="X28" s="15">
        <v>559653.25</v>
      </c>
      <c r="Y28" s="15">
        <v>559653.25</v>
      </c>
      <c r="Z28" s="15">
        <v>559653.25</v>
      </c>
      <c r="AA28" s="15">
        <v>559653.25</v>
      </c>
      <c r="AB28" s="15">
        <f>SUM(J28:AA28)</f>
        <v>10073758.5</v>
      </c>
      <c r="AC28" s="50" t="s">
        <v>39</v>
      </c>
      <c r="AD28" s="22"/>
    </row>
    <row r="29" spans="1:35" ht="30" customHeight="1" x14ac:dyDescent="0.25">
      <c r="A29" s="70"/>
      <c r="B29" s="69"/>
      <c r="C29" s="12" t="s">
        <v>21</v>
      </c>
      <c r="D29" s="31">
        <v>0</v>
      </c>
      <c r="E29" s="32">
        <v>306140</v>
      </c>
      <c r="F29" s="32">
        <v>1796340</v>
      </c>
      <c r="G29" s="32">
        <v>3626530</v>
      </c>
      <c r="H29" s="32">
        <v>11773415</v>
      </c>
      <c r="I29" s="32">
        <v>21827575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f>SUM(D29:AA29)</f>
        <v>39330000</v>
      </c>
      <c r="AC29" s="56" t="s">
        <v>18</v>
      </c>
    </row>
    <row r="30" spans="1:35" ht="30" customHeight="1" x14ac:dyDescent="0.25">
      <c r="A30" s="70"/>
      <c r="B30" s="69"/>
      <c r="C30" s="40" t="s">
        <v>49</v>
      </c>
      <c r="D30" s="43">
        <v>0</v>
      </c>
      <c r="E30" s="41">
        <v>0</v>
      </c>
      <c r="F30" s="32">
        <v>0</v>
      </c>
      <c r="G30" s="32">
        <v>0</v>
      </c>
      <c r="H30" s="32">
        <v>0</v>
      </c>
      <c r="I30" s="32">
        <v>122540.35011542874</v>
      </c>
      <c r="J30" s="2">
        <v>490161.40046171495</v>
      </c>
      <c r="K30" s="2">
        <v>490161.40046171495</v>
      </c>
      <c r="L30" s="2">
        <v>490161.40046171495</v>
      </c>
      <c r="M30" s="2">
        <v>490161.40046171495</v>
      </c>
      <c r="N30" s="2">
        <v>490161.40046171495</v>
      </c>
      <c r="O30" s="2">
        <v>490161.40046171495</v>
      </c>
      <c r="P30" s="2">
        <v>490161.40046171495</v>
      </c>
      <c r="Q30" s="2">
        <v>490161.40046171495</v>
      </c>
      <c r="R30" s="2">
        <v>490161.40046171495</v>
      </c>
      <c r="S30" s="2">
        <v>490161.40046171495</v>
      </c>
      <c r="T30" s="2">
        <v>490161.40046171495</v>
      </c>
      <c r="U30" s="2">
        <v>490161.40046171495</v>
      </c>
      <c r="V30" s="2">
        <v>490161.40046171495</v>
      </c>
      <c r="W30" s="2">
        <v>490161.40046171495</v>
      </c>
      <c r="X30" s="2">
        <v>490161.40046171495</v>
      </c>
      <c r="Y30" s="2">
        <v>490161.40046171495</v>
      </c>
      <c r="Z30" s="2">
        <v>490161.40046171495</v>
      </c>
      <c r="AA30" s="2">
        <v>490161.40046171495</v>
      </c>
      <c r="AB30" s="2">
        <f>SUM(D30:AA30)</f>
        <v>8945445.5584262945</v>
      </c>
      <c r="AC30" s="56" t="s">
        <v>29</v>
      </c>
    </row>
    <row r="31" spans="1:35" ht="30" customHeight="1" x14ac:dyDescent="0.25">
      <c r="A31" s="70"/>
      <c r="B31" s="69"/>
      <c r="C31" s="23" t="s">
        <v>47</v>
      </c>
      <c r="D31" s="42">
        <v>465661</v>
      </c>
      <c r="E31" s="1">
        <v>465661</v>
      </c>
      <c r="F31" s="1">
        <v>465661</v>
      </c>
      <c r="G31" s="1">
        <v>465661</v>
      </c>
      <c r="H31" s="1">
        <v>465661</v>
      </c>
      <c r="I31" s="1">
        <v>465661</v>
      </c>
      <c r="J31" s="1">
        <v>465661</v>
      </c>
      <c r="K31" s="1">
        <v>465661</v>
      </c>
      <c r="L31" s="1">
        <v>465661</v>
      </c>
      <c r="M31" s="1">
        <v>465661</v>
      </c>
      <c r="N31" s="1">
        <v>465661</v>
      </c>
      <c r="O31" s="1">
        <v>465661</v>
      </c>
      <c r="P31" s="1">
        <v>465661</v>
      </c>
      <c r="Q31" s="1">
        <v>465661</v>
      </c>
      <c r="R31" s="1">
        <v>465661</v>
      </c>
      <c r="S31" s="1">
        <v>465661</v>
      </c>
      <c r="T31" s="1">
        <v>465661</v>
      </c>
      <c r="U31" s="1">
        <v>465661</v>
      </c>
      <c r="V31" s="1">
        <v>465661</v>
      </c>
      <c r="W31" s="1">
        <v>465661</v>
      </c>
      <c r="X31" s="1">
        <v>465661</v>
      </c>
      <c r="Y31" s="1">
        <v>465661</v>
      </c>
      <c r="Z31" s="1">
        <v>465661</v>
      </c>
      <c r="AA31" s="1">
        <v>465661</v>
      </c>
      <c r="AB31" s="32">
        <f>SUM(D31:AA31)</f>
        <v>11175864</v>
      </c>
      <c r="AC31" s="52" t="s">
        <v>28</v>
      </c>
    </row>
    <row r="32" spans="1:35" ht="30" customHeight="1" x14ac:dyDescent="0.25">
      <c r="A32" s="70"/>
      <c r="B32" s="69"/>
      <c r="C32" s="12" t="s">
        <v>48</v>
      </c>
      <c r="D32" s="4">
        <v>0</v>
      </c>
      <c r="E32" s="4">
        <v>69000</v>
      </c>
      <c r="F32" s="4">
        <v>69000</v>
      </c>
      <c r="G32" s="4">
        <v>69000</v>
      </c>
      <c r="H32" s="4">
        <v>69000</v>
      </c>
      <c r="I32" s="4">
        <v>69000</v>
      </c>
      <c r="J32" s="4">
        <v>69000</v>
      </c>
      <c r="K32" s="4">
        <v>69000</v>
      </c>
      <c r="L32" s="4">
        <v>69000</v>
      </c>
      <c r="M32" s="4">
        <v>69000</v>
      </c>
      <c r="N32" s="4">
        <v>69000</v>
      </c>
      <c r="O32" s="4">
        <v>69000</v>
      </c>
      <c r="P32" s="4">
        <v>69000</v>
      </c>
      <c r="Q32" s="4">
        <v>69000</v>
      </c>
      <c r="R32" s="4">
        <v>69000</v>
      </c>
      <c r="S32" s="4">
        <v>69000</v>
      </c>
      <c r="T32" s="4">
        <v>69000</v>
      </c>
      <c r="U32" s="4">
        <v>69000</v>
      </c>
      <c r="V32" s="4">
        <v>69000</v>
      </c>
      <c r="W32" s="4">
        <v>69000</v>
      </c>
      <c r="X32" s="4">
        <v>69000</v>
      </c>
      <c r="Y32" s="4">
        <v>69000</v>
      </c>
      <c r="Z32" s="4">
        <v>69000</v>
      </c>
      <c r="AA32" s="4">
        <v>69000</v>
      </c>
      <c r="AB32" s="4">
        <f>SUM(D32:AA32)</f>
        <v>1587000</v>
      </c>
      <c r="AC32" s="56" t="s">
        <v>19</v>
      </c>
    </row>
    <row r="33" spans="1:29" ht="30" customHeight="1" x14ac:dyDescent="0.25">
      <c r="A33" s="70"/>
      <c r="B33" s="69"/>
      <c r="C33" s="16" t="s">
        <v>12</v>
      </c>
      <c r="D33" s="17">
        <f>D28-D29-D30-D31-D32</f>
        <v>93992.25</v>
      </c>
      <c r="E33" s="17">
        <f>E28-E29-E30-E31-E32</f>
        <v>-840801</v>
      </c>
      <c r="F33" s="17">
        <f t="shared" ref="F33:AA33" si="10">F28-F29-F30-F31-F32</f>
        <v>-2331001</v>
      </c>
      <c r="G33" s="17">
        <f t="shared" si="10"/>
        <v>-4161191</v>
      </c>
      <c r="H33" s="17">
        <f t="shared" si="10"/>
        <v>-12308076</v>
      </c>
      <c r="I33" s="17">
        <f t="shared" si="10"/>
        <v>-22484776.35011543</v>
      </c>
      <c r="J33" s="17">
        <f t="shared" si="10"/>
        <v>-465169.15046171495</v>
      </c>
      <c r="K33" s="17">
        <f t="shared" si="10"/>
        <v>-465169.15046171495</v>
      </c>
      <c r="L33" s="17">
        <f t="shared" si="10"/>
        <v>-465169.15046171495</v>
      </c>
      <c r="M33" s="17">
        <f t="shared" si="10"/>
        <v>-465169.15046171495</v>
      </c>
      <c r="N33" s="17">
        <f t="shared" si="10"/>
        <v>-465169.15046171495</v>
      </c>
      <c r="O33" s="17">
        <f t="shared" si="10"/>
        <v>-465169.15046171495</v>
      </c>
      <c r="P33" s="17">
        <f t="shared" si="10"/>
        <v>-465169.15046171495</v>
      </c>
      <c r="Q33" s="17">
        <f t="shared" si="10"/>
        <v>-465169.15046171495</v>
      </c>
      <c r="R33" s="17">
        <f t="shared" si="10"/>
        <v>-465169.15046171495</v>
      </c>
      <c r="S33" s="17">
        <f t="shared" si="10"/>
        <v>-465169.15046171495</v>
      </c>
      <c r="T33" s="17">
        <f t="shared" si="10"/>
        <v>-465169.15046171495</v>
      </c>
      <c r="U33" s="17">
        <f t="shared" si="10"/>
        <v>-465169.15046171495</v>
      </c>
      <c r="V33" s="17">
        <f t="shared" si="10"/>
        <v>-465169.15046171495</v>
      </c>
      <c r="W33" s="17">
        <f t="shared" si="10"/>
        <v>-465169.15046171495</v>
      </c>
      <c r="X33" s="17">
        <f t="shared" si="10"/>
        <v>-465169.15046171495</v>
      </c>
      <c r="Y33" s="17">
        <f t="shared" si="10"/>
        <v>-465169.15046171495</v>
      </c>
      <c r="Z33" s="17">
        <f t="shared" si="10"/>
        <v>-465169.15046171495</v>
      </c>
      <c r="AA33" s="17">
        <f t="shared" si="10"/>
        <v>-465169.15046171495</v>
      </c>
      <c r="AB33" s="17">
        <f>AB28-AB29-AB30-AB31-AB32</f>
        <v>-50964551.058426291</v>
      </c>
      <c r="AC33" s="48"/>
    </row>
    <row r="34" spans="1:29" ht="30" customHeight="1" x14ac:dyDescent="0.25">
      <c r="A34" s="70" t="s">
        <v>3</v>
      </c>
      <c r="B34" s="69" t="s">
        <v>10</v>
      </c>
      <c r="C34" s="12" t="s">
        <v>24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5">
        <v>5100000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46">
        <f>SUM(D34:AA34)</f>
        <v>5100000</v>
      </c>
      <c r="AC34" s="49" t="s">
        <v>25</v>
      </c>
    </row>
    <row r="35" spans="1:29" ht="30" customHeight="1" x14ac:dyDescent="0.25">
      <c r="A35" s="70"/>
      <c r="B35" s="69"/>
      <c r="C35" s="33" t="s">
        <v>50</v>
      </c>
      <c r="D35" s="15">
        <v>559653.25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28">
        <v>966570</v>
      </c>
      <c r="K35" s="28">
        <v>966570</v>
      </c>
      <c r="L35" s="28">
        <v>966570</v>
      </c>
      <c r="M35" s="28">
        <v>966570</v>
      </c>
      <c r="N35" s="28">
        <v>966570</v>
      </c>
      <c r="O35" s="28">
        <v>966570</v>
      </c>
      <c r="P35" s="28">
        <v>966570</v>
      </c>
      <c r="Q35" s="28">
        <v>966570</v>
      </c>
      <c r="R35" s="28">
        <v>966570</v>
      </c>
      <c r="S35" s="28">
        <v>966570</v>
      </c>
      <c r="T35" s="28">
        <v>966570</v>
      </c>
      <c r="U35" s="28">
        <v>966570</v>
      </c>
      <c r="V35" s="28">
        <v>966570</v>
      </c>
      <c r="W35" s="28">
        <v>966570</v>
      </c>
      <c r="X35" s="28">
        <v>966570</v>
      </c>
      <c r="Y35" s="28">
        <v>966570</v>
      </c>
      <c r="Z35" s="28">
        <v>966570</v>
      </c>
      <c r="AA35" s="28">
        <v>966570</v>
      </c>
      <c r="AB35" s="28">
        <f t="shared" ref="AB35:AB43" si="11">SUM(D35:AA35)</f>
        <v>17957913.25</v>
      </c>
      <c r="AC35" s="57"/>
    </row>
    <row r="36" spans="1:29" ht="30" customHeight="1" x14ac:dyDescent="0.25">
      <c r="A36" s="70"/>
      <c r="B36" s="69"/>
      <c r="C36" s="33" t="s">
        <v>51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28">
        <v>966570</v>
      </c>
      <c r="K36" s="28">
        <v>966570</v>
      </c>
      <c r="L36" s="28">
        <v>966570</v>
      </c>
      <c r="M36" s="28">
        <v>966570</v>
      </c>
      <c r="N36" s="28">
        <v>966570</v>
      </c>
      <c r="O36" s="28">
        <v>966570</v>
      </c>
      <c r="P36" s="28">
        <v>966570</v>
      </c>
      <c r="Q36" s="28">
        <v>966570</v>
      </c>
      <c r="R36" s="28">
        <v>966570</v>
      </c>
      <c r="S36" s="28">
        <v>966570</v>
      </c>
      <c r="T36" s="28">
        <v>966570</v>
      </c>
      <c r="U36" s="28">
        <v>966570</v>
      </c>
      <c r="V36" s="28">
        <v>966570</v>
      </c>
      <c r="W36" s="28">
        <v>966570</v>
      </c>
      <c r="X36" s="28">
        <v>966570</v>
      </c>
      <c r="Y36" s="28">
        <v>966570</v>
      </c>
      <c r="Z36" s="28">
        <v>966570</v>
      </c>
      <c r="AA36" s="28">
        <v>966570</v>
      </c>
      <c r="AB36" s="28">
        <f t="shared" si="11"/>
        <v>17398260</v>
      </c>
      <c r="AC36" s="54"/>
    </row>
    <row r="37" spans="1:29" ht="30" customHeight="1" x14ac:dyDescent="0.25">
      <c r="A37" s="70"/>
      <c r="B37" s="69"/>
      <c r="C37" s="21" t="s">
        <v>52</v>
      </c>
      <c r="D37" s="2">
        <v>0</v>
      </c>
      <c r="E37" s="2">
        <v>0</v>
      </c>
      <c r="F37" s="23">
        <v>0</v>
      </c>
      <c r="G37" s="24">
        <v>176125</v>
      </c>
      <c r="H37" s="24">
        <v>1056750</v>
      </c>
      <c r="I37" s="25">
        <v>2289625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f t="shared" si="11"/>
        <v>3522500</v>
      </c>
      <c r="AC37" s="55" t="s">
        <v>17</v>
      </c>
    </row>
    <row r="38" spans="1:29" ht="30" customHeight="1" x14ac:dyDescent="0.25">
      <c r="A38" s="70"/>
      <c r="B38" s="69"/>
      <c r="C38" s="12" t="s">
        <v>53</v>
      </c>
      <c r="D38" s="11">
        <v>0</v>
      </c>
      <c r="E38" s="11">
        <v>0</v>
      </c>
      <c r="F38" s="1">
        <v>0</v>
      </c>
      <c r="G38" s="26">
        <v>0</v>
      </c>
      <c r="H38" s="26">
        <v>0</v>
      </c>
      <c r="I38" s="35">
        <f>((8*2818*12-129053-69661)+(11*2818*12-193580-106520))/2/4+(0.05+1.1+0.6+0.1+0.6)*2818*3</f>
        <v>38673.550000000003</v>
      </c>
      <c r="J38" s="35">
        <f>((8*2818*12-129053-69661)+(11*2818*12-193580-106520))/2+(0.05+1.1+0.6+0.1+0.6)*2818*12</f>
        <v>154694.20000000001</v>
      </c>
      <c r="K38" s="35">
        <f t="shared" ref="K38:AA38" si="12">((8*2818*12-129053-69661)+(11*2818*12-193580-106520))/2+(0.05+1.1+0.6+0.1+0.6)*2818*12</f>
        <v>154694.20000000001</v>
      </c>
      <c r="L38" s="35">
        <f t="shared" si="12"/>
        <v>154694.20000000001</v>
      </c>
      <c r="M38" s="35">
        <f t="shared" si="12"/>
        <v>154694.20000000001</v>
      </c>
      <c r="N38" s="35">
        <f t="shared" si="12"/>
        <v>154694.20000000001</v>
      </c>
      <c r="O38" s="35">
        <f t="shared" si="12"/>
        <v>154694.20000000001</v>
      </c>
      <c r="P38" s="35">
        <f t="shared" si="12"/>
        <v>154694.20000000001</v>
      </c>
      <c r="Q38" s="35">
        <f t="shared" si="12"/>
        <v>154694.20000000001</v>
      </c>
      <c r="R38" s="35">
        <f t="shared" si="12"/>
        <v>154694.20000000001</v>
      </c>
      <c r="S38" s="35">
        <f t="shared" si="12"/>
        <v>154694.20000000001</v>
      </c>
      <c r="T38" s="35">
        <f t="shared" si="12"/>
        <v>154694.20000000001</v>
      </c>
      <c r="U38" s="35">
        <f t="shared" si="12"/>
        <v>154694.20000000001</v>
      </c>
      <c r="V38" s="35">
        <f t="shared" si="12"/>
        <v>154694.20000000001</v>
      </c>
      <c r="W38" s="35">
        <f t="shared" si="12"/>
        <v>154694.20000000001</v>
      </c>
      <c r="X38" s="35">
        <f t="shared" si="12"/>
        <v>154694.20000000001</v>
      </c>
      <c r="Y38" s="35">
        <f t="shared" si="12"/>
        <v>154694.20000000001</v>
      </c>
      <c r="Z38" s="35">
        <f t="shared" si="12"/>
        <v>154694.20000000001</v>
      </c>
      <c r="AA38" s="35">
        <f t="shared" si="12"/>
        <v>154694.20000000001</v>
      </c>
      <c r="AB38" s="27">
        <f t="shared" si="11"/>
        <v>2823169.1500000004</v>
      </c>
      <c r="AC38" s="52" t="s">
        <v>37</v>
      </c>
    </row>
    <row r="39" spans="1:29" ht="30" customHeight="1" x14ac:dyDescent="0.25">
      <c r="A39" s="70"/>
      <c r="B39" s="69"/>
      <c r="C39" s="12" t="s">
        <v>46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35">
        <f>(2926.67774070072*3+4390.01661105108*3)/2</f>
        <v>10975.0415276277</v>
      </c>
      <c r="J39" s="35">
        <f>(2926.67774070072*12+4390.01661105108*12)/2</f>
        <v>43900.1661105108</v>
      </c>
      <c r="K39" s="35">
        <f t="shared" ref="K39:AA39" si="13">(2926.67774070072*12+4390.01661105108*12)/2</f>
        <v>43900.1661105108</v>
      </c>
      <c r="L39" s="35">
        <f t="shared" si="13"/>
        <v>43900.1661105108</v>
      </c>
      <c r="M39" s="35">
        <f t="shared" si="13"/>
        <v>43900.1661105108</v>
      </c>
      <c r="N39" s="35">
        <f t="shared" si="13"/>
        <v>43900.1661105108</v>
      </c>
      <c r="O39" s="35">
        <f t="shared" si="13"/>
        <v>43900.1661105108</v>
      </c>
      <c r="P39" s="35">
        <f t="shared" si="13"/>
        <v>43900.1661105108</v>
      </c>
      <c r="Q39" s="35">
        <f t="shared" si="13"/>
        <v>43900.1661105108</v>
      </c>
      <c r="R39" s="35">
        <f t="shared" si="13"/>
        <v>43900.1661105108</v>
      </c>
      <c r="S39" s="35">
        <f t="shared" si="13"/>
        <v>43900.1661105108</v>
      </c>
      <c r="T39" s="35">
        <f t="shared" si="13"/>
        <v>43900.1661105108</v>
      </c>
      <c r="U39" s="35">
        <f t="shared" si="13"/>
        <v>43900.1661105108</v>
      </c>
      <c r="V39" s="35">
        <f t="shared" si="13"/>
        <v>43900.1661105108</v>
      </c>
      <c r="W39" s="35">
        <f t="shared" si="13"/>
        <v>43900.1661105108</v>
      </c>
      <c r="X39" s="35">
        <f t="shared" si="13"/>
        <v>43900.1661105108</v>
      </c>
      <c r="Y39" s="35">
        <f t="shared" si="13"/>
        <v>43900.1661105108</v>
      </c>
      <c r="Z39" s="35">
        <f t="shared" si="13"/>
        <v>43900.1661105108</v>
      </c>
      <c r="AA39" s="35">
        <f t="shared" si="13"/>
        <v>43900.1661105108</v>
      </c>
      <c r="AB39" s="27">
        <f>SUM(D39:AA39)</f>
        <v>801178.03151682229</v>
      </c>
      <c r="AC39" s="52" t="s">
        <v>30</v>
      </c>
    </row>
    <row r="40" spans="1:29" ht="30" customHeight="1" x14ac:dyDescent="0.25">
      <c r="A40" s="70"/>
      <c r="B40" s="69"/>
      <c r="C40" s="12" t="s">
        <v>21</v>
      </c>
      <c r="D40" s="4">
        <v>0</v>
      </c>
      <c r="E40" s="4">
        <v>306140</v>
      </c>
      <c r="F40" s="4">
        <v>1796340</v>
      </c>
      <c r="G40" s="4">
        <v>3626530</v>
      </c>
      <c r="H40" s="4">
        <v>11773415</v>
      </c>
      <c r="I40" s="11">
        <v>21827575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f t="shared" si="11"/>
        <v>39330000</v>
      </c>
      <c r="AC40" s="58" t="s">
        <v>38</v>
      </c>
    </row>
    <row r="41" spans="1:29" ht="30" customHeight="1" x14ac:dyDescent="0.25">
      <c r="A41" s="70"/>
      <c r="B41" s="69"/>
      <c r="C41" s="40" t="s">
        <v>49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11">
        <v>122540.35011542874</v>
      </c>
      <c r="J41" s="11">
        <v>490161.40046171495</v>
      </c>
      <c r="K41" s="11">
        <v>490161.40046171495</v>
      </c>
      <c r="L41" s="11">
        <v>490161.40046171495</v>
      </c>
      <c r="M41" s="11">
        <v>490161.40046171495</v>
      </c>
      <c r="N41" s="11">
        <v>490161.40046171495</v>
      </c>
      <c r="O41" s="11">
        <v>490161.40046171495</v>
      </c>
      <c r="P41" s="11">
        <v>490161.40046171495</v>
      </c>
      <c r="Q41" s="11">
        <v>490161.40046171495</v>
      </c>
      <c r="R41" s="11">
        <v>490161.40046171495</v>
      </c>
      <c r="S41" s="11">
        <v>490161.40046171495</v>
      </c>
      <c r="T41" s="11">
        <v>490161.40046171495</v>
      </c>
      <c r="U41" s="11">
        <v>490161.40046171495</v>
      </c>
      <c r="V41" s="11">
        <v>490161.40046171495</v>
      </c>
      <c r="W41" s="11">
        <v>490161.40046171495</v>
      </c>
      <c r="X41" s="11">
        <v>490161.40046171495</v>
      </c>
      <c r="Y41" s="11">
        <v>490161.40046171495</v>
      </c>
      <c r="Z41" s="11">
        <v>490161.40046171495</v>
      </c>
      <c r="AA41" s="11">
        <v>490161.40046171495</v>
      </c>
      <c r="AB41" s="44">
        <f>SUM(D41:AA41)</f>
        <v>8945445.5584262945</v>
      </c>
      <c r="AC41" s="59" t="s">
        <v>29</v>
      </c>
    </row>
    <row r="42" spans="1:29" ht="30" customHeight="1" x14ac:dyDescent="0.25">
      <c r="A42" s="70"/>
      <c r="B42" s="69"/>
      <c r="C42" s="23" t="s">
        <v>47</v>
      </c>
      <c r="D42" s="1">
        <v>465661</v>
      </c>
      <c r="E42" s="2">
        <f>(14657.6*2.5+15179.8*0.5)*12</f>
        <v>530806.80000000005</v>
      </c>
      <c r="F42" s="2">
        <f t="shared" ref="F42:AA42" si="14">(14657.6*2.5+15179.8*0.5)*12</f>
        <v>530806.80000000005</v>
      </c>
      <c r="G42" s="2">
        <f t="shared" si="14"/>
        <v>530806.80000000005</v>
      </c>
      <c r="H42" s="2">
        <f t="shared" si="14"/>
        <v>530806.80000000005</v>
      </c>
      <c r="I42" s="2">
        <f t="shared" si="14"/>
        <v>530806.80000000005</v>
      </c>
      <c r="J42" s="2">
        <f t="shared" si="14"/>
        <v>530806.80000000005</v>
      </c>
      <c r="K42" s="2">
        <f t="shared" si="14"/>
        <v>530806.80000000005</v>
      </c>
      <c r="L42" s="2">
        <f t="shared" si="14"/>
        <v>530806.80000000005</v>
      </c>
      <c r="M42" s="2">
        <f t="shared" si="14"/>
        <v>530806.80000000005</v>
      </c>
      <c r="N42" s="2">
        <f t="shared" si="14"/>
        <v>530806.80000000005</v>
      </c>
      <c r="O42" s="2">
        <f t="shared" si="14"/>
        <v>530806.80000000005</v>
      </c>
      <c r="P42" s="2">
        <f t="shared" si="14"/>
        <v>530806.80000000005</v>
      </c>
      <c r="Q42" s="2">
        <f t="shared" si="14"/>
        <v>530806.80000000005</v>
      </c>
      <c r="R42" s="2">
        <f t="shared" si="14"/>
        <v>530806.80000000005</v>
      </c>
      <c r="S42" s="2">
        <f t="shared" si="14"/>
        <v>530806.80000000005</v>
      </c>
      <c r="T42" s="2">
        <f t="shared" si="14"/>
        <v>530806.80000000005</v>
      </c>
      <c r="U42" s="2">
        <f t="shared" si="14"/>
        <v>530806.80000000005</v>
      </c>
      <c r="V42" s="2">
        <f t="shared" si="14"/>
        <v>530806.80000000005</v>
      </c>
      <c r="W42" s="2">
        <f t="shared" si="14"/>
        <v>530806.80000000005</v>
      </c>
      <c r="X42" s="2">
        <f t="shared" si="14"/>
        <v>530806.80000000005</v>
      </c>
      <c r="Y42" s="2">
        <f t="shared" si="14"/>
        <v>530806.80000000005</v>
      </c>
      <c r="Z42" s="2">
        <f t="shared" si="14"/>
        <v>530806.80000000005</v>
      </c>
      <c r="AA42" s="2">
        <f t="shared" si="14"/>
        <v>530806.80000000005</v>
      </c>
      <c r="AB42" s="45">
        <f t="shared" si="11"/>
        <v>12674217.400000004</v>
      </c>
      <c r="AC42" s="59" t="s">
        <v>28</v>
      </c>
    </row>
    <row r="43" spans="1:29" ht="30" customHeight="1" x14ac:dyDescent="0.25">
      <c r="A43" s="70"/>
      <c r="B43" s="69"/>
      <c r="C43" s="12" t="s">
        <v>48</v>
      </c>
      <c r="D43" s="4">
        <v>0</v>
      </c>
      <c r="E43" s="4">
        <v>69000</v>
      </c>
      <c r="F43" s="4">
        <v>69000</v>
      </c>
      <c r="G43" s="4">
        <v>69000</v>
      </c>
      <c r="H43" s="4">
        <v>69000</v>
      </c>
      <c r="I43" s="4">
        <v>69000</v>
      </c>
      <c r="J43" s="4">
        <v>69000</v>
      </c>
      <c r="K43" s="4">
        <v>69000</v>
      </c>
      <c r="L43" s="4">
        <v>69000</v>
      </c>
      <c r="M43" s="4">
        <v>69000</v>
      </c>
      <c r="N43" s="4">
        <v>69000</v>
      </c>
      <c r="O43" s="4">
        <v>69000</v>
      </c>
      <c r="P43" s="4">
        <v>69000</v>
      </c>
      <c r="Q43" s="4">
        <v>69000</v>
      </c>
      <c r="R43" s="4">
        <v>69000</v>
      </c>
      <c r="S43" s="4">
        <v>69000</v>
      </c>
      <c r="T43" s="4">
        <v>69000</v>
      </c>
      <c r="U43" s="4">
        <v>69000</v>
      </c>
      <c r="V43" s="4">
        <v>69000</v>
      </c>
      <c r="W43" s="4">
        <v>69000</v>
      </c>
      <c r="X43" s="4">
        <v>69000</v>
      </c>
      <c r="Y43" s="4">
        <v>69000</v>
      </c>
      <c r="Z43" s="4">
        <v>69000</v>
      </c>
      <c r="AA43" s="4">
        <v>69000</v>
      </c>
      <c r="AB43" s="4">
        <f t="shared" si="11"/>
        <v>1587000</v>
      </c>
      <c r="AC43" s="60" t="s">
        <v>19</v>
      </c>
    </row>
    <row r="44" spans="1:29" ht="30" customHeight="1" x14ac:dyDescent="0.25">
      <c r="A44" s="70"/>
      <c r="B44" s="69"/>
      <c r="C44" s="16" t="s">
        <v>12</v>
      </c>
      <c r="D44" s="17">
        <f t="shared" ref="D44:AB44" si="15">D34+D35-D36-D37-D38-D39-D40-D41-D42-D43</f>
        <v>93992.25</v>
      </c>
      <c r="E44" s="17">
        <f t="shared" si="15"/>
        <v>-905946.8</v>
      </c>
      <c r="F44" s="17">
        <f t="shared" si="15"/>
        <v>-2396146.7999999998</v>
      </c>
      <c r="G44" s="17">
        <f t="shared" si="15"/>
        <v>-4402461.8</v>
      </c>
      <c r="H44" s="17">
        <f t="shared" si="15"/>
        <v>-13429971.800000001</v>
      </c>
      <c r="I44" s="17">
        <f t="shared" si="15"/>
        <v>-19789195.741643056</v>
      </c>
      <c r="J44" s="17">
        <f t="shared" si="15"/>
        <v>-1288562.5665722257</v>
      </c>
      <c r="K44" s="17">
        <f t="shared" si="15"/>
        <v>-1288562.5665722257</v>
      </c>
      <c r="L44" s="17">
        <f t="shared" si="15"/>
        <v>-1288562.5665722257</v>
      </c>
      <c r="M44" s="17">
        <f t="shared" si="15"/>
        <v>-1288562.5665722257</v>
      </c>
      <c r="N44" s="17">
        <f t="shared" si="15"/>
        <v>-1288562.5665722257</v>
      </c>
      <c r="O44" s="17">
        <f t="shared" si="15"/>
        <v>-1288562.5665722257</v>
      </c>
      <c r="P44" s="17">
        <f t="shared" si="15"/>
        <v>-1288562.5665722257</v>
      </c>
      <c r="Q44" s="17">
        <f t="shared" si="15"/>
        <v>-1288562.5665722257</v>
      </c>
      <c r="R44" s="17">
        <f t="shared" si="15"/>
        <v>-1288562.5665722257</v>
      </c>
      <c r="S44" s="17">
        <f t="shared" si="15"/>
        <v>-1288562.5665722257</v>
      </c>
      <c r="T44" s="17">
        <f t="shared" si="15"/>
        <v>-1288562.5665722257</v>
      </c>
      <c r="U44" s="17">
        <f t="shared" si="15"/>
        <v>-1288562.5665722257</v>
      </c>
      <c r="V44" s="17">
        <f t="shared" si="15"/>
        <v>-1288562.5665722257</v>
      </c>
      <c r="W44" s="17">
        <f t="shared" si="15"/>
        <v>-1288562.5665722257</v>
      </c>
      <c r="X44" s="17">
        <f t="shared" si="15"/>
        <v>-1288562.5665722257</v>
      </c>
      <c r="Y44" s="17">
        <f t="shared" si="15"/>
        <v>-1288562.5665722257</v>
      </c>
      <c r="Z44" s="17">
        <f t="shared" si="15"/>
        <v>-1288562.5665722257</v>
      </c>
      <c r="AA44" s="17">
        <f t="shared" si="15"/>
        <v>-1288562.5665722257</v>
      </c>
      <c r="AB44" s="17">
        <f t="shared" si="15"/>
        <v>-64023856.889943123</v>
      </c>
      <c r="AC44" s="67" t="s">
        <v>56</v>
      </c>
    </row>
    <row r="79" spans="21:21" x14ac:dyDescent="0.25">
      <c r="U79" s="31">
        <v>44444</v>
      </c>
    </row>
  </sheetData>
  <mergeCells count="14">
    <mergeCell ref="A1:AC1"/>
    <mergeCell ref="B34:B44"/>
    <mergeCell ref="A34:A44"/>
    <mergeCell ref="B4:B9"/>
    <mergeCell ref="B10:B13"/>
    <mergeCell ref="B14:B20"/>
    <mergeCell ref="B21:B27"/>
    <mergeCell ref="A4:A9"/>
    <mergeCell ref="A10:A13"/>
    <mergeCell ref="A14:A20"/>
    <mergeCell ref="A21:A27"/>
    <mergeCell ref="A28:A33"/>
    <mergeCell ref="B28:B33"/>
    <mergeCell ref="D2:AB2"/>
  </mergeCells>
  <pageMargins left="0.25" right="0.25" top="0.75" bottom="0.75" header="0.3" footer="0.3"/>
  <pageSetup paperSize="8" scale="35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EFE57A6E8972409545682F9D997A30" ma:contentTypeVersion="14" ma:contentTypeDescription="Create a new document." ma:contentTypeScope="" ma:versionID="ddc1c557fa420f67d6c7c60c80599e2d">
  <xsd:schema xmlns:xsd="http://www.w3.org/2001/XMLSchema" xmlns:xs="http://www.w3.org/2001/XMLSchema" xmlns:p="http://schemas.microsoft.com/office/2006/metadata/properties" xmlns:ns1="http://schemas.microsoft.com/sharepoint/v3" xmlns:ns2="c897f430-4d3f-4b88-bb40-5d2983689be6" xmlns:ns3="110fa167-1e60-43fb-8327-8a2abc98a7a0" targetNamespace="http://schemas.microsoft.com/office/2006/metadata/properties" ma:root="true" ma:fieldsID="f23723345c4aa1d102300d11191e157f" ns1:_="" ns2:_="" ns3:_="">
    <xsd:import namespace="http://schemas.microsoft.com/sharepoint/v3"/>
    <xsd:import namespace="c897f430-4d3f-4b88-bb40-5d2983689be6"/>
    <xsd:import namespace="110fa167-1e60-43fb-8327-8a2abc98a7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DateTaken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7f430-4d3f-4b88-bb40-5d2983689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0fa167-1e60-43fb-8327-8a2abc98a7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2B1CB39F-2635-474E-BFBA-B56509DD13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897f430-4d3f-4b88-bb40-5d2983689be6"/>
    <ds:schemaRef ds:uri="110fa167-1e60-43fb-8327-8a2abc98a7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6E6E6E-BD2C-4475-9569-40C93CF535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E6B10B-B968-4869-9CE7-26711E7957AE}">
  <ds:schemaRefs>
    <ds:schemaRef ds:uri="c897f430-4d3f-4b88-bb40-5d2983689be6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http://purl.org/dc/elements/1.1/"/>
    <ds:schemaRef ds:uri="http://schemas.openxmlformats.org/package/2006/metadata/core-properties"/>
    <ds:schemaRef ds:uri="110fa167-1e60-43fb-8327-8a2abc98a7a0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Ietekme uz budžeta bilanci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Deksne</dc:creator>
  <cp:lastModifiedBy>Gundega Gailīte</cp:lastModifiedBy>
  <cp:lastPrinted>2020-11-25T11:09:09Z</cp:lastPrinted>
  <dcterms:created xsi:type="dcterms:W3CDTF">2018-04-12T13:54:17Z</dcterms:created>
  <dcterms:modified xsi:type="dcterms:W3CDTF">2021-11-04T08:46:55Z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0x010100EEEFE57A6E8972409545682F9D997A30</vt:lpwstr>
  </property>
</Properties>
</file>