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Q:\2021_gads_zaud.komp\Pilsētas_MK_protokollēmums_Covid_19\MK Protokollēmuma izpilde 2021_atskaites\VARAM_apkopojumi\"/>
    </mc:Choice>
  </mc:AlternateContent>
  <xr:revisionPtr revIDLastSave="0" documentId="13_ncr:1_{57558F62-CAAE-4BEA-8DF2-538F9D188695}" xr6:coauthVersionLast="47" xr6:coauthVersionMax="47" xr10:uidLastSave="{00000000-0000-0000-0000-000000000000}"/>
  <bookViews>
    <workbookView xWindow="-120" yWindow="-120" windowWidth="29040" windowHeight="15840" activeTab="4" xr2:uid="{00000000-000D-0000-FFFF-FFFF00000000}"/>
  </bookViews>
  <sheets>
    <sheet name="marts" sheetId="2" r:id="rId1"/>
    <sheet name="aprīlis" sheetId="3" r:id="rId2"/>
    <sheet name="maijs" sheetId="4" r:id="rId3"/>
    <sheet name="jūnijs" sheetId="8" r:id="rId4"/>
    <sheet name="PIVOT_atskaite" sheetId="7" r:id="rId5"/>
    <sheet name="PIVOT" sheetId="6" r:id="rId6"/>
    <sheet name="atskaites_jedox" sheetId="5" state="hidden" r:id="rId7"/>
  </sheets>
  <definedNames>
    <definedName name="_palopasteviewstyle" hidden="1">"White"</definedName>
  </definedNames>
  <calcPr calcId="181029"/>
  <pivotCaches>
    <pivotCache cacheId="0" r:id="rId8"/>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9" i="8" l="1"/>
  <c r="G14" i="8"/>
  <c r="F14" i="8"/>
  <c r="E14" i="8"/>
  <c r="D14" i="8"/>
  <c r="G10" i="8"/>
  <c r="F10" i="8"/>
  <c r="F41" i="8" s="1"/>
  <c r="F39" i="8" s="1"/>
  <c r="E10" i="8"/>
  <c r="E41" i="8" s="1"/>
  <c r="E39" i="8" s="1"/>
  <c r="D10" i="8"/>
  <c r="D41" i="8" s="1"/>
  <c r="D39" i="8" s="1"/>
  <c r="G6" i="8"/>
  <c r="F6" i="8"/>
  <c r="E6" i="8"/>
  <c r="D6" i="8"/>
  <c r="G3" i="8"/>
  <c r="F3" i="8"/>
  <c r="E3" i="8"/>
  <c r="D3" i="8"/>
  <c r="D39" i="6"/>
  <c r="I37" i="4" l="1"/>
  <c r="I38" i="4"/>
  <c r="I39" i="4"/>
  <c r="I36" i="4"/>
  <c r="I10" i="4"/>
  <c r="I35" i="3"/>
  <c r="I36" i="3"/>
  <c r="I37" i="3"/>
  <c r="I34" i="3"/>
  <c r="I10" i="3"/>
  <c r="L31" i="2"/>
  <c r="M31" i="2"/>
  <c r="K31" i="2"/>
  <c r="H39" i="4" l="1"/>
  <c r="H38" i="4"/>
  <c r="F37" i="4"/>
  <c r="F35" i="4" s="1"/>
  <c r="H36" i="4"/>
  <c r="G35" i="4"/>
  <c r="G14" i="4"/>
  <c r="F14" i="4"/>
  <c r="E14" i="4"/>
  <c r="D14" i="4"/>
  <c r="G10" i="4"/>
  <c r="F10" i="4"/>
  <c r="E10" i="4"/>
  <c r="E37" i="4" s="1"/>
  <c r="E35" i="4" s="1"/>
  <c r="D10" i="4"/>
  <c r="D37" i="4" s="1"/>
  <c r="G6" i="4"/>
  <c r="F6" i="4"/>
  <c r="E6" i="4"/>
  <c r="D6" i="4"/>
  <c r="G3" i="4"/>
  <c r="F3" i="4"/>
  <c r="E3" i="4"/>
  <c r="D3" i="4"/>
  <c r="H37" i="3"/>
  <c r="H36" i="3"/>
  <c r="H34" i="3"/>
  <c r="G33" i="3"/>
  <c r="G14" i="3"/>
  <c r="F14" i="3"/>
  <c r="E14" i="3"/>
  <c r="D14" i="3"/>
  <c r="G10" i="3"/>
  <c r="F10" i="3"/>
  <c r="F35" i="3" s="1"/>
  <c r="F33" i="3" s="1"/>
  <c r="E10" i="3"/>
  <c r="E35" i="3" s="1"/>
  <c r="E33" i="3" s="1"/>
  <c r="D10" i="3"/>
  <c r="D35" i="3" s="1"/>
  <c r="G6" i="3"/>
  <c r="F6" i="3"/>
  <c r="E6" i="3"/>
  <c r="D6" i="3"/>
  <c r="G3" i="3"/>
  <c r="F3" i="3"/>
  <c r="E3" i="3"/>
  <c r="D3" i="3"/>
  <c r="H32" i="2"/>
  <c r="F31" i="2"/>
  <c r="E31" i="2"/>
  <c r="D31" i="2"/>
  <c r="H30" i="2"/>
  <c r="H29" i="2"/>
  <c r="G29" i="2"/>
  <c r="F29" i="2"/>
  <c r="E29" i="2"/>
  <c r="D29" i="2"/>
  <c r="H14" i="2"/>
  <c r="G14" i="2"/>
  <c r="F14" i="2"/>
  <c r="E14" i="2"/>
  <c r="D14" i="2"/>
  <c r="G10" i="2"/>
  <c r="F10" i="2"/>
  <c r="E10" i="2"/>
  <c r="D10" i="2"/>
  <c r="G6" i="2"/>
  <c r="F6" i="2"/>
  <c r="E6" i="2"/>
  <c r="D6" i="2"/>
  <c r="H3" i="2"/>
  <c r="G3" i="2"/>
  <c r="F3" i="2"/>
  <c r="E3" i="2"/>
  <c r="D3" i="2"/>
  <c r="D35" i="4" l="1"/>
  <c r="H35" i="4" s="1"/>
  <c r="H37" i="4"/>
  <c r="D33" i="3"/>
  <c r="H33" i="3" s="1"/>
  <c r="H35" i="3"/>
  <c r="B3" i="5"/>
  <c r="Y6" i="5"/>
  <c r="BL7" i="5"/>
  <c r="BO8" i="5"/>
  <c r="AL8" i="5"/>
  <c r="AG6" i="5"/>
  <c r="BE6" i="5"/>
  <c r="AE6" i="5"/>
  <c r="BF8" i="5"/>
  <c r="BB6" i="5"/>
  <c r="AH8" i="5"/>
  <c r="G8" i="5"/>
  <c r="AU8" i="5"/>
  <c r="G2" i="5"/>
  <c r="AE8" i="5"/>
  <c r="U6" i="5"/>
  <c r="AR6" i="5"/>
  <c r="W7" i="5"/>
  <c r="AB6" i="5"/>
  <c r="AL7" i="5"/>
  <c r="BP8" i="5"/>
  <c r="AB8" i="5"/>
  <c r="BA8" i="5"/>
  <c r="AO8" i="5"/>
  <c r="AJ8" i="5"/>
  <c r="E2" i="5"/>
  <c r="K6" i="5"/>
  <c r="BJ8" i="5"/>
  <c r="AF6" i="5"/>
  <c r="P8" i="5"/>
  <c r="BL6" i="5"/>
  <c r="AE7" i="5"/>
  <c r="G6" i="5"/>
  <c r="BN6" i="5"/>
  <c r="V8" i="5"/>
  <c r="AT6" i="5"/>
  <c r="C8" i="5"/>
  <c r="BG8" i="5"/>
  <c r="Q8" i="5"/>
  <c r="J8" i="5"/>
  <c r="AK6" i="5"/>
  <c r="AI6" i="5"/>
  <c r="AX8" i="5"/>
  <c r="H7" i="5"/>
  <c r="U8" i="5"/>
  <c r="D8" i="5"/>
  <c r="BU6" i="5"/>
  <c r="BS6" i="5"/>
  <c r="AN7" i="5"/>
  <c r="D2" i="5"/>
  <c r="I7" i="5"/>
  <c r="F8" i="5"/>
  <c r="T7" i="5"/>
  <c r="M7" i="5"/>
  <c r="BO7" i="5"/>
  <c r="AO7" i="5"/>
  <c r="T6" i="5"/>
  <c r="BE8" i="5"/>
  <c r="L8" i="5"/>
  <c r="H3" i="5"/>
  <c r="AX7" i="5"/>
  <c r="AS7" i="5"/>
  <c r="AQ7" i="5"/>
  <c r="BF7" i="5"/>
  <c r="BE7" i="5"/>
  <c r="K7" i="5"/>
  <c r="H2" i="5"/>
  <c r="AN8" i="5"/>
  <c r="P6" i="5"/>
  <c r="BC6" i="5"/>
  <c r="BS7" i="5"/>
  <c r="BU7" i="5"/>
  <c r="G3" i="5"/>
  <c r="AH6" i="5"/>
  <c r="BI6" i="5"/>
  <c r="BV7" i="5"/>
  <c r="BQ8" i="5"/>
  <c r="AA8" i="5"/>
  <c r="I3" i="5"/>
  <c r="M8" i="5"/>
  <c r="BT8" i="5"/>
  <c r="BD8" i="5"/>
  <c r="Z7" i="5"/>
  <c r="BJ7" i="5"/>
  <c r="AW7" i="5"/>
  <c r="AX6" i="5"/>
  <c r="AK7" i="5"/>
  <c r="AM6" i="5"/>
  <c r="L7" i="5"/>
  <c r="AP6" i="5"/>
  <c r="J6" i="5"/>
  <c r="D3" i="5"/>
  <c r="S6" i="5"/>
  <c r="AJ7" i="5"/>
  <c r="D7" i="5"/>
  <c r="BC7" i="5"/>
  <c r="J7" i="5"/>
  <c r="AW6" i="5"/>
  <c r="BN7" i="5"/>
  <c r="E8" i="5"/>
  <c r="Z8" i="5"/>
  <c r="BA7" i="5"/>
  <c r="AD8" i="5"/>
  <c r="BR6" i="5"/>
  <c r="BB7" i="5"/>
  <c r="X8" i="5"/>
  <c r="AM8" i="5"/>
  <c r="L6" i="5"/>
  <c r="AM7" i="5"/>
  <c r="K8" i="5"/>
  <c r="BJ6" i="5"/>
  <c r="BM6" i="5"/>
  <c r="F3" i="5"/>
  <c r="AN6" i="5"/>
  <c r="I2" i="5"/>
  <c r="F7" i="5"/>
  <c r="BV8" i="5"/>
  <c r="C7" i="5"/>
  <c r="AT8" i="5"/>
  <c r="AU7" i="5"/>
  <c r="AC7" i="5"/>
  <c r="N6" i="5"/>
  <c r="BR8" i="5"/>
  <c r="AI7" i="5"/>
  <c r="O7" i="5"/>
  <c r="BD7" i="5"/>
  <c r="AV7" i="5"/>
  <c r="H8" i="5"/>
  <c r="BD6" i="5"/>
  <c r="BL8" i="5"/>
  <c r="Y8" i="5"/>
  <c r="I8" i="5"/>
  <c r="W8" i="5"/>
  <c r="S7" i="5"/>
  <c r="BH8" i="5"/>
  <c r="BB8" i="5"/>
  <c r="AA7" i="5"/>
  <c r="W6" i="5"/>
  <c r="BS8" i="5"/>
  <c r="S8" i="5"/>
  <c r="C6" i="5"/>
  <c r="D6" i="5"/>
  <c r="AR7" i="5"/>
  <c r="O8" i="5"/>
  <c r="BF6" i="5"/>
  <c r="R8" i="5"/>
  <c r="BH7" i="5"/>
  <c r="Y7" i="5"/>
  <c r="AA6" i="5"/>
  <c r="U7" i="5"/>
  <c r="BU8" i="5"/>
  <c r="AH7" i="5"/>
  <c r="BK7" i="5"/>
  <c r="BO6" i="5"/>
  <c r="BQ6" i="5"/>
  <c r="BT6" i="5"/>
  <c r="AS6" i="5"/>
  <c r="AQ8" i="5"/>
  <c r="AZ6" i="5"/>
  <c r="AI8" i="5"/>
  <c r="AJ6" i="5"/>
  <c r="AY7" i="5"/>
  <c r="AU6" i="5"/>
  <c r="X7" i="5"/>
  <c r="F6" i="5"/>
  <c r="AB7" i="5"/>
  <c r="AS8" i="5"/>
  <c r="BT7" i="5"/>
  <c r="BK8" i="5"/>
  <c r="AD6" i="5"/>
  <c r="BC8" i="5"/>
  <c r="Q7" i="5"/>
  <c r="AR8" i="5"/>
  <c r="N7" i="5"/>
  <c r="AV8" i="5"/>
  <c r="Z6" i="5"/>
  <c r="BK6" i="5"/>
  <c r="AD7" i="5"/>
  <c r="BG7" i="5"/>
  <c r="BH6" i="5"/>
  <c r="G7" i="5"/>
  <c r="BM8" i="5"/>
  <c r="AW8" i="5"/>
  <c r="BR7" i="5"/>
  <c r="V7" i="5"/>
  <c r="BM7" i="5"/>
  <c r="AP8" i="5"/>
  <c r="B9" i="5"/>
  <c r="AC6" i="5"/>
  <c r="BP7" i="5"/>
  <c r="AC8" i="5"/>
  <c r="BI8" i="5"/>
  <c r="AZ7" i="5"/>
  <c r="AF7" i="5"/>
  <c r="R6" i="5"/>
  <c r="T8" i="5"/>
  <c r="E3" i="5"/>
  <c r="AL6" i="5"/>
  <c r="AY8" i="5"/>
  <c r="M6" i="5"/>
  <c r="N8" i="5"/>
  <c r="I6" i="5"/>
  <c r="E6" i="5"/>
  <c r="AY6" i="5"/>
  <c r="BI7" i="5"/>
  <c r="BP6" i="5"/>
  <c r="BA6" i="5"/>
  <c r="AT7" i="5"/>
  <c r="P7" i="5"/>
  <c r="AP7" i="5"/>
  <c r="AV6" i="5"/>
  <c r="BV6" i="5"/>
  <c r="AF8" i="5"/>
  <c r="AG8" i="5"/>
  <c r="BG6" i="5"/>
  <c r="AK8" i="5"/>
  <c r="H6" i="5"/>
  <c r="AO6" i="5"/>
  <c r="AQ6" i="5"/>
  <c r="BQ7" i="5"/>
  <c r="V6" i="5"/>
  <c r="AG7" i="5"/>
  <c r="X6" i="5"/>
  <c r="R7" i="5"/>
  <c r="O6" i="5"/>
  <c r="F2" i="5"/>
  <c r="E7" i="5"/>
  <c r="AZ8" i="5"/>
  <c r="BN8" i="5"/>
  <c r="Q6" i="5"/>
  <c r="Q9" i="5" s="1"/>
  <c r="BH9" i="5"/>
  <c r="BK9" i="5"/>
  <c r="Z9" i="5"/>
  <c r="AD9" i="5"/>
  <c r="F9" i="5"/>
  <c r="AU9" i="5"/>
  <c r="AJ9" i="5"/>
  <c r="AZ9" i="5"/>
  <c r="AS9" i="5"/>
  <c r="BT9" i="5"/>
  <c r="BQ9" i="5"/>
  <c r="BO9" i="5"/>
  <c r="AA9" i="5"/>
  <c r="BF9" i="5"/>
  <c r="D9" i="5"/>
  <c r="C9" i="5"/>
  <c r="W9" i="5"/>
  <c r="BD9" i="5"/>
  <c r="N9" i="5"/>
  <c r="AN9" i="5"/>
  <c r="BM9" i="5"/>
  <c r="BJ9" i="5"/>
  <c r="L9" i="5"/>
  <c r="BR9" i="5"/>
  <c r="AW9" i="5"/>
  <c r="S9" i="5"/>
  <c r="J9" i="5"/>
  <c r="AP9" i="5"/>
  <c r="AM9" i="5"/>
  <c r="AX9" i="5"/>
  <c r="BI9" i="5"/>
  <c r="AH9" i="5"/>
  <c r="BC9" i="5"/>
  <c r="P9" i="5"/>
  <c r="BS9" i="5"/>
  <c r="K9" i="5"/>
  <c r="T9" i="5"/>
  <c r="G9" i="5"/>
  <c r="AE9" i="5"/>
  <c r="AI9" i="5"/>
  <c r="BB9" i="5"/>
  <c r="AB9" i="5"/>
  <c r="BU9" i="5"/>
  <c r="AK9" i="5"/>
  <c r="AT9" i="5"/>
  <c r="BN9" i="5"/>
  <c r="BL9" i="5"/>
  <c r="AF9" i="5"/>
  <c r="AR9" i="5"/>
  <c r="U9" i="5"/>
  <c r="BE9" i="5"/>
  <c r="AG9" i="5"/>
  <c r="Y9" i="5"/>
  <c r="R9" i="5"/>
  <c r="AC9" i="5"/>
  <c r="O9" i="5"/>
  <c r="X9" i="5"/>
  <c r="V9" i="5"/>
  <c r="AQ9" i="5"/>
  <c r="AO9" i="5"/>
  <c r="H9" i="5"/>
  <c r="BG9" i="5"/>
  <c r="BV9" i="5"/>
  <c r="AV9" i="5"/>
  <c r="BA9" i="5"/>
  <c r="BP9" i="5"/>
  <c r="AY9" i="5"/>
  <c r="E9" i="5"/>
  <c r="I9" i="5"/>
  <c r="M9" i="5"/>
  <c r="AL9" i="5"/>
  <c r="J36" i="3" l="1"/>
  <c r="K13" i="4"/>
  <c r="I13" i="8"/>
  <c r="I42" i="8"/>
  <c r="I43" i="8"/>
  <c r="K39" i="4"/>
  <c r="J34" i="3"/>
  <c r="H42" i="8"/>
  <c r="K36" i="4"/>
  <c r="K37" i="4"/>
  <c r="K10" i="4"/>
  <c r="H13" i="8"/>
  <c r="K38" i="4"/>
  <c r="I40" i="8"/>
  <c r="K37" i="3"/>
  <c r="K13" i="3"/>
  <c r="J13" i="2"/>
  <c r="J32" i="2"/>
  <c r="K34" i="3"/>
  <c r="I10" i="8"/>
  <c r="I41" i="8"/>
  <c r="J30" i="2"/>
  <c r="J33" i="2"/>
  <c r="J36" i="4"/>
  <c r="K35" i="3"/>
  <c r="K10" i="3"/>
  <c r="J39" i="4"/>
  <c r="H43" i="8"/>
  <c r="H41" i="8"/>
  <c r="H40" i="8"/>
  <c r="H10" i="8"/>
  <c r="J31" i="2"/>
  <c r="J10" i="2"/>
  <c r="K36" i="3"/>
  <c r="I33" i="2"/>
  <c r="J13" i="3"/>
  <c r="I13" i="2"/>
  <c r="I10" i="2"/>
  <c r="I31" i="2"/>
  <c r="J10" i="4"/>
  <c r="J37" i="4"/>
  <c r="J38" i="4"/>
  <c r="J13" i="4"/>
  <c r="J37" i="3"/>
  <c r="J35" i="3"/>
  <c r="J10" i="3"/>
  <c r="I32" i="2"/>
  <c r="I30" i="2"/>
</calcChain>
</file>

<file path=xl/sharedStrings.xml><?xml version="1.0" encoding="utf-8"?>
<sst xmlns="http://schemas.openxmlformats.org/spreadsheetml/2006/main" count="2520" uniqueCount="143">
  <si>
    <t>Autobusi</t>
  </si>
  <si>
    <t>Tramvaji</t>
  </si>
  <si>
    <t>Trolejbusi</t>
  </si>
  <si>
    <t xml:space="preserve">Periods </t>
  </si>
  <si>
    <t xml:space="preserve">Vienības </t>
  </si>
  <si>
    <t>skaits</t>
  </si>
  <si>
    <t>09.03.2021.- 31.03.2021.</t>
  </si>
  <si>
    <t>km</t>
  </si>
  <si>
    <t>EUR/km</t>
  </si>
  <si>
    <t>Informāciju aizpilda katra pašvaldība par pārvadājumu veidiem, kādi ir noteikti attiecīgā pilsētā</t>
  </si>
  <si>
    <t>Minibusi (ekspresbusi)</t>
  </si>
  <si>
    <t xml:space="preserve">Iesaistīto transportlīdzekļu vienības </t>
  </si>
  <si>
    <t>Sejas maskas</t>
  </si>
  <si>
    <t>01.03.2021.-31.03.2021.</t>
  </si>
  <si>
    <t>1.SADAĻA</t>
  </si>
  <si>
    <t>2.SADAĻA</t>
  </si>
  <si>
    <t>1.SADAĻĀ tiek aprēķināti faktiskie izdevumi, kas radušies saistībā ar atcelto reisu vai/un papildu reisu nodrošināšanu sakarā ar pakalpojuma apjoma ierobežošanu un 50% pasažieru piepildījuma noteikšanu</t>
  </si>
  <si>
    <t>Paskaidrojumi</t>
  </si>
  <si>
    <t xml:space="preserve">2.SADAĻĀ nosakāmi kopējie izdevumi par Covid-19 infekcijas ierobežošanas pasākumiem, kas izpildāmi atbilstoši MK 09.06.2020. noteikumiem Nr.360; MK 06.11.2020. rīkojumam Nr.655 </t>
  </si>
  <si>
    <r>
      <rPr>
        <u/>
        <sz val="11"/>
        <rFont val="Times New Roman"/>
        <family val="1"/>
        <charset val="186"/>
      </rPr>
      <t>Dezinfekcijas līdzekļi</t>
    </r>
    <r>
      <rPr>
        <sz val="11"/>
        <rFont val="Times New Roman"/>
        <family val="1"/>
        <charset val="186"/>
      </rPr>
      <t xml:space="preserve"> - roku higiēnai  šķidrās ziepes un roku susināšanas līdzekļi vai spirtu saturoši roku dezinfekcijas līdzekļi (kas satur vismaz 70 % etanola) - MK noteikumu Nr.360 7.1.punkts</t>
    </r>
  </si>
  <si>
    <r>
      <rPr>
        <u/>
        <sz val="11"/>
        <rFont val="Times New Roman"/>
        <family val="1"/>
        <charset val="186"/>
      </rPr>
      <t>Transportlīdzekļu dezinfekcija</t>
    </r>
    <r>
      <rPr>
        <sz val="11"/>
        <rFont val="Times New Roman"/>
        <family val="1"/>
        <charset val="186"/>
      </rPr>
      <t xml:space="preserve"> -  regulāra saimnieciskā vai publiskā pakalpojuma nodrošināšanai izmantotā transportlīdzekļa salona un kabīnes virsmu dezinfekcija - MK noteikumu Nr.360 7.5.punkts</t>
    </r>
  </si>
  <si>
    <r>
      <rPr>
        <u/>
        <sz val="11"/>
        <rFont val="Times New Roman"/>
        <family val="1"/>
        <charset val="186"/>
      </rPr>
      <t>Sejas maskas</t>
    </r>
    <r>
      <rPr>
        <sz val="11"/>
        <rFont val="Times New Roman"/>
        <family val="1"/>
        <charset val="186"/>
      </rPr>
      <t xml:space="preserve"> - sabiedriskajā transportlīdzeklī, ar kuru veic pasažieru komercpārvadājumus, transportlīdzekļa vadītāji, kuri nav atdalīti ar fizisku barjeru no pasažieriem, kā arī pasažieri, lieto mutes un deguna aizsegus - MK noteikumu Nr.360 6.3.</t>
    </r>
    <r>
      <rPr>
        <vertAlign val="superscript"/>
        <sz val="11"/>
        <rFont val="Times New Roman"/>
        <family val="1"/>
        <charset val="186"/>
      </rPr>
      <t>1</t>
    </r>
    <r>
      <rPr>
        <sz val="11"/>
        <rFont val="Times New Roman"/>
        <family val="1"/>
        <charset val="186"/>
      </rPr>
      <t>punkts</t>
    </r>
  </si>
  <si>
    <r>
      <rPr>
        <u/>
        <sz val="11"/>
        <rFont val="Times New Roman"/>
        <family val="1"/>
        <charset val="186"/>
      </rPr>
      <t xml:space="preserve">Transportlīdzekļu papildu mazgāšana </t>
    </r>
    <r>
      <rPr>
        <sz val="11"/>
        <rFont val="Times New Roman"/>
        <family val="1"/>
        <charset val="186"/>
      </rPr>
      <t>- veic regulāru telpu un virsmu, tai skaitā inventāra un darba aprīkojuma, tīrīšanu un dezinfekciju, īpašu uzmanību pievēršot virsmām un priekšmetiem, ar kuriem cilvēki bieži saskaras (piemēram, durvju rokturi, galdu virsmas, krēslu roku balsti, virsmas tualetēs, krāni) - MK noteikumu Nr.360 7.4.punkts.</t>
    </r>
  </si>
  <si>
    <t xml:space="preserve">Pašvaldībai ir pienākums pārliecināties par izmaksu pamatotību, to apjomu vai attiecināto apmēru. </t>
  </si>
  <si>
    <t>Tabulā iekļauj norādītajā laika periodā radušās pamatotās izmaksas, kas attiecināmas uz sabiedriskā transporta pakalpojuma izpildē noteiktajiem drošības pasākumiem Covid-19 infekcijas izplatības ierobežošanai.</t>
  </si>
  <si>
    <t>litri</t>
  </si>
  <si>
    <t>EUR/vien bez PVN</t>
  </si>
  <si>
    <t>3.SADAĻA</t>
  </si>
  <si>
    <t>09.03.2021.-31.03.2021.</t>
  </si>
  <si>
    <t>09.03.2019.-31.03.2019.</t>
  </si>
  <si>
    <t>EUR bez PVN</t>
  </si>
  <si>
    <t>3.SADAĻĀ nosakāma kopējā ietekme uz ieņēmumu apgrozījumu, ko radījusi Covid-19 infekcijas apkarošanā radītā iedzīvotāju mobilitātes ierobežošana, pakalpojuma apjoma ierobežošana, kā arī citi ārkārtējās situācijas laikā un pēc tās noteiktie ierobežojumi atsevišķām nozarēm</t>
  </si>
  <si>
    <r>
      <rPr>
        <u/>
        <sz val="11"/>
        <rFont val="Times New Roman"/>
        <family val="1"/>
        <charset val="186"/>
      </rPr>
      <t>1 km pašizmaksa</t>
    </r>
    <r>
      <rPr>
        <sz val="11"/>
        <rFont val="Times New Roman"/>
        <family val="1"/>
        <charset val="186"/>
      </rPr>
      <t xml:space="preserve"> - atbilstoši MK 28.07.2015. noteikumu Nr.435 3.pielikumā norādītās izmaksas, izņemot šajā tabulā 2.sadaļas izmaksas par Covid-19 pandēmijas ierobežošanas pasākumiem, dalītas ar faktisko nobraukumu</t>
    </r>
  </si>
  <si>
    <r>
      <rPr>
        <u/>
        <sz val="11"/>
        <rFont val="Times New Roman"/>
        <family val="1"/>
        <charset val="186"/>
      </rPr>
      <t>Sociālā distancēšanās sabiedriskā transportā</t>
    </r>
    <r>
      <rPr>
        <sz val="11"/>
        <rFont val="Times New Roman"/>
        <family val="1"/>
        <charset val="186"/>
      </rPr>
      <t xml:space="preserve"> - sabiedriskā transporta pārvadātājam organizēt iekāpšanu un izkāpšanu tā, lai pasažieru skaits transportīdzeklī nepārsniedz 50 % no tā ietilpības. Ja transportlīdzeklī tā specifikas dēļ nav iespējams kontrolēt pasažieru iekāpšanu un izkāpšanu, transportlīdzeklī tiek marķētas sēdvietas, nodrošinot distancēšanās prasību ievērošanu - MK rīkojuma Nr.655 5.42.punkts. Ar minētajām izmaksām saprot sēdvietu marķēšanu, dažādu tam nepieciešamo materiālu izmaksas, piktogrammu vai informācijas izvietošanu. </t>
    </r>
  </si>
  <si>
    <r>
      <rPr>
        <u/>
        <sz val="11"/>
        <rFont val="Times New Roman"/>
        <family val="1"/>
        <charset val="186"/>
      </rPr>
      <t>Citi izdevumi</t>
    </r>
    <r>
      <rPr>
        <sz val="11"/>
        <rFont val="Times New Roman"/>
        <family val="1"/>
        <charset val="186"/>
      </rPr>
      <t xml:space="preserve"> - minētajā rindā norādāmas pamatotās izmaksas, kas nepieciešamas Covid-19 infekcijas izplatības ierobežošanai, to starpā var būt citi materiāli, piemēram, cimdi, mitrās salvetes, atbilstoši MK noteikumu Nr.360 5.punktā noteiktās informācijas izplatīšanas izmaksas, u.c. izmaksas.</t>
    </r>
  </si>
  <si>
    <r>
      <rPr>
        <u/>
        <sz val="11"/>
        <rFont val="Times New Roman"/>
        <family val="1"/>
        <charset val="186"/>
      </rPr>
      <t>No pasažieriem, t.sk., personām, kurām noteikti pašvaldības noteiktie braukšanas maksas atvieglojumi, saņemtie ieņēmumi</t>
    </r>
    <r>
      <rPr>
        <sz val="11"/>
        <rFont val="Times New Roman"/>
        <family val="1"/>
        <charset val="186"/>
      </rPr>
      <t xml:space="preserve"> - norāda ieņēmumi no pārdotajām biļetēm un abonementa biļetēm, kurus pārvadātājs saņem no pasažiera. Norāda arī ieņēmumu daļu, ko maksā pasažieris, ja tam pašvaldība ir noteikusi braukšanas maksas atvieglojumus. </t>
    </r>
  </si>
  <si>
    <t xml:space="preserve">(A) No pasažieriem, t.sk., personām, kurām noteikti pašvaldības noteiktie braukšanas maksas atvieglojumi, saņemtie ieņēmumi par sniegto sabiedriskā transporta pakalpojumu </t>
  </si>
  <si>
    <t xml:space="preserve">(C) No pasažieriem, t.sk., personām, kurām noteikti pašvaldības noteiktie braukšanas maksas atvieglojumi, saņemtie ieņēmumi par sniegto sabiedriskā transporta pakalpojumu </t>
  </si>
  <si>
    <t xml:space="preserve">(D) Faktiskais nobraukums </t>
  </si>
  <si>
    <t xml:space="preserve">(Z) Pakalpojumi, pasākumi un materiāli Covid-19 pandēmijas ierobežošanai </t>
  </si>
  <si>
    <t xml:space="preserve">(K) Faktiskās izmaksas Covid-19 pandēmijas ierobežošanai, t.sk. </t>
  </si>
  <si>
    <t>KOPSUMMA (1 vienības cenas reizinājums ar preču/pakalpojumu skaitu; summa ( K x Z))</t>
  </si>
  <si>
    <t xml:space="preserve">(P) Plānotais nobraukums </t>
  </si>
  <si>
    <t xml:space="preserve">(Izm) 1 km pašizmaksa </t>
  </si>
  <si>
    <t>to starpā papildu reisi (RP)</t>
  </si>
  <si>
    <t>to starpā atceltie reisi (RA)</t>
  </si>
  <si>
    <t>to starpā papildu reisos veiktais nobraukums (NP)</t>
  </si>
  <si>
    <t>to starpā atcelto reisu nobraukums (NA)</t>
  </si>
  <si>
    <t>(S) Plānotais reisu skaits</t>
  </si>
  <si>
    <t xml:space="preserve">(R) Faktiskais reisu skaits (S + RP-RA) </t>
  </si>
  <si>
    <t>(N) Faktiskais nobraukums (P + NP-NA)</t>
  </si>
  <si>
    <t>KOPSUMMA ((N - P) x Izm)</t>
  </si>
  <si>
    <t xml:space="preserve">(N) Faktiskais nobraukums </t>
  </si>
  <si>
    <t>KOPSUMMA ((C/D-A/N) x N)</t>
  </si>
  <si>
    <t>Papīra dvieļi, ruļļi</t>
  </si>
  <si>
    <t>Pudeles izsmidzināšanai 650 ml, gab.</t>
  </si>
  <si>
    <t>Pudeles izsmidzināšanai 750 ml, gab.</t>
  </si>
  <si>
    <t>Roku dezinfekcijas līdzekļi, litri</t>
  </si>
  <si>
    <t xml:space="preserve">Virsmu dezinfekcijas līdzekļi , litri </t>
  </si>
  <si>
    <t>gabali</t>
  </si>
  <si>
    <t>ruļļi</t>
  </si>
  <si>
    <t>Roku dezinfekcijas līdzekļi</t>
  </si>
  <si>
    <t>Papīra dvieļi</t>
  </si>
  <si>
    <t xml:space="preserve">Virsmu dezinfekcijas līdzekļi </t>
  </si>
  <si>
    <t>Pudeles izsmidzināšanai 650 ml</t>
  </si>
  <si>
    <t>Pudeles izsmidzināšanai 750 ml</t>
  </si>
  <si>
    <t>Pārskats par sabiedriskā transporta pakalpojumos radītajiem izdevumiem un zaudējumiem
sakarā ar noteiktajiem ierobežojumiem Liepājas pilsētas maršrutos</t>
  </si>
  <si>
    <t>Pašvaldības atbildīgās personas vārds, uzvārds, kontaktinformācija un paraksts (Maija, Līne-Buce, 63425854)</t>
  </si>
  <si>
    <t xml:space="preserve">Pārskats par sabiedriskā transporta pakalpojumos radītajiem izdevumiem un zaudējumiem sakarā ar noteiktajiem ierobežojumiem Liepājas pilsētas maršrutos </t>
  </si>
  <si>
    <t>01.04.2021.- 30.04.2021.</t>
  </si>
  <si>
    <t>01.04.2021.-30.04.2021.</t>
  </si>
  <si>
    <t>Virsmu dezinfekcijas līdzekļi</t>
  </si>
  <si>
    <t>Roku un virsmu dezinfekcijas līdzeklis (4 litri)</t>
  </si>
  <si>
    <t>Cimdi lateksa</t>
  </si>
  <si>
    <t>pāris</t>
  </si>
  <si>
    <t xml:space="preserve">Sociālā distancēšanās sabiedriskā transportā </t>
  </si>
  <si>
    <t>Līmlente brīdinājuma</t>
  </si>
  <si>
    <t>01.04.2019.-30.04.2019.</t>
  </si>
  <si>
    <t>01.05.2021.- 31.05.2021.</t>
  </si>
  <si>
    <t>-</t>
  </si>
  <si>
    <t>Dezinfekcijas līdzekļi</t>
  </si>
  <si>
    <t>Cimdi gumijas</t>
  </si>
  <si>
    <t xml:space="preserve">Dezinfekcijas līdzekļi , litri </t>
  </si>
  <si>
    <t>Sejas maskas, gabali</t>
  </si>
  <si>
    <t>Cimdi gumijas, pāris</t>
  </si>
  <si>
    <t>Cimdi lateksa, gabali</t>
  </si>
  <si>
    <t>01.05.2021.-31.05.2021.</t>
  </si>
  <si>
    <t>01.05.2019.-31.05.2019.</t>
  </si>
  <si>
    <t>Pašvaldības atbildīgās personas vārds, uzvārds, kontaktinformācija un paraksts (Maija Līne-Buce, 63425854)</t>
  </si>
  <si>
    <t>servers_ATD/STIFSS</t>
  </si>
  <si>
    <t>[Edit View]</t>
  </si>
  <si>
    <t>[Swap]</t>
  </si>
  <si>
    <t>Autobusi + minibusi</t>
  </si>
  <si>
    <t xml:space="preserve">Pārskats par sabiedriskā transporta pakalpojumos radītajiem izdevumiem un zaudējumiem
sakarā ar noteiktajiem ierobežojumiem </t>
  </si>
  <si>
    <t>Rādītājs</t>
  </si>
  <si>
    <t>Vērtība</t>
  </si>
  <si>
    <t>Pārvadājumu veids</t>
  </si>
  <si>
    <t>Pilsēta</t>
  </si>
  <si>
    <t>1. Faktiskie izdevumi, kas radušies saistībā ar reisu atcelšanu vai papild reisu nodrošināšanu - KOPSUMMA ((N - P) x Izm)</t>
  </si>
  <si>
    <t>Autobuss</t>
  </si>
  <si>
    <t>2. Kopējie izdevumi par Covid-19 infekcijas ierobežošanas pasākumiem - KOPSUMMA (1 vienības cenas reizinājums ar preču/pakalpojumu skaitu; summa ( K x Z))</t>
  </si>
  <si>
    <t>3. Kopējā ietekme uz ieņēmumu apgrozījumu - KOPSUMMA ((C/D-A/N) x N)</t>
  </si>
  <si>
    <t>(A) No pasažieriem, t.sk., personām, kurām noteikti pašvaldības noteiktie braukšanas maksas atvieglojumi, saņemtie ieņēmumi par sniegto sabiedriskā transporta pakalpojumu - 09.03.2021.-31.03.2021.</t>
  </si>
  <si>
    <t>(N) Faktiskais nobraukums - 09.03.2021.-31.03.2021.</t>
  </si>
  <si>
    <t>(C) No pasažieriem, t.sk., personām, kurām noteikti pašvaldības noteiktie braukšanas maksas atvieglojumi, saņemtie ieņēmumi par sniegto sabiedriskā transporta pakalpojumu - 09.03.2019.-31.03.2019.</t>
  </si>
  <si>
    <t>(D) Faktiskais nobraukums - 09.03.2019.-31.03.2019.</t>
  </si>
  <si>
    <t>Aprīlis</t>
  </si>
  <si>
    <t>(A) No pasažieriem, t.sk., personām, kurām noteikti pašvaldības noteiktie braukšanas maksas atvieglojumi, saņemtie ieņēmumi par sniegto sabiedriskā transporta pakalpojumu - 01.04.2021.-30.04.2021.</t>
  </si>
  <si>
    <t>(N) Faktiskais nobraukums - 01.04.2021.-30.04.2021.</t>
  </si>
  <si>
    <t>(C) No pasažieriem, t.sk., personām, kurām noteikti pašvaldības noteiktie braukšanas maksas atvieglojumi, saņemtie ieņēmumi par sniegto sabiedriskā transporta pakalpojumu - 01.04.2019.-30.04.2019.</t>
  </si>
  <si>
    <t>(D) Faktiskais nobraukums - 01.04.2019.-30.04.2019.</t>
  </si>
  <si>
    <t>Maijs</t>
  </si>
  <si>
    <t>(A) No pasažieriem, t.sk., personām, kurām noteikti pašvaldības noteiktie braukšanas maksas atvieglojumi, saņemtie ieņēmumi par sniegto sabiedriskā transporta pakalpojumu - 01.05.2021.-31.05.2021.</t>
  </si>
  <si>
    <t>(N) Faktiskais nobraukums - 01.05.2021.-31.05.2021.</t>
  </si>
  <si>
    <t>(C) No pasažieriem, t.sk., personām, kurām noteikti pašvaldības noteiktie braukšanas maksas atvieglojumi, saņemtie ieņēmumi par sniegto sabiedriskā transporta pakalpojumu - 01.05.2019.-31.05.2019.</t>
  </si>
  <si>
    <t>(D) Faktiskais nobraukums - 01.05.2019.-31.05.2019.</t>
  </si>
  <si>
    <t>Jūnijs</t>
  </si>
  <si>
    <t>(A) No pasažieriem, t.sk., personām, kurām noteikti pašvaldības noteiktie braukšanas maksas atvieglojumi, saņemtie ieņēmumi par sniegto sabiedriskā transporta pakalpojumu - 01.06.2021.-30.06.2021.</t>
  </si>
  <si>
    <t>(N) Faktiskais nobraukums - 01.06.2021.-30.06.2021.</t>
  </si>
  <si>
    <t>(C) No pasažieriem, t.sk., personām, kurām noteikti pašvaldības noteiktie braukšanas maksas atvieglojumi, saņemtie ieņēmumi par sniegto sabiedriskā transporta pakalpojumu - 01.06.2019.-30.06.2019.</t>
  </si>
  <si>
    <t>(D) Faktiskais nobraukums - 01.06.2019.-30.06.2019.</t>
  </si>
  <si>
    <t>Liepāja</t>
  </si>
  <si>
    <t>Minibuss</t>
  </si>
  <si>
    <t>Tramvajs</t>
  </si>
  <si>
    <t>Row Labels</t>
  </si>
  <si>
    <t>Grand Total</t>
  </si>
  <si>
    <t>Column Labels</t>
  </si>
  <si>
    <t>Aprīlis Total</t>
  </si>
  <si>
    <t>Maijs Total</t>
  </si>
  <si>
    <t>09.03.2021.- 31.03.2021. Total</t>
  </si>
  <si>
    <t>Sum of Vērtība</t>
  </si>
  <si>
    <t>01.06.2021.- 30.06.2021.</t>
  </si>
  <si>
    <t>Dezinfekcijas līdzekļi Lideks OxyDez</t>
  </si>
  <si>
    <t>Dezinfekcijas līdzekļi Lideks-Spray</t>
  </si>
  <si>
    <t>Dezinfekcijas mazgāšanas līdzeklis</t>
  </si>
  <si>
    <t>Pudele ar smidzinātāju 750 ml</t>
  </si>
  <si>
    <t>Pudele ar smidzinātāju 650 ml</t>
  </si>
  <si>
    <t>Mitrinošs roku kopšanas līdzeklis ALCOHOL GEL, 500 ml</t>
  </si>
  <si>
    <t>Sejas maska 50gab.</t>
  </si>
  <si>
    <t>Sejas aizsargmaska medicīniska  50gab.</t>
  </si>
  <si>
    <t xml:space="preserve">Sejas aizsargmaska medicīniska  50gab./4 iepakojumi </t>
  </si>
  <si>
    <t>01.06.2019.-30.06.2019.</t>
  </si>
  <si>
    <t>Jūnijs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</si>
</sst>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quot;&quot;;;;&quot;DB: &quot;@"/>
    <numFmt numFmtId="166" formatCode="&quot;&quot;;;;&quot;Cube: PnL_&quot;"/>
    <numFmt numFmtId="167" formatCode=";;;"/>
  </numFmts>
  <fonts count="23" x14ac:knownFonts="1">
    <font>
      <sz val="11"/>
      <name val="Calibri"/>
      <family val="2"/>
    </font>
    <font>
      <sz val="11"/>
      <color theme="1"/>
      <name val="Calibri"/>
      <family val="2"/>
      <charset val="186"/>
      <scheme val="minor"/>
    </font>
    <font>
      <sz val="11"/>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vertAlign val="superscript"/>
      <sz val="11"/>
      <name val="Times New Roman"/>
      <family val="1"/>
      <charset val="186"/>
    </font>
    <font>
      <u/>
      <sz val="11"/>
      <name val="Times New Roman"/>
      <family val="1"/>
      <charset val="186"/>
    </font>
    <font>
      <b/>
      <sz val="14"/>
      <color theme="1"/>
      <name val="Times New Roman"/>
      <family val="1"/>
      <charset val="186"/>
    </font>
    <font>
      <sz val="9"/>
      <color rgb="FF004C93"/>
      <name val="Segoe UI"/>
      <family val="2"/>
    </font>
    <font>
      <sz val="11"/>
      <name val="Calibri"/>
      <family val="2"/>
    </font>
    <font>
      <b/>
      <sz val="9"/>
      <color rgb="FF004C93"/>
      <name val="Segoe UI"/>
      <family val="2"/>
      <charset val="186"/>
    </font>
    <font>
      <sz val="9"/>
      <color rgb="FF004C93"/>
      <name val="Segoe UI"/>
      <family val="2"/>
      <charset val="186"/>
    </font>
    <font>
      <sz val="9"/>
      <color theme="0"/>
      <name val="Segoe UI"/>
      <family val="2"/>
    </font>
    <font>
      <b/>
      <sz val="10"/>
      <color indexed="9"/>
      <name val="Arial"/>
      <family val="2"/>
    </font>
    <font>
      <sz val="10"/>
      <color indexed="9"/>
      <name val="Arial"/>
      <family val="2"/>
      <charset val="186"/>
    </font>
    <font>
      <sz val="9"/>
      <name val="Segoe UI"/>
      <family val="2"/>
    </font>
    <font>
      <i/>
      <sz val="9"/>
      <name val="Segoe UI"/>
      <family val="2"/>
    </font>
    <font>
      <b/>
      <sz val="12"/>
      <name val="Calibri"/>
      <family val="2"/>
      <charset val="186"/>
    </font>
    <font>
      <b/>
      <sz val="12"/>
      <name val="Times New Roman"/>
      <family val="1"/>
      <charset val="186"/>
    </font>
    <font>
      <sz val="8"/>
      <name val="Calibri"/>
      <family val="2"/>
    </font>
    <font>
      <b/>
      <sz val="11"/>
      <name val="Calibri"/>
      <family val="2"/>
      <charset val="186"/>
    </font>
    <font>
      <sz val="10"/>
      <name val="Calibri"/>
      <family val="2"/>
    </font>
  </fonts>
  <fills count="13">
    <fill>
      <patternFill patternType="none"/>
    </fill>
    <fill>
      <patternFill patternType="gray125"/>
    </fill>
    <fill>
      <patternFill patternType="solid">
        <fgColor theme="9" tint="0.79995117038483843"/>
        <bgColor indexed="64"/>
      </patternFill>
    </fill>
    <fill>
      <patternFill patternType="solid">
        <fgColor theme="7" tint="0.79995117038483843"/>
        <bgColor indexed="64"/>
      </patternFill>
    </fill>
    <fill>
      <patternFill patternType="solid">
        <fgColor theme="4" tint="0.79995117038483843"/>
        <bgColor indexed="64"/>
      </patternFill>
    </fill>
    <fill>
      <patternFill patternType="solid">
        <fgColor rgb="FFFFF2CC"/>
        <bgColor indexed="64"/>
      </patternFill>
    </fill>
    <fill>
      <patternFill patternType="solid">
        <fgColor rgb="FF0072AB"/>
        <bgColor indexed="64"/>
      </patternFill>
    </fill>
    <fill>
      <patternFill patternType="solid">
        <fgColor indexed="9"/>
        <bgColor indexed="64"/>
      </patternFill>
    </fill>
    <fill>
      <patternFill patternType="solid">
        <fgColor rgb="FFD2D2D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double">
        <color auto="1"/>
      </bottom>
      <diagonal/>
    </border>
    <border>
      <left/>
      <right/>
      <top/>
      <bottom style="thin">
        <color auto="1"/>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medium">
        <color auto="1"/>
      </left>
      <right/>
      <top style="medium">
        <color auto="1"/>
      </top>
      <bottom style="thin">
        <color auto="1"/>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medium">
        <color auto="1"/>
      </bottom>
      <diagonal/>
    </border>
    <border>
      <left/>
      <right style="thin">
        <color auto="1"/>
      </right>
      <top style="thin">
        <color auto="1"/>
      </top>
      <bottom style="thin">
        <color auto="1"/>
      </bottom>
      <diagonal/>
    </border>
    <border>
      <left/>
      <right/>
      <top/>
      <bottom style="thin">
        <color rgb="FFE8F7FE"/>
      </bottom>
      <diagonal/>
    </border>
    <border>
      <left/>
      <right/>
      <top style="thin">
        <color rgb="FFE8F7FE"/>
      </top>
      <bottom/>
      <diagonal/>
    </border>
    <border>
      <left style="thin">
        <color rgb="FFE8F7FE"/>
      </left>
      <right style="thin">
        <color rgb="FFE8F7FE"/>
      </right>
      <top style="thin">
        <color rgb="FFE8F7FE"/>
      </top>
      <bottom style="thin">
        <color rgb="FFE8F7FE"/>
      </bottom>
      <diagonal/>
    </border>
    <border>
      <left style="thin">
        <color theme="0"/>
      </left>
      <right style="thin">
        <color theme="0"/>
      </right>
      <top/>
      <bottom/>
      <diagonal/>
    </border>
    <border>
      <left/>
      <right/>
      <top/>
      <bottom style="hair">
        <color rgb="FF004C93"/>
      </bottom>
      <diagonal/>
    </border>
    <border>
      <left/>
      <right/>
      <top style="hair">
        <color rgb="FF004C93"/>
      </top>
      <bottom style="hair">
        <color rgb="FFE8F7FE"/>
      </bottom>
      <diagonal/>
    </border>
    <border>
      <left/>
      <right/>
      <top style="hair">
        <color rgb="FFD7F1FD"/>
      </top>
      <bottom/>
      <diagonal/>
    </border>
    <border>
      <left/>
      <right style="thin">
        <color theme="0"/>
      </right>
      <top style="hair">
        <color rgb="FFD7F1FD"/>
      </top>
      <bottom/>
      <diagonal/>
    </border>
    <border>
      <left/>
      <right/>
      <top style="thin">
        <color theme="0"/>
      </top>
      <bottom style="thin">
        <color theme="0"/>
      </bottom>
      <diagonal/>
    </border>
    <border>
      <left/>
      <right style="thin">
        <color theme="0"/>
      </right>
      <top style="thin">
        <color theme="0"/>
      </top>
      <bottom/>
      <diagonal/>
    </border>
    <border>
      <left style="medium">
        <color auto="1"/>
      </left>
      <right/>
      <top/>
      <bottom style="thin">
        <color auto="1"/>
      </bottom>
      <diagonal/>
    </border>
  </borders>
  <cellStyleXfs count="27">
    <xf numFmtId="0" fontId="0" fillId="0" borderId="0"/>
    <xf numFmtId="0" fontId="9" fillId="0" borderId="0">
      <alignment horizontal="center"/>
    </xf>
    <xf numFmtId="0" fontId="10" fillId="0" borderId="0"/>
    <xf numFmtId="0" fontId="9" fillId="0" borderId="31">
      <alignment horizontal="center"/>
    </xf>
    <xf numFmtId="0" fontId="9" fillId="0" borderId="32">
      <alignment horizontal="center"/>
    </xf>
    <xf numFmtId="0" fontId="13" fillId="6" borderId="33">
      <alignment horizontal="center" vertical="center"/>
    </xf>
    <xf numFmtId="0" fontId="9" fillId="0" borderId="0">
      <alignment horizontal="right"/>
    </xf>
    <xf numFmtId="167" fontId="14" fillId="0" borderId="34">
      <alignment horizontal="left"/>
    </xf>
    <xf numFmtId="0" fontId="9" fillId="0" borderId="0">
      <alignment horizontal="right"/>
    </xf>
    <xf numFmtId="167" fontId="9" fillId="0" borderId="34">
      <alignment horizontal="left"/>
    </xf>
    <xf numFmtId="0" fontId="9" fillId="0" borderId="35">
      <alignment horizontal="right"/>
    </xf>
    <xf numFmtId="0" fontId="9" fillId="0" borderId="36">
      <alignment horizontal="left"/>
    </xf>
    <xf numFmtId="3" fontId="16" fillId="7" borderId="37"/>
    <xf numFmtId="0" fontId="9" fillId="0" borderId="0">
      <alignment horizontal="right"/>
    </xf>
    <xf numFmtId="0" fontId="9" fillId="0" borderId="31">
      <alignment horizontal="left"/>
    </xf>
    <xf numFmtId="0" fontId="9" fillId="0" borderId="38">
      <alignment horizontal="left"/>
    </xf>
    <xf numFmtId="0" fontId="9" fillId="0" borderId="38">
      <alignment horizontal="left"/>
    </xf>
    <xf numFmtId="167" fontId="9" fillId="0" borderId="34">
      <alignment horizontal="left"/>
    </xf>
    <xf numFmtId="167" fontId="9" fillId="0" borderId="39"/>
    <xf numFmtId="167" fontId="9" fillId="0" borderId="40"/>
    <xf numFmtId="167" fontId="9" fillId="0" borderId="40"/>
    <xf numFmtId="0" fontId="9" fillId="0" borderId="0">
      <alignment horizontal="right"/>
    </xf>
    <xf numFmtId="0" fontId="9" fillId="0" borderId="0">
      <alignment horizontal="right"/>
    </xf>
    <xf numFmtId="3" fontId="17" fillId="8" borderId="0"/>
    <xf numFmtId="0" fontId="9" fillId="0" borderId="36">
      <alignment horizontal="left"/>
    </xf>
    <xf numFmtId="0" fontId="9" fillId="0" borderId="36">
      <alignment horizontal="left"/>
    </xf>
    <xf numFmtId="0" fontId="1" fillId="0" borderId="0"/>
  </cellStyleXfs>
  <cellXfs count="296">
    <xf numFmtId="0" fontId="0" fillId="0" borderId="0" xfId="0"/>
    <xf numFmtId="0" fontId="2" fillId="0" borderId="0" xfId="0" applyFont="1"/>
    <xf numFmtId="0" fontId="3" fillId="0" borderId="0" xfId="0" applyFont="1"/>
    <xf numFmtId="0" fontId="3" fillId="0" borderId="1" xfId="0" applyFont="1" applyBorder="1" applyAlignment="1">
      <alignment vertical="center"/>
    </xf>
    <xf numFmtId="0" fontId="5" fillId="0" borderId="0" xfId="0" applyFont="1"/>
    <xf numFmtId="0" fontId="5" fillId="0" borderId="0" xfId="0" applyFont="1" applyAlignment="1">
      <alignment horizontal="left" wrapText="1"/>
    </xf>
    <xf numFmtId="0" fontId="4" fillId="0" borderId="0" xfId="0" applyFont="1"/>
    <xf numFmtId="0" fontId="4" fillId="3" borderId="2" xfId="0" applyFont="1" applyFill="1" applyBorder="1"/>
    <xf numFmtId="0" fontId="4" fillId="3" borderId="3" xfId="0" applyFont="1" applyFill="1" applyBorder="1" applyAlignment="1">
      <alignment wrapText="1"/>
    </xf>
    <xf numFmtId="0" fontId="4" fillId="3" borderId="4" xfId="0" applyFont="1" applyFill="1" applyBorder="1" applyAlignment="1">
      <alignment horizontal="center"/>
    </xf>
    <xf numFmtId="2" fontId="4" fillId="3" borderId="4" xfId="0" applyNumberFormat="1" applyFont="1" applyFill="1" applyBorder="1" applyAlignment="1">
      <alignment horizontal="center"/>
    </xf>
    <xf numFmtId="2" fontId="4" fillId="3" borderId="5" xfId="0" applyNumberFormat="1" applyFont="1" applyFill="1" applyBorder="1" applyAlignment="1">
      <alignment horizontal="center"/>
    </xf>
    <xf numFmtId="0" fontId="3" fillId="2" borderId="2" xfId="0" applyFont="1" applyFill="1" applyBorder="1" applyAlignment="1">
      <alignment vertical="center"/>
    </xf>
    <xf numFmtId="0" fontId="3" fillId="0" borderId="6" xfId="0" applyFont="1" applyBorder="1" applyAlignment="1">
      <alignment vertical="center"/>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2" fillId="2" borderId="8" xfId="0" applyFont="1" applyFill="1" applyBorder="1"/>
    <xf numFmtId="0" fontId="2" fillId="2" borderId="8" xfId="0" applyFont="1" applyFill="1" applyBorder="1" applyAlignment="1">
      <alignment horizontal="right"/>
    </xf>
    <xf numFmtId="0" fontId="2" fillId="2" borderId="8" xfId="0" applyFont="1" applyFill="1" applyBorder="1" applyAlignment="1">
      <alignment horizontal="right" wrapText="1"/>
    </xf>
    <xf numFmtId="0" fontId="2" fillId="2" borderId="9" xfId="0" applyFont="1" applyFill="1" applyBorder="1"/>
    <xf numFmtId="0" fontId="2" fillId="2" borderId="10" xfId="0" applyFont="1" applyFill="1" applyBorder="1" applyAlignment="1">
      <alignment horizontal="center"/>
    </xf>
    <xf numFmtId="0" fontId="3" fillId="4" borderId="12" xfId="0" applyFont="1" applyFill="1" applyBorder="1"/>
    <xf numFmtId="0" fontId="2" fillId="4" borderId="11" xfId="0" applyFont="1" applyFill="1" applyBorder="1"/>
    <xf numFmtId="0" fontId="2" fillId="2" borderId="13" xfId="0" applyFont="1" applyFill="1" applyBorder="1" applyAlignment="1">
      <alignment wrapText="1"/>
    </xf>
    <xf numFmtId="0" fontId="3" fillId="2" borderId="3" xfId="0" applyFont="1" applyFill="1" applyBorder="1" applyAlignment="1">
      <alignment vertical="center"/>
    </xf>
    <xf numFmtId="0" fontId="3" fillId="2" borderId="4" xfId="0" applyFont="1" applyFill="1" applyBorder="1" applyAlignment="1">
      <alignment horizontal="center" vertical="center"/>
    </xf>
    <xf numFmtId="2" fontId="3" fillId="2" borderId="4" xfId="0" applyNumberFormat="1" applyFont="1" applyFill="1" applyBorder="1" applyAlignment="1">
      <alignment horizontal="center" vertical="center"/>
    </xf>
    <xf numFmtId="2" fontId="3" fillId="2" borderId="5"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2" borderId="12" xfId="0" applyFont="1" applyFill="1" applyBorder="1" applyAlignment="1">
      <alignment horizontal="center" wrapText="1"/>
    </xf>
    <xf numFmtId="0" fontId="3" fillId="4" borderId="16" xfId="0" applyFont="1" applyFill="1" applyBorder="1"/>
    <xf numFmtId="0" fontId="3" fillId="4" borderId="17" xfId="0" applyFont="1" applyFill="1" applyBorder="1"/>
    <xf numFmtId="4" fontId="3" fillId="4" borderId="17" xfId="0" applyNumberFormat="1" applyFont="1" applyFill="1" applyBorder="1" applyAlignment="1">
      <alignment horizontal="center"/>
    </xf>
    <xf numFmtId="4" fontId="3" fillId="4" borderId="18" xfId="0" applyNumberFormat="1" applyFont="1" applyFill="1" applyBorder="1" applyAlignment="1">
      <alignment horizontal="center"/>
    </xf>
    <xf numFmtId="0" fontId="2" fillId="4" borderId="8" xfId="0" applyFont="1" applyFill="1" applyBorder="1" applyAlignment="1">
      <alignment wrapText="1"/>
    </xf>
    <xf numFmtId="0" fontId="2" fillId="4" borderId="7" xfId="0" applyFont="1" applyFill="1" applyBorder="1"/>
    <xf numFmtId="0" fontId="2" fillId="4" borderId="9" xfId="0" applyFont="1" applyFill="1" applyBorder="1" applyAlignment="1">
      <alignment wrapText="1"/>
    </xf>
    <xf numFmtId="0" fontId="2" fillId="0" borderId="19" xfId="0" applyFont="1" applyBorder="1"/>
    <xf numFmtId="0" fontId="3" fillId="0" borderId="19" xfId="0" applyFont="1" applyBorder="1"/>
    <xf numFmtId="4" fontId="2" fillId="0" borderId="0" xfId="0" applyNumberFormat="1" applyFont="1"/>
    <xf numFmtId="4" fontId="2" fillId="4" borderId="1" xfId="0" applyNumberFormat="1" applyFont="1" applyFill="1" applyBorder="1" applyAlignment="1">
      <alignment horizontal="center" vertical="center"/>
    </xf>
    <xf numFmtId="4" fontId="2" fillId="4" borderId="10" xfId="0" applyNumberFormat="1" applyFont="1" applyFill="1" applyBorder="1" applyAlignment="1">
      <alignment horizontal="center" vertical="center"/>
    </xf>
    <xf numFmtId="4" fontId="2" fillId="4" borderId="0" xfId="0" applyNumberFormat="1" applyFont="1" applyFill="1" applyBorder="1" applyAlignment="1">
      <alignment horizontal="center" vertical="center"/>
    </xf>
    <xf numFmtId="0" fontId="2" fillId="4" borderId="1" xfId="0" applyFont="1" applyFill="1" applyBorder="1" applyAlignment="1">
      <alignment horizontal="center" vertical="center" wrapText="1"/>
    </xf>
    <xf numFmtId="0" fontId="5" fillId="0" borderId="0" xfId="0" applyFont="1"/>
    <xf numFmtId="0" fontId="5" fillId="5" borderId="13" xfId="0" applyFont="1" applyFill="1" applyBorder="1" applyAlignment="1">
      <alignment wrapText="1"/>
    </xf>
    <xf numFmtId="2" fontId="5" fillId="5" borderId="14" xfId="0" applyNumberFormat="1" applyFont="1" applyFill="1" applyBorder="1" applyAlignment="1">
      <alignment horizontal="center"/>
    </xf>
    <xf numFmtId="2" fontId="5" fillId="5" borderId="15" xfId="0" applyNumberFormat="1" applyFont="1" applyFill="1" applyBorder="1" applyAlignment="1">
      <alignment horizontal="center"/>
    </xf>
    <xf numFmtId="0" fontId="5" fillId="5" borderId="8" xfId="0" applyFont="1" applyFill="1" applyBorder="1" applyAlignment="1">
      <alignment horizontal="right"/>
    </xf>
    <xf numFmtId="1" fontId="5" fillId="5" borderId="1" xfId="0" applyNumberFormat="1" applyFont="1" applyFill="1" applyBorder="1" applyAlignment="1">
      <alignment horizontal="center"/>
    </xf>
    <xf numFmtId="2" fontId="5" fillId="5" borderId="1" xfId="0" applyNumberFormat="1" applyFont="1" applyFill="1" applyBorder="1" applyAlignment="1">
      <alignment horizontal="center"/>
    </xf>
    <xf numFmtId="2" fontId="5" fillId="5" borderId="7" xfId="0" applyNumberFormat="1" applyFont="1" applyFill="1" applyBorder="1" applyAlignment="1">
      <alignment horizontal="center"/>
    </xf>
    <xf numFmtId="0" fontId="5" fillId="5" borderId="8" xfId="0" applyFont="1" applyFill="1" applyBorder="1" applyAlignment="1">
      <alignment horizontal="right" wrapText="1"/>
    </xf>
    <xf numFmtId="0" fontId="5" fillId="5" borderId="16" xfId="0" applyFont="1" applyFill="1" applyBorder="1" applyAlignment="1">
      <alignment wrapText="1"/>
    </xf>
    <xf numFmtId="2" fontId="5" fillId="5" borderId="17" xfId="0" applyNumberFormat="1" applyFont="1" applyFill="1" applyBorder="1" applyAlignment="1">
      <alignment horizontal="center"/>
    </xf>
    <xf numFmtId="2" fontId="5" fillId="5" borderId="18" xfId="0" applyNumberFormat="1" applyFont="1" applyFill="1" applyBorder="1" applyAlignment="1">
      <alignment horizontal="center"/>
    </xf>
    <xf numFmtId="0" fontId="5" fillId="5" borderId="14" xfId="0" applyFont="1" applyFill="1" applyBorder="1" applyAlignment="1">
      <alignment vertical="center" wrapText="1"/>
    </xf>
    <xf numFmtId="0" fontId="5" fillId="5" borderId="1"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 xfId="0" applyFont="1" applyFill="1" applyBorder="1" applyAlignment="1">
      <alignment vertical="center" wrapText="1"/>
    </xf>
    <xf numFmtId="1" fontId="5" fillId="5" borderId="14" xfId="0" applyNumberFormat="1" applyFont="1" applyFill="1" applyBorder="1" applyAlignment="1">
      <alignment horizontal="center"/>
    </xf>
    <xf numFmtId="0" fontId="5" fillId="5" borderId="8" xfId="0" applyFont="1" applyFill="1" applyBorder="1" applyAlignment="1">
      <alignment horizontal="left" wrapText="1"/>
    </xf>
    <xf numFmtId="4" fontId="0" fillId="0" borderId="0" xfId="0" applyNumberFormat="1"/>
    <xf numFmtId="4" fontId="2" fillId="4" borderId="1" xfId="0" applyNumberFormat="1" applyFont="1" applyFill="1" applyBorder="1" applyAlignment="1">
      <alignment horizontal="center"/>
    </xf>
    <xf numFmtId="4" fontId="2" fillId="4" borderId="0" xfId="0" applyNumberFormat="1" applyFont="1" applyFill="1"/>
    <xf numFmtId="4" fontId="2" fillId="4" borderId="1" xfId="0" applyNumberFormat="1" applyFont="1" applyFill="1" applyBorder="1"/>
    <xf numFmtId="0" fontId="2" fillId="4" borderId="1" xfId="0" applyFont="1" applyFill="1" applyBorder="1"/>
    <xf numFmtId="4" fontId="2" fillId="4" borderId="10" xfId="0" applyNumberFormat="1" applyFont="1" applyFill="1" applyBorder="1" applyAlignment="1">
      <alignment horizontal="center"/>
    </xf>
    <xf numFmtId="4" fontId="2" fillId="4" borderId="10" xfId="0" applyNumberFormat="1" applyFont="1" applyFill="1" applyBorder="1"/>
    <xf numFmtId="4" fontId="2" fillId="2" borderId="14" xfId="0" applyNumberFormat="1" applyFont="1" applyFill="1" applyBorder="1" applyAlignment="1">
      <alignment horizontal="center"/>
    </xf>
    <xf numFmtId="4" fontId="2" fillId="2" borderId="14" xfId="0" applyNumberFormat="1" applyFont="1" applyFill="1" applyBorder="1" applyAlignment="1">
      <alignment horizontal="center" wrapText="1"/>
    </xf>
    <xf numFmtId="4" fontId="2" fillId="2" borderId="15" xfId="0" applyNumberFormat="1" applyFont="1" applyFill="1" applyBorder="1" applyAlignment="1">
      <alignment horizontal="center"/>
    </xf>
    <xf numFmtId="4" fontId="2" fillId="2" borderId="1" xfId="0" applyNumberFormat="1" applyFont="1" applyFill="1" applyBorder="1" applyAlignment="1">
      <alignment horizontal="center"/>
    </xf>
    <xf numFmtId="4" fontId="2" fillId="2" borderId="7" xfId="0" applyNumberFormat="1" applyFont="1" applyFill="1" applyBorder="1" applyAlignment="1">
      <alignment horizontal="center"/>
    </xf>
    <xf numFmtId="164" fontId="2" fillId="2" borderId="10" xfId="0" applyNumberFormat="1" applyFont="1" applyFill="1" applyBorder="1" applyAlignment="1">
      <alignment horizontal="center"/>
    </xf>
    <xf numFmtId="4" fontId="2" fillId="2" borderId="11" xfId="0" applyNumberFormat="1" applyFont="1" applyFill="1" applyBorder="1" applyAlignment="1">
      <alignment horizontal="center"/>
    </xf>
    <xf numFmtId="2" fontId="5" fillId="3" borderId="14" xfId="0" applyNumberFormat="1" applyFont="1" applyFill="1" applyBorder="1" applyAlignment="1">
      <alignment horizontal="center"/>
    </xf>
    <xf numFmtId="1" fontId="5" fillId="3" borderId="14" xfId="0" applyNumberFormat="1" applyFont="1" applyFill="1" applyBorder="1" applyAlignment="1">
      <alignment horizontal="center"/>
    </xf>
    <xf numFmtId="1" fontId="5" fillId="3" borderId="1" xfId="0" applyNumberFormat="1" applyFont="1" applyFill="1" applyBorder="1" applyAlignment="1">
      <alignment horizontal="center"/>
    </xf>
    <xf numFmtId="0" fontId="5" fillId="5" borderId="6" xfId="0" applyFont="1" applyFill="1" applyBorder="1" applyAlignment="1">
      <alignment vertical="center" wrapText="1"/>
    </xf>
    <xf numFmtId="0" fontId="5" fillId="5" borderId="24" xfId="0" applyFont="1" applyFill="1" applyBorder="1" applyAlignment="1">
      <alignment wrapText="1"/>
    </xf>
    <xf numFmtId="2" fontId="5" fillId="5" borderId="26" xfId="0" applyNumberFormat="1" applyFont="1" applyFill="1" applyBorder="1" applyAlignment="1">
      <alignment horizontal="center"/>
    </xf>
    <xf numFmtId="2" fontId="5" fillId="3" borderId="17" xfId="0" applyNumberFormat="1" applyFont="1" applyFill="1" applyBorder="1" applyAlignment="1">
      <alignment horizontal="center"/>
    </xf>
    <xf numFmtId="0" fontId="5" fillId="5" borderId="27" xfId="0" applyFont="1" applyFill="1" applyBorder="1" applyAlignment="1">
      <alignment horizontal="right"/>
    </xf>
    <xf numFmtId="2" fontId="5" fillId="5" borderId="28" xfId="0" applyNumberFormat="1" applyFont="1" applyFill="1" applyBorder="1" applyAlignment="1">
      <alignment horizontal="center"/>
    </xf>
    <xf numFmtId="2" fontId="5" fillId="3" borderId="1" xfId="0" applyNumberFormat="1" applyFont="1" applyFill="1" applyBorder="1" applyAlignment="1">
      <alignment horizontal="center"/>
    </xf>
    <xf numFmtId="2" fontId="5" fillId="5" borderId="30" xfId="0" applyNumberFormat="1" applyFont="1" applyFill="1" applyBorder="1" applyAlignment="1">
      <alignment horizontal="center"/>
    </xf>
    <xf numFmtId="0" fontId="3" fillId="4" borderId="14" xfId="0" applyFont="1" applyFill="1" applyBorder="1"/>
    <xf numFmtId="4" fontId="2" fillId="4" borderId="0" xfId="0" applyNumberFormat="1" applyFont="1" applyFill="1" applyAlignment="1">
      <alignment horizontal="center" vertical="center"/>
    </xf>
    <xf numFmtId="4" fontId="2" fillId="4" borderId="7" xfId="0" applyNumberFormat="1" applyFont="1" applyFill="1" applyBorder="1" applyAlignment="1">
      <alignment horizontal="center" vertical="center"/>
    </xf>
    <xf numFmtId="4" fontId="2" fillId="4" borderId="11" xfId="0" applyNumberFormat="1" applyFont="1" applyFill="1" applyBorder="1" applyAlignment="1">
      <alignment horizontal="center" vertical="center"/>
    </xf>
    <xf numFmtId="165" fontId="9" fillId="0" borderId="0" xfId="1" applyNumberFormat="1">
      <alignment horizontal="center"/>
    </xf>
    <xf numFmtId="0" fontId="10" fillId="0" borderId="0" xfId="2"/>
    <xf numFmtId="0" fontId="9" fillId="0" borderId="31" xfId="3">
      <alignment horizontal="center"/>
    </xf>
    <xf numFmtId="166" fontId="9" fillId="0" borderId="0" xfId="1" applyNumberFormat="1">
      <alignment horizontal="center"/>
    </xf>
    <xf numFmtId="0" fontId="11" fillId="0" borderId="32" xfId="4" applyFont="1" applyAlignment="1">
      <alignment horizontal="center" wrapText="1" shrinkToFit="1"/>
    </xf>
    <xf numFmtId="0" fontId="12" fillId="0" borderId="32" xfId="4" applyFont="1" applyAlignment="1">
      <alignment horizontal="center" wrapText="1" shrinkToFit="1"/>
    </xf>
    <xf numFmtId="0" fontId="13" fillId="6" borderId="33" xfId="5">
      <alignment horizontal="center" vertical="center"/>
    </xf>
    <xf numFmtId="0" fontId="9" fillId="0" borderId="0" xfId="1">
      <alignment horizontal="center"/>
    </xf>
    <xf numFmtId="0" fontId="12" fillId="0" borderId="0" xfId="6" applyFont="1" applyAlignment="1">
      <alignment horizontal="right" wrapText="1" shrinkToFit="1"/>
    </xf>
    <xf numFmtId="167" fontId="15" fillId="0" borderId="34" xfId="7" applyFont="1" applyAlignment="1">
      <alignment horizontal="left" wrapText="1" shrinkToFit="1"/>
    </xf>
    <xf numFmtId="0" fontId="12" fillId="0" borderId="0" xfId="8" applyFont="1" applyAlignment="1">
      <alignment horizontal="right" wrapText="1" shrinkToFit="1"/>
    </xf>
    <xf numFmtId="167" fontId="12" fillId="0" borderId="34" xfId="9" applyFont="1" applyAlignment="1">
      <alignment horizontal="left" wrapText="1" shrinkToFit="1"/>
    </xf>
    <xf numFmtId="0" fontId="12" fillId="0" borderId="35" xfId="10" applyFont="1" applyAlignment="1">
      <alignment horizontal="right" wrapText="1" shrinkToFit="1"/>
    </xf>
    <xf numFmtId="0" fontId="12" fillId="0" borderId="36" xfId="11" applyFont="1" applyAlignment="1">
      <alignment horizontal="left" indent="1"/>
    </xf>
    <xf numFmtId="3" fontId="16" fillId="7" borderId="37" xfId="12"/>
    <xf numFmtId="0" fontId="3" fillId="9" borderId="0" xfId="0" applyFont="1" applyFill="1"/>
    <xf numFmtId="2" fontId="3" fillId="9" borderId="0" xfId="0" applyNumberFormat="1" applyFont="1" applyFill="1"/>
    <xf numFmtId="0" fontId="2" fillId="9" borderId="0" xfId="0" applyFont="1" applyFill="1"/>
    <xf numFmtId="0" fontId="5" fillId="9" borderId="0" xfId="0" applyFont="1" applyFill="1"/>
    <xf numFmtId="4" fontId="3" fillId="9" borderId="0" xfId="0" applyNumberFormat="1" applyFont="1" applyFill="1"/>
    <xf numFmtId="4" fontId="2" fillId="9" borderId="0" xfId="0" applyNumberFormat="1" applyFont="1" applyFill="1"/>
    <xf numFmtId="3" fontId="2" fillId="0" borderId="0" xfId="0" applyNumberFormat="1" applyFont="1"/>
    <xf numFmtId="4" fontId="2" fillId="2" borderId="10" xfId="0" applyNumberFormat="1" applyFont="1" applyFill="1" applyBorder="1" applyAlignment="1">
      <alignment horizontal="center"/>
    </xf>
    <xf numFmtId="0" fontId="0" fillId="9" borderId="0" xfId="0" applyFill="1"/>
    <xf numFmtId="4" fontId="0" fillId="9" borderId="0" xfId="0" applyNumberFormat="1" applyFill="1"/>
    <xf numFmtId="3" fontId="0" fillId="0" borderId="0" xfId="0" applyNumberFormat="1"/>
    <xf numFmtId="0" fontId="0" fillId="9" borderId="0" xfId="0" applyFill="1" applyAlignment="1">
      <alignment wrapText="1"/>
    </xf>
    <xf numFmtId="0" fontId="2" fillId="10" borderId="1" xfId="0" applyFont="1" applyFill="1" applyBorder="1" applyAlignment="1">
      <alignment vertical="center" wrapText="1"/>
    </xf>
    <xf numFmtId="0" fontId="2" fillId="10" borderId="1" xfId="0" applyFont="1" applyFill="1" applyBorder="1" applyAlignment="1">
      <alignment vertical="center"/>
    </xf>
    <xf numFmtId="0" fontId="2" fillId="12" borderId="1" xfId="0" applyFont="1" applyFill="1" applyBorder="1" applyAlignment="1">
      <alignment horizontal="center" vertical="center" wrapText="1"/>
    </xf>
    <xf numFmtId="0" fontId="3" fillId="10" borderId="1" xfId="0" applyFont="1" applyFill="1" applyBorder="1" applyAlignment="1">
      <alignment vertical="center" wrapText="1"/>
    </xf>
    <xf numFmtId="0" fontId="3" fillId="10" borderId="1" xfId="0" applyFont="1" applyFill="1" applyBorder="1" applyAlignment="1">
      <alignment horizontal="center" vertical="center"/>
    </xf>
    <xf numFmtId="0" fontId="2" fillId="10" borderId="1" xfId="0" applyFont="1" applyFill="1" applyBorder="1" applyAlignment="1">
      <alignment wrapText="1"/>
    </xf>
    <xf numFmtId="0" fontId="2" fillId="10" borderId="1" xfId="0" applyFont="1" applyFill="1" applyBorder="1"/>
    <xf numFmtId="0" fontId="2" fillId="10" borderId="1" xfId="0" applyFont="1" applyFill="1" applyBorder="1" applyAlignment="1">
      <alignment horizontal="right"/>
    </xf>
    <xf numFmtId="0" fontId="2" fillId="10" borderId="1" xfId="0" applyFont="1" applyFill="1" applyBorder="1" applyAlignment="1">
      <alignment horizontal="right" wrapText="1"/>
    </xf>
    <xf numFmtId="0" fontId="4" fillId="11" borderId="1" xfId="0" applyFont="1" applyFill="1" applyBorder="1" applyAlignment="1">
      <alignment wrapText="1"/>
    </xf>
    <xf numFmtId="0" fontId="4" fillId="11" borderId="1" xfId="0" applyFont="1" applyFill="1" applyBorder="1" applyAlignment="1">
      <alignment horizontal="center"/>
    </xf>
    <xf numFmtId="0" fontId="5" fillId="5" borderId="1" xfId="0" applyFont="1" applyFill="1" applyBorder="1" applyAlignment="1">
      <alignment wrapText="1"/>
    </xf>
    <xf numFmtId="0" fontId="5" fillId="5" borderId="1" xfId="0" applyFont="1" applyFill="1" applyBorder="1" applyAlignment="1">
      <alignment horizontal="right"/>
    </xf>
    <xf numFmtId="0" fontId="5" fillId="5" borderId="1" xfId="0" applyFont="1" applyFill="1" applyBorder="1" applyAlignment="1">
      <alignment horizontal="right" wrapText="1"/>
    </xf>
    <xf numFmtId="0" fontId="2" fillId="12" borderId="1" xfId="0" applyFont="1" applyFill="1" applyBorder="1" applyAlignment="1">
      <alignment wrapText="1"/>
    </xf>
    <xf numFmtId="0" fontId="5" fillId="5" borderId="1" xfId="0" applyFont="1" applyFill="1" applyBorder="1" applyAlignment="1">
      <alignment horizontal="left" wrapText="1"/>
    </xf>
    <xf numFmtId="0" fontId="0" fillId="0" borderId="0" xfId="0" applyFill="1" applyBorder="1"/>
    <xf numFmtId="0" fontId="0" fillId="0" borderId="0" xfId="0" pivotButton="1"/>
    <xf numFmtId="0" fontId="1" fillId="0" borderId="0" xfId="26"/>
    <xf numFmtId="0" fontId="3" fillId="0" borderId="1" xfId="26" applyFont="1" applyBorder="1" applyAlignment="1">
      <alignment vertical="center"/>
    </xf>
    <xf numFmtId="0" fontId="3" fillId="0" borderId="6" xfId="26" applyFont="1" applyBorder="1" applyAlignment="1">
      <alignment vertical="center"/>
    </xf>
    <xf numFmtId="0" fontId="3" fillId="0" borderId="6" xfId="26" applyFont="1" applyBorder="1" applyAlignment="1">
      <alignment horizontal="center" vertical="center"/>
    </xf>
    <xf numFmtId="0" fontId="3" fillId="0" borderId="6" xfId="26" applyFont="1" applyBorder="1" applyAlignment="1">
      <alignment horizontal="center" vertical="center" wrapText="1"/>
    </xf>
    <xf numFmtId="0" fontId="3" fillId="2" borderId="2" xfId="26" applyFont="1" applyFill="1" applyBorder="1" applyAlignment="1">
      <alignment vertical="center"/>
    </xf>
    <xf numFmtId="0" fontId="3" fillId="2" borderId="3" xfId="26" applyFont="1" applyFill="1" applyBorder="1" applyAlignment="1">
      <alignment vertical="center"/>
    </xf>
    <xf numFmtId="0" fontId="3" fillId="2" borderId="4" xfId="26" applyFont="1" applyFill="1" applyBorder="1" applyAlignment="1">
      <alignment horizontal="center" vertical="center"/>
    </xf>
    <xf numFmtId="2" fontId="3" fillId="2" borderId="4" xfId="26" applyNumberFormat="1" applyFont="1" applyFill="1" applyBorder="1" applyAlignment="1">
      <alignment horizontal="center" vertical="center"/>
    </xf>
    <xf numFmtId="2" fontId="3" fillId="2" borderId="5" xfId="26" applyNumberFormat="1" applyFont="1" applyFill="1" applyBorder="1" applyAlignment="1">
      <alignment horizontal="center" vertical="center"/>
    </xf>
    <xf numFmtId="0" fontId="2" fillId="2" borderId="16" xfId="26" applyFont="1" applyFill="1" applyBorder="1" applyAlignment="1">
      <alignment wrapText="1"/>
    </xf>
    <xf numFmtId="4" fontId="2" fillId="2" borderId="17" xfId="26" applyNumberFormat="1" applyFont="1" applyFill="1" applyBorder="1" applyAlignment="1">
      <alignment horizontal="center"/>
    </xf>
    <xf numFmtId="4" fontId="2" fillId="2" borderId="17" xfId="26" applyNumberFormat="1" applyFont="1" applyFill="1" applyBorder="1" applyAlignment="1">
      <alignment horizontal="center" wrapText="1"/>
    </xf>
    <xf numFmtId="4" fontId="2" fillId="2" borderId="18" xfId="26" applyNumberFormat="1" applyFont="1" applyFill="1" applyBorder="1" applyAlignment="1">
      <alignment horizontal="center"/>
    </xf>
    <xf numFmtId="0" fontId="2" fillId="2" borderId="8" xfId="26" applyFont="1" applyFill="1" applyBorder="1"/>
    <xf numFmtId="4" fontId="2" fillId="2" borderId="1" xfId="26" applyNumberFormat="1" applyFont="1" applyFill="1" applyBorder="1" applyAlignment="1">
      <alignment horizontal="center"/>
    </xf>
    <xf numFmtId="3" fontId="2" fillId="2" borderId="1" xfId="26" applyNumberFormat="1" applyFont="1" applyFill="1" applyBorder="1" applyAlignment="1">
      <alignment horizontal="center"/>
    </xf>
    <xf numFmtId="4" fontId="2" fillId="2" borderId="7" xfId="26" applyNumberFormat="1" applyFont="1" applyFill="1" applyBorder="1" applyAlignment="1">
      <alignment horizontal="center"/>
    </xf>
    <xf numFmtId="0" fontId="2" fillId="2" borderId="8" xfId="26" applyFont="1" applyFill="1" applyBorder="1" applyAlignment="1">
      <alignment horizontal="right"/>
    </xf>
    <xf numFmtId="0" fontId="2" fillId="2" borderId="8" xfId="26" applyFont="1" applyFill="1" applyBorder="1" applyAlignment="1">
      <alignment horizontal="right" wrapText="1"/>
    </xf>
    <xf numFmtId="0" fontId="2" fillId="2" borderId="12" xfId="26" applyFont="1" applyFill="1" applyBorder="1" applyAlignment="1">
      <alignment horizontal="center" wrapText="1"/>
    </xf>
    <xf numFmtId="0" fontId="2" fillId="2" borderId="9" xfId="26" applyFont="1" applyFill="1" applyBorder="1"/>
    <xf numFmtId="0" fontId="2" fillId="2" borderId="10" xfId="26" applyFont="1" applyFill="1" applyBorder="1" applyAlignment="1">
      <alignment horizontal="center"/>
    </xf>
    <xf numFmtId="164" fontId="2" fillId="2" borderId="10" xfId="26" applyNumberFormat="1" applyFont="1" applyFill="1" applyBorder="1" applyAlignment="1">
      <alignment horizontal="center"/>
    </xf>
    <xf numFmtId="4" fontId="2" fillId="2" borderId="11" xfId="26" applyNumberFormat="1" applyFont="1" applyFill="1" applyBorder="1" applyAlignment="1">
      <alignment horizontal="center"/>
    </xf>
    <xf numFmtId="0" fontId="4" fillId="3" borderId="2" xfId="26" applyFont="1" applyFill="1" applyBorder="1"/>
    <xf numFmtId="0" fontId="4" fillId="3" borderId="3" xfId="26" applyFont="1" applyFill="1" applyBorder="1" applyAlignment="1">
      <alignment wrapText="1"/>
    </xf>
    <xf numFmtId="0" fontId="4" fillId="3" borderId="4" xfId="26" applyFont="1" applyFill="1" applyBorder="1" applyAlignment="1">
      <alignment horizontal="center"/>
    </xf>
    <xf numFmtId="2" fontId="4" fillId="3" borderId="4" xfId="26" applyNumberFormat="1" applyFont="1" applyFill="1" applyBorder="1" applyAlignment="1">
      <alignment horizontal="center"/>
    </xf>
    <xf numFmtId="2" fontId="4" fillId="3" borderId="5" xfId="26" applyNumberFormat="1" applyFont="1" applyFill="1" applyBorder="1" applyAlignment="1">
      <alignment horizontal="center"/>
    </xf>
    <xf numFmtId="0" fontId="5" fillId="5" borderId="16" xfId="26" applyFont="1" applyFill="1" applyBorder="1" applyAlignment="1">
      <alignment wrapText="1"/>
    </xf>
    <xf numFmtId="0" fontId="5" fillId="5" borderId="17" xfId="26" applyFont="1" applyFill="1" applyBorder="1" applyAlignment="1">
      <alignment vertical="center" wrapText="1"/>
    </xf>
    <xf numFmtId="2" fontId="5" fillId="5" borderId="17" xfId="26" applyNumberFormat="1" applyFont="1" applyFill="1" applyBorder="1" applyAlignment="1">
      <alignment horizontal="center"/>
    </xf>
    <xf numFmtId="2" fontId="5" fillId="3" borderId="17" xfId="26" applyNumberFormat="1" applyFont="1" applyFill="1" applyBorder="1" applyAlignment="1">
      <alignment horizontal="center"/>
    </xf>
    <xf numFmtId="2" fontId="5" fillId="5" borderId="18" xfId="26" applyNumberFormat="1" applyFont="1" applyFill="1" applyBorder="1" applyAlignment="1">
      <alignment horizontal="center"/>
    </xf>
    <xf numFmtId="0" fontId="5" fillId="5" borderId="8" xfId="26" applyFont="1" applyFill="1" applyBorder="1" applyAlignment="1">
      <alignment horizontal="right"/>
    </xf>
    <xf numFmtId="0" fontId="5" fillId="5" borderId="1" xfId="26" applyFont="1" applyFill="1" applyBorder="1" applyAlignment="1">
      <alignment vertical="center" wrapText="1"/>
    </xf>
    <xf numFmtId="2" fontId="5" fillId="5" borderId="14" xfId="26" applyNumberFormat="1" applyFont="1" applyFill="1" applyBorder="1" applyAlignment="1">
      <alignment horizontal="center"/>
    </xf>
    <xf numFmtId="1" fontId="5" fillId="3" borderId="14" xfId="26" applyNumberFormat="1" applyFont="1" applyFill="1" applyBorder="1" applyAlignment="1">
      <alignment horizontal="center"/>
    </xf>
    <xf numFmtId="2" fontId="5" fillId="5" borderId="15" xfId="26" applyNumberFormat="1" applyFont="1" applyFill="1" applyBorder="1" applyAlignment="1">
      <alignment horizontal="center"/>
    </xf>
    <xf numFmtId="0" fontId="5" fillId="3" borderId="8" xfId="26" applyFont="1" applyFill="1" applyBorder="1" applyAlignment="1">
      <alignment horizontal="right"/>
    </xf>
    <xf numFmtId="0" fontId="5" fillId="3" borderId="1" xfId="26" applyFont="1" applyFill="1" applyBorder="1" applyAlignment="1">
      <alignment vertical="center" wrapText="1"/>
    </xf>
    <xf numFmtId="2" fontId="5" fillId="3" borderId="14" xfId="26" applyNumberFormat="1" applyFont="1" applyFill="1" applyBorder="1" applyAlignment="1">
      <alignment horizontal="center"/>
    </xf>
    <xf numFmtId="2" fontId="5" fillId="3" borderId="15" xfId="26" applyNumberFormat="1" applyFont="1" applyFill="1" applyBorder="1" applyAlignment="1">
      <alignment horizontal="center"/>
    </xf>
    <xf numFmtId="2" fontId="5" fillId="3" borderId="1" xfId="26" applyNumberFormat="1" applyFont="1" applyFill="1" applyBorder="1" applyAlignment="1">
      <alignment horizontal="center"/>
    </xf>
    <xf numFmtId="1" fontId="5" fillId="3" borderId="1" xfId="26" applyNumberFormat="1" applyFont="1" applyFill="1" applyBorder="1" applyAlignment="1">
      <alignment horizontal="center"/>
    </xf>
    <xf numFmtId="0" fontId="5" fillId="3" borderId="6" xfId="26" applyFont="1" applyFill="1" applyBorder="1" applyAlignment="1">
      <alignment vertical="center" wrapText="1"/>
    </xf>
    <xf numFmtId="2" fontId="5" fillId="3" borderId="7" xfId="26" applyNumberFormat="1" applyFont="1" applyFill="1" applyBorder="1" applyAlignment="1">
      <alignment horizontal="center"/>
    </xf>
    <xf numFmtId="2" fontId="5" fillId="3" borderId="1" xfId="26" applyNumberFormat="1" applyFont="1" applyFill="1" applyBorder="1" applyAlignment="1">
      <alignment horizontal="center" vertical="center"/>
    </xf>
    <xf numFmtId="0" fontId="2" fillId="3" borderId="8" xfId="26" applyFont="1" applyFill="1" applyBorder="1" applyAlignment="1">
      <alignment horizontal="right"/>
    </xf>
    <xf numFmtId="0" fontId="2" fillId="3" borderId="1" xfId="26" applyFont="1" applyFill="1" applyBorder="1" applyAlignment="1">
      <alignment horizontal="center" vertical="center"/>
    </xf>
    <xf numFmtId="0" fontId="2" fillId="3" borderId="1" xfId="26" applyFont="1" applyFill="1" applyBorder="1"/>
    <xf numFmtId="0" fontId="2" fillId="3" borderId="9" xfId="26" applyFont="1" applyFill="1" applyBorder="1" applyAlignment="1">
      <alignment horizontal="right"/>
    </xf>
    <xf numFmtId="0" fontId="5" fillId="3" borderId="10" xfId="26" applyFont="1" applyFill="1" applyBorder="1" applyAlignment="1">
      <alignment vertical="center" wrapText="1"/>
    </xf>
    <xf numFmtId="0" fontId="2" fillId="3" borderId="10" xfId="26" applyFont="1" applyFill="1" applyBorder="1" applyAlignment="1">
      <alignment horizontal="center" vertical="center"/>
    </xf>
    <xf numFmtId="0" fontId="2" fillId="3" borderId="10" xfId="26" applyFont="1" applyFill="1" applyBorder="1"/>
    <xf numFmtId="2" fontId="5" fillId="3" borderId="11" xfId="26" applyNumberFormat="1" applyFont="1" applyFill="1" applyBorder="1" applyAlignment="1">
      <alignment horizontal="center"/>
    </xf>
    <xf numFmtId="0" fontId="5" fillId="5" borderId="41" xfId="26" applyFont="1" applyFill="1" applyBorder="1" applyAlignment="1">
      <alignment wrapText="1"/>
    </xf>
    <xf numFmtId="2" fontId="5" fillId="5" borderId="28" xfId="26" applyNumberFormat="1" applyFont="1" applyFill="1" applyBorder="1" applyAlignment="1">
      <alignment horizontal="center"/>
    </xf>
    <xf numFmtId="2" fontId="5" fillId="5" borderId="30" xfId="26" applyNumberFormat="1" applyFont="1" applyFill="1" applyBorder="1" applyAlignment="1">
      <alignment horizontal="center"/>
    </xf>
    <xf numFmtId="2" fontId="5" fillId="5" borderId="1" xfId="26" applyNumberFormat="1" applyFont="1" applyFill="1" applyBorder="1" applyAlignment="1">
      <alignment horizontal="center"/>
    </xf>
    <xf numFmtId="2" fontId="5" fillId="5" borderId="7" xfId="26" applyNumberFormat="1" applyFont="1" applyFill="1" applyBorder="1" applyAlignment="1">
      <alignment horizontal="center"/>
    </xf>
    <xf numFmtId="0" fontId="5" fillId="5" borderId="27" xfId="26" applyFont="1" applyFill="1" applyBorder="1" applyAlignment="1">
      <alignment horizontal="right"/>
    </xf>
    <xf numFmtId="0" fontId="3" fillId="4" borderId="12" xfId="26" applyFont="1" applyFill="1" applyBorder="1"/>
    <xf numFmtId="0" fontId="3" fillId="4" borderId="16" xfId="26" applyFont="1" applyFill="1" applyBorder="1"/>
    <xf numFmtId="0" fontId="3" fillId="4" borderId="17" xfId="26" applyFont="1" applyFill="1" applyBorder="1"/>
    <xf numFmtId="4" fontId="3" fillId="4" borderId="17" xfId="26" applyNumberFormat="1" applyFont="1" applyFill="1" applyBorder="1" applyAlignment="1">
      <alignment horizontal="center"/>
    </xf>
    <xf numFmtId="4" fontId="3" fillId="4" borderId="18" xfId="26" applyNumberFormat="1" applyFont="1" applyFill="1" applyBorder="1" applyAlignment="1">
      <alignment horizontal="center"/>
    </xf>
    <xf numFmtId="0" fontId="2" fillId="4" borderId="8" xfId="26" applyFont="1" applyFill="1" applyBorder="1" applyAlignment="1">
      <alignment wrapText="1"/>
    </xf>
    <xf numFmtId="0" fontId="2" fillId="4" borderId="1" xfId="26" applyFont="1" applyFill="1" applyBorder="1" applyAlignment="1">
      <alignment horizontal="center" vertical="center" wrapText="1"/>
    </xf>
    <xf numFmtId="4" fontId="2" fillId="4" borderId="1" xfId="26" applyNumberFormat="1" applyFont="1" applyFill="1" applyBorder="1" applyAlignment="1">
      <alignment horizontal="center" vertical="center"/>
    </xf>
    <xf numFmtId="4" fontId="2" fillId="4" borderId="0" xfId="26" applyNumberFormat="1" applyFont="1" applyFill="1" applyAlignment="1">
      <alignment horizontal="center" vertical="center"/>
    </xf>
    <xf numFmtId="4" fontId="2" fillId="4" borderId="7" xfId="26" applyNumberFormat="1" applyFont="1" applyFill="1" applyBorder="1" applyAlignment="1">
      <alignment horizontal="center" vertical="center"/>
    </xf>
    <xf numFmtId="0" fontId="2" fillId="4" borderId="9" xfId="26" applyFont="1" applyFill="1" applyBorder="1" applyAlignment="1">
      <alignment wrapText="1"/>
    </xf>
    <xf numFmtId="0" fontId="2" fillId="4" borderId="10" xfId="26" applyFont="1" applyFill="1" applyBorder="1" applyAlignment="1">
      <alignment horizontal="center" vertical="center" wrapText="1"/>
    </xf>
    <xf numFmtId="4" fontId="2" fillId="4" borderId="10" xfId="26" applyNumberFormat="1" applyFont="1" applyFill="1" applyBorder="1" applyAlignment="1">
      <alignment horizontal="center" vertical="center"/>
    </xf>
    <xf numFmtId="4" fontId="2" fillId="4" borderId="11" xfId="26" applyNumberFormat="1" applyFont="1" applyFill="1" applyBorder="1" applyAlignment="1">
      <alignment horizontal="center" vertical="center"/>
    </xf>
    <xf numFmtId="0" fontId="2" fillId="0" borderId="0" xfId="26" applyFont="1"/>
    <xf numFmtId="0" fontId="3" fillId="0" borderId="19" xfId="26" applyFont="1" applyBorder="1"/>
    <xf numFmtId="0" fontId="2" fillId="0" borderId="19" xfId="26" applyFont="1" applyBorder="1"/>
    <xf numFmtId="0" fontId="5" fillId="0" borderId="0" xfId="26" applyFont="1"/>
    <xf numFmtId="0" fontId="4" fillId="0" borderId="0" xfId="26" applyFont="1"/>
    <xf numFmtId="0" fontId="0" fillId="0" borderId="1" xfId="0" applyFill="1" applyBorder="1"/>
    <xf numFmtId="4" fontId="5" fillId="0" borderId="1" xfId="0" applyNumberFormat="1" applyFont="1" applyFill="1" applyBorder="1"/>
    <xf numFmtId="0" fontId="5" fillId="5" borderId="1" xfId="26" applyFont="1" applyFill="1" applyBorder="1" applyAlignment="1">
      <alignment wrapText="1"/>
    </xf>
    <xf numFmtId="0" fontId="5" fillId="5" borderId="1" xfId="26" applyFont="1" applyFill="1" applyBorder="1" applyAlignment="1">
      <alignment horizontal="right"/>
    </xf>
    <xf numFmtId="0" fontId="5" fillId="3" borderId="1" xfId="26" applyFont="1" applyFill="1" applyBorder="1" applyAlignment="1">
      <alignment horizontal="right"/>
    </xf>
    <xf numFmtId="0" fontId="2" fillId="3" borderId="1" xfId="26" applyFont="1" applyFill="1" applyBorder="1" applyAlignment="1">
      <alignment horizontal="right"/>
    </xf>
    <xf numFmtId="4" fontId="0" fillId="0" borderId="1" xfId="0" applyNumberFormat="1" applyBorder="1"/>
    <xf numFmtId="0" fontId="0" fillId="0" borderId="0" xfId="0" applyAlignment="1">
      <alignment wrapText="1"/>
    </xf>
    <xf numFmtId="0" fontId="0" fillId="0" borderId="0" xfId="0" applyFill="1"/>
    <xf numFmtId="4" fontId="5" fillId="0" borderId="0" xfId="0" applyNumberFormat="1" applyFont="1" applyFill="1"/>
    <xf numFmtId="4" fontId="5" fillId="0" borderId="1" xfId="0" applyNumberFormat="1" applyFont="1" applyFill="1" applyBorder="1" applyAlignment="1">
      <alignment horizontal="center"/>
    </xf>
    <xf numFmtId="1" fontId="5" fillId="0" borderId="1" xfId="0" applyNumberFormat="1" applyFont="1" applyFill="1" applyBorder="1" applyAlignment="1">
      <alignment horizontal="center"/>
    </xf>
    <xf numFmtId="2" fontId="5" fillId="0" borderId="1" xfId="0" applyNumberFormat="1" applyFont="1" applyFill="1" applyBorder="1" applyAlignment="1">
      <alignment horizontal="center"/>
    </xf>
    <xf numFmtId="4" fontId="2" fillId="0" borderId="1" xfId="0" applyNumberFormat="1" applyFont="1" applyFill="1" applyBorder="1" applyAlignment="1">
      <alignment horizontal="center"/>
    </xf>
    <xf numFmtId="4" fontId="3" fillId="0" borderId="1" xfId="0" applyNumberFormat="1" applyFont="1" applyFill="1" applyBorder="1" applyAlignment="1">
      <alignment horizontal="center" vertical="center"/>
    </xf>
    <xf numFmtId="4" fontId="4" fillId="0" borderId="1" xfId="0" applyNumberFormat="1" applyFont="1" applyFill="1" applyBorder="1"/>
    <xf numFmtId="4" fontId="0" fillId="0" borderId="1" xfId="0" applyNumberFormat="1" applyFill="1" applyBorder="1"/>
    <xf numFmtId="0" fontId="18" fillId="0" borderId="1" xfId="0" applyFont="1" applyBorder="1" applyAlignment="1">
      <alignment horizontal="center"/>
    </xf>
    <xf numFmtId="4" fontId="19" fillId="0" borderId="1" xfId="0" applyNumberFormat="1" applyFont="1" applyFill="1" applyBorder="1" applyAlignment="1">
      <alignment horizontal="center"/>
    </xf>
    <xf numFmtId="0" fontId="18" fillId="0" borderId="1" xfId="0" applyFont="1" applyFill="1" applyBorder="1" applyAlignment="1">
      <alignment horizontal="center"/>
    </xf>
    <xf numFmtId="0" fontId="2" fillId="10" borderId="1" xfId="0" applyFont="1" applyFill="1" applyBorder="1" applyAlignment="1">
      <alignment horizontal="center"/>
    </xf>
    <xf numFmtId="2" fontId="4" fillId="0" borderId="1" xfId="0" applyNumberFormat="1" applyFont="1" applyFill="1" applyBorder="1" applyAlignment="1">
      <alignment horizontal="center"/>
    </xf>
    <xf numFmtId="4" fontId="4" fillId="0" borderId="1" xfId="0" applyNumberFormat="1" applyFont="1" applyFill="1" applyBorder="1" applyAlignment="1">
      <alignment horizontal="center"/>
    </xf>
    <xf numFmtId="0" fontId="3" fillId="12" borderId="1" xfId="0" applyFont="1" applyFill="1" applyBorder="1" applyAlignment="1">
      <alignment wrapText="1"/>
    </xf>
    <xf numFmtId="0" fontId="3" fillId="12" borderId="1" xfId="0" applyFont="1" applyFill="1" applyBorder="1"/>
    <xf numFmtId="4" fontId="3" fillId="0" borderId="1" xfId="0" applyNumberFormat="1" applyFont="1" applyFill="1" applyBorder="1" applyAlignment="1">
      <alignment horizontal="center"/>
    </xf>
    <xf numFmtId="4" fontId="21" fillId="0" borderId="1" xfId="0" applyNumberFormat="1" applyFont="1" applyFill="1" applyBorder="1"/>
    <xf numFmtId="0" fontId="0" fillId="0" borderId="1" xfId="0" applyBorder="1" applyAlignment="1">
      <alignment horizontal="left" wrapText="1"/>
    </xf>
    <xf numFmtId="4" fontId="0" fillId="0" borderId="1" xfId="0" applyNumberFormat="1" applyBorder="1" applyAlignment="1">
      <alignment wrapText="1"/>
    </xf>
    <xf numFmtId="4" fontId="21" fillId="0" borderId="1" xfId="0" applyNumberFormat="1" applyFont="1" applyBorder="1"/>
    <xf numFmtId="0" fontId="22" fillId="0" borderId="0" xfId="0" applyFont="1" applyAlignment="1">
      <alignment horizontal="left"/>
    </xf>
    <xf numFmtId="4" fontId="22" fillId="0" borderId="0" xfId="0" applyNumberFormat="1" applyFont="1" applyAlignment="1">
      <alignment wrapText="1"/>
    </xf>
    <xf numFmtId="4" fontId="22" fillId="0" borderId="0" xfId="0" applyNumberFormat="1" applyFont="1"/>
    <xf numFmtId="0" fontId="22" fillId="0" borderId="0" xfId="0" applyFont="1"/>
    <xf numFmtId="3" fontId="1" fillId="0" borderId="0" xfId="26" applyNumberFormat="1"/>
    <xf numFmtId="4" fontId="1" fillId="0" borderId="0" xfId="26" applyNumberFormat="1"/>
    <xf numFmtId="0" fontId="5" fillId="0" borderId="0" xfId="0" applyFont="1" applyAlignment="1">
      <alignment horizontal="left" wrapText="1"/>
    </xf>
    <xf numFmtId="0" fontId="8" fillId="0" borderId="20" xfId="0" applyFont="1" applyBorder="1" applyAlignment="1">
      <alignment horizontal="center" wrapText="1"/>
    </xf>
    <xf numFmtId="0" fontId="2" fillId="2" borderId="6"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2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wrapText="1"/>
    </xf>
    <xf numFmtId="0" fontId="2" fillId="0" borderId="0" xfId="0" applyFont="1" applyAlignment="1">
      <alignment horizontal="left" wrapText="1"/>
    </xf>
    <xf numFmtId="0" fontId="5" fillId="5" borderId="2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5" fillId="0" borderId="0" xfId="0" applyFont="1" applyAlignment="1">
      <alignment horizontal="left" vertical="center" wrapText="1"/>
    </xf>
    <xf numFmtId="0" fontId="5" fillId="5" borderId="25" xfId="0" applyFont="1" applyFill="1" applyBorder="1" applyAlignment="1">
      <alignment horizontal="center" vertical="center" wrapText="1"/>
    </xf>
    <xf numFmtId="0" fontId="5" fillId="5" borderId="29" xfId="0" applyFont="1" applyFill="1" applyBorder="1" applyAlignment="1">
      <alignment horizontal="center" vertical="center" wrapText="1"/>
    </xf>
    <xf numFmtId="0" fontId="5" fillId="0" borderId="0" xfId="26" applyFont="1" applyAlignment="1">
      <alignment horizontal="left" wrapText="1"/>
    </xf>
    <xf numFmtId="0" fontId="5" fillId="0" borderId="0" xfId="26" applyFont="1" applyAlignment="1">
      <alignment horizontal="left" vertical="center" wrapText="1"/>
    </xf>
    <xf numFmtId="0" fontId="8" fillId="0" borderId="20" xfId="26" applyFont="1" applyBorder="1" applyAlignment="1">
      <alignment horizontal="center" wrapText="1"/>
    </xf>
    <xf numFmtId="0" fontId="2" fillId="2" borderId="2" xfId="26" applyFont="1" applyFill="1" applyBorder="1" applyAlignment="1">
      <alignment horizontal="center" vertical="center" wrapText="1"/>
    </xf>
    <xf numFmtId="0" fontId="2" fillId="2" borderId="22" xfId="26" applyFont="1" applyFill="1" applyBorder="1" applyAlignment="1">
      <alignment horizontal="center" vertical="center" wrapText="1"/>
    </xf>
    <xf numFmtId="0" fontId="2" fillId="2" borderId="23" xfId="26" applyFont="1" applyFill="1" applyBorder="1" applyAlignment="1">
      <alignment horizontal="center" vertical="center" wrapText="1"/>
    </xf>
    <xf numFmtId="0" fontId="2" fillId="2" borderId="25" xfId="26" applyFont="1" applyFill="1" applyBorder="1" applyAlignment="1">
      <alignment horizontal="center" vertical="center" wrapText="1"/>
    </xf>
    <xf numFmtId="0" fontId="2" fillId="2" borderId="21" xfId="26" applyFont="1" applyFill="1" applyBorder="1" applyAlignment="1">
      <alignment horizontal="center" vertical="center" wrapText="1"/>
    </xf>
    <xf numFmtId="0" fontId="2" fillId="2" borderId="14" xfId="26" applyFont="1" applyFill="1" applyBorder="1" applyAlignment="1">
      <alignment horizontal="center" vertical="center" wrapText="1"/>
    </xf>
    <xf numFmtId="0" fontId="2" fillId="2" borderId="6" xfId="26" applyFont="1" applyFill="1" applyBorder="1" applyAlignment="1">
      <alignment horizontal="center" vertical="center"/>
    </xf>
    <xf numFmtId="0" fontId="2" fillId="2" borderId="21" xfId="26" applyFont="1" applyFill="1" applyBorder="1" applyAlignment="1">
      <alignment horizontal="center" vertical="center"/>
    </xf>
    <xf numFmtId="0" fontId="2" fillId="2" borderId="14" xfId="26" applyFont="1" applyFill="1" applyBorder="1" applyAlignment="1">
      <alignment horizontal="center" vertical="center"/>
    </xf>
    <xf numFmtId="0" fontId="5" fillId="3" borderId="2" xfId="26" applyFont="1" applyFill="1" applyBorder="1" applyAlignment="1">
      <alignment horizontal="center" vertical="center" wrapText="1"/>
    </xf>
    <xf numFmtId="0" fontId="5" fillId="3" borderId="22" xfId="26" applyFont="1" applyFill="1" applyBorder="1" applyAlignment="1">
      <alignment horizontal="center" vertical="center" wrapText="1"/>
    </xf>
    <xf numFmtId="0" fontId="5" fillId="3" borderId="23" xfId="26" applyFont="1" applyFill="1" applyBorder="1" applyAlignment="1">
      <alignment horizontal="center" vertical="center" wrapText="1"/>
    </xf>
    <xf numFmtId="0" fontId="5" fillId="5" borderId="21" xfId="26" applyFont="1" applyFill="1" applyBorder="1" applyAlignment="1">
      <alignment horizontal="center" vertical="center" wrapText="1"/>
    </xf>
    <xf numFmtId="0" fontId="5" fillId="5" borderId="29" xfId="26" applyFont="1" applyFill="1" applyBorder="1" applyAlignment="1">
      <alignment horizontal="center" vertical="center" wrapText="1"/>
    </xf>
    <xf numFmtId="0" fontId="2" fillId="4" borderId="2" xfId="26" applyFont="1" applyFill="1" applyBorder="1" applyAlignment="1">
      <alignment horizontal="center" vertical="center" wrapText="1"/>
    </xf>
    <xf numFmtId="0" fontId="2" fillId="4" borderId="23" xfId="26" applyFont="1" applyFill="1" applyBorder="1" applyAlignment="1">
      <alignment horizontal="center" vertical="center" wrapText="1"/>
    </xf>
    <xf numFmtId="0" fontId="2" fillId="0" borderId="0" xfId="26" applyFont="1" applyAlignment="1">
      <alignment horizontal="left" wrapText="1"/>
    </xf>
    <xf numFmtId="0" fontId="18" fillId="0" borderId="0" xfId="0" applyFont="1" applyAlignment="1">
      <alignment horizontal="center" wrapText="1"/>
    </xf>
  </cellXfs>
  <cellStyles count="27">
    <cellStyle name="____page" xfId="5" xr:uid="{01DC1C88-0AD7-469C-A5E9-076A4139C3EE}"/>
    <cellStyle name="___col1" xfId="13" xr:uid="{DF925135-C015-4CA7-B9B5-4890398D5DD7}"/>
    <cellStyle name="___col2" xfId="8" xr:uid="{FFAB3BE2-2481-4742-87B7-10821B334287}"/>
    <cellStyle name="___col3" xfId="6" xr:uid="{A9D159FF-5EC8-4D86-84AF-30F5E1469BC2}"/>
    <cellStyle name="___page" xfId="3" xr:uid="{B67E3159-722B-4D94-A154-454C35678F09}"/>
    <cellStyle name="___row1" xfId="14" xr:uid="{C4750394-C75A-4893-8B7C-7D7629014888}"/>
    <cellStyle name="___row2" xfId="15" xr:uid="{7FD7D10E-1E07-46BB-A0CE-F30E0CB4A157}"/>
    <cellStyle name="___row3" xfId="16" xr:uid="{B6E72410-0404-488D-9426-FE9FBA59DBDC}"/>
    <cellStyle name="__col1" xfId="17" xr:uid="{0031AB4C-613B-4A84-B56E-526FE931ECFA}"/>
    <cellStyle name="__col2" xfId="9" xr:uid="{C43D7F2C-FC6E-4F98-A838-359066C79AC3}"/>
    <cellStyle name="__col3" xfId="7" xr:uid="{1145CACA-7ADB-4847-B56B-5919CD5EC779}"/>
    <cellStyle name="__page" xfId="1" xr:uid="{9FFC3510-A4E0-4F62-9246-8B7349F9253E}"/>
    <cellStyle name="__row1" xfId="18" xr:uid="{2F0108B0-ECB7-4734-9114-3A69AFB4DF34}"/>
    <cellStyle name="__row2" xfId="19" xr:uid="{DB659733-B14F-4EAE-8E13-93C84EF2480C}"/>
    <cellStyle name="__row3" xfId="20" xr:uid="{85491F54-90CC-4A6F-ABCA-747002228510}"/>
    <cellStyle name="_col1" xfId="10" xr:uid="{55FF8386-7D6D-4024-8477-43E02270542D}"/>
    <cellStyle name="_col2" xfId="21" xr:uid="{0F9C38DC-0860-4404-B4D0-01ACCBF09B93}"/>
    <cellStyle name="_col3" xfId="22" xr:uid="{CD8332B8-3F32-4985-9C98-7D853D621416}"/>
    <cellStyle name="_data" xfId="12" xr:uid="{51AF4642-DBB3-4527-907F-7C3442FD6E04}"/>
    <cellStyle name="_freeze" xfId="23" xr:uid="{83FC24E9-122B-4431-8DEE-E140D6881D5A}"/>
    <cellStyle name="_page" xfId="4" xr:uid="{C6B4FE00-9340-4F59-A2F7-F893AAA6EE3F}"/>
    <cellStyle name="_row1" xfId="11" xr:uid="{AE514642-E534-49AF-9A68-674CD5AC5D09}"/>
    <cellStyle name="_row2" xfId="24" xr:uid="{64171CF6-9F56-42BD-A37A-13751F264252}"/>
    <cellStyle name="_row3" xfId="25" xr:uid="{0B8E56FC-3CB2-423B-9D56-8CFB11F4AE37}"/>
    <cellStyle name="Normal" xfId="0" builtinId="0" customBuiltin="1"/>
    <cellStyle name="Normal 2" xfId="2" xr:uid="{44E13075-548A-4B3E-978C-C95BF689A2FC}"/>
    <cellStyle name="Normal 3" xfId="26" xr:uid="{3277D717-39A5-441E-9C2C-AFDA49D68225}"/>
  </cellStyles>
  <dxfs count="13">
    <dxf>
      <font>
        <b/>
        <charset val="186"/>
      </font>
    </dxf>
    <dxf>
      <font>
        <sz val="10"/>
      </font>
    </dxf>
    <dxf>
      <font>
        <sz val="10"/>
      </font>
    </dxf>
    <dxf>
      <font>
        <b/>
        <charset val="186"/>
      </font>
    </dxf>
    <dxf>
      <font>
        <b/>
        <charset val="186"/>
      </font>
    </dxf>
    <dxf>
      <font>
        <b/>
        <charset val="186"/>
      </font>
    </dxf>
    <dxf>
      <font>
        <b/>
        <charset val="186"/>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numFmt numFmtId="4" formatCode="#,##0.00"/>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lze Pence" refreshedDate="44407.452418634261" createdVersion="7" refreshedVersion="7" minRefreshableVersion="3" recordCount="432" xr:uid="{7EE6C348-089D-4FB3-835C-A77F14C98A26}">
  <cacheSource type="worksheet">
    <worksheetSource ref="B5:G437" sheet="PIVOT"/>
  </cacheSource>
  <cacheFields count="6">
    <cacheField name="Rādītājs" numFmtId="0">
      <sharedItems count="62">
        <s v="1. Faktiskie izdevumi, kas radušies saistībā ar reisu atcelšanu vai papild reisu nodrošināšanu - KOPSUMMA ((N - P) x Izm)"/>
        <s v="Iesaistīto transportlīdzekļu vienības "/>
        <s v="(S) Plānotais reisu skaits"/>
        <s v="(R) Faktiskais reisu skaits (S + RP-RA) "/>
        <s v="to starpā papildu reisi (RP)"/>
        <s v="to starpā atceltie reisi (RA)"/>
        <s v="(P) Plānotais nobraukums "/>
        <s v="(N) Faktiskais nobraukums (P + NP-NA)"/>
        <s v="to starpā papildu reisos veiktais nobraukums (NP)"/>
        <s v="to starpā atcelto reisu nobraukums (NA)"/>
        <s v="(Izm) 1 km pašizmaksa "/>
        <s v="2. Kopējie izdevumi par Covid-19 infekcijas ierobežošanas pasākumiem - KOPSUMMA (1 vienības cenas reizinājums ar preču/pakalpojumu skaitu; summa ( K x Z))"/>
        <s v="(Z) Pakalpojumi, pasākumi un materiāli Covid-19 pandēmijas ierobežošanai "/>
        <s v="Roku dezinfekcijas līdzekļi"/>
        <s v="Virsmu dezinfekcijas līdzekļi "/>
        <s v="Sejas maskas"/>
        <s v="Papīra dvieļi"/>
        <s v="Pudeles izsmidzināšanai 650 ml"/>
        <s v="Pudeles izsmidzināšanai 750 ml"/>
        <s v="(K) Faktiskās izmaksas Covid-19 pandēmijas ierobežošanai, t.sk. "/>
        <s v="Roku dezinfekcijas līdzekļi, litri"/>
        <s v="Virsmu dezinfekcijas līdzekļi , litri "/>
        <s v="Papīra dvieļi, ruļļi"/>
        <s v="Pudeles izsmidzināšanai 650 ml, gab."/>
        <s v="Pudeles izsmidzināšanai 750 ml, gab."/>
        <s v="3. Kopējā ietekme uz ieņēmumu apgrozījumu - KOPSUMMA ((C/D-A/N) x N)"/>
        <s v="(A) No pasažieriem, t.sk., personām, kurām noteikti pašvaldības noteiktie braukšanas maksas atvieglojumi, saņemtie ieņēmumi par sniegto sabiedriskā transporta pakalpojumu - 09.03.2021.-31.03.2021."/>
        <s v="(N) Faktiskais nobraukums - 09.03.2021.-31.03.2021."/>
        <s v="(C) No pasažieriem, t.sk., personām, kurām noteikti pašvaldības noteiktie braukšanas maksas atvieglojumi, saņemtie ieņēmumi par sniegto sabiedriskā transporta pakalpojumu - 09.03.2019.-31.03.2019."/>
        <s v="(D) Faktiskais nobraukums - 09.03.2019.-31.03.2019."/>
        <s v="Virsmu dezinfekcijas līdzekļi"/>
        <s v="Roku un virsmu dezinfekcijas līdzeklis (4 litri)"/>
        <s v="Cimdi lateksa"/>
        <s v="Sociālā distancēšanās sabiedriskā transportā "/>
        <s v="Līmlente brīdinājuma"/>
        <s v="(A) No pasažieriem, t.sk., personām, kurām noteikti pašvaldības noteiktie braukšanas maksas atvieglojumi, saņemtie ieņēmumi par sniegto sabiedriskā transporta pakalpojumu - 01.04.2021.-30.04.2021."/>
        <s v="(N) Faktiskais nobraukums - 01.04.2021.-30.04.2021."/>
        <s v="(C) No pasažieriem, t.sk., personām, kurām noteikti pašvaldības noteiktie braukšanas maksas atvieglojumi, saņemtie ieņēmumi par sniegto sabiedriskā transporta pakalpojumu - 01.04.2019.-30.04.2019."/>
        <s v="(D) Faktiskais nobraukums - 01.04.2019.-30.04.2019."/>
        <s v="Dezinfekcijas līdzekļi"/>
        <s v="Cimdi gumijas"/>
        <s v="Dezinfekcijas līdzekļi , litri "/>
        <s v="Sejas maskas, gabali"/>
        <s v="Cimdi gumijas, pāris"/>
        <s v="Cimdi lateksa, gabali"/>
        <s v="(A) No pasažieriem, t.sk., personām, kurām noteikti pašvaldības noteiktie braukšanas maksas atvieglojumi, saņemtie ieņēmumi par sniegto sabiedriskā transporta pakalpojumu - 01.05.2021.-31.05.2021."/>
        <s v="(N) Faktiskais nobraukums - 01.05.2021.-31.05.2021."/>
        <s v="(C) No pasažieriem, t.sk., personām, kurām noteikti pašvaldības noteiktie braukšanas maksas atvieglojumi, saņemtie ieņēmumi par sniegto sabiedriskā transporta pakalpojumu - 01.05.2019.-31.05.2019."/>
        <s v="(D) Faktiskais nobraukums - 01.05.2019.-31.05.2019."/>
        <s v="Dezinfekcijas līdzekļi Lideks OxyDez"/>
        <s v="Dezinfekcijas līdzekļi Lideks-Spray"/>
        <s v="Dezinfekcijas mazgāšanas līdzeklis"/>
        <s v="Pudele ar smidzinātāju 750 ml"/>
        <s v="Pudele ar smidzinātāju 650 ml"/>
        <s v="Mitrinošs roku kopšanas līdzeklis ALCOHOL GEL, 500 ml"/>
        <s v="Sejas maska 50gab."/>
        <s v="Sejas aizsargmaska medicīniska  50gab."/>
        <s v="Sejas aizsargmaska medicīniska  50gab./4 iepakojumi "/>
        <s v="(A) No pasažieriem, t.sk., personām, kurām noteikti pašvaldības noteiktie braukšanas maksas atvieglojumi, saņemtie ieņēmumi par sniegto sabiedriskā transporta pakalpojumu - 01.06.2021.-30.06.2021."/>
        <s v="(N) Faktiskais nobraukums - 01.06.2021.-30.06.2021."/>
        <s v="(C) No pasažieriem, t.sk., personām, kurām noteikti pašvaldības noteiktie braukšanas maksas atvieglojumi, saņemtie ieņēmumi par sniegto sabiedriskā transporta pakalpojumu - 01.06.2019.-30.06.2019."/>
        <s v="(D) Faktiskais nobraukums - 01.06.2019.-30.06.2019."/>
      </sharedItems>
    </cacheField>
    <cacheField name="Vienības " numFmtId="0">
      <sharedItems containsBlank="1"/>
    </cacheField>
    <cacheField name="Vērtība" numFmtId="0">
      <sharedItems containsString="0" containsBlank="1" containsNumber="1" minValue="-1180.2300999999975" maxValue="248946.66900000008"/>
    </cacheField>
    <cacheField name="Pārvadājumu veids" numFmtId="0">
      <sharedItems count="3">
        <s v="Autobuss"/>
        <s v="Minibuss"/>
        <s v="Tramvajs"/>
      </sharedItems>
    </cacheField>
    <cacheField name="Pilsēta" numFmtId="0">
      <sharedItems/>
    </cacheField>
    <cacheField name="Periods " numFmtId="0">
      <sharedItems count="4">
        <s v="09.03.2021.- 31.03.2021."/>
        <s v="Aprīlis"/>
        <s v="Maijs"/>
        <s v="Jūnij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32">
  <r>
    <x v="0"/>
    <m/>
    <n v="-553.35571200001482"/>
    <x v="0"/>
    <s v="Liepāja"/>
    <x v="0"/>
  </r>
  <r>
    <x v="1"/>
    <s v="skaits"/>
    <n v="43"/>
    <x v="0"/>
    <s v="Liepāja"/>
    <x v="0"/>
  </r>
  <r>
    <x v="2"/>
    <s v="skaits"/>
    <n v="10201"/>
    <x v="0"/>
    <s v="Liepāja"/>
    <x v="0"/>
  </r>
  <r>
    <x v="3"/>
    <s v="skaits"/>
    <n v="10165"/>
    <x v="0"/>
    <s v="Liepāja"/>
    <x v="0"/>
  </r>
  <r>
    <x v="4"/>
    <s v="skaits"/>
    <n v="0"/>
    <x v="0"/>
    <s v="Liepāja"/>
    <x v="0"/>
  </r>
  <r>
    <x v="5"/>
    <s v="skaits"/>
    <n v="36"/>
    <x v="0"/>
    <s v="Liepāja"/>
    <x v="0"/>
  </r>
  <r>
    <x v="6"/>
    <s v="km"/>
    <n v="146665.04"/>
    <x v="0"/>
    <s v="Liepāja"/>
    <x v="0"/>
  </r>
  <r>
    <x v="7"/>
    <s v="km"/>
    <n v="146317.28"/>
    <x v="0"/>
    <s v="Liepāja"/>
    <x v="0"/>
  </r>
  <r>
    <x v="8"/>
    <s v="km"/>
    <n v="0"/>
    <x v="0"/>
    <s v="Liepāja"/>
    <x v="0"/>
  </r>
  <r>
    <x v="9"/>
    <s v="km"/>
    <n v="347.76"/>
    <x v="0"/>
    <s v="Liepāja"/>
    <x v="0"/>
  </r>
  <r>
    <x v="10"/>
    <s v="EUR/km"/>
    <n v="1.5911999999999999"/>
    <x v="0"/>
    <s v="Liepāja"/>
    <x v="0"/>
  </r>
  <r>
    <x v="0"/>
    <m/>
    <n v="-685.55852399999742"/>
    <x v="1"/>
    <s v="Liepāja"/>
    <x v="0"/>
  </r>
  <r>
    <x v="1"/>
    <s v="skaits"/>
    <n v="13"/>
    <x v="1"/>
    <s v="Liepāja"/>
    <x v="0"/>
  </r>
  <r>
    <x v="2"/>
    <s v="skaits"/>
    <n v="6814"/>
    <x v="1"/>
    <s v="Liepāja"/>
    <x v="0"/>
  </r>
  <r>
    <x v="3"/>
    <s v="skaits"/>
    <n v="6706"/>
    <x v="1"/>
    <s v="Liepāja"/>
    <x v="0"/>
  </r>
  <r>
    <x v="4"/>
    <s v="skaits"/>
    <n v="0"/>
    <x v="1"/>
    <s v="Liepāja"/>
    <x v="0"/>
  </r>
  <r>
    <x v="5"/>
    <s v="skaits"/>
    <n v="108"/>
    <x v="1"/>
    <s v="Liepāja"/>
    <x v="0"/>
  </r>
  <r>
    <x v="6"/>
    <s v="km"/>
    <n v="65745.289999999994"/>
    <x v="1"/>
    <s v="Liepāja"/>
    <x v="0"/>
  </r>
  <r>
    <x v="7"/>
    <s v="km"/>
    <n v="64902.77"/>
    <x v="1"/>
    <s v="Liepāja"/>
    <x v="0"/>
  </r>
  <r>
    <x v="8"/>
    <s v="km"/>
    <n v="0"/>
    <x v="1"/>
    <s v="Liepāja"/>
    <x v="0"/>
  </r>
  <r>
    <x v="9"/>
    <s v="km"/>
    <n v="842.52"/>
    <x v="1"/>
    <s v="Liepāja"/>
    <x v="0"/>
  </r>
  <r>
    <x v="10"/>
    <s v="EUR/km"/>
    <n v="0.81369999999999998"/>
    <x v="1"/>
    <s v="Liepāja"/>
    <x v="0"/>
  </r>
  <r>
    <x v="0"/>
    <m/>
    <n v="0"/>
    <x v="2"/>
    <s v="Liepāja"/>
    <x v="0"/>
  </r>
  <r>
    <x v="1"/>
    <s v="skaits"/>
    <n v="20"/>
    <x v="2"/>
    <s v="Liepāja"/>
    <x v="0"/>
  </r>
  <r>
    <x v="2"/>
    <s v="skaits"/>
    <n v="6084"/>
    <x v="2"/>
    <s v="Liepāja"/>
    <x v="0"/>
  </r>
  <r>
    <x v="3"/>
    <s v="skaits"/>
    <n v="6084"/>
    <x v="2"/>
    <s v="Liepāja"/>
    <x v="0"/>
  </r>
  <r>
    <x v="4"/>
    <s v="skaits"/>
    <n v="0"/>
    <x v="2"/>
    <s v="Liepāja"/>
    <x v="0"/>
  </r>
  <r>
    <x v="5"/>
    <s v="skaits"/>
    <n v="0"/>
    <x v="2"/>
    <s v="Liepāja"/>
    <x v="0"/>
  </r>
  <r>
    <x v="6"/>
    <s v="km"/>
    <n v="45021.599999999999"/>
    <x v="2"/>
    <s v="Liepāja"/>
    <x v="0"/>
  </r>
  <r>
    <x v="7"/>
    <s v="km"/>
    <n v="45021.599999999999"/>
    <x v="2"/>
    <s v="Liepāja"/>
    <x v="0"/>
  </r>
  <r>
    <x v="8"/>
    <s v="km"/>
    <n v="0"/>
    <x v="2"/>
    <s v="Liepāja"/>
    <x v="0"/>
  </r>
  <r>
    <x v="9"/>
    <s v="km"/>
    <n v="0"/>
    <x v="2"/>
    <s v="Liepāja"/>
    <x v="0"/>
  </r>
  <r>
    <x v="10"/>
    <s v="EUR/km"/>
    <n v="2.8062999999999998"/>
    <x v="2"/>
    <s v="Liepāja"/>
    <x v="0"/>
  </r>
  <r>
    <x v="11"/>
    <m/>
    <n v="4.74"/>
    <x v="0"/>
    <s v="Liepāja"/>
    <x v="0"/>
  </r>
  <r>
    <x v="12"/>
    <m/>
    <m/>
    <x v="0"/>
    <s v="Liepāja"/>
    <x v="0"/>
  </r>
  <r>
    <x v="13"/>
    <s v="litri"/>
    <m/>
    <x v="0"/>
    <s v="Liepāja"/>
    <x v="0"/>
  </r>
  <r>
    <x v="14"/>
    <s v="litri"/>
    <m/>
    <x v="0"/>
    <s v="Liepāja"/>
    <x v="0"/>
  </r>
  <r>
    <x v="15"/>
    <s v="gabali"/>
    <n v="79"/>
    <x v="0"/>
    <s v="Liepāja"/>
    <x v="0"/>
  </r>
  <r>
    <x v="16"/>
    <s v="ruļļi"/>
    <m/>
    <x v="0"/>
    <s v="Liepāja"/>
    <x v="0"/>
  </r>
  <r>
    <x v="17"/>
    <s v="gabali"/>
    <m/>
    <x v="0"/>
    <s v="Liepāja"/>
    <x v="0"/>
  </r>
  <r>
    <x v="18"/>
    <s v="gabali"/>
    <m/>
    <x v="0"/>
    <s v="Liepāja"/>
    <x v="0"/>
  </r>
  <r>
    <x v="19"/>
    <s v="EUR/vien bez PVN"/>
    <m/>
    <x v="0"/>
    <s v="Liepāja"/>
    <x v="0"/>
  </r>
  <r>
    <x v="20"/>
    <s v="EUR/vien bez PVN"/>
    <m/>
    <x v="0"/>
    <s v="Liepāja"/>
    <x v="0"/>
  </r>
  <r>
    <x v="21"/>
    <s v="EUR/vien bez PVN"/>
    <m/>
    <x v="0"/>
    <s v="Liepāja"/>
    <x v="0"/>
  </r>
  <r>
    <x v="15"/>
    <s v="EUR/vien bez PVN"/>
    <n v="0.06"/>
    <x v="0"/>
    <s v="Liepāja"/>
    <x v="0"/>
  </r>
  <r>
    <x v="22"/>
    <s v="EUR/vien bez PVN"/>
    <m/>
    <x v="0"/>
    <s v="Liepāja"/>
    <x v="0"/>
  </r>
  <r>
    <x v="23"/>
    <s v="EUR/vien bez PVN"/>
    <m/>
    <x v="0"/>
    <s v="Liepāja"/>
    <x v="0"/>
  </r>
  <r>
    <x v="24"/>
    <s v="EUR/vien bez PVN"/>
    <m/>
    <x v="0"/>
    <s v="Liepāja"/>
    <x v="0"/>
  </r>
  <r>
    <x v="11"/>
    <m/>
    <n v="2.1"/>
    <x v="1"/>
    <s v="Liepāja"/>
    <x v="0"/>
  </r>
  <r>
    <x v="12"/>
    <m/>
    <m/>
    <x v="1"/>
    <s v="Liepāja"/>
    <x v="0"/>
  </r>
  <r>
    <x v="13"/>
    <s v="litri"/>
    <m/>
    <x v="1"/>
    <s v="Liepāja"/>
    <x v="0"/>
  </r>
  <r>
    <x v="14"/>
    <s v="litri"/>
    <m/>
    <x v="1"/>
    <s v="Liepāja"/>
    <x v="0"/>
  </r>
  <r>
    <x v="15"/>
    <s v="gabali"/>
    <n v="35"/>
    <x v="1"/>
    <s v="Liepāja"/>
    <x v="0"/>
  </r>
  <r>
    <x v="16"/>
    <s v="ruļļi"/>
    <m/>
    <x v="1"/>
    <s v="Liepāja"/>
    <x v="0"/>
  </r>
  <r>
    <x v="17"/>
    <s v="gabali"/>
    <m/>
    <x v="1"/>
    <s v="Liepāja"/>
    <x v="0"/>
  </r>
  <r>
    <x v="18"/>
    <s v="gabali"/>
    <m/>
    <x v="1"/>
    <s v="Liepāja"/>
    <x v="0"/>
  </r>
  <r>
    <x v="19"/>
    <s v="EUR/vien bez PVN"/>
    <m/>
    <x v="1"/>
    <s v="Liepāja"/>
    <x v="0"/>
  </r>
  <r>
    <x v="20"/>
    <s v="EUR/vien bez PVN"/>
    <m/>
    <x v="1"/>
    <s v="Liepāja"/>
    <x v="0"/>
  </r>
  <r>
    <x v="21"/>
    <s v="EUR/vien bez PVN"/>
    <m/>
    <x v="1"/>
    <s v="Liepāja"/>
    <x v="0"/>
  </r>
  <r>
    <x v="15"/>
    <s v="EUR/vien bez PVN"/>
    <n v="0.06"/>
    <x v="1"/>
    <s v="Liepāja"/>
    <x v="0"/>
  </r>
  <r>
    <x v="22"/>
    <s v="EUR/vien bez PVN"/>
    <m/>
    <x v="1"/>
    <s v="Liepāja"/>
    <x v="0"/>
  </r>
  <r>
    <x v="23"/>
    <s v="EUR/vien bez PVN"/>
    <m/>
    <x v="1"/>
    <s v="Liepāja"/>
    <x v="0"/>
  </r>
  <r>
    <x v="24"/>
    <s v="EUR/vien bez PVN"/>
    <m/>
    <x v="1"/>
    <s v="Liepāja"/>
    <x v="0"/>
  </r>
  <r>
    <x v="11"/>
    <m/>
    <n v="123.78"/>
    <x v="2"/>
    <s v="Liepāja"/>
    <x v="0"/>
  </r>
  <r>
    <x v="12"/>
    <m/>
    <m/>
    <x v="2"/>
    <s v="Liepāja"/>
    <x v="0"/>
  </r>
  <r>
    <x v="13"/>
    <s v="litri"/>
    <n v="5"/>
    <x v="2"/>
    <s v="Liepāja"/>
    <x v="0"/>
  </r>
  <r>
    <x v="14"/>
    <s v="litri"/>
    <n v="15"/>
    <x v="2"/>
    <s v="Liepāja"/>
    <x v="0"/>
  </r>
  <r>
    <x v="15"/>
    <s v="gabali"/>
    <m/>
    <x v="2"/>
    <s v="Liepāja"/>
    <x v="0"/>
  </r>
  <r>
    <x v="16"/>
    <s v="ruļļi"/>
    <n v="260"/>
    <x v="2"/>
    <s v="Liepāja"/>
    <x v="0"/>
  </r>
  <r>
    <x v="17"/>
    <s v="gabali"/>
    <n v="5"/>
    <x v="2"/>
    <s v="Liepāja"/>
    <x v="0"/>
  </r>
  <r>
    <x v="18"/>
    <s v="gabali"/>
    <n v="1"/>
    <x v="2"/>
    <s v="Liepāja"/>
    <x v="0"/>
  </r>
  <r>
    <x v="19"/>
    <s v="EUR/vien bez PVN"/>
    <m/>
    <x v="2"/>
    <s v="Liepāja"/>
    <x v="0"/>
  </r>
  <r>
    <x v="20"/>
    <s v="EUR/vien bez PVN"/>
    <n v="2.62"/>
    <x v="2"/>
    <s v="Liepāja"/>
    <x v="0"/>
  </r>
  <r>
    <x v="21"/>
    <s v="EUR/vien bez PVN"/>
    <n v="2.86"/>
    <x v="2"/>
    <s v="Liepāja"/>
    <x v="0"/>
  </r>
  <r>
    <x v="15"/>
    <s v="EUR/vien bez PVN"/>
    <m/>
    <x v="2"/>
    <s v="Liepāja"/>
    <x v="0"/>
  </r>
  <r>
    <x v="22"/>
    <s v="EUR/vien bez PVN"/>
    <n v="0.23"/>
    <x v="2"/>
    <s v="Liepāja"/>
    <x v="0"/>
  </r>
  <r>
    <x v="23"/>
    <s v="EUR/vien bez PVN"/>
    <n v="1.32"/>
    <x v="2"/>
    <s v="Liepāja"/>
    <x v="0"/>
  </r>
  <r>
    <x v="24"/>
    <s v="EUR/vien bez PVN"/>
    <n v="1.38"/>
    <x v="2"/>
    <s v="Liepāja"/>
    <x v="0"/>
  </r>
  <r>
    <x v="25"/>
    <m/>
    <n v="39844.114257586123"/>
    <x v="0"/>
    <s v="Liepāja"/>
    <x v="0"/>
  </r>
  <r>
    <x v="26"/>
    <s v="EUR bez PVN"/>
    <n v="74913.11"/>
    <x v="0"/>
    <s v="Liepāja"/>
    <x v="0"/>
  </r>
  <r>
    <x v="27"/>
    <s v="km"/>
    <n v="146317.28"/>
    <x v="0"/>
    <s v="Liepāja"/>
    <x v="0"/>
  </r>
  <r>
    <x v="28"/>
    <s v="EUR bez PVN"/>
    <n v="139567.43"/>
    <x v="0"/>
    <s v="Liepāja"/>
    <x v="0"/>
  </r>
  <r>
    <x v="29"/>
    <s v="km"/>
    <n v="177950.6856"/>
    <x v="0"/>
    <s v="Liepāja"/>
    <x v="0"/>
  </r>
  <r>
    <x v="25"/>
    <m/>
    <n v="15998.645778817619"/>
    <x v="1"/>
    <s v="Liepāja"/>
    <x v="0"/>
  </r>
  <r>
    <x v="26"/>
    <s v="EUR bez PVN"/>
    <n v="30374.29"/>
    <x v="1"/>
    <s v="Liepāja"/>
    <x v="0"/>
  </r>
  <r>
    <x v="27"/>
    <s v="km"/>
    <n v="64902.77"/>
    <x v="1"/>
    <s v="Liepāja"/>
    <x v="0"/>
  </r>
  <r>
    <x v="28"/>
    <s v="EUR bez PVN"/>
    <n v="46243.24"/>
    <x v="1"/>
    <s v="Liepāja"/>
    <x v="0"/>
  </r>
  <r>
    <x v="29"/>
    <s v="km"/>
    <n v="64721.25"/>
    <x v="1"/>
    <s v="Liepāja"/>
    <x v="0"/>
  </r>
  <r>
    <x v="25"/>
    <m/>
    <n v="13650.344734461389"/>
    <x v="2"/>
    <s v="Liepāja"/>
    <x v="0"/>
  </r>
  <r>
    <x v="26"/>
    <s v="EUR bez PVN"/>
    <n v="24986.48"/>
    <x v="2"/>
    <s v="Liepāja"/>
    <x v="0"/>
  </r>
  <r>
    <x v="27"/>
    <s v="km"/>
    <n v="45021.599999999999"/>
    <x v="2"/>
    <s v="Liepāja"/>
    <x v="0"/>
  </r>
  <r>
    <x v="28"/>
    <s v="EUR bez PVN"/>
    <n v="37906.51"/>
    <x v="2"/>
    <s v="Liepāja"/>
    <x v="0"/>
  </r>
  <r>
    <x v="29"/>
    <s v="km"/>
    <n v="44170.6"/>
    <x v="2"/>
    <s v="Liepāja"/>
    <x v="0"/>
  </r>
  <r>
    <x v="0"/>
    <m/>
    <n v="-650.86077600002432"/>
    <x v="0"/>
    <s v="Liepāja"/>
    <x v="1"/>
  </r>
  <r>
    <x v="1"/>
    <s v="skaits"/>
    <n v="43"/>
    <x v="0"/>
    <s v="Liepāja"/>
    <x v="1"/>
  </r>
  <r>
    <x v="2"/>
    <s v="skaits"/>
    <n v="13150"/>
    <x v="0"/>
    <s v="Liepāja"/>
    <x v="1"/>
  </r>
  <r>
    <x v="3"/>
    <s v="skaits"/>
    <n v="13096"/>
    <x v="0"/>
    <s v="Liepāja"/>
    <x v="1"/>
  </r>
  <r>
    <x v="4"/>
    <s v="skaits"/>
    <n v="6"/>
    <x v="0"/>
    <s v="Liepāja"/>
    <x v="1"/>
  </r>
  <r>
    <x v="5"/>
    <s v="skaits"/>
    <n v="60"/>
    <x v="0"/>
    <s v="Liepāja"/>
    <x v="1"/>
  </r>
  <r>
    <x v="6"/>
    <s v="km"/>
    <n v="189950.31999999998"/>
    <x v="0"/>
    <s v="Liepāja"/>
    <x v="1"/>
  </r>
  <r>
    <x v="7"/>
    <s v="km"/>
    <n v="189546.45999999996"/>
    <x v="0"/>
    <s v="Liepāja"/>
    <x v="1"/>
  </r>
  <r>
    <x v="8"/>
    <s v="km"/>
    <n v="175.74"/>
    <x v="0"/>
    <s v="Liepāja"/>
    <x v="1"/>
  </r>
  <r>
    <x v="9"/>
    <s v="km"/>
    <n v="579.6"/>
    <x v="0"/>
    <s v="Liepāja"/>
    <x v="1"/>
  </r>
  <r>
    <x v="10"/>
    <s v="EUR/km"/>
    <n v="1.6115999999999999"/>
    <x v="0"/>
    <s v="Liepāja"/>
    <x v="1"/>
  </r>
  <r>
    <x v="0"/>
    <m/>
    <n v="-1165.7668399999977"/>
    <x v="1"/>
    <s v="Liepāja"/>
    <x v="1"/>
  </r>
  <r>
    <x v="1"/>
    <s v="skaits"/>
    <n v="13"/>
    <x v="1"/>
    <s v="Liepāja"/>
    <x v="1"/>
  </r>
  <r>
    <x v="2"/>
    <s v="skaits"/>
    <n v="8840"/>
    <x v="1"/>
    <s v="Liepāja"/>
    <x v="1"/>
  </r>
  <r>
    <x v="3"/>
    <s v="skaits"/>
    <n v="8660"/>
    <x v="1"/>
    <s v="Liepāja"/>
    <x v="1"/>
  </r>
  <r>
    <x v="4"/>
    <s v="skaits"/>
    <m/>
    <x v="1"/>
    <s v="Liepāja"/>
    <x v="1"/>
  </r>
  <r>
    <x v="5"/>
    <s v="skaits"/>
    <n v="180"/>
    <x v="1"/>
    <s v="Liepāja"/>
    <x v="1"/>
  </r>
  <r>
    <x v="6"/>
    <s v="km"/>
    <n v="85294.299999999974"/>
    <x v="1"/>
    <s v="Liepāja"/>
    <x v="1"/>
  </r>
  <r>
    <x v="7"/>
    <s v="km"/>
    <n v="83890.099999999977"/>
    <x v="1"/>
    <s v="Liepāja"/>
    <x v="1"/>
  </r>
  <r>
    <x v="8"/>
    <s v="km"/>
    <n v="0"/>
    <x v="1"/>
    <s v="Liepāja"/>
    <x v="1"/>
  </r>
  <r>
    <x v="9"/>
    <s v="km"/>
    <n v="1404.2000000000003"/>
    <x v="1"/>
    <s v="Liepāja"/>
    <x v="1"/>
  </r>
  <r>
    <x v="10"/>
    <s v="EUR/km"/>
    <n v="0.83020000000000005"/>
    <x v="1"/>
    <s v="Liepāja"/>
    <x v="1"/>
  </r>
  <r>
    <x v="0"/>
    <m/>
    <n v="0"/>
    <x v="2"/>
    <s v="Liepāja"/>
    <x v="1"/>
  </r>
  <r>
    <x v="1"/>
    <s v="skaits"/>
    <n v="21"/>
    <x v="2"/>
    <s v="Liepāja"/>
    <x v="1"/>
  </r>
  <r>
    <x v="2"/>
    <s v="skaits"/>
    <n v="7840"/>
    <x v="2"/>
    <s v="Liepāja"/>
    <x v="1"/>
  </r>
  <r>
    <x v="3"/>
    <s v="skaits"/>
    <n v="7840"/>
    <x v="2"/>
    <s v="Liepāja"/>
    <x v="1"/>
  </r>
  <r>
    <x v="4"/>
    <s v="skaits"/>
    <m/>
    <x v="2"/>
    <s v="Liepāja"/>
    <x v="1"/>
  </r>
  <r>
    <x v="5"/>
    <s v="skaits"/>
    <m/>
    <x v="2"/>
    <s v="Liepāja"/>
    <x v="1"/>
  </r>
  <r>
    <x v="6"/>
    <s v="km"/>
    <n v="55825.84"/>
    <x v="2"/>
    <s v="Liepāja"/>
    <x v="1"/>
  </r>
  <r>
    <x v="7"/>
    <s v="km"/>
    <n v="55825.84"/>
    <x v="2"/>
    <s v="Liepāja"/>
    <x v="1"/>
  </r>
  <r>
    <x v="8"/>
    <s v="km"/>
    <n v="0"/>
    <x v="2"/>
    <s v="Liepāja"/>
    <x v="1"/>
  </r>
  <r>
    <x v="9"/>
    <s v="km"/>
    <n v="0"/>
    <x v="2"/>
    <s v="Liepāja"/>
    <x v="1"/>
  </r>
  <r>
    <x v="10"/>
    <s v="EUR/km"/>
    <n v="3.0741999999999998"/>
    <x v="2"/>
    <s v="Liepāja"/>
    <x v="1"/>
  </r>
  <r>
    <x v="11"/>
    <m/>
    <n v="10.65574"/>
    <x v="0"/>
    <s v="Liepāja"/>
    <x v="1"/>
  </r>
  <r>
    <x v="12"/>
    <m/>
    <m/>
    <x v="0"/>
    <s v="Liepāja"/>
    <x v="1"/>
  </r>
  <r>
    <x v="13"/>
    <s v="litri"/>
    <m/>
    <x v="0"/>
    <s v="Liepāja"/>
    <x v="1"/>
  </r>
  <r>
    <x v="30"/>
    <s v="litri"/>
    <m/>
    <x v="0"/>
    <s v="Liepāja"/>
    <x v="1"/>
  </r>
  <r>
    <x v="31"/>
    <s v="gabali"/>
    <n v="1.2644"/>
    <x v="0"/>
    <s v="Liepāja"/>
    <x v="1"/>
  </r>
  <r>
    <x v="15"/>
    <s v="gabali"/>
    <n v="79"/>
    <x v="0"/>
    <s v="Liepāja"/>
    <x v="1"/>
  </r>
  <r>
    <x v="32"/>
    <s v="pāris"/>
    <m/>
    <x v="0"/>
    <s v="Liepāja"/>
    <x v="1"/>
  </r>
  <r>
    <x v="16"/>
    <s v="ruļļi"/>
    <m/>
    <x v="0"/>
    <s v="Liepāja"/>
    <x v="1"/>
  </r>
  <r>
    <x v="33"/>
    <m/>
    <m/>
    <x v="0"/>
    <s v="Liepāja"/>
    <x v="1"/>
  </r>
  <r>
    <x v="34"/>
    <s v="gabali"/>
    <m/>
    <x v="0"/>
    <s v="Liepāja"/>
    <x v="1"/>
  </r>
  <r>
    <x v="19"/>
    <s v="EUR/vien bez PVN"/>
    <m/>
    <x v="0"/>
    <s v="Liepāja"/>
    <x v="1"/>
  </r>
  <r>
    <x v="20"/>
    <s v="EUR/vien bez PVN"/>
    <m/>
    <x v="0"/>
    <s v="Liepāja"/>
    <x v="1"/>
  </r>
  <r>
    <x v="21"/>
    <s v="EUR/vien bez PVN"/>
    <m/>
    <x v="0"/>
    <s v="Liepāja"/>
    <x v="1"/>
  </r>
  <r>
    <x v="31"/>
    <s v="EUR/vien bez PVN"/>
    <n v="4.5"/>
    <x v="0"/>
    <s v="Liepāja"/>
    <x v="1"/>
  </r>
  <r>
    <x v="15"/>
    <s v="EUR/vien bez PVN"/>
    <n v="6.2859999999999999E-2"/>
    <x v="0"/>
    <s v="Liepāja"/>
    <x v="1"/>
  </r>
  <r>
    <x v="32"/>
    <s v="EUR/vien bez PVN"/>
    <m/>
    <x v="0"/>
    <s v="Liepāja"/>
    <x v="1"/>
  </r>
  <r>
    <x v="22"/>
    <s v="EUR/vien bez PVN"/>
    <m/>
    <x v="0"/>
    <s v="Liepāja"/>
    <x v="1"/>
  </r>
  <r>
    <x v="33"/>
    <s v="EUR/vien bez PVN"/>
    <m/>
    <x v="0"/>
    <s v="Liepāja"/>
    <x v="1"/>
  </r>
  <r>
    <x v="34"/>
    <s v="EUR/vien bez PVN"/>
    <m/>
    <x v="0"/>
    <s v="Liepāja"/>
    <x v="1"/>
  </r>
  <r>
    <x v="11"/>
    <m/>
    <n v="7.2198500000000001"/>
    <x v="1"/>
    <s v="Liepāja"/>
    <x v="1"/>
  </r>
  <r>
    <x v="12"/>
    <m/>
    <m/>
    <x v="1"/>
    <s v="Liepāja"/>
    <x v="1"/>
  </r>
  <r>
    <x v="13"/>
    <s v="litri"/>
    <m/>
    <x v="1"/>
    <s v="Liepāja"/>
    <x v="1"/>
  </r>
  <r>
    <x v="30"/>
    <s v="litri"/>
    <m/>
    <x v="1"/>
    <s v="Liepāja"/>
    <x v="1"/>
  </r>
  <r>
    <x v="31"/>
    <s v="gabali"/>
    <n v="1.1154999999999999"/>
    <x v="1"/>
    <s v="Liepāja"/>
    <x v="1"/>
  </r>
  <r>
    <x v="15"/>
    <s v="gabali"/>
    <n v="35"/>
    <x v="1"/>
    <s v="Liepāja"/>
    <x v="1"/>
  </r>
  <r>
    <x v="32"/>
    <s v="pāris"/>
    <m/>
    <x v="1"/>
    <s v="Liepāja"/>
    <x v="1"/>
  </r>
  <r>
    <x v="16"/>
    <s v="ruļļi"/>
    <m/>
    <x v="1"/>
    <s v="Liepāja"/>
    <x v="1"/>
  </r>
  <r>
    <x v="33"/>
    <m/>
    <m/>
    <x v="1"/>
    <s v="Liepāja"/>
    <x v="1"/>
  </r>
  <r>
    <x v="34"/>
    <s v="gabali"/>
    <m/>
    <x v="1"/>
    <s v="Liepāja"/>
    <x v="1"/>
  </r>
  <r>
    <x v="19"/>
    <s v="EUR/vien bez PVN"/>
    <m/>
    <x v="1"/>
    <s v="Liepāja"/>
    <x v="1"/>
  </r>
  <r>
    <x v="20"/>
    <s v="EUR/vien bez PVN"/>
    <m/>
    <x v="1"/>
    <s v="Liepāja"/>
    <x v="1"/>
  </r>
  <r>
    <x v="21"/>
    <s v="EUR/vien bez PVN"/>
    <m/>
    <x v="1"/>
    <s v="Liepāja"/>
    <x v="1"/>
  </r>
  <r>
    <x v="31"/>
    <s v="EUR/vien bez PVN"/>
    <n v="4.5"/>
    <x v="1"/>
    <s v="Liepāja"/>
    <x v="1"/>
  </r>
  <r>
    <x v="15"/>
    <s v="EUR/vien bez PVN"/>
    <n v="6.2859999999999999E-2"/>
    <x v="1"/>
    <s v="Liepāja"/>
    <x v="1"/>
  </r>
  <r>
    <x v="32"/>
    <s v="EUR/vien bez PVN"/>
    <m/>
    <x v="1"/>
    <s v="Liepāja"/>
    <x v="1"/>
  </r>
  <r>
    <x v="22"/>
    <s v="EUR/vien bez PVN"/>
    <m/>
    <x v="1"/>
    <s v="Liepāja"/>
    <x v="1"/>
  </r>
  <r>
    <x v="33"/>
    <s v="EUR/vien bez PVN"/>
    <m/>
    <x v="1"/>
    <s v="Liepāja"/>
    <x v="1"/>
  </r>
  <r>
    <x v="34"/>
    <s v="EUR/vien bez PVN"/>
    <m/>
    <x v="1"/>
    <s v="Liepāja"/>
    <x v="1"/>
  </r>
  <r>
    <x v="11"/>
    <m/>
    <n v="133.11000000000001"/>
    <x v="2"/>
    <s v="Liepāja"/>
    <x v="1"/>
  </r>
  <r>
    <x v="12"/>
    <m/>
    <m/>
    <x v="2"/>
    <s v="Liepāja"/>
    <x v="1"/>
  </r>
  <r>
    <x v="13"/>
    <s v="litri"/>
    <n v="6"/>
    <x v="2"/>
    <s v="Liepāja"/>
    <x v="1"/>
  </r>
  <r>
    <x v="30"/>
    <s v="litri"/>
    <n v="5"/>
    <x v="2"/>
    <s v="Liepāja"/>
    <x v="1"/>
  </r>
  <r>
    <x v="31"/>
    <s v="gabali"/>
    <m/>
    <x v="2"/>
    <s v="Liepāja"/>
    <x v="1"/>
  </r>
  <r>
    <x v="15"/>
    <s v="gabali"/>
    <n v="50"/>
    <x v="2"/>
    <s v="Liepāja"/>
    <x v="1"/>
  </r>
  <r>
    <x v="32"/>
    <s v="pāris"/>
    <n v="27"/>
    <x v="2"/>
    <s v="Liepāja"/>
    <x v="1"/>
  </r>
  <r>
    <x v="16"/>
    <s v="ruļļi"/>
    <n v="233"/>
    <x v="2"/>
    <s v="Liepāja"/>
    <x v="1"/>
  </r>
  <r>
    <x v="33"/>
    <m/>
    <m/>
    <x v="2"/>
    <s v="Liepāja"/>
    <x v="1"/>
  </r>
  <r>
    <x v="34"/>
    <s v="gabali"/>
    <n v="4"/>
    <x v="2"/>
    <s v="Liepāja"/>
    <x v="1"/>
  </r>
  <r>
    <x v="19"/>
    <s v="EUR/vien bez PVN"/>
    <m/>
    <x v="2"/>
    <s v="Liepāja"/>
    <x v="1"/>
  </r>
  <r>
    <x v="20"/>
    <s v="EUR/vien bez PVN"/>
    <n v="2.4700000000000002"/>
    <x v="2"/>
    <s v="Liepāja"/>
    <x v="1"/>
  </r>
  <r>
    <x v="21"/>
    <s v="EUR/vien bez PVN"/>
    <n v="2.86"/>
    <x v="2"/>
    <s v="Liepāja"/>
    <x v="1"/>
  </r>
  <r>
    <x v="31"/>
    <s v="EUR/vien bez PVN"/>
    <m/>
    <x v="2"/>
    <s v="Liepāja"/>
    <x v="1"/>
  </r>
  <r>
    <x v="15"/>
    <s v="EUR/vien bez PVN"/>
    <n v="0.36"/>
    <x v="2"/>
    <s v="Liepāja"/>
    <x v="1"/>
  </r>
  <r>
    <x v="32"/>
    <s v="EUR/vien bez PVN"/>
    <n v="0.68"/>
    <x v="2"/>
    <s v="Liepāja"/>
    <x v="1"/>
  </r>
  <r>
    <x v="22"/>
    <s v="EUR/vien bez PVN"/>
    <n v="0.23"/>
    <x v="2"/>
    <s v="Liepāja"/>
    <x v="1"/>
  </r>
  <r>
    <x v="33"/>
    <s v="EUR/vien bez PVN"/>
    <m/>
    <x v="2"/>
    <s v="Liepāja"/>
    <x v="1"/>
  </r>
  <r>
    <x v="34"/>
    <s v="EUR/vien bez PVN"/>
    <n v="3.51"/>
    <x v="2"/>
    <s v="Liepāja"/>
    <x v="1"/>
  </r>
  <r>
    <x v="25"/>
    <m/>
    <n v="45980.561726162974"/>
    <x v="0"/>
    <s v="Liepāja"/>
    <x v="1"/>
  </r>
  <r>
    <x v="35"/>
    <s v="EUR bez PVN"/>
    <n v="106290.02"/>
    <x v="0"/>
    <s v="Liepāja"/>
    <x v="1"/>
  </r>
  <r>
    <x v="36"/>
    <s v="km"/>
    <n v="189546.45999999996"/>
    <x v="0"/>
    <s v="Liepāja"/>
    <x v="1"/>
  </r>
  <r>
    <x v="37"/>
    <s v="EUR bez PVN"/>
    <n v="191644.13"/>
    <x v="0"/>
    <s v="Liepāja"/>
    <x v="1"/>
  </r>
  <r>
    <x v="38"/>
    <s v="km"/>
    <n v="238558.66320000004"/>
    <x v="0"/>
    <s v="Liepāja"/>
    <x v="1"/>
  </r>
  <r>
    <x v="25"/>
    <m/>
    <n v="18645.098511471824"/>
    <x v="1"/>
    <s v="Liepāja"/>
    <x v="1"/>
  </r>
  <r>
    <x v="35"/>
    <s v="EUR bez PVN"/>
    <n v="42792.34"/>
    <x v="1"/>
    <s v="Liepāja"/>
    <x v="1"/>
  </r>
  <r>
    <x v="36"/>
    <s v="km"/>
    <n v="83890.099999999977"/>
    <x v="1"/>
    <s v="Liepāja"/>
    <x v="1"/>
  </r>
  <r>
    <x v="37"/>
    <s v="EUR bez PVN"/>
    <n v="61663.18"/>
    <x v="1"/>
    <s v="Liepāja"/>
    <x v="1"/>
  </r>
  <r>
    <x v="38"/>
    <s v="km"/>
    <n v="84198.34"/>
    <x v="1"/>
    <s v="Liepāja"/>
    <x v="1"/>
  </r>
  <r>
    <x v="25"/>
    <m/>
    <n v="14026.174224572578"/>
    <x v="2"/>
    <s v="Liepāja"/>
    <x v="1"/>
  </r>
  <r>
    <x v="35"/>
    <s v="EUR bez PVN"/>
    <n v="34312.14"/>
    <x v="2"/>
    <s v="Liepāja"/>
    <x v="1"/>
  </r>
  <r>
    <x v="36"/>
    <s v="km"/>
    <n v="55825.84"/>
    <x v="2"/>
    <s v="Liepāja"/>
    <x v="1"/>
  </r>
  <r>
    <x v="37"/>
    <s v="EUR bez PVN"/>
    <n v="50074.54"/>
    <x v="2"/>
    <s v="Liepāja"/>
    <x v="1"/>
  </r>
  <r>
    <x v="38"/>
    <s v="km"/>
    <n v="57831.004306983945"/>
    <x v="2"/>
    <s v="Liepāja"/>
    <x v="1"/>
  </r>
  <r>
    <x v="0"/>
    <m/>
    <n v="-943.53084000000945"/>
    <x v="0"/>
    <s v="Liepāja"/>
    <x v="2"/>
  </r>
  <r>
    <x v="1"/>
    <s v="skaits"/>
    <n v="43"/>
    <x v="0"/>
    <s v="Liepāja"/>
    <x v="2"/>
  </r>
  <r>
    <x v="2"/>
    <s v="skaits"/>
    <n v="13585"/>
    <x v="0"/>
    <s v="Liepāja"/>
    <x v="2"/>
  </r>
  <r>
    <x v="3"/>
    <s v="skaits"/>
    <n v="13525"/>
    <x v="0"/>
    <s v="Liepāja"/>
    <x v="2"/>
  </r>
  <r>
    <x v="4"/>
    <s v="skaits"/>
    <n v="0"/>
    <x v="0"/>
    <s v="Liepāja"/>
    <x v="2"/>
  </r>
  <r>
    <x v="5"/>
    <s v="skaits"/>
    <n v="60"/>
    <x v="0"/>
    <s v="Liepāja"/>
    <x v="2"/>
  </r>
  <r>
    <x v="6"/>
    <s v="km"/>
    <n v="197049.46"/>
    <x v="0"/>
    <s v="Liepāja"/>
    <x v="2"/>
  </r>
  <r>
    <x v="7"/>
    <s v="km"/>
    <n v="196469.86"/>
    <x v="0"/>
    <s v="Liepāja"/>
    <x v="2"/>
  </r>
  <r>
    <x v="8"/>
    <s v="km"/>
    <n v="0"/>
    <x v="0"/>
    <s v="Liepāja"/>
    <x v="2"/>
  </r>
  <r>
    <x v="9"/>
    <s v="km"/>
    <n v="579.6"/>
    <x v="0"/>
    <s v="Liepāja"/>
    <x v="2"/>
  </r>
  <r>
    <x v="10"/>
    <s v="EUR/km"/>
    <n v="1.6278999999999999"/>
    <x v="0"/>
    <s v="Liepāja"/>
    <x v="2"/>
  </r>
  <r>
    <x v="0"/>
    <m/>
    <n v="-1180.2300999999975"/>
    <x v="1"/>
    <s v="Liepāja"/>
    <x v="2"/>
  </r>
  <r>
    <x v="1"/>
    <s v="skaits"/>
    <n v="13"/>
    <x v="1"/>
    <s v="Liepāja"/>
    <x v="2"/>
  </r>
  <r>
    <x v="2"/>
    <s v="skaits"/>
    <n v="9102"/>
    <x v="1"/>
    <s v="Liepāja"/>
    <x v="2"/>
  </r>
  <r>
    <x v="3"/>
    <s v="skaits"/>
    <n v="8922"/>
    <x v="1"/>
    <s v="Liepāja"/>
    <x v="2"/>
  </r>
  <r>
    <x v="4"/>
    <s v="skaits"/>
    <n v="0"/>
    <x v="1"/>
    <s v="Liepāja"/>
    <x v="2"/>
  </r>
  <r>
    <x v="5"/>
    <s v="skaits"/>
    <n v="180"/>
    <x v="1"/>
    <s v="Liepāja"/>
    <x v="2"/>
  </r>
  <r>
    <x v="6"/>
    <s v="km"/>
    <n v="87623.539999999979"/>
    <x v="1"/>
    <s v="Liepāja"/>
    <x v="2"/>
  </r>
  <r>
    <x v="7"/>
    <s v="km"/>
    <n v="86219.339999999982"/>
    <x v="1"/>
    <s v="Liepāja"/>
    <x v="2"/>
  </r>
  <r>
    <x v="8"/>
    <s v="km"/>
    <n v="0"/>
    <x v="1"/>
    <s v="Liepāja"/>
    <x v="2"/>
  </r>
  <r>
    <x v="9"/>
    <s v="km"/>
    <n v="1404.2000000000003"/>
    <x v="1"/>
    <s v="Liepāja"/>
    <x v="2"/>
  </r>
  <r>
    <x v="10"/>
    <s v="EUR/km"/>
    <n v="0.84050000000000002"/>
    <x v="1"/>
    <s v="Liepāja"/>
    <x v="2"/>
  </r>
  <r>
    <x v="0"/>
    <m/>
    <n v="0"/>
    <x v="2"/>
    <s v="Liepāja"/>
    <x v="2"/>
  </r>
  <r>
    <x v="1"/>
    <s v="skaits"/>
    <n v="21"/>
    <x v="2"/>
    <s v="Liepāja"/>
    <x v="2"/>
  </r>
  <r>
    <x v="2"/>
    <s v="skaits"/>
    <n v="8072"/>
    <x v="2"/>
    <s v="Liepāja"/>
    <x v="2"/>
  </r>
  <r>
    <x v="3"/>
    <s v="skaits"/>
    <n v="8072"/>
    <x v="2"/>
    <s v="Liepāja"/>
    <x v="2"/>
  </r>
  <r>
    <x v="4"/>
    <s v="skaits"/>
    <n v="0"/>
    <x v="2"/>
    <s v="Liepāja"/>
    <x v="2"/>
  </r>
  <r>
    <x v="5"/>
    <s v="skaits"/>
    <n v="0"/>
    <x v="2"/>
    <s v="Liepāja"/>
    <x v="2"/>
  </r>
  <r>
    <x v="6"/>
    <s v="km"/>
    <n v="57478.28"/>
    <x v="2"/>
    <s v="Liepāja"/>
    <x v="2"/>
  </r>
  <r>
    <x v="7"/>
    <s v="km"/>
    <n v="57478.28"/>
    <x v="2"/>
    <s v="Liepāja"/>
    <x v="2"/>
  </r>
  <r>
    <x v="8"/>
    <s v="km"/>
    <n v="0"/>
    <x v="2"/>
    <s v="Liepāja"/>
    <x v="2"/>
  </r>
  <r>
    <x v="9"/>
    <s v="km"/>
    <n v="0"/>
    <x v="2"/>
    <s v="Liepāja"/>
    <x v="2"/>
  </r>
  <r>
    <x v="10"/>
    <s v="EUR/km"/>
    <n v="3.0813999999999999"/>
    <x v="2"/>
    <s v="Liepāja"/>
    <x v="2"/>
  </r>
  <r>
    <x v="11"/>
    <m/>
    <n v="0"/>
    <x v="0"/>
    <s v="Liepāja"/>
    <x v="2"/>
  </r>
  <r>
    <x v="12"/>
    <m/>
    <n v="0"/>
    <x v="0"/>
    <s v="Liepāja"/>
    <x v="2"/>
  </r>
  <r>
    <x v="13"/>
    <s v="litri"/>
    <n v="0"/>
    <x v="0"/>
    <s v="Liepāja"/>
    <x v="2"/>
  </r>
  <r>
    <x v="30"/>
    <s v="litri"/>
    <n v="0"/>
    <x v="0"/>
    <s v="Liepāja"/>
    <x v="2"/>
  </r>
  <r>
    <x v="39"/>
    <s v="litri"/>
    <n v="0"/>
    <x v="0"/>
    <s v="Liepāja"/>
    <x v="2"/>
  </r>
  <r>
    <x v="39"/>
    <s v="litri"/>
    <n v="0"/>
    <x v="0"/>
    <s v="Liepāja"/>
    <x v="2"/>
  </r>
  <r>
    <x v="15"/>
    <s v="gabali"/>
    <n v="0"/>
    <x v="0"/>
    <s v="Liepāja"/>
    <x v="2"/>
  </r>
  <r>
    <x v="40"/>
    <s v="pāris"/>
    <n v="0"/>
    <x v="0"/>
    <s v="Liepāja"/>
    <x v="2"/>
  </r>
  <r>
    <x v="32"/>
    <s v="gabali"/>
    <n v="0"/>
    <x v="0"/>
    <s v="Liepāja"/>
    <x v="2"/>
  </r>
  <r>
    <x v="16"/>
    <s v="ruļļi"/>
    <n v="0"/>
    <x v="0"/>
    <s v="Liepāja"/>
    <x v="2"/>
  </r>
  <r>
    <x v="16"/>
    <s v="ruļļi"/>
    <n v="0"/>
    <x v="0"/>
    <s v="Liepāja"/>
    <x v="2"/>
  </r>
  <r>
    <x v="19"/>
    <s v="EUR/vien bez PVN"/>
    <n v="0"/>
    <x v="0"/>
    <s v="Liepāja"/>
    <x v="2"/>
  </r>
  <r>
    <x v="20"/>
    <s v="EUR/vien bez PVN"/>
    <n v="0"/>
    <x v="0"/>
    <s v="Liepāja"/>
    <x v="2"/>
  </r>
  <r>
    <x v="21"/>
    <s v="EUR/vien bez PVN"/>
    <n v="0"/>
    <x v="0"/>
    <s v="Liepāja"/>
    <x v="2"/>
  </r>
  <r>
    <x v="41"/>
    <s v="EUR/vien bez PVN"/>
    <n v="0"/>
    <x v="0"/>
    <s v="Liepāja"/>
    <x v="2"/>
  </r>
  <r>
    <x v="41"/>
    <s v="EUR/vien bez PVN"/>
    <n v="0"/>
    <x v="0"/>
    <s v="Liepāja"/>
    <x v="2"/>
  </r>
  <r>
    <x v="42"/>
    <s v="EUR/vien bez PVN"/>
    <n v="0"/>
    <x v="0"/>
    <s v="Liepāja"/>
    <x v="2"/>
  </r>
  <r>
    <x v="43"/>
    <s v="EUR/vien bez PVN"/>
    <n v="0"/>
    <x v="0"/>
    <s v="Liepāja"/>
    <x v="2"/>
  </r>
  <r>
    <x v="44"/>
    <s v="EUR/vien bez PVN"/>
    <n v="0"/>
    <x v="0"/>
    <s v="Liepāja"/>
    <x v="2"/>
  </r>
  <r>
    <x v="22"/>
    <s v="EUR/vien bez PVN"/>
    <n v="0"/>
    <x v="0"/>
    <s v="Liepāja"/>
    <x v="2"/>
  </r>
  <r>
    <x v="22"/>
    <s v="EUR/vien bez PVN"/>
    <n v="0"/>
    <x v="0"/>
    <s v="Liepāja"/>
    <x v="2"/>
  </r>
  <r>
    <x v="11"/>
    <m/>
    <n v="0"/>
    <x v="1"/>
    <s v="Liepāja"/>
    <x v="2"/>
  </r>
  <r>
    <x v="12"/>
    <m/>
    <n v="0"/>
    <x v="1"/>
    <s v="Liepāja"/>
    <x v="2"/>
  </r>
  <r>
    <x v="13"/>
    <s v="litri"/>
    <n v="0"/>
    <x v="1"/>
    <s v="Liepāja"/>
    <x v="2"/>
  </r>
  <r>
    <x v="30"/>
    <s v="litri"/>
    <n v="0"/>
    <x v="1"/>
    <s v="Liepāja"/>
    <x v="2"/>
  </r>
  <r>
    <x v="39"/>
    <s v="litri"/>
    <n v="0"/>
    <x v="1"/>
    <s v="Liepāja"/>
    <x v="2"/>
  </r>
  <r>
    <x v="39"/>
    <s v="litri"/>
    <n v="0"/>
    <x v="1"/>
    <s v="Liepāja"/>
    <x v="2"/>
  </r>
  <r>
    <x v="15"/>
    <s v="gabali"/>
    <n v="0"/>
    <x v="1"/>
    <s v="Liepāja"/>
    <x v="2"/>
  </r>
  <r>
    <x v="40"/>
    <s v="pāris"/>
    <n v="0"/>
    <x v="1"/>
    <s v="Liepāja"/>
    <x v="2"/>
  </r>
  <r>
    <x v="32"/>
    <s v="gabali"/>
    <n v="0"/>
    <x v="1"/>
    <s v="Liepāja"/>
    <x v="2"/>
  </r>
  <r>
    <x v="16"/>
    <s v="ruļļi"/>
    <n v="0"/>
    <x v="1"/>
    <s v="Liepāja"/>
    <x v="2"/>
  </r>
  <r>
    <x v="16"/>
    <s v="ruļļi"/>
    <n v="0"/>
    <x v="1"/>
    <s v="Liepāja"/>
    <x v="2"/>
  </r>
  <r>
    <x v="19"/>
    <s v="EUR/vien bez PVN"/>
    <n v="0"/>
    <x v="1"/>
    <s v="Liepāja"/>
    <x v="2"/>
  </r>
  <r>
    <x v="20"/>
    <s v="EUR/vien bez PVN"/>
    <n v="0"/>
    <x v="1"/>
    <s v="Liepāja"/>
    <x v="2"/>
  </r>
  <r>
    <x v="21"/>
    <s v="EUR/vien bez PVN"/>
    <n v="0"/>
    <x v="1"/>
    <s v="Liepāja"/>
    <x v="2"/>
  </r>
  <r>
    <x v="41"/>
    <s v="EUR/vien bez PVN"/>
    <n v="0"/>
    <x v="1"/>
    <s v="Liepāja"/>
    <x v="2"/>
  </r>
  <r>
    <x v="41"/>
    <s v="EUR/vien bez PVN"/>
    <n v="0"/>
    <x v="1"/>
    <s v="Liepāja"/>
    <x v="2"/>
  </r>
  <r>
    <x v="42"/>
    <s v="EUR/vien bez PVN"/>
    <n v="0"/>
    <x v="1"/>
    <s v="Liepāja"/>
    <x v="2"/>
  </r>
  <r>
    <x v="43"/>
    <s v="EUR/vien bez PVN"/>
    <n v="0"/>
    <x v="1"/>
    <s v="Liepāja"/>
    <x v="2"/>
  </r>
  <r>
    <x v="44"/>
    <s v="EUR/vien bez PVN"/>
    <n v="0"/>
    <x v="1"/>
    <s v="Liepāja"/>
    <x v="2"/>
  </r>
  <r>
    <x v="22"/>
    <s v="EUR/vien bez PVN"/>
    <n v="0"/>
    <x v="1"/>
    <s v="Liepāja"/>
    <x v="2"/>
  </r>
  <r>
    <x v="22"/>
    <s v="EUR/vien bez PVN"/>
    <n v="0"/>
    <x v="1"/>
    <s v="Liepāja"/>
    <x v="2"/>
  </r>
  <r>
    <x v="11"/>
    <m/>
    <n v="95.358699999999999"/>
    <x v="2"/>
    <s v="Liepāja"/>
    <x v="2"/>
  </r>
  <r>
    <x v="12"/>
    <m/>
    <m/>
    <x v="2"/>
    <s v="Liepāja"/>
    <x v="2"/>
  </r>
  <r>
    <x v="13"/>
    <s v="litri"/>
    <n v="9"/>
    <x v="2"/>
    <s v="Liepāja"/>
    <x v="2"/>
  </r>
  <r>
    <x v="30"/>
    <s v="litri"/>
    <n v="5"/>
    <x v="2"/>
    <s v="Liepāja"/>
    <x v="2"/>
  </r>
  <r>
    <x v="39"/>
    <s v="litri"/>
    <n v="5"/>
    <x v="2"/>
    <s v="Liepāja"/>
    <x v="2"/>
  </r>
  <r>
    <x v="39"/>
    <s v="litri"/>
    <n v="2"/>
    <x v="2"/>
    <s v="Liepāja"/>
    <x v="2"/>
  </r>
  <r>
    <x v="15"/>
    <s v="gabali"/>
    <n v="10"/>
    <x v="2"/>
    <s v="Liepāja"/>
    <x v="2"/>
  </r>
  <r>
    <x v="40"/>
    <s v="pāris"/>
    <n v="1"/>
    <x v="2"/>
    <s v="Liepāja"/>
    <x v="2"/>
  </r>
  <r>
    <x v="32"/>
    <s v="gabali"/>
    <n v="46"/>
    <x v="2"/>
    <s v="Liepāja"/>
    <x v="2"/>
  </r>
  <r>
    <x v="16"/>
    <s v="ruļļi"/>
    <n v="37"/>
    <x v="2"/>
    <s v="Liepāja"/>
    <x v="2"/>
  </r>
  <r>
    <x v="16"/>
    <s v="ruļļi"/>
    <n v="33"/>
    <x v="2"/>
    <s v="Liepāja"/>
    <x v="2"/>
  </r>
  <r>
    <x v="19"/>
    <s v="EUR/vien bez PVN"/>
    <m/>
    <x v="2"/>
    <s v="Liepāja"/>
    <x v="2"/>
  </r>
  <r>
    <x v="20"/>
    <s v="EUR/vien bez PVN"/>
    <n v="2.4700000000000002"/>
    <x v="2"/>
    <s v="Liepāja"/>
    <x v="2"/>
  </r>
  <r>
    <x v="21"/>
    <s v="EUR/vien bez PVN"/>
    <n v="2.8620000000000001"/>
    <x v="2"/>
    <s v="Liepāja"/>
    <x v="2"/>
  </r>
  <r>
    <x v="41"/>
    <s v="EUR/vien bez PVN"/>
    <n v="2.5139999999999998"/>
    <x v="2"/>
    <s v="Liepāja"/>
    <x v="2"/>
  </r>
  <r>
    <x v="41"/>
    <s v="EUR/vien bez PVN"/>
    <n v="5.31"/>
    <x v="2"/>
    <s v="Liepāja"/>
    <x v="2"/>
  </r>
  <r>
    <x v="42"/>
    <s v="EUR/vien bez PVN"/>
    <n v="0.35699999999999998"/>
    <x v="2"/>
    <s v="Liepāja"/>
    <x v="2"/>
  </r>
  <r>
    <x v="43"/>
    <s v="EUR/vien bez PVN"/>
    <n v="0.56000000000000005"/>
    <x v="2"/>
    <s v="Liepāja"/>
    <x v="2"/>
  </r>
  <r>
    <x v="44"/>
    <s v="EUR/vien bez PVN"/>
    <n v="0.34"/>
    <x v="2"/>
    <s v="Liepāja"/>
    <x v="2"/>
  </r>
  <r>
    <x v="22"/>
    <s v="EUR/vien bez PVN"/>
    <n v="0.22"/>
    <x v="2"/>
    <s v="Liepāja"/>
    <x v="2"/>
  </r>
  <r>
    <x v="22"/>
    <s v="EUR/vien bez PVN"/>
    <n v="0.2339"/>
    <x v="2"/>
    <s v="Liepāja"/>
    <x v="2"/>
  </r>
  <r>
    <x v="25"/>
    <m/>
    <n v="37892.127555498118"/>
    <x v="0"/>
    <s v="Liepāja"/>
    <x v="2"/>
  </r>
  <r>
    <x v="45"/>
    <s v="EUR bez PVN"/>
    <n v="114554.52219309782"/>
    <x v="0"/>
    <s v="Liepāja"/>
    <x v="2"/>
  </r>
  <r>
    <x v="46"/>
    <s v="km"/>
    <n v="196469.86"/>
    <x v="0"/>
    <s v="Liepāja"/>
    <x v="2"/>
  </r>
  <r>
    <x v="47"/>
    <s v="EUR bez PVN"/>
    <n v="193164.92440684114"/>
    <x v="0"/>
    <s v="Liepāja"/>
    <x v="2"/>
  </r>
  <r>
    <x v="48"/>
    <s v="km"/>
    <n v="248946.66900000008"/>
    <x v="0"/>
    <s v="Liepāja"/>
    <x v="2"/>
  </r>
  <r>
    <x v="25"/>
    <m/>
    <n v="15730.163169870544"/>
    <x v="1"/>
    <s v="Liepāja"/>
    <x v="2"/>
  </r>
  <r>
    <x v="45"/>
    <s v="EUR bez PVN"/>
    <n v="45150.817637916865"/>
    <x v="1"/>
    <s v="Liepāja"/>
    <x v="2"/>
  </r>
  <r>
    <x v="46"/>
    <s v="km"/>
    <n v="86219.339999999982"/>
    <x v="1"/>
    <s v="Liepāja"/>
    <x v="2"/>
  </r>
  <r>
    <x v="47"/>
    <s v="EUR bez PVN"/>
    <n v="61139.621039261932"/>
    <x v="1"/>
    <s v="Liepāja"/>
    <x v="2"/>
  </r>
  <r>
    <x v="48"/>
    <s v="km"/>
    <n v="86585.624999999985"/>
    <x v="1"/>
    <s v="Liepāja"/>
    <x v="2"/>
  </r>
  <r>
    <x v="25"/>
    <m/>
    <n v="10102.968149693032"/>
    <x v="2"/>
    <s v="Liepāja"/>
    <x v="2"/>
  </r>
  <r>
    <x v="45"/>
    <s v="EUR bez PVN"/>
    <n v="37767.140168985352"/>
    <x v="2"/>
    <s v="Liepāja"/>
    <x v="2"/>
  </r>
  <r>
    <x v="46"/>
    <s v="km"/>
    <n v="57478.28"/>
    <x v="2"/>
    <s v="Liepāja"/>
    <x v="2"/>
  </r>
  <r>
    <x v="47"/>
    <s v="EUR bez PVN"/>
    <n v="49957.304553896967"/>
    <x v="2"/>
    <s v="Liepāja"/>
    <x v="2"/>
  </r>
  <r>
    <x v="48"/>
    <s v="km"/>
    <n v="59984.404465484637"/>
    <x v="2"/>
    <s v="Liepāja"/>
    <x v="2"/>
  </r>
  <r>
    <x v="0"/>
    <m/>
    <n v="0"/>
    <x v="0"/>
    <s v="Liepāja"/>
    <x v="3"/>
  </r>
  <r>
    <x v="1"/>
    <s v="skaits"/>
    <n v="43"/>
    <x v="0"/>
    <s v="Liepāja"/>
    <x v="3"/>
  </r>
  <r>
    <x v="2"/>
    <s v="skaits"/>
    <n v="12790"/>
    <x v="0"/>
    <s v="Liepāja"/>
    <x v="3"/>
  </r>
  <r>
    <x v="3"/>
    <s v="skaits"/>
    <n v="12790"/>
    <x v="0"/>
    <s v="Liepāja"/>
    <x v="3"/>
  </r>
  <r>
    <x v="4"/>
    <s v="skaits"/>
    <n v="0"/>
    <x v="0"/>
    <s v="Liepāja"/>
    <x v="3"/>
  </r>
  <r>
    <x v="5"/>
    <s v="skaits"/>
    <n v="0"/>
    <x v="0"/>
    <s v="Liepāja"/>
    <x v="3"/>
  </r>
  <r>
    <x v="6"/>
    <s v="km"/>
    <n v="185411.79999999996"/>
    <x v="0"/>
    <s v="Liepāja"/>
    <x v="3"/>
  </r>
  <r>
    <x v="7"/>
    <s v="km"/>
    <n v="185411.79999999996"/>
    <x v="0"/>
    <s v="Liepāja"/>
    <x v="3"/>
  </r>
  <r>
    <x v="8"/>
    <s v="km"/>
    <n v="0"/>
    <x v="0"/>
    <s v="Liepāja"/>
    <x v="3"/>
  </r>
  <r>
    <x v="9"/>
    <s v="km"/>
    <n v="0"/>
    <x v="0"/>
    <s v="Liepāja"/>
    <x v="3"/>
  </r>
  <r>
    <x v="10"/>
    <s v="EUR/km"/>
    <n v="1.6343000000000001"/>
    <x v="0"/>
    <s v="Liepāja"/>
    <x v="3"/>
  </r>
  <r>
    <x v="0"/>
    <m/>
    <n v="0"/>
    <x v="1"/>
    <s v="Liepāja"/>
    <x v="3"/>
  </r>
  <r>
    <x v="1"/>
    <s v="skaits"/>
    <n v="13"/>
    <x v="1"/>
    <s v="Liepāja"/>
    <x v="3"/>
  </r>
  <r>
    <x v="2"/>
    <s v="skaits"/>
    <n v="8660"/>
    <x v="1"/>
    <s v="Liepāja"/>
    <x v="3"/>
  </r>
  <r>
    <x v="3"/>
    <s v="skaits"/>
    <n v="8660"/>
    <x v="1"/>
    <s v="Liepāja"/>
    <x v="3"/>
  </r>
  <r>
    <x v="4"/>
    <s v="skaits"/>
    <n v="0"/>
    <x v="1"/>
    <s v="Liepāja"/>
    <x v="3"/>
  </r>
  <r>
    <x v="5"/>
    <s v="skaits"/>
    <n v="0"/>
    <x v="1"/>
    <s v="Liepāja"/>
    <x v="3"/>
  </r>
  <r>
    <x v="6"/>
    <s v="km"/>
    <n v="84612.799999999988"/>
    <x v="1"/>
    <s v="Liepāja"/>
    <x v="3"/>
  </r>
  <r>
    <x v="7"/>
    <s v="km"/>
    <n v="84612.799999999988"/>
    <x v="1"/>
    <s v="Liepāja"/>
    <x v="3"/>
  </r>
  <r>
    <x v="8"/>
    <s v="km"/>
    <n v="0"/>
    <x v="1"/>
    <s v="Liepāja"/>
    <x v="3"/>
  </r>
  <r>
    <x v="9"/>
    <s v="km"/>
    <n v="0"/>
    <x v="1"/>
    <s v="Liepāja"/>
    <x v="3"/>
  </r>
  <r>
    <x v="10"/>
    <s v="EUR/km"/>
    <n v="0.84199999999999997"/>
    <x v="1"/>
    <s v="Liepāja"/>
    <x v="3"/>
  </r>
  <r>
    <x v="0"/>
    <m/>
    <n v="0"/>
    <x v="2"/>
    <s v="Liepāja"/>
    <x v="3"/>
  </r>
  <r>
    <x v="1"/>
    <s v="skaits"/>
    <n v="20"/>
    <x v="2"/>
    <s v="Liepāja"/>
    <x v="3"/>
  </r>
  <r>
    <x v="2"/>
    <s v="skaits"/>
    <n v="7840"/>
    <x v="2"/>
    <s v="Liepāja"/>
    <x v="3"/>
  </r>
  <r>
    <x v="3"/>
    <s v="skaits"/>
    <n v="7840"/>
    <x v="2"/>
    <s v="Liepāja"/>
    <x v="3"/>
  </r>
  <r>
    <x v="4"/>
    <s v="skaits"/>
    <n v="0"/>
    <x v="2"/>
    <s v="Liepāja"/>
    <x v="3"/>
  </r>
  <r>
    <x v="5"/>
    <s v="skaits"/>
    <n v="0"/>
    <x v="2"/>
    <s v="Liepāja"/>
    <x v="3"/>
  </r>
  <r>
    <x v="6"/>
    <s v="km"/>
    <n v="55825.820000000007"/>
    <x v="2"/>
    <s v="Liepāja"/>
    <x v="3"/>
  </r>
  <r>
    <x v="7"/>
    <s v="km"/>
    <n v="55825.820000000007"/>
    <x v="2"/>
    <s v="Liepāja"/>
    <x v="3"/>
  </r>
  <r>
    <x v="8"/>
    <s v="km"/>
    <n v="0"/>
    <x v="2"/>
    <s v="Liepāja"/>
    <x v="3"/>
  </r>
  <r>
    <x v="9"/>
    <s v="km"/>
    <n v="0"/>
    <x v="2"/>
    <s v="Liepāja"/>
    <x v="3"/>
  </r>
  <r>
    <x v="10"/>
    <s v="EUR/km"/>
    <n v="3.0809000000000002"/>
    <x v="2"/>
    <s v="Liepāja"/>
    <x v="3"/>
  </r>
  <r>
    <x v="11"/>
    <m/>
    <n v="8.8861999999999988"/>
    <x v="0"/>
    <s v="Liepāja"/>
    <x v="3"/>
  </r>
  <r>
    <x v="12"/>
    <m/>
    <m/>
    <x v="0"/>
    <s v="Liepāja"/>
    <x v="3"/>
  </r>
  <r>
    <x v="13"/>
    <s v="litri"/>
    <m/>
    <x v="0"/>
    <s v="Liepāja"/>
    <x v="3"/>
  </r>
  <r>
    <x v="49"/>
    <s v="litri"/>
    <m/>
    <x v="0"/>
    <s v="Liepāja"/>
    <x v="3"/>
  </r>
  <r>
    <x v="50"/>
    <s v="litri"/>
    <m/>
    <x v="0"/>
    <s v="Liepāja"/>
    <x v="3"/>
  </r>
  <r>
    <x v="30"/>
    <s v="litri"/>
    <m/>
    <x v="0"/>
    <s v="Liepāja"/>
    <x v="3"/>
  </r>
  <r>
    <x v="51"/>
    <s v="litri"/>
    <m/>
    <x v="0"/>
    <s v="Liepāja"/>
    <x v="3"/>
  </r>
  <r>
    <x v="52"/>
    <s v="gabali"/>
    <m/>
    <x v="0"/>
    <s v="Liepāja"/>
    <x v="3"/>
  </r>
  <r>
    <x v="53"/>
    <s v="gabali"/>
    <m/>
    <x v="0"/>
    <s v="Liepāja"/>
    <x v="3"/>
  </r>
  <r>
    <x v="16"/>
    <s v="ruļļi"/>
    <m/>
    <x v="0"/>
    <s v="Liepāja"/>
    <x v="3"/>
  </r>
  <r>
    <x v="54"/>
    <s v="gabali"/>
    <n v="0.745"/>
    <x v="0"/>
    <s v="Liepāja"/>
    <x v="3"/>
  </r>
  <r>
    <x v="55"/>
    <s v="gabali"/>
    <n v="44"/>
    <x v="0"/>
    <s v="Liepāja"/>
    <x v="3"/>
  </r>
  <r>
    <x v="56"/>
    <s v="gabali"/>
    <n v="45"/>
    <x v="0"/>
    <s v="Liepāja"/>
    <x v="3"/>
  </r>
  <r>
    <x v="19"/>
    <s v="EUR/vien bez PVN"/>
    <m/>
    <x v="0"/>
    <s v="Liepāja"/>
    <x v="3"/>
  </r>
  <r>
    <x v="13"/>
    <s v="EUR/vien bez PVN"/>
    <m/>
    <x v="0"/>
    <s v="Liepāja"/>
    <x v="3"/>
  </r>
  <r>
    <x v="49"/>
    <s v="EUR/vien bez PVN"/>
    <m/>
    <x v="0"/>
    <s v="Liepāja"/>
    <x v="3"/>
  </r>
  <r>
    <x v="50"/>
    <s v="EUR/vien bez PVN"/>
    <m/>
    <x v="0"/>
    <s v="Liepāja"/>
    <x v="3"/>
  </r>
  <r>
    <x v="30"/>
    <s v="EUR/vien bez PVN"/>
    <m/>
    <x v="0"/>
    <s v="Liepāja"/>
    <x v="3"/>
  </r>
  <r>
    <x v="51"/>
    <s v="EUR/vien bez PVN"/>
    <m/>
    <x v="0"/>
    <s v="Liepāja"/>
    <x v="3"/>
  </r>
  <r>
    <x v="52"/>
    <s v="EUR/vien bez PVN"/>
    <m/>
    <x v="0"/>
    <s v="Liepāja"/>
    <x v="3"/>
  </r>
  <r>
    <x v="53"/>
    <s v="EUR/vien bez PVN"/>
    <m/>
    <x v="0"/>
    <s v="Liepāja"/>
    <x v="3"/>
  </r>
  <r>
    <x v="16"/>
    <s v="EUR/vien bez PVN"/>
    <m/>
    <x v="0"/>
    <s v="Liepāja"/>
    <x v="3"/>
  </r>
  <r>
    <x v="54"/>
    <s v="EUR/vien bez PVN"/>
    <n v="4.76"/>
    <x v="0"/>
    <s v="Liepāja"/>
    <x v="3"/>
  </r>
  <r>
    <x v="55"/>
    <s v="EUR/vien bez PVN"/>
    <n v="0.06"/>
    <x v="0"/>
    <s v="Liepāja"/>
    <x v="3"/>
  </r>
  <r>
    <x v="57"/>
    <s v="EUR/vien bez PVN"/>
    <n v="0.06"/>
    <x v="0"/>
    <s v="Liepāja"/>
    <x v="3"/>
  </r>
  <r>
    <x v="11"/>
    <m/>
    <n v="4.0498159999999999"/>
    <x v="1"/>
    <s v="Liepāja"/>
    <x v="3"/>
  </r>
  <r>
    <x v="12"/>
    <m/>
    <m/>
    <x v="1"/>
    <s v="Liepāja"/>
    <x v="3"/>
  </r>
  <r>
    <x v="13"/>
    <s v="litri"/>
    <m/>
    <x v="1"/>
    <s v="Liepāja"/>
    <x v="3"/>
  </r>
  <r>
    <x v="49"/>
    <s v="litri"/>
    <m/>
    <x v="1"/>
    <s v="Liepāja"/>
    <x v="3"/>
  </r>
  <r>
    <x v="50"/>
    <s v="litri"/>
    <m/>
    <x v="1"/>
    <s v="Liepāja"/>
    <x v="3"/>
  </r>
  <r>
    <x v="30"/>
    <s v="litri"/>
    <m/>
    <x v="1"/>
    <s v="Liepāja"/>
    <x v="3"/>
  </r>
  <r>
    <x v="51"/>
    <s v="litri"/>
    <m/>
    <x v="1"/>
    <s v="Liepāja"/>
    <x v="3"/>
  </r>
  <r>
    <x v="52"/>
    <s v="gabali"/>
    <m/>
    <x v="1"/>
    <s v="Liepāja"/>
    <x v="3"/>
  </r>
  <r>
    <x v="53"/>
    <s v="gabali"/>
    <m/>
    <x v="1"/>
    <s v="Liepāja"/>
    <x v="3"/>
  </r>
  <r>
    <x v="16"/>
    <s v="ruļļi"/>
    <m/>
    <x v="1"/>
    <s v="Liepāja"/>
    <x v="3"/>
  </r>
  <r>
    <x v="54"/>
    <s v="gabali"/>
    <n v="0.34660000000000002"/>
    <x v="1"/>
    <s v="Liepāja"/>
    <x v="3"/>
  </r>
  <r>
    <x v="55"/>
    <s v="gabali"/>
    <n v="20"/>
    <x v="1"/>
    <s v="Liepāja"/>
    <x v="3"/>
  </r>
  <r>
    <x v="56"/>
    <s v="gabali"/>
    <n v="20"/>
    <x v="1"/>
    <s v="Liepāja"/>
    <x v="3"/>
  </r>
  <r>
    <x v="19"/>
    <s v="EUR/vien bez PVN"/>
    <m/>
    <x v="1"/>
    <s v="Liepāja"/>
    <x v="3"/>
  </r>
  <r>
    <x v="13"/>
    <s v="EUR/vien bez PVN"/>
    <m/>
    <x v="1"/>
    <s v="Liepāja"/>
    <x v="3"/>
  </r>
  <r>
    <x v="49"/>
    <s v="EUR/vien bez PVN"/>
    <m/>
    <x v="1"/>
    <s v="Liepāja"/>
    <x v="3"/>
  </r>
  <r>
    <x v="50"/>
    <s v="EUR/vien bez PVN"/>
    <m/>
    <x v="1"/>
    <s v="Liepāja"/>
    <x v="3"/>
  </r>
  <r>
    <x v="30"/>
    <s v="EUR/vien bez PVN"/>
    <m/>
    <x v="1"/>
    <s v="Liepāja"/>
    <x v="3"/>
  </r>
  <r>
    <x v="51"/>
    <s v="EUR/vien bez PVN"/>
    <m/>
    <x v="1"/>
    <s v="Liepāja"/>
    <x v="3"/>
  </r>
  <r>
    <x v="52"/>
    <s v="EUR/vien bez PVN"/>
    <m/>
    <x v="1"/>
    <s v="Liepāja"/>
    <x v="3"/>
  </r>
  <r>
    <x v="53"/>
    <s v="EUR/vien bez PVN"/>
    <m/>
    <x v="1"/>
    <s v="Liepāja"/>
    <x v="3"/>
  </r>
  <r>
    <x v="16"/>
    <s v="EUR/vien bez PVN"/>
    <m/>
    <x v="1"/>
    <s v="Liepāja"/>
    <x v="3"/>
  </r>
  <r>
    <x v="54"/>
    <s v="EUR/vien bez PVN"/>
    <n v="4.76"/>
    <x v="1"/>
    <s v="Liepāja"/>
    <x v="3"/>
  </r>
  <r>
    <x v="55"/>
    <s v="EUR/vien bez PVN"/>
    <n v="0.06"/>
    <x v="1"/>
    <s v="Liepāja"/>
    <x v="3"/>
  </r>
  <r>
    <x v="57"/>
    <s v="EUR/vien bez PVN"/>
    <n v="0.06"/>
    <x v="1"/>
    <s v="Liepāja"/>
    <x v="3"/>
  </r>
  <r>
    <x v="11"/>
    <m/>
    <n v="96.59999999999998"/>
    <x v="2"/>
    <s v="Liepāja"/>
    <x v="3"/>
  </r>
  <r>
    <x v="12"/>
    <m/>
    <m/>
    <x v="2"/>
    <s v="Liepāja"/>
    <x v="3"/>
  </r>
  <r>
    <x v="13"/>
    <s v="litri"/>
    <n v="5"/>
    <x v="2"/>
    <s v="Liepāja"/>
    <x v="3"/>
  </r>
  <r>
    <x v="49"/>
    <s v="litri"/>
    <n v="5"/>
    <x v="2"/>
    <s v="Liepāja"/>
    <x v="3"/>
  </r>
  <r>
    <x v="50"/>
    <s v="litri"/>
    <n v="2"/>
    <x v="2"/>
    <s v="Liepāja"/>
    <x v="3"/>
  </r>
  <r>
    <x v="30"/>
    <s v="litri"/>
    <n v="10"/>
    <x v="2"/>
    <s v="Liepāja"/>
    <x v="3"/>
  </r>
  <r>
    <x v="51"/>
    <s v="litri"/>
    <n v="5"/>
    <x v="2"/>
    <s v="Liepāja"/>
    <x v="3"/>
  </r>
  <r>
    <x v="52"/>
    <s v="gabali"/>
    <n v="1"/>
    <x v="2"/>
    <s v="Liepāja"/>
    <x v="3"/>
  </r>
  <r>
    <x v="53"/>
    <s v="gabali"/>
    <n v="1"/>
    <x v="2"/>
    <s v="Liepāja"/>
    <x v="3"/>
  </r>
  <r>
    <x v="16"/>
    <s v="ruļļi"/>
    <n v="66"/>
    <x v="2"/>
    <s v="Liepāja"/>
    <x v="3"/>
  </r>
  <r>
    <x v="54"/>
    <s v="gabali"/>
    <m/>
    <x v="2"/>
    <s v="Liepāja"/>
    <x v="3"/>
  </r>
  <r>
    <x v="55"/>
    <s v="gabali"/>
    <m/>
    <x v="2"/>
    <s v="Liepāja"/>
    <x v="3"/>
  </r>
  <r>
    <x v="56"/>
    <s v="gabali"/>
    <m/>
    <x v="2"/>
    <s v="Liepāja"/>
    <x v="3"/>
  </r>
  <r>
    <x v="19"/>
    <s v="EUR/vien bez PVN"/>
    <m/>
    <x v="2"/>
    <s v="Liepāja"/>
    <x v="3"/>
  </r>
  <r>
    <x v="13"/>
    <s v="EUR/vien bez PVN"/>
    <n v="2.472"/>
    <x v="2"/>
    <s v="Liepāja"/>
    <x v="3"/>
  </r>
  <r>
    <x v="49"/>
    <s v="EUR/vien bez PVN"/>
    <n v="2.5139999999999998"/>
    <x v="2"/>
    <s v="Liepāja"/>
    <x v="3"/>
  </r>
  <r>
    <x v="50"/>
    <s v="EUR/vien bez PVN"/>
    <n v="5.31"/>
    <x v="2"/>
    <s v="Liepāja"/>
    <x v="3"/>
  </r>
  <r>
    <x v="30"/>
    <s v="EUR/vien bez PVN"/>
    <n v="2.86"/>
    <x v="2"/>
    <s v="Liepāja"/>
    <x v="3"/>
  </r>
  <r>
    <x v="51"/>
    <s v="EUR/vien bez PVN"/>
    <n v="3.0459999999999998"/>
    <x v="2"/>
    <s v="Liepāja"/>
    <x v="3"/>
  </r>
  <r>
    <x v="52"/>
    <s v="EUR/vien bez PVN"/>
    <n v="1.38"/>
    <x v="2"/>
    <s v="Liepāja"/>
    <x v="3"/>
  </r>
  <r>
    <x v="53"/>
    <s v="EUR/vien bez PVN"/>
    <n v="1.32"/>
    <x v="2"/>
    <s v="Liepāja"/>
    <x v="3"/>
  </r>
  <r>
    <x v="16"/>
    <s v="EUR/vien bez PVN"/>
    <n v="0.22"/>
    <x v="2"/>
    <s v="Liepāja"/>
    <x v="3"/>
  </r>
  <r>
    <x v="54"/>
    <s v="EUR/vien bez PVN"/>
    <m/>
    <x v="2"/>
    <s v="Liepāja"/>
    <x v="3"/>
  </r>
  <r>
    <x v="55"/>
    <s v="EUR/vien bez PVN"/>
    <m/>
    <x v="2"/>
    <s v="Liepāja"/>
    <x v="3"/>
  </r>
  <r>
    <x v="57"/>
    <s v="EUR/vien bez PVN"/>
    <m/>
    <x v="2"/>
    <s v="Liepāja"/>
    <x v="3"/>
  </r>
  <r>
    <x v="25"/>
    <m/>
    <n v="15499.471908594263"/>
    <x v="0"/>
    <s v="Liepāja"/>
    <x v="3"/>
  </r>
  <r>
    <x v="58"/>
    <s v="EUR bez PVN"/>
    <n v="110380.73"/>
    <x v="0"/>
    <s v="Liepāja"/>
    <x v="3"/>
  </r>
  <r>
    <x v="59"/>
    <s v="km"/>
    <n v="185411.79999999996"/>
    <x v="0"/>
    <s v="Liepāja"/>
    <x v="3"/>
  </r>
  <r>
    <x v="60"/>
    <s v="EUR bez PVN"/>
    <n v="169015.44"/>
    <x v="0"/>
    <s v="Liepāja"/>
    <x v="3"/>
  </r>
  <r>
    <x v="61"/>
    <s v="km"/>
    <n v="248946.66900000008"/>
    <x v="0"/>
    <s v="Liepāja"/>
    <x v="3"/>
  </r>
  <r>
    <x v="25"/>
    <m/>
    <n v="10485.040928081298"/>
    <x v="1"/>
    <s v="Liepāja"/>
    <x v="3"/>
  </r>
  <r>
    <x v="58"/>
    <s v="EUR bez PVN"/>
    <n v="45565.9"/>
    <x v="1"/>
    <s v="Liepāja"/>
    <x v="3"/>
  </r>
  <r>
    <x v="59"/>
    <s v="km"/>
    <n v="84612.799999999988"/>
    <x v="1"/>
    <s v="Liepāja"/>
    <x v="3"/>
  </r>
  <r>
    <x v="60"/>
    <s v="EUR bez PVN"/>
    <n v="57357.82"/>
    <x v="1"/>
    <s v="Liepāja"/>
    <x v="3"/>
  </r>
  <r>
    <x v="61"/>
    <s v="km"/>
    <n v="86585.624999999985"/>
    <x v="1"/>
    <s v="Liepāja"/>
    <x v="3"/>
  </r>
  <r>
    <x v="25"/>
    <m/>
    <n v="4970.7175888909569"/>
    <x v="2"/>
    <s v="Liepāja"/>
    <x v="3"/>
  </r>
  <r>
    <x v="58"/>
    <s v="EUR bez PVN"/>
    <n v="38461.82"/>
    <x v="2"/>
    <s v="Liepāja"/>
    <x v="3"/>
  </r>
  <r>
    <x v="59"/>
    <s v="km"/>
    <n v="55825.820000000007"/>
    <x v="2"/>
    <s v="Liepāja"/>
    <x v="3"/>
  </r>
  <r>
    <x v="60"/>
    <s v="EUR bez PVN"/>
    <n v="46667.92"/>
    <x v="2"/>
    <s v="Liepāja"/>
    <x v="3"/>
  </r>
  <r>
    <x v="61"/>
    <s v="km"/>
    <n v="59984.404465484637"/>
    <x v="2"/>
    <s v="Liepāja"/>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CB59957-25F7-437F-A855-016A9A0FF858}" name="PivotTable1"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location ref="A3:R9" firstHeaderRow="1" firstDataRow="3" firstDataCol="1"/>
  <pivotFields count="6">
    <pivotField axis="axisRow" showAll="0">
      <items count="63">
        <item h="1" x="35"/>
        <item h="1" x="45"/>
        <item h="1" x="26"/>
        <item h="1" x="37"/>
        <item h="1" x="47"/>
        <item h="1" x="28"/>
        <item h="1" x="38"/>
        <item h="1" x="48"/>
        <item h="1" x="29"/>
        <item h="1" x="10"/>
        <item h="1" x="19"/>
        <item h="1" x="36"/>
        <item h="1" x="46"/>
        <item h="1" x="27"/>
        <item h="1" x="7"/>
        <item h="1" x="6"/>
        <item h="1" x="3"/>
        <item h="1" x="2"/>
        <item h="1" x="12"/>
        <item x="0"/>
        <item x="11"/>
        <item x="25"/>
        <item h="1" x="40"/>
        <item h="1" x="43"/>
        <item h="1" x="32"/>
        <item h="1" x="44"/>
        <item h="1" x="39"/>
        <item h="1" x="41"/>
        <item h="1" x="1"/>
        <item h="1" x="34"/>
        <item h="1" x="16"/>
        <item h="1" x="22"/>
        <item h="1" x="17"/>
        <item h="1" x="23"/>
        <item h="1" x="18"/>
        <item h="1" x="24"/>
        <item h="1" x="13"/>
        <item h="1" x="20"/>
        <item h="1" x="31"/>
        <item h="1" x="15"/>
        <item h="1" x="42"/>
        <item h="1" x="33"/>
        <item h="1" x="5"/>
        <item h="1" x="9"/>
        <item h="1" x="4"/>
        <item h="1" x="8"/>
        <item h="1" x="30"/>
        <item h="1" x="14"/>
        <item h="1" x="21"/>
        <item h="1" x="49"/>
        <item h="1" x="50"/>
        <item h="1" x="51"/>
        <item h="1" x="52"/>
        <item h="1" x="53"/>
        <item h="1" x="54"/>
        <item h="1" x="55"/>
        <item h="1" x="56"/>
        <item h="1" x="57"/>
        <item h="1" x="58"/>
        <item h="1" x="59"/>
        <item h="1" x="60"/>
        <item h="1" x="61"/>
        <item t="default"/>
      </items>
    </pivotField>
    <pivotField showAll="0"/>
    <pivotField dataField="1" showAll="0"/>
    <pivotField axis="axisCol" showAll="0">
      <items count="4">
        <item x="0"/>
        <item x="1"/>
        <item x="2"/>
        <item t="default"/>
      </items>
    </pivotField>
    <pivotField showAll="0"/>
    <pivotField axis="axisCol" showAll="0">
      <items count="5">
        <item x="0"/>
        <item x="1"/>
        <item x="2"/>
        <item x="3"/>
        <item t="default"/>
      </items>
    </pivotField>
  </pivotFields>
  <rowFields count="1">
    <field x="0"/>
  </rowFields>
  <rowItems count="4">
    <i>
      <x v="19"/>
    </i>
    <i>
      <x v="20"/>
    </i>
    <i>
      <x v="21"/>
    </i>
    <i t="grand">
      <x/>
    </i>
  </rowItems>
  <colFields count="2">
    <field x="5"/>
    <field x="3"/>
  </colFields>
  <colItems count="17">
    <i>
      <x/>
      <x/>
    </i>
    <i r="1">
      <x v="1"/>
    </i>
    <i r="1">
      <x v="2"/>
    </i>
    <i t="default">
      <x/>
    </i>
    <i>
      <x v="1"/>
      <x/>
    </i>
    <i r="1">
      <x v="1"/>
    </i>
    <i r="1">
      <x v="2"/>
    </i>
    <i t="default">
      <x v="1"/>
    </i>
    <i>
      <x v="2"/>
      <x/>
    </i>
    <i r="1">
      <x v="1"/>
    </i>
    <i r="1">
      <x v="2"/>
    </i>
    <i t="default">
      <x v="2"/>
    </i>
    <i>
      <x v="3"/>
      <x/>
    </i>
    <i r="1">
      <x v="1"/>
    </i>
    <i r="1">
      <x v="2"/>
    </i>
    <i t="default">
      <x v="3"/>
    </i>
    <i t="grand">
      <x/>
    </i>
  </colItems>
  <dataFields count="1">
    <dataField name="Sum of Vērtība" fld="2" baseField="0" baseItem="0" numFmtId="4"/>
  </dataFields>
  <formats count="13">
    <format dxfId="12">
      <pivotArea dataOnly="0" labelOnly="1" fieldPosition="0">
        <references count="1">
          <reference field="0" count="0"/>
        </references>
      </pivotArea>
    </format>
    <format dxfId="11">
      <pivotArea outline="0" collapsedLevelsAreSubtotals="1" fieldPosition="0"/>
    </format>
    <format dxfId="10">
      <pivotArea dataOnly="0" outline="0" fieldPosition="0">
        <references count="1">
          <reference field="5" count="1">
            <x v="0"/>
          </reference>
        </references>
      </pivotArea>
    </format>
    <format dxfId="9">
      <pivotArea dataOnly="0" labelOnly="1" fieldPosition="0">
        <references count="1">
          <reference field="5" count="1" defaultSubtotal="1">
            <x v="0"/>
          </reference>
        </references>
      </pivotArea>
    </format>
    <format dxfId="8">
      <pivotArea collapsedLevelsAreSubtotals="1" fieldPosition="0">
        <references count="1">
          <reference field="0" count="0"/>
        </references>
      </pivotArea>
    </format>
    <format dxfId="7">
      <pivotArea dataOnly="0" labelOnly="1" fieldPosition="0">
        <references count="1">
          <reference field="0" count="0"/>
        </references>
      </pivotArea>
    </format>
    <format dxfId="6">
      <pivotArea collapsedLevelsAreSubtotals="1" fieldPosition="0">
        <references count="2">
          <reference field="0" count="0"/>
          <reference field="5" count="1" selected="0" defaultSubtotal="1">
            <x v="0"/>
          </reference>
        </references>
      </pivotArea>
    </format>
    <format dxfId="5">
      <pivotArea collapsedLevelsAreSubtotals="1" fieldPosition="0">
        <references count="2">
          <reference field="0" count="0"/>
          <reference field="5" count="1" selected="0" defaultSubtotal="1">
            <x v="1"/>
          </reference>
        </references>
      </pivotArea>
    </format>
    <format dxfId="4">
      <pivotArea collapsedLevelsAreSubtotals="1" fieldPosition="0">
        <references count="2">
          <reference field="0" count="0"/>
          <reference field="5" count="1" selected="0" defaultSubtotal="1">
            <x v="2"/>
          </reference>
        </references>
      </pivotArea>
    </format>
    <format dxfId="3">
      <pivotArea collapsedLevelsAreSubtotals="1" fieldPosition="0">
        <references count="2">
          <reference field="0" count="0"/>
          <reference field="5" count="1" selected="0" defaultSubtotal="1">
            <x v="3"/>
          </reference>
        </references>
      </pivotArea>
    </format>
    <format dxfId="2">
      <pivotArea grandRow="1" outline="0" collapsedLevelsAreSubtotals="1" fieldPosition="0"/>
    </format>
    <format dxfId="1">
      <pivotArea dataOnly="0" labelOnly="1" grandRow="1" outline="0" fieldPosition="0"/>
    </format>
    <format dxfId="0">
      <pivotArea field="0" grandCol="1" collapsedLevelsAreSubtotals="1" axis="axisRow" fieldPosition="0">
        <references count="1">
          <reference field="0"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FDCCB-D681-4EEB-83EA-E116793AC980}">
  <sheetPr>
    <pageSetUpPr fitToPage="1"/>
  </sheetPr>
  <dimension ref="A1:M57"/>
  <sheetViews>
    <sheetView zoomScale="85" zoomScaleNormal="85" workbookViewId="0">
      <selection activeCell="O1" sqref="O1"/>
    </sheetView>
  </sheetViews>
  <sheetFormatPr defaultColWidth="9.140625" defaultRowHeight="15" x14ac:dyDescent="0.25"/>
  <cols>
    <col min="1" max="1" width="12.5703125" style="1" customWidth="1"/>
    <col min="2" max="2" width="46.140625" style="1" customWidth="1"/>
    <col min="3" max="3" width="11.42578125" style="1" customWidth="1"/>
    <col min="4" max="5" width="17" style="1" customWidth="1"/>
    <col min="6" max="6" width="14.28515625" style="1" customWidth="1"/>
    <col min="7" max="7" width="16.7109375" style="1" customWidth="1"/>
    <col min="8" max="8" width="10" style="1" hidden="1" customWidth="1"/>
    <col min="9" max="9" width="0" style="1" hidden="1" customWidth="1"/>
    <col min="10" max="10" width="9.7109375" style="1" hidden="1" customWidth="1"/>
    <col min="11" max="13" width="0" style="1" hidden="1" customWidth="1"/>
    <col min="14" max="16384" width="9.140625" style="1"/>
  </cols>
  <sheetData>
    <row r="1" spans="1:10" ht="42" customHeight="1" x14ac:dyDescent="0.3">
      <c r="A1" s="255" t="s">
        <v>66</v>
      </c>
      <c r="B1" s="255"/>
      <c r="C1" s="255"/>
      <c r="D1" s="255"/>
      <c r="E1" s="255"/>
      <c r="F1" s="255"/>
      <c r="G1" s="255"/>
    </row>
    <row r="2" spans="1:10" s="2" customFormat="1" ht="29.25" thickBot="1" x14ac:dyDescent="0.25">
      <c r="A2" s="3" t="s">
        <v>3</v>
      </c>
      <c r="B2" s="13"/>
      <c r="C2" s="14" t="s">
        <v>4</v>
      </c>
      <c r="D2" s="14" t="s">
        <v>0</v>
      </c>
      <c r="E2" s="15" t="s">
        <v>10</v>
      </c>
      <c r="F2" s="14" t="s">
        <v>1</v>
      </c>
      <c r="G2" s="14" t="s">
        <v>2</v>
      </c>
      <c r="H2" s="106"/>
    </row>
    <row r="3" spans="1:10" s="2" customFormat="1" thickBot="1" x14ac:dyDescent="0.25">
      <c r="A3" s="12" t="s">
        <v>14</v>
      </c>
      <c r="B3" s="24" t="s">
        <v>51</v>
      </c>
      <c r="C3" s="25"/>
      <c r="D3" s="26">
        <f>(D10-D9)*D13</f>
        <v>-553.35571200001482</v>
      </c>
      <c r="E3" s="26">
        <f>(E10-E9)*E13</f>
        <v>-685.55852399999742</v>
      </c>
      <c r="F3" s="26">
        <f t="shared" ref="F3:G3" si="0">(F10-F9)*F13</f>
        <v>0</v>
      </c>
      <c r="G3" s="27">
        <f t="shared" si="0"/>
        <v>0</v>
      </c>
      <c r="H3" s="107">
        <f>SUM(D3:G3)</f>
        <v>-1238.9142360000124</v>
      </c>
    </row>
    <row r="4" spans="1:10" x14ac:dyDescent="0.25">
      <c r="A4" s="261" t="s">
        <v>6</v>
      </c>
      <c r="B4" s="23" t="s">
        <v>11</v>
      </c>
      <c r="C4" s="259" t="s">
        <v>5</v>
      </c>
      <c r="D4" s="69">
        <v>43</v>
      </c>
      <c r="E4" s="70">
        <v>13</v>
      </c>
      <c r="F4" s="69">
        <v>20</v>
      </c>
      <c r="G4" s="71"/>
      <c r="H4" s="108"/>
    </row>
    <row r="5" spans="1:10" ht="15" customHeight="1" x14ac:dyDescent="0.25">
      <c r="A5" s="262"/>
      <c r="B5" s="16" t="s">
        <v>48</v>
      </c>
      <c r="C5" s="259"/>
      <c r="D5" s="72">
        <v>10201</v>
      </c>
      <c r="E5" s="72">
        <v>6814</v>
      </c>
      <c r="F5" s="72">
        <v>6084</v>
      </c>
      <c r="G5" s="73"/>
      <c r="H5" s="108"/>
    </row>
    <row r="6" spans="1:10" x14ac:dyDescent="0.25">
      <c r="A6" s="262"/>
      <c r="B6" s="16" t="s">
        <v>49</v>
      </c>
      <c r="C6" s="259"/>
      <c r="D6" s="72">
        <f>D5+D7-D8</f>
        <v>10165</v>
      </c>
      <c r="E6" s="72">
        <f t="shared" ref="E6:G6" si="1">E5+E7-E8</f>
        <v>6706</v>
      </c>
      <c r="F6" s="72">
        <f t="shared" si="1"/>
        <v>6084</v>
      </c>
      <c r="G6" s="73">
        <f t="shared" si="1"/>
        <v>0</v>
      </c>
      <c r="H6" s="108"/>
    </row>
    <row r="7" spans="1:10" x14ac:dyDescent="0.25">
      <c r="A7" s="262"/>
      <c r="B7" s="17" t="s">
        <v>44</v>
      </c>
      <c r="C7" s="259"/>
      <c r="D7" s="72">
        <v>0</v>
      </c>
      <c r="E7" s="72">
        <v>0</v>
      </c>
      <c r="F7" s="72">
        <v>0</v>
      </c>
      <c r="G7" s="73"/>
      <c r="H7" s="108"/>
    </row>
    <row r="8" spans="1:10" x14ac:dyDescent="0.25">
      <c r="A8" s="262"/>
      <c r="B8" s="17" t="s">
        <v>45</v>
      </c>
      <c r="C8" s="260"/>
      <c r="D8" s="72">
        <v>36</v>
      </c>
      <c r="E8" s="72">
        <v>108</v>
      </c>
      <c r="F8" s="72">
        <v>0</v>
      </c>
      <c r="G8" s="73"/>
      <c r="H8" s="108"/>
    </row>
    <row r="9" spans="1:10" x14ac:dyDescent="0.25">
      <c r="A9" s="262"/>
      <c r="B9" s="16" t="s">
        <v>42</v>
      </c>
      <c r="C9" s="256" t="s">
        <v>7</v>
      </c>
      <c r="D9" s="72">
        <v>146665.04</v>
      </c>
      <c r="E9" s="72">
        <v>65745.289999999994</v>
      </c>
      <c r="F9" s="72">
        <v>45021.599999999999</v>
      </c>
      <c r="G9" s="73"/>
      <c r="H9" s="108"/>
    </row>
    <row r="10" spans="1:10" x14ac:dyDescent="0.25">
      <c r="A10" s="262"/>
      <c r="B10" s="16" t="s">
        <v>50</v>
      </c>
      <c r="C10" s="257"/>
      <c r="D10" s="72">
        <f>D9+D11-D12</f>
        <v>146317.28</v>
      </c>
      <c r="E10" s="72">
        <f>E9+E11-E12</f>
        <v>64902.77</v>
      </c>
      <c r="F10" s="72">
        <f t="shared" ref="F10:G10" si="2">F9+F11-F12</f>
        <v>45021.599999999999</v>
      </c>
      <c r="G10" s="73">
        <f t="shared" si="2"/>
        <v>0</v>
      </c>
      <c r="H10" s="108"/>
      <c r="I10" s="112">
        <f ca="1">atskaites_jedox!BA9</f>
        <v>284587</v>
      </c>
      <c r="J10" s="112">
        <f ca="1">atskaites_jedox!BB9</f>
        <v>60680</v>
      </c>
    </row>
    <row r="11" spans="1:10" ht="16.5" customHeight="1" x14ac:dyDescent="0.25">
      <c r="A11" s="262"/>
      <c r="B11" s="18" t="s">
        <v>46</v>
      </c>
      <c r="C11" s="257"/>
      <c r="D11" s="72">
        <v>0</v>
      </c>
      <c r="E11" s="72">
        <v>0</v>
      </c>
      <c r="F11" s="72">
        <v>0</v>
      </c>
      <c r="G11" s="73"/>
      <c r="H11" s="108"/>
    </row>
    <row r="12" spans="1:10" ht="16.5" customHeight="1" x14ac:dyDescent="0.25">
      <c r="A12" s="263"/>
      <c r="B12" s="18" t="s">
        <v>47</v>
      </c>
      <c r="C12" s="258"/>
      <c r="D12" s="72">
        <v>347.76</v>
      </c>
      <c r="E12" s="72">
        <v>842.52</v>
      </c>
      <c r="F12" s="72">
        <v>0</v>
      </c>
      <c r="G12" s="73"/>
      <c r="H12" s="108"/>
    </row>
    <row r="13" spans="1:10" ht="30.75" thickBot="1" x14ac:dyDescent="0.3">
      <c r="A13" s="29" t="s">
        <v>13</v>
      </c>
      <c r="B13" s="19" t="s">
        <v>43</v>
      </c>
      <c r="C13" s="20" t="s">
        <v>8</v>
      </c>
      <c r="D13" s="113">
        <v>1.5911999999999999</v>
      </c>
      <c r="E13" s="113">
        <v>0.81369999999999998</v>
      </c>
      <c r="F13" s="113">
        <v>2.8062999999999998</v>
      </c>
      <c r="G13" s="75"/>
      <c r="H13" s="108"/>
      <c r="I13" s="39">
        <f ca="1">atskaites_jedox!BC9</f>
        <v>1.3599999999999999</v>
      </c>
      <c r="J13" s="39">
        <f ca="1">atskaites_jedox!BD9</f>
        <v>2.81</v>
      </c>
    </row>
    <row r="14" spans="1:10" s="2" customFormat="1" ht="29.25" thickBot="1" x14ac:dyDescent="0.25">
      <c r="A14" s="7" t="s">
        <v>15</v>
      </c>
      <c r="B14" s="8" t="s">
        <v>41</v>
      </c>
      <c r="C14" s="9"/>
      <c r="D14" s="10">
        <f>SUM(D18*D25)</f>
        <v>4.74</v>
      </c>
      <c r="E14" s="10">
        <f>SUM(E18*E25)</f>
        <v>2.1</v>
      </c>
      <c r="F14" s="10">
        <f>SUM(F16*F23,F17*F24,F19*F26,F27*F20,F21*F28)</f>
        <v>123.78</v>
      </c>
      <c r="G14" s="11" t="e">
        <f>SUM(#REF!*#REF!,G18*G25,#REF!*#REF!,#REF!*#REF!,#REF!*#REF!,#REF!*#REF!)</f>
        <v>#REF!</v>
      </c>
      <c r="H14" s="107" t="e">
        <f>SUM(D14:G14)</f>
        <v>#REF!</v>
      </c>
    </row>
    <row r="15" spans="1:10" s="4" customFormat="1" ht="48.75" customHeight="1" x14ac:dyDescent="0.25">
      <c r="A15" s="268" t="s">
        <v>6</v>
      </c>
      <c r="B15" s="45" t="s">
        <v>39</v>
      </c>
      <c r="C15" s="56"/>
      <c r="D15" s="46"/>
      <c r="E15" s="46"/>
      <c r="F15" s="46"/>
      <c r="G15" s="47"/>
      <c r="H15" s="109"/>
    </row>
    <row r="16" spans="1:10" s="44" customFormat="1" x14ac:dyDescent="0.25">
      <c r="A16" s="269"/>
      <c r="B16" s="48" t="s">
        <v>61</v>
      </c>
      <c r="C16" s="57" t="s">
        <v>25</v>
      </c>
      <c r="D16" s="49"/>
      <c r="E16" s="46"/>
      <c r="F16" s="49">
        <v>5</v>
      </c>
      <c r="G16" s="47"/>
      <c r="H16" s="109"/>
    </row>
    <row r="17" spans="1:13" s="44" customFormat="1" x14ac:dyDescent="0.25">
      <c r="A17" s="269"/>
      <c r="B17" s="48" t="s">
        <v>63</v>
      </c>
      <c r="C17" s="57" t="s">
        <v>25</v>
      </c>
      <c r="D17" s="49"/>
      <c r="E17" s="46"/>
      <c r="F17" s="49">
        <v>15</v>
      </c>
      <c r="G17" s="47"/>
      <c r="H17" s="109"/>
    </row>
    <row r="18" spans="1:13" s="4" customFormat="1" x14ac:dyDescent="0.25">
      <c r="A18" s="269"/>
      <c r="B18" s="48" t="s">
        <v>12</v>
      </c>
      <c r="C18" s="57" t="s">
        <v>59</v>
      </c>
      <c r="D18" s="49">
        <v>79</v>
      </c>
      <c r="E18" s="49">
        <v>35</v>
      </c>
      <c r="F18" s="49"/>
      <c r="G18" s="51"/>
      <c r="H18" s="109"/>
    </row>
    <row r="19" spans="1:13" s="4" customFormat="1" x14ac:dyDescent="0.25">
      <c r="A19" s="269"/>
      <c r="B19" s="48" t="s">
        <v>62</v>
      </c>
      <c r="C19" s="57" t="s">
        <v>60</v>
      </c>
      <c r="D19" s="49"/>
      <c r="E19" s="50"/>
      <c r="F19" s="49">
        <v>260</v>
      </c>
      <c r="G19" s="51"/>
      <c r="H19" s="109"/>
    </row>
    <row r="20" spans="1:13" s="4" customFormat="1" x14ac:dyDescent="0.25">
      <c r="A20" s="269"/>
      <c r="B20" s="48" t="s">
        <v>64</v>
      </c>
      <c r="C20" s="57" t="s">
        <v>59</v>
      </c>
      <c r="D20" s="49"/>
      <c r="E20" s="50"/>
      <c r="F20" s="49">
        <v>5</v>
      </c>
      <c r="G20" s="51"/>
      <c r="H20" s="109"/>
    </row>
    <row r="21" spans="1:13" s="4" customFormat="1" ht="15.75" thickBot="1" x14ac:dyDescent="0.3">
      <c r="A21" s="269"/>
      <c r="B21" s="52" t="s">
        <v>65</v>
      </c>
      <c r="C21" s="58" t="s">
        <v>59</v>
      </c>
      <c r="D21" s="49"/>
      <c r="E21" s="50"/>
      <c r="F21" s="49">
        <v>1</v>
      </c>
      <c r="G21" s="51"/>
      <c r="H21" s="109"/>
    </row>
    <row r="22" spans="1:13" s="4" customFormat="1" ht="30" x14ac:dyDescent="0.25">
      <c r="A22" s="269"/>
      <c r="B22" s="53" t="s">
        <v>40</v>
      </c>
      <c r="C22" s="267" t="s">
        <v>26</v>
      </c>
      <c r="D22" s="54"/>
      <c r="E22" s="54"/>
      <c r="F22" s="54"/>
      <c r="G22" s="55"/>
      <c r="H22" s="109"/>
    </row>
    <row r="23" spans="1:13" s="44" customFormat="1" x14ac:dyDescent="0.25">
      <c r="A23" s="269"/>
      <c r="B23" s="48" t="s">
        <v>57</v>
      </c>
      <c r="C23" s="267"/>
      <c r="D23" s="46"/>
      <c r="E23" s="46"/>
      <c r="F23" s="46">
        <v>2.62</v>
      </c>
      <c r="G23" s="47"/>
      <c r="H23" s="109"/>
    </row>
    <row r="24" spans="1:13" s="44" customFormat="1" x14ac:dyDescent="0.25">
      <c r="A24" s="269"/>
      <c r="B24" s="48" t="s">
        <v>58</v>
      </c>
      <c r="C24" s="267"/>
      <c r="D24" s="46"/>
      <c r="E24" s="46"/>
      <c r="F24" s="46">
        <v>2.86</v>
      </c>
      <c r="G24" s="47"/>
      <c r="H24" s="109"/>
    </row>
    <row r="25" spans="1:13" s="4" customFormat="1" x14ac:dyDescent="0.25">
      <c r="A25" s="269"/>
      <c r="B25" s="48" t="s">
        <v>12</v>
      </c>
      <c r="C25" s="267"/>
      <c r="D25" s="50">
        <v>0.06</v>
      </c>
      <c r="E25" s="50">
        <v>0.06</v>
      </c>
      <c r="F25" s="50"/>
      <c r="G25" s="51"/>
      <c r="H25" s="109"/>
    </row>
    <row r="26" spans="1:13" s="4" customFormat="1" x14ac:dyDescent="0.25">
      <c r="A26" s="269"/>
      <c r="B26" s="48" t="s">
        <v>54</v>
      </c>
      <c r="C26" s="267"/>
      <c r="D26" s="50"/>
      <c r="E26" s="50"/>
      <c r="F26" s="50">
        <v>0.23</v>
      </c>
      <c r="G26" s="51"/>
      <c r="H26" s="109"/>
    </row>
    <row r="27" spans="1:13" s="44" customFormat="1" x14ac:dyDescent="0.25">
      <c r="A27" s="269"/>
      <c r="B27" s="48" t="s">
        <v>55</v>
      </c>
      <c r="C27" s="267"/>
      <c r="D27" s="50"/>
      <c r="E27" s="50"/>
      <c r="F27" s="50">
        <v>1.32</v>
      </c>
      <c r="G27" s="51"/>
      <c r="H27" s="109"/>
    </row>
    <row r="28" spans="1:13" s="44" customFormat="1" ht="15.75" thickBot="1" x14ac:dyDescent="0.3">
      <c r="A28" s="269"/>
      <c r="B28" s="52" t="s">
        <v>56</v>
      </c>
      <c r="C28" s="267"/>
      <c r="D28" s="50"/>
      <c r="E28" s="50"/>
      <c r="F28" s="50">
        <v>1.38</v>
      </c>
      <c r="G28" s="51"/>
      <c r="H28" s="109"/>
    </row>
    <row r="29" spans="1:13" s="2" customFormat="1" ht="14.25" x14ac:dyDescent="0.2">
      <c r="A29" s="21" t="s">
        <v>27</v>
      </c>
      <c r="B29" s="30" t="s">
        <v>53</v>
      </c>
      <c r="C29" s="31"/>
      <c r="D29" s="32">
        <f>((D32/D33)-(D30/D31))*D31</f>
        <v>39844.114257586123</v>
      </c>
      <c r="E29" s="32">
        <f t="shared" ref="E29:G29" si="3">((E32/E33)-(E30/E31))*E31</f>
        <v>15998.645778817619</v>
      </c>
      <c r="F29" s="32">
        <f t="shared" si="3"/>
        <v>13650.344734461389</v>
      </c>
      <c r="G29" s="33" t="e">
        <f t="shared" si="3"/>
        <v>#DIV/0!</v>
      </c>
      <c r="H29" s="110">
        <f>SUM(D29:F29)</f>
        <v>69493.104770865131</v>
      </c>
    </row>
    <row r="30" spans="1:13" ht="60" x14ac:dyDescent="0.25">
      <c r="A30" s="270" t="s">
        <v>28</v>
      </c>
      <c r="B30" s="34" t="s">
        <v>36</v>
      </c>
      <c r="C30" s="43" t="s">
        <v>30</v>
      </c>
      <c r="D30" s="40">
        <v>74913.11</v>
      </c>
      <c r="E30" s="42">
        <v>30374.29</v>
      </c>
      <c r="F30" s="40">
        <v>24986.48</v>
      </c>
      <c r="G30" s="35"/>
      <c r="H30" s="111">
        <f>SUM(D30:G30)</f>
        <v>130273.87999999999</v>
      </c>
      <c r="I30" s="112">
        <f ca="1">atskaites_jedox!AY9</f>
        <v>153004.31</v>
      </c>
      <c r="J30" s="112">
        <f ca="1">atskaites_jedox!AZ9</f>
        <v>32612.95</v>
      </c>
    </row>
    <row r="31" spans="1:13" x14ac:dyDescent="0.25">
      <c r="A31" s="271"/>
      <c r="B31" s="34" t="s">
        <v>52</v>
      </c>
      <c r="C31" s="43" t="s">
        <v>7</v>
      </c>
      <c r="D31" s="40">
        <f>D10</f>
        <v>146317.28</v>
      </c>
      <c r="E31" s="40">
        <f t="shared" ref="E31:F31" si="4">E10</f>
        <v>64902.77</v>
      </c>
      <c r="F31" s="40">
        <f t="shared" si="4"/>
        <v>45021.599999999999</v>
      </c>
      <c r="G31" s="35"/>
      <c r="H31" s="108"/>
      <c r="I31" s="112">
        <f ca="1">atskaites_jedox!BA9</f>
        <v>284587</v>
      </c>
      <c r="J31" s="112">
        <f ca="1">atskaites_jedox!BB9</f>
        <v>60680</v>
      </c>
      <c r="K31" s="1" t="b">
        <f>D31=D10</f>
        <v>1</v>
      </c>
      <c r="L31" s="1" t="b">
        <f t="shared" ref="L31:M31" si="5">E31=E10</f>
        <v>1</v>
      </c>
      <c r="M31" s="1" t="b">
        <f t="shared" si="5"/>
        <v>1</v>
      </c>
    </row>
    <row r="32" spans="1:13" ht="60" x14ac:dyDescent="0.25">
      <c r="A32" s="270" t="s">
        <v>29</v>
      </c>
      <c r="B32" s="34" t="s">
        <v>37</v>
      </c>
      <c r="C32" s="43" t="s">
        <v>30</v>
      </c>
      <c r="D32" s="40">
        <v>139567.43</v>
      </c>
      <c r="E32" s="40">
        <v>46243.24</v>
      </c>
      <c r="F32" s="40">
        <v>37906.51</v>
      </c>
      <c r="G32" s="35"/>
      <c r="H32" s="111">
        <f>SUM(D32:G32)</f>
        <v>223717.18</v>
      </c>
      <c r="I32" s="112">
        <f ca="1">atskaites_jedox!C9</f>
        <v>255532.3</v>
      </c>
      <c r="J32" s="39">
        <f ca="1">atskaites_jedox!D9</f>
        <v>46515.34</v>
      </c>
    </row>
    <row r="33" spans="1:10" ht="15.75" thickBot="1" x14ac:dyDescent="0.3">
      <c r="A33" s="271"/>
      <c r="B33" s="36" t="s">
        <v>38</v>
      </c>
      <c r="C33" s="28" t="s">
        <v>7</v>
      </c>
      <c r="D33" s="41">
        <v>177950.6856</v>
      </c>
      <c r="E33" s="41">
        <v>64721.25</v>
      </c>
      <c r="F33" s="41">
        <v>44170.6</v>
      </c>
      <c r="G33" s="22"/>
      <c r="H33" s="108"/>
      <c r="I33" s="112">
        <f ca="1">atskaites_jedox!E9</f>
        <v>328818.45</v>
      </c>
      <c r="J33" s="112">
        <f ca="1">atskaites_jedox!F9</f>
        <v>59858.6</v>
      </c>
    </row>
    <row r="36" spans="1:10" ht="15.75" thickBot="1" x14ac:dyDescent="0.3">
      <c r="B36" s="38" t="s">
        <v>67</v>
      </c>
      <c r="C36" s="37"/>
      <c r="D36" s="37"/>
      <c r="E36" s="37"/>
      <c r="F36" s="37"/>
      <c r="G36" s="37"/>
    </row>
    <row r="37" spans="1:10" ht="15.75" thickTop="1" x14ac:dyDescent="0.25"/>
    <row r="39" spans="1:10" x14ac:dyDescent="0.25">
      <c r="A39" s="1" t="s">
        <v>9</v>
      </c>
    </row>
    <row r="40" spans="1:10" ht="33" customHeight="1" x14ac:dyDescent="0.25">
      <c r="A40" s="254" t="s">
        <v>24</v>
      </c>
      <c r="B40" s="254"/>
      <c r="C40" s="254"/>
      <c r="D40" s="254"/>
      <c r="E40" s="254"/>
      <c r="F40" s="254"/>
      <c r="G40" s="254"/>
    </row>
    <row r="41" spans="1:10" x14ac:dyDescent="0.25">
      <c r="A41" s="4" t="s">
        <v>23</v>
      </c>
      <c r="B41" s="4"/>
      <c r="C41" s="4"/>
      <c r="D41" s="4"/>
      <c r="E41" s="4"/>
      <c r="F41" s="4"/>
      <c r="G41" s="4"/>
    </row>
    <row r="42" spans="1:10" ht="28.5" customHeight="1" x14ac:dyDescent="0.25">
      <c r="A42" s="266" t="s">
        <v>16</v>
      </c>
      <c r="B42" s="266"/>
      <c r="C42" s="266"/>
      <c r="D42" s="266"/>
      <c r="E42" s="266"/>
      <c r="F42" s="266"/>
      <c r="G42" s="266"/>
    </row>
    <row r="43" spans="1:10" ht="33" customHeight="1" x14ac:dyDescent="0.25">
      <c r="A43" s="254" t="s">
        <v>18</v>
      </c>
      <c r="B43" s="254"/>
      <c r="C43" s="254"/>
      <c r="D43" s="254"/>
      <c r="E43" s="254"/>
      <c r="F43" s="254"/>
      <c r="G43" s="254"/>
    </row>
    <row r="44" spans="1:10" ht="33" customHeight="1" x14ac:dyDescent="0.25">
      <c r="A44" s="254" t="s">
        <v>31</v>
      </c>
      <c r="B44" s="254"/>
      <c r="C44" s="254"/>
      <c r="D44" s="254"/>
      <c r="E44" s="254"/>
      <c r="F44" s="254"/>
      <c r="G44" s="254"/>
    </row>
    <row r="45" spans="1:10" x14ac:dyDescent="0.25">
      <c r="A45" s="4"/>
      <c r="B45" s="4"/>
      <c r="C45" s="4"/>
      <c r="D45" s="4"/>
      <c r="E45" s="4"/>
      <c r="F45" s="4"/>
      <c r="G45" s="4"/>
    </row>
    <row r="46" spans="1:10" x14ac:dyDescent="0.25">
      <c r="A46" s="6" t="s">
        <v>17</v>
      </c>
      <c r="B46" s="4"/>
      <c r="C46" s="4"/>
      <c r="D46" s="4"/>
      <c r="E46" s="4"/>
      <c r="F46" s="4"/>
      <c r="G46" s="4"/>
    </row>
    <row r="47" spans="1:10" ht="30" customHeight="1" x14ac:dyDescent="0.25">
      <c r="A47" s="254" t="s">
        <v>32</v>
      </c>
      <c r="B47" s="254"/>
      <c r="C47" s="254"/>
      <c r="D47" s="254"/>
      <c r="E47" s="254"/>
      <c r="F47" s="254"/>
      <c r="G47" s="254"/>
    </row>
    <row r="48" spans="1:10" ht="33" customHeight="1" x14ac:dyDescent="0.25">
      <c r="A48" s="265" t="s">
        <v>19</v>
      </c>
      <c r="B48" s="265"/>
      <c r="C48" s="265"/>
      <c r="D48" s="265"/>
      <c r="E48" s="265"/>
      <c r="F48" s="265"/>
      <c r="G48" s="265"/>
    </row>
    <row r="49" spans="1:7" ht="34.5" customHeight="1" x14ac:dyDescent="0.25">
      <c r="A49" s="265" t="s">
        <v>21</v>
      </c>
      <c r="B49" s="265"/>
      <c r="C49" s="265"/>
      <c r="D49" s="265"/>
      <c r="E49" s="265"/>
      <c r="F49" s="265"/>
      <c r="G49" s="265"/>
    </row>
    <row r="50" spans="1:7" ht="63" customHeight="1" x14ac:dyDescent="0.25">
      <c r="A50" s="265" t="s">
        <v>33</v>
      </c>
      <c r="B50" s="265"/>
      <c r="C50" s="265"/>
      <c r="D50" s="265"/>
      <c r="E50" s="265"/>
      <c r="F50" s="265"/>
      <c r="G50" s="265"/>
    </row>
    <row r="51" spans="1:7" ht="30.75" customHeight="1" x14ac:dyDescent="0.25">
      <c r="A51" s="265" t="s">
        <v>20</v>
      </c>
      <c r="B51" s="265"/>
      <c r="C51" s="265"/>
      <c r="D51" s="265"/>
      <c r="E51" s="265"/>
      <c r="F51" s="265"/>
      <c r="G51" s="265"/>
    </row>
    <row r="52" spans="1:7" ht="43.5" customHeight="1" x14ac:dyDescent="0.25">
      <c r="A52" s="264" t="s">
        <v>22</v>
      </c>
      <c r="B52" s="264"/>
      <c r="C52" s="264"/>
      <c r="D52" s="264"/>
      <c r="E52" s="264"/>
      <c r="F52" s="264"/>
      <c r="G52" s="264"/>
    </row>
    <row r="53" spans="1:7" ht="30" customHeight="1" x14ac:dyDescent="0.25">
      <c r="A53" s="254" t="s">
        <v>34</v>
      </c>
      <c r="B53" s="254"/>
      <c r="C53" s="254"/>
      <c r="D53" s="254"/>
      <c r="E53" s="254"/>
      <c r="F53" s="254"/>
      <c r="G53" s="254"/>
    </row>
    <row r="54" spans="1:7" ht="45" customHeight="1" x14ac:dyDescent="0.25">
      <c r="A54" s="254" t="s">
        <v>35</v>
      </c>
      <c r="B54" s="254"/>
      <c r="C54" s="254"/>
      <c r="D54" s="254"/>
      <c r="E54" s="254"/>
      <c r="F54" s="254"/>
      <c r="G54" s="254"/>
    </row>
    <row r="55" spans="1:7" ht="16.5" customHeight="1" x14ac:dyDescent="0.25">
      <c r="A55" s="5"/>
      <c r="B55" s="5"/>
      <c r="C55" s="5"/>
      <c r="D55" s="5"/>
      <c r="E55" s="5"/>
      <c r="F55" s="5"/>
      <c r="G55" s="5"/>
    </row>
    <row r="56" spans="1:7" x14ac:dyDescent="0.25">
      <c r="A56" s="4"/>
      <c r="B56" s="4"/>
      <c r="C56" s="4"/>
      <c r="D56" s="4"/>
      <c r="E56" s="4"/>
      <c r="F56" s="4"/>
      <c r="G56" s="4"/>
    </row>
    <row r="57" spans="1:7" x14ac:dyDescent="0.25">
      <c r="A57" s="4"/>
      <c r="B57" s="4"/>
      <c r="C57" s="4"/>
      <c r="D57" s="4"/>
      <c r="E57" s="4"/>
      <c r="F57" s="4"/>
      <c r="G57" s="4"/>
    </row>
  </sheetData>
  <mergeCells count="20">
    <mergeCell ref="A15:A28"/>
    <mergeCell ref="A40:G40"/>
    <mergeCell ref="A30:A31"/>
    <mergeCell ref="A32:A33"/>
    <mergeCell ref="A54:G54"/>
    <mergeCell ref="A53:G53"/>
    <mergeCell ref="A1:G1"/>
    <mergeCell ref="C9:C12"/>
    <mergeCell ref="C4:C8"/>
    <mergeCell ref="A4:A12"/>
    <mergeCell ref="A52:G52"/>
    <mergeCell ref="A51:G51"/>
    <mergeCell ref="A48:G48"/>
    <mergeCell ref="A42:G42"/>
    <mergeCell ref="A43:G43"/>
    <mergeCell ref="A49:G49"/>
    <mergeCell ref="A50:G50"/>
    <mergeCell ref="A44:G44"/>
    <mergeCell ref="A47:G47"/>
    <mergeCell ref="C22:C28"/>
  </mergeCells>
  <pageMargins left="0.7" right="0.7" top="0.75" bottom="0.75" header="0.3" footer="0.3"/>
  <pageSetup paperSize="9" scale="5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4756F-E541-4972-BDC7-8724FC2072A2}">
  <sheetPr>
    <pageSetUpPr fitToPage="1"/>
  </sheetPr>
  <dimension ref="A1:K58"/>
  <sheetViews>
    <sheetView zoomScale="85" zoomScaleNormal="85" workbookViewId="0">
      <selection activeCell="H1" sqref="H1:K1048576"/>
    </sheetView>
  </sheetViews>
  <sheetFormatPr defaultRowHeight="15" x14ac:dyDescent="0.25"/>
  <cols>
    <col min="1" max="1" width="22.140625" customWidth="1"/>
    <col min="2" max="2" width="43.7109375" customWidth="1"/>
    <col min="3" max="3" width="10.28515625" customWidth="1"/>
    <col min="4" max="4" width="12" customWidth="1"/>
    <col min="5" max="5" width="13.7109375" customWidth="1"/>
    <col min="6" max="6" width="10.85546875" customWidth="1"/>
    <col min="7" max="7" width="10.28515625" customWidth="1"/>
    <col min="8" max="8" width="10" hidden="1" customWidth="1"/>
    <col min="9" max="9" width="11.7109375" hidden="1" customWidth="1"/>
    <col min="10" max="10" width="9.5703125" hidden="1" customWidth="1"/>
    <col min="11" max="11" width="0" hidden="1" customWidth="1"/>
  </cols>
  <sheetData>
    <row r="1" spans="1:11" ht="41.25" customHeight="1" x14ac:dyDescent="0.3">
      <c r="A1" s="255" t="s">
        <v>68</v>
      </c>
      <c r="B1" s="255"/>
      <c r="C1" s="255"/>
      <c r="D1" s="255"/>
      <c r="E1" s="255"/>
      <c r="F1" s="255"/>
      <c r="G1" s="255"/>
    </row>
    <row r="2" spans="1:11" ht="43.5" thickBot="1" x14ac:dyDescent="0.3">
      <c r="A2" s="3" t="s">
        <v>3</v>
      </c>
      <c r="B2" s="13"/>
      <c r="C2" s="14" t="s">
        <v>4</v>
      </c>
      <c r="D2" s="14" t="s">
        <v>0</v>
      </c>
      <c r="E2" s="15" t="s">
        <v>10</v>
      </c>
      <c r="F2" s="14" t="s">
        <v>1</v>
      </c>
      <c r="G2" s="14" t="s">
        <v>2</v>
      </c>
      <c r="H2" s="114"/>
      <c r="I2" s="117" t="s">
        <v>92</v>
      </c>
    </row>
    <row r="3" spans="1:11" ht="15.75" thickBot="1" x14ac:dyDescent="0.3">
      <c r="A3" s="12" t="s">
        <v>14</v>
      </c>
      <c r="B3" s="24" t="s">
        <v>51</v>
      </c>
      <c r="C3" s="25"/>
      <c r="D3" s="26">
        <f>(D10-D9)*D13</f>
        <v>-650.86077600002432</v>
      </c>
      <c r="E3" s="26">
        <f>(E10-E9)*E13</f>
        <v>-1165.7668399999977</v>
      </c>
      <c r="F3" s="26">
        <f>(F10-F9)*F13</f>
        <v>0</v>
      </c>
      <c r="G3" s="27">
        <f>(G10-G9)*G13</f>
        <v>0</v>
      </c>
      <c r="H3" s="114"/>
      <c r="I3" s="114"/>
    </row>
    <row r="4" spans="1:11" x14ac:dyDescent="0.25">
      <c r="A4" s="261" t="s">
        <v>69</v>
      </c>
      <c r="B4" s="23" t="s">
        <v>11</v>
      </c>
      <c r="C4" s="259" t="s">
        <v>5</v>
      </c>
      <c r="D4" s="69">
        <v>43</v>
      </c>
      <c r="E4" s="70">
        <v>13</v>
      </c>
      <c r="F4" s="69">
        <v>21</v>
      </c>
      <c r="G4" s="71"/>
      <c r="H4" s="114"/>
      <c r="I4" s="114"/>
    </row>
    <row r="5" spans="1:11" x14ac:dyDescent="0.25">
      <c r="A5" s="262"/>
      <c r="B5" s="16" t="s">
        <v>48</v>
      </c>
      <c r="C5" s="259"/>
      <c r="D5" s="72">
        <v>13150</v>
      </c>
      <c r="E5" s="72">
        <v>8840</v>
      </c>
      <c r="F5" s="72">
        <v>7840</v>
      </c>
      <c r="G5" s="73"/>
      <c r="H5" s="114"/>
      <c r="I5" s="114"/>
    </row>
    <row r="6" spans="1:11" x14ac:dyDescent="0.25">
      <c r="A6" s="262"/>
      <c r="B6" s="16" t="s">
        <v>49</v>
      </c>
      <c r="C6" s="259"/>
      <c r="D6" s="72">
        <f>D5+D7-D8</f>
        <v>13096</v>
      </c>
      <c r="E6" s="72">
        <f>E5+E7-E8</f>
        <v>8660</v>
      </c>
      <c r="F6" s="72">
        <f>F5+F7-F8</f>
        <v>7840</v>
      </c>
      <c r="G6" s="73">
        <f>G5+G7-G8</f>
        <v>0</v>
      </c>
      <c r="H6" s="114"/>
      <c r="I6" s="114"/>
    </row>
    <row r="7" spans="1:11" x14ac:dyDescent="0.25">
      <c r="A7" s="262"/>
      <c r="B7" s="17" t="s">
        <v>44</v>
      </c>
      <c r="C7" s="259"/>
      <c r="D7" s="72">
        <v>6</v>
      </c>
      <c r="E7" s="72"/>
      <c r="F7" s="72"/>
      <c r="G7" s="73"/>
      <c r="H7" s="114"/>
      <c r="I7" s="114"/>
    </row>
    <row r="8" spans="1:11" x14ac:dyDescent="0.25">
      <c r="A8" s="262"/>
      <c r="B8" s="17" t="s">
        <v>45</v>
      </c>
      <c r="C8" s="260"/>
      <c r="D8" s="72">
        <v>60</v>
      </c>
      <c r="E8" s="72">
        <v>180</v>
      </c>
      <c r="F8" s="72"/>
      <c r="G8" s="73"/>
      <c r="H8" s="114"/>
      <c r="I8" s="114"/>
    </row>
    <row r="9" spans="1:11" x14ac:dyDescent="0.25">
      <c r="A9" s="262"/>
      <c r="B9" s="16" t="s">
        <v>42</v>
      </c>
      <c r="C9" s="256" t="s">
        <v>7</v>
      </c>
      <c r="D9" s="72">
        <v>189950.31999999998</v>
      </c>
      <c r="E9" s="72">
        <v>85294.299999999974</v>
      </c>
      <c r="F9" s="72">
        <v>55825.84</v>
      </c>
      <c r="G9" s="73"/>
      <c r="H9" s="114"/>
      <c r="I9" s="114"/>
    </row>
    <row r="10" spans="1:11" x14ac:dyDescent="0.25">
      <c r="A10" s="262"/>
      <c r="B10" s="16" t="s">
        <v>50</v>
      </c>
      <c r="C10" s="257"/>
      <c r="D10" s="72">
        <f>D9+D11-D12</f>
        <v>189546.45999999996</v>
      </c>
      <c r="E10" s="72">
        <f>E9+E11-E12</f>
        <v>83890.099999999977</v>
      </c>
      <c r="F10" s="72">
        <f>F9+F11-F12</f>
        <v>55825.84</v>
      </c>
      <c r="G10" s="73">
        <f>G9+G11-G12</f>
        <v>0</v>
      </c>
      <c r="H10" s="114"/>
      <c r="I10" s="115">
        <f>D10+E10</f>
        <v>273436.55999999994</v>
      </c>
      <c r="J10" s="116">
        <f ca="1">atskaites_jedox!BG9</f>
        <v>273129.09000000003</v>
      </c>
      <c r="K10" s="116">
        <f ca="1">atskaites_jedox!BH9</f>
        <v>55576.4</v>
      </c>
    </row>
    <row r="11" spans="1:11" x14ac:dyDescent="0.25">
      <c r="A11" s="262"/>
      <c r="B11" s="18" t="s">
        <v>46</v>
      </c>
      <c r="C11" s="257"/>
      <c r="D11" s="72">
        <v>175.74</v>
      </c>
      <c r="E11" s="72">
        <v>0</v>
      </c>
      <c r="F11" s="72">
        <v>0</v>
      </c>
      <c r="G11" s="73"/>
      <c r="H11" s="114"/>
      <c r="I11" s="114"/>
    </row>
    <row r="12" spans="1:11" x14ac:dyDescent="0.25">
      <c r="A12" s="263"/>
      <c r="B12" s="18" t="s">
        <v>47</v>
      </c>
      <c r="C12" s="258"/>
      <c r="D12" s="72">
        <v>579.6</v>
      </c>
      <c r="E12" s="72">
        <v>1404.2000000000003</v>
      </c>
      <c r="F12" s="72">
        <v>0</v>
      </c>
      <c r="G12" s="73"/>
      <c r="H12" s="114"/>
      <c r="I12" s="114"/>
    </row>
    <row r="13" spans="1:11" ht="15.75" thickBot="1" x14ac:dyDescent="0.3">
      <c r="A13" s="29" t="s">
        <v>70</v>
      </c>
      <c r="B13" s="19" t="s">
        <v>43</v>
      </c>
      <c r="C13" s="20" t="s">
        <v>8</v>
      </c>
      <c r="D13" s="113">
        <v>1.6115999999999999</v>
      </c>
      <c r="E13" s="113">
        <v>0.83020000000000005</v>
      </c>
      <c r="F13" s="113">
        <v>3.0741999999999998</v>
      </c>
      <c r="G13" s="75"/>
      <c r="H13" s="114"/>
      <c r="I13" s="114"/>
      <c r="J13" s="62">
        <f ca="1">atskaites_jedox!BI9</f>
        <v>1.37</v>
      </c>
      <c r="K13" s="62">
        <f ca="1">atskaites_jedox!BJ9</f>
        <v>3.07</v>
      </c>
    </row>
    <row r="14" spans="1:11" ht="44.25" thickBot="1" x14ac:dyDescent="0.3">
      <c r="A14" s="7" t="s">
        <v>15</v>
      </c>
      <c r="B14" s="8" t="s">
        <v>41</v>
      </c>
      <c r="C14" s="9"/>
      <c r="D14" s="10">
        <f>SUM(D18*D27,D19*D28)</f>
        <v>10.65574</v>
      </c>
      <c r="E14" s="10">
        <f>SUM(E18*E27,E19*E28)</f>
        <v>7.2198500000000001</v>
      </c>
      <c r="F14" s="10">
        <f>SUM(F16*F25,F17*F26,F19*F28,F20*F29,F23*F32,F21*F30)</f>
        <v>133.11000000000001</v>
      </c>
      <c r="G14" s="11" t="e">
        <f>SUM(#REF!*#REF!,G19*G28,G22*#REF!,#REF!*#REF!,#REF!*#REF!,#REF!*#REF!)</f>
        <v>#REF!</v>
      </c>
      <c r="H14" s="114"/>
      <c r="I14" s="114"/>
    </row>
    <row r="15" spans="1:11" ht="30" customHeight="1" x14ac:dyDescent="0.25">
      <c r="A15" s="268" t="s">
        <v>69</v>
      </c>
      <c r="B15" s="45" t="s">
        <v>39</v>
      </c>
      <c r="C15" s="56"/>
      <c r="D15" s="46"/>
      <c r="E15" s="46"/>
      <c r="F15" s="46"/>
      <c r="G15" s="47"/>
      <c r="H15" s="114"/>
      <c r="I15" s="114"/>
    </row>
    <row r="16" spans="1:11" x14ac:dyDescent="0.25">
      <c r="A16" s="269"/>
      <c r="B16" s="48" t="s">
        <v>61</v>
      </c>
      <c r="C16" s="59" t="s">
        <v>25</v>
      </c>
      <c r="D16" s="46"/>
      <c r="E16" s="46"/>
      <c r="F16" s="60">
        <v>6</v>
      </c>
      <c r="G16" s="47"/>
      <c r="H16" s="114"/>
      <c r="I16" s="114"/>
    </row>
    <row r="17" spans="1:9" x14ac:dyDescent="0.25">
      <c r="A17" s="269"/>
      <c r="B17" s="48" t="s">
        <v>71</v>
      </c>
      <c r="C17" s="59" t="s">
        <v>25</v>
      </c>
      <c r="D17" s="46"/>
      <c r="E17" s="46"/>
      <c r="F17" s="60">
        <v>5</v>
      </c>
      <c r="G17" s="47"/>
      <c r="H17" s="114"/>
      <c r="I17" s="114"/>
    </row>
    <row r="18" spans="1:9" x14ac:dyDescent="0.25">
      <c r="A18" s="269"/>
      <c r="B18" s="48" t="s">
        <v>72</v>
      </c>
      <c r="C18" s="59" t="s">
        <v>59</v>
      </c>
      <c r="D18" s="50">
        <v>1.2644</v>
      </c>
      <c r="E18" s="50">
        <v>1.1154999999999999</v>
      </c>
      <c r="F18" s="60"/>
      <c r="G18" s="47"/>
      <c r="H18" s="114"/>
      <c r="I18" s="114"/>
    </row>
    <row r="19" spans="1:9" x14ac:dyDescent="0.25">
      <c r="A19" s="269"/>
      <c r="B19" s="48" t="s">
        <v>12</v>
      </c>
      <c r="C19" s="59" t="s">
        <v>59</v>
      </c>
      <c r="D19" s="49">
        <v>79</v>
      </c>
      <c r="E19" s="49">
        <v>35</v>
      </c>
      <c r="F19" s="49">
        <v>50</v>
      </c>
      <c r="G19" s="51"/>
      <c r="H19" s="114"/>
      <c r="I19" s="114"/>
    </row>
    <row r="20" spans="1:9" x14ac:dyDescent="0.25">
      <c r="A20" s="269"/>
      <c r="B20" s="48" t="s">
        <v>73</v>
      </c>
      <c r="C20" s="59" t="s">
        <v>74</v>
      </c>
      <c r="D20" s="50"/>
      <c r="E20" s="50"/>
      <c r="F20" s="49">
        <v>27</v>
      </c>
      <c r="G20" s="51"/>
      <c r="H20" s="114"/>
      <c r="I20" s="114"/>
    </row>
    <row r="21" spans="1:9" x14ac:dyDescent="0.25">
      <c r="A21" s="269"/>
      <c r="B21" s="48" t="s">
        <v>62</v>
      </c>
      <c r="C21" s="59" t="s">
        <v>60</v>
      </c>
      <c r="D21" s="50"/>
      <c r="E21" s="50"/>
      <c r="F21" s="49">
        <v>233</v>
      </c>
      <c r="G21" s="51"/>
      <c r="H21" s="114"/>
      <c r="I21" s="114"/>
    </row>
    <row r="22" spans="1:9" x14ac:dyDescent="0.25">
      <c r="A22" s="269"/>
      <c r="B22" s="61" t="s">
        <v>75</v>
      </c>
      <c r="C22" s="59"/>
      <c r="D22" s="50"/>
      <c r="E22" s="50"/>
      <c r="F22" s="50"/>
      <c r="G22" s="51"/>
      <c r="H22" s="114"/>
      <c r="I22" s="114"/>
    </row>
    <row r="23" spans="1:9" ht="15.75" thickBot="1" x14ac:dyDescent="0.3">
      <c r="A23" s="269"/>
      <c r="B23" s="48" t="s">
        <v>76</v>
      </c>
      <c r="C23" s="59" t="s">
        <v>59</v>
      </c>
      <c r="D23" s="50"/>
      <c r="E23" s="50"/>
      <c r="F23" s="49">
        <v>4</v>
      </c>
      <c r="G23" s="51"/>
      <c r="H23" s="114"/>
      <c r="I23" s="114"/>
    </row>
    <row r="24" spans="1:9" ht="30" x14ac:dyDescent="0.25">
      <c r="A24" s="269"/>
      <c r="B24" s="53" t="s">
        <v>40</v>
      </c>
      <c r="C24" s="267" t="s">
        <v>26</v>
      </c>
      <c r="D24" s="54"/>
      <c r="E24" s="54"/>
      <c r="F24" s="54"/>
      <c r="G24" s="55"/>
      <c r="H24" s="114"/>
      <c r="I24" s="114"/>
    </row>
    <row r="25" spans="1:9" x14ac:dyDescent="0.25">
      <c r="A25" s="269"/>
      <c r="B25" s="48" t="s">
        <v>57</v>
      </c>
      <c r="C25" s="267"/>
      <c r="D25" s="46"/>
      <c r="E25" s="46"/>
      <c r="F25" s="46">
        <v>2.4700000000000002</v>
      </c>
      <c r="G25" s="47"/>
      <c r="H25" s="114"/>
      <c r="I25" s="114"/>
    </row>
    <row r="26" spans="1:9" x14ac:dyDescent="0.25">
      <c r="A26" s="269"/>
      <c r="B26" s="48" t="s">
        <v>58</v>
      </c>
      <c r="C26" s="267"/>
      <c r="D26" s="46"/>
      <c r="E26" s="46"/>
      <c r="F26" s="46">
        <v>2.86</v>
      </c>
      <c r="G26" s="47"/>
      <c r="H26" s="114"/>
      <c r="I26" s="114"/>
    </row>
    <row r="27" spans="1:9" x14ac:dyDescent="0.25">
      <c r="A27" s="269"/>
      <c r="B27" s="48" t="s">
        <v>72</v>
      </c>
      <c r="C27" s="267"/>
      <c r="D27" s="46">
        <v>4.5</v>
      </c>
      <c r="E27" s="46">
        <v>4.5</v>
      </c>
      <c r="F27" s="46"/>
      <c r="G27" s="47"/>
      <c r="H27" s="114"/>
      <c r="I27" s="114"/>
    </row>
    <row r="28" spans="1:9" x14ac:dyDescent="0.25">
      <c r="A28" s="269"/>
      <c r="B28" s="48" t="s">
        <v>12</v>
      </c>
      <c r="C28" s="267"/>
      <c r="D28" s="50">
        <v>6.2859999999999999E-2</v>
      </c>
      <c r="E28" s="50">
        <v>6.2859999999999999E-2</v>
      </c>
      <c r="F28" s="50">
        <v>0.36</v>
      </c>
      <c r="G28" s="51"/>
      <c r="H28" s="114"/>
      <c r="I28" s="114"/>
    </row>
    <row r="29" spans="1:9" x14ac:dyDescent="0.25">
      <c r="A29" s="269"/>
      <c r="B29" s="48" t="s">
        <v>73</v>
      </c>
      <c r="C29" s="267"/>
      <c r="D29" s="50"/>
      <c r="E29" s="50"/>
      <c r="F29" s="50">
        <v>0.68</v>
      </c>
      <c r="G29" s="51"/>
      <c r="H29" s="114"/>
      <c r="I29" s="114"/>
    </row>
    <row r="30" spans="1:9" x14ac:dyDescent="0.25">
      <c r="A30" s="269"/>
      <c r="B30" s="48" t="s">
        <v>54</v>
      </c>
      <c r="C30" s="267"/>
      <c r="D30" s="50"/>
      <c r="E30" s="50"/>
      <c r="F30" s="50">
        <v>0.23</v>
      </c>
      <c r="G30" s="51"/>
      <c r="H30" s="114"/>
      <c r="I30" s="114"/>
    </row>
    <row r="31" spans="1:9" x14ac:dyDescent="0.25">
      <c r="A31" s="269"/>
      <c r="B31" s="61" t="s">
        <v>75</v>
      </c>
      <c r="C31" s="267"/>
      <c r="D31" s="50"/>
      <c r="E31" s="50"/>
      <c r="F31" s="50"/>
      <c r="G31" s="51"/>
      <c r="H31" s="114"/>
      <c r="I31" s="114"/>
    </row>
    <row r="32" spans="1:9" ht="15.75" thickBot="1" x14ac:dyDescent="0.3">
      <c r="A32" s="269"/>
      <c r="B32" s="48" t="s">
        <v>76</v>
      </c>
      <c r="C32" s="267"/>
      <c r="D32" s="50"/>
      <c r="E32" s="50"/>
      <c r="F32" s="50">
        <v>3.51</v>
      </c>
      <c r="G32" s="51"/>
      <c r="H32" s="114"/>
      <c r="I32" s="114"/>
    </row>
    <row r="33" spans="1:11" x14ac:dyDescent="0.25">
      <c r="A33" s="21" t="s">
        <v>27</v>
      </c>
      <c r="B33" s="30" t="s">
        <v>53</v>
      </c>
      <c r="C33" s="31"/>
      <c r="D33" s="32">
        <f>((D36/D37)-(D34/D35))*D35</f>
        <v>45980.561726162974</v>
      </c>
      <c r="E33" s="32">
        <f>((E36/E37)-(E34/E35))*E35</f>
        <v>18645.098511471824</v>
      </c>
      <c r="F33" s="32">
        <f>((F36/F37)-(F34/F35))*F35</f>
        <v>14026.174224572578</v>
      </c>
      <c r="G33" s="33" t="e">
        <f>((G36/G37)-(G34/G35))*G35</f>
        <v>#DIV/0!</v>
      </c>
      <c r="H33" s="115">
        <f>SUM(D33:F33)</f>
        <v>78651.834462207378</v>
      </c>
      <c r="I33" s="115"/>
    </row>
    <row r="34" spans="1:11" ht="60" x14ac:dyDescent="0.25">
      <c r="A34" s="270" t="s">
        <v>70</v>
      </c>
      <c r="B34" s="34" t="s">
        <v>36</v>
      </c>
      <c r="C34" s="43" t="s">
        <v>30</v>
      </c>
      <c r="D34" s="63">
        <v>106290.02</v>
      </c>
      <c r="E34" s="64">
        <v>42792.34</v>
      </c>
      <c r="F34" s="65">
        <v>34312.14</v>
      </c>
      <c r="G34" s="35"/>
      <c r="H34" s="115">
        <f>SUM(D34:G34)</f>
        <v>183394.5</v>
      </c>
      <c r="I34" s="115">
        <f>D34+E34</f>
        <v>149082.35999999999</v>
      </c>
      <c r="J34" s="116">
        <f ca="1">atskaites_jedox!BE9</f>
        <v>150512.01</v>
      </c>
      <c r="K34" s="116">
        <f ca="1">atskaites_jedox!BF9</f>
        <v>30631.34</v>
      </c>
    </row>
    <row r="35" spans="1:11" x14ac:dyDescent="0.25">
      <c r="A35" s="271"/>
      <c r="B35" s="34" t="s">
        <v>52</v>
      </c>
      <c r="C35" s="43" t="s">
        <v>7</v>
      </c>
      <c r="D35" s="63">
        <f>D10</f>
        <v>189546.45999999996</v>
      </c>
      <c r="E35" s="63">
        <f>E10</f>
        <v>83890.099999999977</v>
      </c>
      <c r="F35" s="63">
        <f>F10</f>
        <v>55825.84</v>
      </c>
      <c r="G35" s="35"/>
      <c r="H35" s="115">
        <f>SUM(D35:G35)</f>
        <v>329262.39999999991</v>
      </c>
      <c r="I35" s="115">
        <f t="shared" ref="I35:I37" si="0">D35+E35</f>
        <v>273436.55999999994</v>
      </c>
      <c r="J35" s="116">
        <f ca="1">atskaites_jedox!BG9</f>
        <v>273129.09000000003</v>
      </c>
      <c r="K35" s="116">
        <f ca="1">atskaites_jedox!BH9</f>
        <v>55576.4</v>
      </c>
    </row>
    <row r="36" spans="1:11" ht="60" x14ac:dyDescent="0.25">
      <c r="A36" s="270" t="s">
        <v>77</v>
      </c>
      <c r="B36" s="34" t="s">
        <v>37</v>
      </c>
      <c r="C36" s="43" t="s">
        <v>30</v>
      </c>
      <c r="D36" s="63">
        <v>191644.13</v>
      </c>
      <c r="E36" s="66">
        <v>61663.18</v>
      </c>
      <c r="F36" s="66">
        <v>50074.54</v>
      </c>
      <c r="G36" s="35"/>
      <c r="H36" s="115">
        <f t="shared" ref="H36:H37" si="1">SUM(D36:G36)</f>
        <v>303381.84999999998</v>
      </c>
      <c r="I36" s="115">
        <f t="shared" si="0"/>
        <v>253307.31</v>
      </c>
      <c r="J36" s="116">
        <f ca="1">atskaites_jedox!I9</f>
        <v>266391.34999999998</v>
      </c>
      <c r="K36" s="116">
        <f ca="1">atskaites_jedox!J9</f>
        <v>47823.5</v>
      </c>
    </row>
    <row r="37" spans="1:11" ht="15.75" thickBot="1" x14ac:dyDescent="0.3">
      <c r="A37" s="271"/>
      <c r="B37" s="36" t="s">
        <v>38</v>
      </c>
      <c r="C37" s="28" t="s">
        <v>7</v>
      </c>
      <c r="D37" s="67">
        <v>238558.66320000004</v>
      </c>
      <c r="E37" s="68">
        <v>84198.34</v>
      </c>
      <c r="F37" s="68">
        <v>57831.004306983945</v>
      </c>
      <c r="G37" s="22"/>
      <c r="H37" s="115">
        <f t="shared" si="1"/>
        <v>380588.00750698399</v>
      </c>
      <c r="I37" s="115">
        <f t="shared" si="0"/>
        <v>322757.00320000004</v>
      </c>
      <c r="J37" s="116">
        <f ca="1">atskaites_jedox!K9</f>
        <v>322082.32</v>
      </c>
      <c r="K37" s="116">
        <f ca="1">atskaites_jedox!L9</f>
        <v>57831</v>
      </c>
    </row>
    <row r="38" spans="1:11" x14ac:dyDescent="0.25">
      <c r="A38" s="1"/>
      <c r="B38" s="1"/>
      <c r="C38" s="1"/>
      <c r="D38" s="1"/>
      <c r="E38" s="1"/>
      <c r="F38" s="1"/>
      <c r="G38" s="1"/>
    </row>
    <row r="39" spans="1:11" x14ac:dyDescent="0.25">
      <c r="A39" s="1"/>
      <c r="B39" s="1"/>
      <c r="C39" s="1"/>
      <c r="D39" s="1"/>
      <c r="E39" s="1"/>
      <c r="F39" s="1"/>
      <c r="G39" s="1"/>
    </row>
    <row r="40" spans="1:11" ht="15.75" thickBot="1" x14ac:dyDescent="0.3">
      <c r="A40" s="1"/>
      <c r="B40" s="38" t="s">
        <v>67</v>
      </c>
      <c r="C40" s="37"/>
      <c r="D40" s="37"/>
      <c r="E40" s="37"/>
      <c r="F40" s="37"/>
      <c r="G40" s="37"/>
    </row>
    <row r="41" spans="1:11" ht="15.75" thickTop="1" x14ac:dyDescent="0.25">
      <c r="A41" s="1"/>
      <c r="B41" s="1"/>
      <c r="C41" s="1"/>
      <c r="D41" s="1"/>
      <c r="E41" s="1"/>
      <c r="F41" s="1"/>
      <c r="G41" s="1"/>
    </row>
    <row r="42" spans="1:11" x14ac:dyDescent="0.25">
      <c r="A42" s="1"/>
      <c r="B42" s="1"/>
      <c r="C42" s="1"/>
      <c r="D42" s="1"/>
      <c r="E42" s="1"/>
      <c r="F42" s="1"/>
      <c r="G42" s="1"/>
    </row>
    <row r="43" spans="1:11" x14ac:dyDescent="0.25">
      <c r="A43" s="1" t="s">
        <v>9</v>
      </c>
      <c r="B43" s="1"/>
      <c r="C43" s="1"/>
      <c r="D43" s="1"/>
      <c r="E43" s="1"/>
      <c r="F43" s="1"/>
      <c r="G43" s="1"/>
    </row>
    <row r="44" spans="1:11" x14ac:dyDescent="0.25">
      <c r="A44" s="254" t="s">
        <v>24</v>
      </c>
      <c r="B44" s="254"/>
      <c r="C44" s="254"/>
      <c r="D44" s="254"/>
      <c r="E44" s="254"/>
      <c r="F44" s="254"/>
      <c r="G44" s="254"/>
    </row>
    <row r="45" spans="1:11" x14ac:dyDescent="0.25">
      <c r="A45" s="44" t="s">
        <v>23</v>
      </c>
      <c r="B45" s="44"/>
      <c r="C45" s="44"/>
      <c r="D45" s="44"/>
      <c r="E45" s="44"/>
      <c r="F45" s="44"/>
      <c r="G45" s="44"/>
    </row>
    <row r="46" spans="1:11" x14ac:dyDescent="0.25">
      <c r="A46" s="266" t="s">
        <v>16</v>
      </c>
      <c r="B46" s="266"/>
      <c r="C46" s="266"/>
      <c r="D46" s="266"/>
      <c r="E46" s="266"/>
      <c r="F46" s="266"/>
      <c r="G46" s="266"/>
    </row>
    <row r="47" spans="1:11" x14ac:dyDescent="0.25">
      <c r="A47" s="254" t="s">
        <v>18</v>
      </c>
      <c r="B47" s="254"/>
      <c r="C47" s="254"/>
      <c r="D47" s="254"/>
      <c r="E47" s="254"/>
      <c r="F47" s="254"/>
      <c r="G47" s="254"/>
    </row>
    <row r="48" spans="1:11" x14ac:dyDescent="0.25">
      <c r="A48" s="254" t="s">
        <v>31</v>
      </c>
      <c r="B48" s="254"/>
      <c r="C48" s="254"/>
      <c r="D48" s="254"/>
      <c r="E48" s="254"/>
      <c r="F48" s="254"/>
      <c r="G48" s="254"/>
    </row>
    <row r="49" spans="1:7" x14ac:dyDescent="0.25">
      <c r="A49" s="44"/>
      <c r="B49" s="44"/>
      <c r="C49" s="44"/>
      <c r="D49" s="44"/>
      <c r="E49" s="44"/>
      <c r="F49" s="44"/>
      <c r="G49" s="44"/>
    </row>
    <row r="50" spans="1:7" x14ac:dyDescent="0.25">
      <c r="A50" s="6" t="s">
        <v>17</v>
      </c>
      <c r="B50" s="44"/>
      <c r="C50" s="44"/>
      <c r="D50" s="44"/>
      <c r="E50" s="44"/>
      <c r="F50" s="44"/>
      <c r="G50" s="44"/>
    </row>
    <row r="51" spans="1:7" x14ac:dyDescent="0.25">
      <c r="A51" s="254" t="s">
        <v>32</v>
      </c>
      <c r="B51" s="254"/>
      <c r="C51" s="254"/>
      <c r="D51" s="254"/>
      <c r="E51" s="254"/>
      <c r="F51" s="254"/>
      <c r="G51" s="254"/>
    </row>
    <row r="52" spans="1:7" x14ac:dyDescent="0.25">
      <c r="A52" s="254" t="s">
        <v>19</v>
      </c>
      <c r="B52" s="254"/>
      <c r="C52" s="254"/>
      <c r="D52" s="254"/>
      <c r="E52" s="254"/>
      <c r="F52" s="254"/>
      <c r="G52" s="254"/>
    </row>
    <row r="53" spans="1:7" x14ac:dyDescent="0.25">
      <c r="A53" s="254" t="s">
        <v>21</v>
      </c>
      <c r="B53" s="254"/>
      <c r="C53" s="254"/>
      <c r="D53" s="254"/>
      <c r="E53" s="254"/>
      <c r="F53" s="254"/>
      <c r="G53" s="254"/>
    </row>
    <row r="54" spans="1:7" x14ac:dyDescent="0.25">
      <c r="A54" s="254" t="s">
        <v>33</v>
      </c>
      <c r="B54" s="254"/>
      <c r="C54" s="254"/>
      <c r="D54" s="254"/>
      <c r="E54" s="254"/>
      <c r="F54" s="254"/>
      <c r="G54" s="254"/>
    </row>
    <row r="55" spans="1:7" x14ac:dyDescent="0.25">
      <c r="A55" s="254" t="s">
        <v>20</v>
      </c>
      <c r="B55" s="254"/>
      <c r="C55" s="254"/>
      <c r="D55" s="254"/>
      <c r="E55" s="254"/>
      <c r="F55" s="254"/>
      <c r="G55" s="254"/>
    </row>
    <row r="56" spans="1:7" x14ac:dyDescent="0.25">
      <c r="A56" s="272" t="s">
        <v>22</v>
      </c>
      <c r="B56" s="272"/>
      <c r="C56" s="272"/>
      <c r="D56" s="272"/>
      <c r="E56" s="272"/>
      <c r="F56" s="272"/>
      <c r="G56" s="272"/>
    </row>
    <row r="57" spans="1:7" x14ac:dyDescent="0.25">
      <c r="A57" s="254" t="s">
        <v>34</v>
      </c>
      <c r="B57" s="254"/>
      <c r="C57" s="254"/>
      <c r="D57" s="254"/>
      <c r="E57" s="254"/>
      <c r="F57" s="254"/>
      <c r="G57" s="254"/>
    </row>
    <row r="58" spans="1:7" x14ac:dyDescent="0.25">
      <c r="A58" s="254" t="s">
        <v>35</v>
      </c>
      <c r="B58" s="254"/>
      <c r="C58" s="254"/>
      <c r="D58" s="254"/>
      <c r="E58" s="254"/>
      <c r="F58" s="254"/>
      <c r="G58" s="254"/>
    </row>
  </sheetData>
  <mergeCells count="20">
    <mergeCell ref="A48:G48"/>
    <mergeCell ref="A1:G1"/>
    <mergeCell ref="A4:A12"/>
    <mergeCell ref="C4:C8"/>
    <mergeCell ref="C9:C12"/>
    <mergeCell ref="A15:A32"/>
    <mergeCell ref="C24:C32"/>
    <mergeCell ref="A34:A35"/>
    <mergeCell ref="A36:A37"/>
    <mergeCell ref="A44:G44"/>
    <mergeCell ref="A46:G46"/>
    <mergeCell ref="A47:G47"/>
    <mergeCell ref="A57:G57"/>
    <mergeCell ref="A58:G58"/>
    <mergeCell ref="A51:G51"/>
    <mergeCell ref="A52:G52"/>
    <mergeCell ref="A53:G53"/>
    <mergeCell ref="A54:G54"/>
    <mergeCell ref="A55:G55"/>
    <mergeCell ref="A56:G56"/>
  </mergeCells>
  <pageMargins left="0.7" right="0.7" top="0.75" bottom="0.75" header="0.3" footer="0.3"/>
  <pageSetup paperSize="9" scale="6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B8C1C-8485-4F38-BD75-6A9460B97D16}">
  <sheetPr>
    <pageSetUpPr fitToPage="1"/>
  </sheetPr>
  <dimension ref="A1:K60"/>
  <sheetViews>
    <sheetView zoomScale="85" zoomScaleNormal="85" workbookViewId="0">
      <selection activeCell="H1" sqref="H1:K1048576"/>
    </sheetView>
  </sheetViews>
  <sheetFormatPr defaultRowHeight="15" x14ac:dyDescent="0.25"/>
  <cols>
    <col min="1" max="1" width="22.140625" customWidth="1"/>
    <col min="2" max="2" width="43.7109375" customWidth="1"/>
    <col min="3" max="3" width="10.28515625" customWidth="1"/>
    <col min="4" max="4" width="12" customWidth="1"/>
    <col min="5" max="5" width="13.7109375" customWidth="1"/>
    <col min="6" max="6" width="10.85546875" customWidth="1"/>
    <col min="7" max="7" width="10.28515625" customWidth="1"/>
    <col min="8" max="8" width="10.85546875" hidden="1" customWidth="1"/>
    <col min="9" max="9" width="12.140625" hidden="1" customWidth="1"/>
    <col min="10" max="11" width="0" hidden="1" customWidth="1"/>
  </cols>
  <sheetData>
    <row r="1" spans="1:11" ht="41.25" customHeight="1" x14ac:dyDescent="0.3">
      <c r="A1" s="255" t="s">
        <v>68</v>
      </c>
      <c r="B1" s="255"/>
      <c r="C1" s="255"/>
      <c r="D1" s="255"/>
      <c r="E1" s="255"/>
      <c r="F1" s="255"/>
      <c r="G1" s="255"/>
    </row>
    <row r="2" spans="1:11" ht="43.5" thickBot="1" x14ac:dyDescent="0.3">
      <c r="A2" s="3" t="s">
        <v>3</v>
      </c>
      <c r="B2" s="13"/>
      <c r="C2" s="14" t="s">
        <v>4</v>
      </c>
      <c r="D2" s="14" t="s">
        <v>0</v>
      </c>
      <c r="E2" s="15" t="s">
        <v>10</v>
      </c>
      <c r="F2" s="14" t="s">
        <v>1</v>
      </c>
      <c r="G2" s="14" t="s">
        <v>2</v>
      </c>
      <c r="H2" s="114"/>
      <c r="I2" s="117" t="s">
        <v>92</v>
      </c>
    </row>
    <row r="3" spans="1:11" ht="15.75" thickBot="1" x14ac:dyDescent="0.3">
      <c r="A3" s="12" t="s">
        <v>14</v>
      </c>
      <c r="B3" s="24" t="s">
        <v>51</v>
      </c>
      <c r="C3" s="25"/>
      <c r="D3" s="26">
        <f>(D10-D9)*D13</f>
        <v>-943.53084000000945</v>
      </c>
      <c r="E3" s="26">
        <f>(E10-E9)*E13</f>
        <v>-1180.2300999999975</v>
      </c>
      <c r="F3" s="26">
        <f>(F10-F9)*F13</f>
        <v>0</v>
      </c>
      <c r="G3" s="27">
        <f>(G10-G9)*G13</f>
        <v>0</v>
      </c>
      <c r="H3" s="114"/>
      <c r="I3" s="114"/>
    </row>
    <row r="4" spans="1:11" x14ac:dyDescent="0.25">
      <c r="A4" s="261" t="s">
        <v>78</v>
      </c>
      <c r="B4" s="23" t="s">
        <v>11</v>
      </c>
      <c r="C4" s="259" t="s">
        <v>5</v>
      </c>
      <c r="D4" s="69">
        <v>43</v>
      </c>
      <c r="E4" s="70">
        <v>13</v>
      </c>
      <c r="F4" s="69">
        <v>21</v>
      </c>
      <c r="G4" s="71"/>
      <c r="H4" s="114"/>
      <c r="I4" s="114"/>
    </row>
    <row r="5" spans="1:11" x14ac:dyDescent="0.25">
      <c r="A5" s="262"/>
      <c r="B5" s="16" t="s">
        <v>48</v>
      </c>
      <c r="C5" s="259"/>
      <c r="D5" s="72">
        <v>13585</v>
      </c>
      <c r="E5" s="72">
        <v>9102</v>
      </c>
      <c r="F5" s="72">
        <v>8072</v>
      </c>
      <c r="G5" s="73"/>
      <c r="H5" s="114"/>
      <c r="I5" s="114"/>
    </row>
    <row r="6" spans="1:11" x14ac:dyDescent="0.25">
      <c r="A6" s="262"/>
      <c r="B6" s="16" t="s">
        <v>49</v>
      </c>
      <c r="C6" s="259"/>
      <c r="D6" s="72">
        <f>D5+D7-D8</f>
        <v>13525</v>
      </c>
      <c r="E6" s="72">
        <f>E5+E7-E8</f>
        <v>8922</v>
      </c>
      <c r="F6" s="72">
        <f>F5+F7-F8</f>
        <v>8072</v>
      </c>
      <c r="G6" s="73">
        <f>G5+G7-G8</f>
        <v>0</v>
      </c>
      <c r="H6" s="114"/>
      <c r="I6" s="114"/>
    </row>
    <row r="7" spans="1:11" x14ac:dyDescent="0.25">
      <c r="A7" s="262"/>
      <c r="B7" s="17" t="s">
        <v>44</v>
      </c>
      <c r="C7" s="259"/>
      <c r="D7" s="72">
        <v>0</v>
      </c>
      <c r="E7" s="72">
        <v>0</v>
      </c>
      <c r="F7" s="72">
        <v>0</v>
      </c>
      <c r="G7" s="73"/>
      <c r="H7" s="114"/>
      <c r="I7" s="114"/>
    </row>
    <row r="8" spans="1:11" x14ac:dyDescent="0.25">
      <c r="A8" s="262"/>
      <c r="B8" s="17" t="s">
        <v>45</v>
      </c>
      <c r="C8" s="260"/>
      <c r="D8" s="72">
        <v>60</v>
      </c>
      <c r="E8" s="72">
        <v>180</v>
      </c>
      <c r="F8" s="72">
        <v>0</v>
      </c>
      <c r="G8" s="73"/>
      <c r="H8" s="114"/>
      <c r="I8" s="114"/>
    </row>
    <row r="9" spans="1:11" x14ac:dyDescent="0.25">
      <c r="A9" s="262"/>
      <c r="B9" s="16" t="s">
        <v>42</v>
      </c>
      <c r="C9" s="256" t="s">
        <v>7</v>
      </c>
      <c r="D9" s="72">
        <v>197049.46</v>
      </c>
      <c r="E9" s="72">
        <v>87623.539999999979</v>
      </c>
      <c r="F9" s="72">
        <v>57478.28</v>
      </c>
      <c r="G9" s="73"/>
      <c r="H9" s="114"/>
      <c r="I9" s="114"/>
    </row>
    <row r="10" spans="1:11" x14ac:dyDescent="0.25">
      <c r="A10" s="262"/>
      <c r="B10" s="16" t="s">
        <v>50</v>
      </c>
      <c r="C10" s="257"/>
      <c r="D10" s="72">
        <f>D9+D11-D12</f>
        <v>196469.86</v>
      </c>
      <c r="E10" s="72">
        <f>E9+E11-E12</f>
        <v>86219.339999999982</v>
      </c>
      <c r="F10" s="72">
        <f>F9+F11-F12</f>
        <v>57478.28</v>
      </c>
      <c r="G10" s="73">
        <f>G9+G11-G12</f>
        <v>0</v>
      </c>
      <c r="H10" s="114"/>
      <c r="I10" s="115">
        <f>D10+E10</f>
        <v>282689.19999999995</v>
      </c>
      <c r="J10" s="116">
        <f ca="1">atskaites_jedox!BM9</f>
        <v>281966.53999999998</v>
      </c>
      <c r="K10" s="116">
        <f ca="1">atskaites_jedox!BN9</f>
        <v>57436.84</v>
      </c>
    </row>
    <row r="11" spans="1:11" x14ac:dyDescent="0.25">
      <c r="A11" s="262"/>
      <c r="B11" s="18" t="s">
        <v>46</v>
      </c>
      <c r="C11" s="257"/>
      <c r="D11" s="72">
        <v>0</v>
      </c>
      <c r="E11" s="72">
        <v>0</v>
      </c>
      <c r="F11" s="72">
        <v>0</v>
      </c>
      <c r="G11" s="73"/>
      <c r="H11" s="114"/>
      <c r="I11" s="114"/>
    </row>
    <row r="12" spans="1:11" x14ac:dyDescent="0.25">
      <c r="A12" s="263"/>
      <c r="B12" s="18" t="s">
        <v>47</v>
      </c>
      <c r="C12" s="258"/>
      <c r="D12" s="72">
        <v>579.6</v>
      </c>
      <c r="E12" s="72">
        <v>1404.2000000000003</v>
      </c>
      <c r="F12" s="72">
        <v>0</v>
      </c>
      <c r="G12" s="73"/>
      <c r="H12" s="114"/>
      <c r="I12" s="114"/>
    </row>
    <row r="13" spans="1:11" ht="15.75" thickBot="1" x14ac:dyDescent="0.3">
      <c r="A13" s="29" t="s">
        <v>78</v>
      </c>
      <c r="B13" s="19" t="s">
        <v>43</v>
      </c>
      <c r="C13" s="20" t="s">
        <v>8</v>
      </c>
      <c r="D13" s="74">
        <v>1.6278999999999999</v>
      </c>
      <c r="E13" s="74">
        <v>0.84050000000000002</v>
      </c>
      <c r="F13" s="74">
        <v>3.0813999999999999</v>
      </c>
      <c r="G13" s="75"/>
      <c r="H13" s="114"/>
      <c r="I13" s="114"/>
      <c r="J13" s="62">
        <f ca="1">atskaites_jedox!BO9</f>
        <v>1.3900000000000001</v>
      </c>
      <c r="K13" s="62">
        <f ca="1">atskaites_jedox!BP9</f>
        <v>3.08</v>
      </c>
    </row>
    <row r="14" spans="1:11" ht="44.25" thickBot="1" x14ac:dyDescent="0.3">
      <c r="A14" s="7" t="s">
        <v>15</v>
      </c>
      <c r="B14" s="8" t="s">
        <v>41</v>
      </c>
      <c r="C14" s="9"/>
      <c r="D14" s="10" t="e">
        <f>SUM(#REF!*#REF!,D20*D30)</f>
        <v>#REF!</v>
      </c>
      <c r="E14" s="10" t="e">
        <f>SUM(#REF!*#REF!,E20*E30)</f>
        <v>#REF!</v>
      </c>
      <c r="F14" s="10">
        <f>SUM(F16*F26,F17*F27,F18*F28,F19*F29,F20*F30,F21*F31,F22*F32,F23*F33,F24*F34)</f>
        <v>95.358699999999999</v>
      </c>
      <c r="G14" s="11" t="e">
        <f>SUM(#REF!*#REF!,G20*G30,#REF!*#REF!,#REF!*#REF!,#REF!*#REF!,#REF!*#REF!)</f>
        <v>#REF!</v>
      </c>
      <c r="H14" s="114"/>
      <c r="I14" s="114"/>
    </row>
    <row r="15" spans="1:11" ht="30" customHeight="1" x14ac:dyDescent="0.25">
      <c r="A15" s="268" t="s">
        <v>78</v>
      </c>
      <c r="B15" s="45" t="s">
        <v>39</v>
      </c>
      <c r="C15" s="56"/>
      <c r="D15" s="46"/>
      <c r="E15" s="46"/>
      <c r="F15" s="76"/>
      <c r="G15" s="47"/>
      <c r="H15" s="114"/>
      <c r="I15" s="114"/>
    </row>
    <row r="16" spans="1:11" x14ac:dyDescent="0.25">
      <c r="A16" s="269"/>
      <c r="B16" s="48" t="s">
        <v>61</v>
      </c>
      <c r="C16" s="59" t="s">
        <v>25</v>
      </c>
      <c r="D16" s="46" t="s">
        <v>79</v>
      </c>
      <c r="E16" s="46" t="s">
        <v>79</v>
      </c>
      <c r="F16" s="77">
        <v>9</v>
      </c>
      <c r="G16" s="47"/>
      <c r="H16" s="114"/>
      <c r="I16" s="114"/>
    </row>
    <row r="17" spans="1:9" x14ac:dyDescent="0.25">
      <c r="A17" s="269"/>
      <c r="B17" s="48" t="s">
        <v>71</v>
      </c>
      <c r="C17" s="59" t="s">
        <v>25</v>
      </c>
      <c r="D17" s="46" t="s">
        <v>79</v>
      </c>
      <c r="E17" s="46" t="s">
        <v>79</v>
      </c>
      <c r="F17" s="77">
        <v>5</v>
      </c>
      <c r="G17" s="47"/>
      <c r="H17" s="114"/>
      <c r="I17" s="114"/>
    </row>
    <row r="18" spans="1:9" x14ac:dyDescent="0.25">
      <c r="A18" s="269"/>
      <c r="B18" s="48" t="s">
        <v>80</v>
      </c>
      <c r="C18" s="59" t="s">
        <v>25</v>
      </c>
      <c r="D18" s="46" t="s">
        <v>79</v>
      </c>
      <c r="E18" s="46" t="s">
        <v>79</v>
      </c>
      <c r="F18" s="77">
        <v>5</v>
      </c>
      <c r="G18" s="47"/>
      <c r="H18" s="114"/>
      <c r="I18" s="114"/>
    </row>
    <row r="19" spans="1:9" x14ac:dyDescent="0.25">
      <c r="A19" s="269"/>
      <c r="B19" s="48" t="s">
        <v>80</v>
      </c>
      <c r="C19" s="59" t="s">
        <v>25</v>
      </c>
      <c r="D19" s="46" t="s">
        <v>79</v>
      </c>
      <c r="E19" s="46" t="s">
        <v>79</v>
      </c>
      <c r="F19" s="77">
        <v>2</v>
      </c>
      <c r="G19" s="47"/>
      <c r="H19" s="114"/>
      <c r="I19" s="114"/>
    </row>
    <row r="20" spans="1:9" x14ac:dyDescent="0.25">
      <c r="A20" s="269"/>
      <c r="B20" s="48" t="s">
        <v>12</v>
      </c>
      <c r="C20" s="59" t="s">
        <v>59</v>
      </c>
      <c r="D20" s="46" t="s">
        <v>79</v>
      </c>
      <c r="E20" s="46" t="s">
        <v>79</v>
      </c>
      <c r="F20" s="78">
        <v>10</v>
      </c>
      <c r="G20" s="51"/>
      <c r="H20" s="114"/>
      <c r="I20" s="114"/>
    </row>
    <row r="21" spans="1:9" x14ac:dyDescent="0.25">
      <c r="A21" s="269"/>
      <c r="B21" s="48" t="s">
        <v>81</v>
      </c>
      <c r="C21" s="59" t="s">
        <v>74</v>
      </c>
      <c r="D21" s="46" t="s">
        <v>79</v>
      </c>
      <c r="E21" s="46" t="s">
        <v>79</v>
      </c>
      <c r="F21" s="78">
        <v>1</v>
      </c>
      <c r="G21" s="51"/>
      <c r="H21" s="114"/>
      <c r="I21" s="114"/>
    </row>
    <row r="22" spans="1:9" x14ac:dyDescent="0.25">
      <c r="A22" s="269"/>
      <c r="B22" s="48" t="s">
        <v>73</v>
      </c>
      <c r="C22" s="59" t="s">
        <v>59</v>
      </c>
      <c r="D22" s="46" t="s">
        <v>79</v>
      </c>
      <c r="E22" s="46" t="s">
        <v>79</v>
      </c>
      <c r="F22" s="78">
        <v>46</v>
      </c>
      <c r="G22" s="51"/>
      <c r="H22" s="114"/>
      <c r="I22" s="114"/>
    </row>
    <row r="23" spans="1:9" x14ac:dyDescent="0.25">
      <c r="A23" s="269"/>
      <c r="B23" s="48" t="s">
        <v>62</v>
      </c>
      <c r="C23" s="59" t="s">
        <v>60</v>
      </c>
      <c r="D23" s="46" t="s">
        <v>79</v>
      </c>
      <c r="E23" s="46" t="s">
        <v>79</v>
      </c>
      <c r="F23" s="78">
        <v>37</v>
      </c>
      <c r="G23" s="51"/>
      <c r="H23" s="114"/>
      <c r="I23" s="114"/>
    </row>
    <row r="24" spans="1:9" ht="15.75" thickBot="1" x14ac:dyDescent="0.3">
      <c r="A24" s="269"/>
      <c r="B24" s="48" t="s">
        <v>62</v>
      </c>
      <c r="C24" s="79" t="s">
        <v>60</v>
      </c>
      <c r="D24" s="50" t="s">
        <v>79</v>
      </c>
      <c r="E24" s="50" t="s">
        <v>79</v>
      </c>
      <c r="F24" s="78">
        <v>33</v>
      </c>
      <c r="G24" s="51"/>
      <c r="H24" s="114"/>
      <c r="I24" s="114"/>
    </row>
    <row r="25" spans="1:9" ht="30" x14ac:dyDescent="0.25">
      <c r="A25" s="269"/>
      <c r="B25" s="80" t="s">
        <v>40</v>
      </c>
      <c r="C25" s="273" t="s">
        <v>26</v>
      </c>
      <c r="D25" s="81" t="s">
        <v>79</v>
      </c>
      <c r="E25" s="54" t="s">
        <v>79</v>
      </c>
      <c r="F25" s="82"/>
      <c r="G25" s="55"/>
      <c r="H25" s="114"/>
      <c r="I25" s="114"/>
    </row>
    <row r="26" spans="1:9" x14ac:dyDescent="0.25">
      <c r="A26" s="269"/>
      <c r="B26" s="83" t="s">
        <v>57</v>
      </c>
      <c r="C26" s="267"/>
      <c r="D26" s="84" t="s">
        <v>79</v>
      </c>
      <c r="E26" s="46" t="s">
        <v>79</v>
      </c>
      <c r="F26" s="76">
        <v>2.4700000000000002</v>
      </c>
      <c r="G26" s="47"/>
      <c r="H26" s="114"/>
      <c r="I26" s="114"/>
    </row>
    <row r="27" spans="1:9" x14ac:dyDescent="0.25">
      <c r="A27" s="269"/>
      <c r="B27" s="83" t="s">
        <v>58</v>
      </c>
      <c r="C27" s="267"/>
      <c r="D27" s="84" t="s">
        <v>79</v>
      </c>
      <c r="E27" s="46" t="s">
        <v>79</v>
      </c>
      <c r="F27" s="76">
        <v>2.8620000000000001</v>
      </c>
      <c r="G27" s="47"/>
      <c r="H27" s="114"/>
      <c r="I27" s="114"/>
    </row>
    <row r="28" spans="1:9" x14ac:dyDescent="0.25">
      <c r="A28" s="269"/>
      <c r="B28" s="83" t="s">
        <v>82</v>
      </c>
      <c r="C28" s="267"/>
      <c r="D28" s="84" t="s">
        <v>79</v>
      </c>
      <c r="E28" s="46" t="s">
        <v>79</v>
      </c>
      <c r="F28" s="76">
        <v>2.5139999999999998</v>
      </c>
      <c r="G28" s="47"/>
      <c r="H28" s="114"/>
      <c r="I28" s="114"/>
    </row>
    <row r="29" spans="1:9" x14ac:dyDescent="0.25">
      <c r="A29" s="269"/>
      <c r="B29" s="83" t="s">
        <v>82</v>
      </c>
      <c r="C29" s="267"/>
      <c r="D29" s="84" t="s">
        <v>79</v>
      </c>
      <c r="E29" s="46" t="s">
        <v>79</v>
      </c>
      <c r="F29" s="76">
        <v>5.31</v>
      </c>
      <c r="G29" s="47"/>
      <c r="H29" s="114"/>
      <c r="I29" s="114"/>
    </row>
    <row r="30" spans="1:9" x14ac:dyDescent="0.25">
      <c r="A30" s="269"/>
      <c r="B30" s="83" t="s">
        <v>83</v>
      </c>
      <c r="C30" s="267"/>
      <c r="D30" s="84" t="s">
        <v>79</v>
      </c>
      <c r="E30" s="46" t="s">
        <v>79</v>
      </c>
      <c r="F30" s="85">
        <v>0.35699999999999998</v>
      </c>
      <c r="G30" s="51"/>
      <c r="H30" s="114"/>
      <c r="I30" s="114"/>
    </row>
    <row r="31" spans="1:9" x14ac:dyDescent="0.25">
      <c r="A31" s="269"/>
      <c r="B31" s="83" t="s">
        <v>84</v>
      </c>
      <c r="C31" s="267"/>
      <c r="D31" s="84" t="s">
        <v>79</v>
      </c>
      <c r="E31" s="46" t="s">
        <v>79</v>
      </c>
      <c r="F31" s="85">
        <v>0.56000000000000005</v>
      </c>
      <c r="G31" s="51"/>
      <c r="H31" s="114"/>
      <c r="I31" s="114"/>
    </row>
    <row r="32" spans="1:9" x14ac:dyDescent="0.25">
      <c r="A32" s="269"/>
      <c r="B32" s="83" t="s">
        <v>85</v>
      </c>
      <c r="C32" s="267"/>
      <c r="D32" s="84" t="s">
        <v>79</v>
      </c>
      <c r="E32" s="46" t="s">
        <v>79</v>
      </c>
      <c r="F32" s="85">
        <v>0.34</v>
      </c>
      <c r="G32" s="51"/>
      <c r="H32" s="114"/>
      <c r="I32" s="114"/>
    </row>
    <row r="33" spans="1:11" x14ac:dyDescent="0.25">
      <c r="A33" s="269"/>
      <c r="B33" s="83" t="s">
        <v>54</v>
      </c>
      <c r="C33" s="267"/>
      <c r="D33" s="84" t="s">
        <v>79</v>
      </c>
      <c r="E33" s="46" t="s">
        <v>79</v>
      </c>
      <c r="F33" s="85">
        <v>0.22</v>
      </c>
      <c r="G33" s="51"/>
      <c r="H33" s="114"/>
      <c r="I33" s="114"/>
    </row>
    <row r="34" spans="1:11" ht="15.75" thickBot="1" x14ac:dyDescent="0.3">
      <c r="A34" s="269"/>
      <c r="B34" s="83" t="s">
        <v>54</v>
      </c>
      <c r="C34" s="274"/>
      <c r="D34" s="86" t="s">
        <v>79</v>
      </c>
      <c r="E34" s="50" t="s">
        <v>79</v>
      </c>
      <c r="F34" s="85">
        <v>0.2339</v>
      </c>
      <c r="G34" s="51"/>
      <c r="H34" s="114"/>
      <c r="I34" s="114"/>
    </row>
    <row r="35" spans="1:11" x14ac:dyDescent="0.25">
      <c r="A35" s="21" t="s">
        <v>27</v>
      </c>
      <c r="B35" s="30" t="s">
        <v>53</v>
      </c>
      <c r="C35" s="87"/>
      <c r="D35" s="32">
        <f>((D38/D39)-(D36/D37))*D37</f>
        <v>37892.127555498118</v>
      </c>
      <c r="E35" s="32">
        <f>((E38/E39)-(E36/E37))*E37</f>
        <v>15730.163169870544</v>
      </c>
      <c r="F35" s="32">
        <f>((F38/F39)-(F36/F37))*F37</f>
        <v>10102.968149693032</v>
      </c>
      <c r="G35" s="33" t="e">
        <f>((G38/G39)-(G36/G37))*G37</f>
        <v>#DIV/0!</v>
      </c>
      <c r="H35" s="115">
        <f>SUM(D35:F35)</f>
        <v>63725.2588750617</v>
      </c>
      <c r="I35" s="114"/>
    </row>
    <row r="36" spans="1:11" ht="60" x14ac:dyDescent="0.25">
      <c r="A36" s="270" t="s">
        <v>86</v>
      </c>
      <c r="B36" s="34" t="s">
        <v>36</v>
      </c>
      <c r="C36" s="43" t="s">
        <v>30</v>
      </c>
      <c r="D36" s="40">
        <v>114554.52219309782</v>
      </c>
      <c r="E36" s="88">
        <v>45150.817637916865</v>
      </c>
      <c r="F36" s="40">
        <v>37767.140168985352</v>
      </c>
      <c r="G36" s="89"/>
      <c r="H36" s="115">
        <f>SUM(D36:G36)</f>
        <v>197472.48000000004</v>
      </c>
      <c r="I36" s="115">
        <f>D36+E36</f>
        <v>159705.33983101469</v>
      </c>
      <c r="J36" s="116">
        <f ca="1">atskaites_jedox!BK9</f>
        <v>156052.5</v>
      </c>
      <c r="K36" s="116">
        <f ca="1">atskaites_jedox!BL9</f>
        <v>31788.03</v>
      </c>
    </row>
    <row r="37" spans="1:11" x14ac:dyDescent="0.25">
      <c r="A37" s="271"/>
      <c r="B37" s="34" t="s">
        <v>52</v>
      </c>
      <c r="C37" s="43" t="s">
        <v>7</v>
      </c>
      <c r="D37" s="40">
        <f>D10</f>
        <v>196469.86</v>
      </c>
      <c r="E37" s="40">
        <f>E10</f>
        <v>86219.339999999982</v>
      </c>
      <c r="F37" s="40">
        <f>F10</f>
        <v>57478.28</v>
      </c>
      <c r="G37" s="89"/>
      <c r="H37" s="115">
        <f>SUM(D37:G37)</f>
        <v>340167.48</v>
      </c>
      <c r="I37" s="115">
        <f t="shared" ref="I37:I39" si="0">D37+E37</f>
        <v>282689.19999999995</v>
      </c>
      <c r="J37" s="116">
        <f ca="1">atskaites_jedox!BM9</f>
        <v>281966.53999999998</v>
      </c>
      <c r="K37" s="116">
        <f ca="1">atskaites_jedox!BN9</f>
        <v>57436.84</v>
      </c>
    </row>
    <row r="38" spans="1:11" ht="60" x14ac:dyDescent="0.25">
      <c r="A38" s="270" t="s">
        <v>87</v>
      </c>
      <c r="B38" s="34" t="s">
        <v>37</v>
      </c>
      <c r="C38" s="43" t="s">
        <v>30</v>
      </c>
      <c r="D38" s="40">
        <v>193164.92440684114</v>
      </c>
      <c r="E38" s="40">
        <v>61139.621039261932</v>
      </c>
      <c r="F38" s="40">
        <v>49957.304553896967</v>
      </c>
      <c r="G38" s="89"/>
      <c r="H38" s="115">
        <f t="shared" ref="H38:H39" si="1">SUM(D38:G38)</f>
        <v>304261.85000000003</v>
      </c>
      <c r="I38" s="115">
        <f t="shared" si="0"/>
        <v>254304.54544610306</v>
      </c>
      <c r="J38" s="116">
        <f ca="1">atskaites_jedox!O9</f>
        <v>239647.78</v>
      </c>
      <c r="K38" s="116">
        <f ca="1">atskaites_jedox!P9</f>
        <v>42955.73</v>
      </c>
    </row>
    <row r="39" spans="1:11" ht="15.75" thickBot="1" x14ac:dyDescent="0.3">
      <c r="A39" s="271"/>
      <c r="B39" s="36" t="s">
        <v>38</v>
      </c>
      <c r="C39" s="28" t="s">
        <v>7</v>
      </c>
      <c r="D39" s="41">
        <v>248946.66900000008</v>
      </c>
      <c r="E39" s="41">
        <v>86585.624999999985</v>
      </c>
      <c r="F39" s="41">
        <v>59984.404465484637</v>
      </c>
      <c r="G39" s="90"/>
      <c r="H39" s="115">
        <f t="shared" si="1"/>
        <v>395516.69846548466</v>
      </c>
      <c r="I39" s="115">
        <f t="shared" si="0"/>
        <v>335532.29400000005</v>
      </c>
      <c r="J39" s="116">
        <f ca="1">atskaites_jedox!Q9</f>
        <v>334653.18</v>
      </c>
      <c r="K39" s="116">
        <f ca="1">atskaites_jedox!R9</f>
        <v>59984.4</v>
      </c>
    </row>
    <row r="40" spans="1:11" x14ac:dyDescent="0.25">
      <c r="A40" s="1"/>
      <c r="B40" s="1"/>
      <c r="C40" s="1"/>
      <c r="D40" s="1"/>
      <c r="E40" s="1"/>
      <c r="F40" s="1"/>
      <c r="G40" s="1"/>
    </row>
    <row r="41" spans="1:11" x14ac:dyDescent="0.25">
      <c r="A41" s="1"/>
      <c r="B41" s="1"/>
      <c r="C41" s="1"/>
      <c r="D41" s="1"/>
      <c r="E41" s="1"/>
      <c r="F41" s="1"/>
      <c r="G41" s="1"/>
    </row>
    <row r="42" spans="1:11" ht="15.75" thickBot="1" x14ac:dyDescent="0.3">
      <c r="A42" s="1"/>
      <c r="B42" s="38" t="s">
        <v>88</v>
      </c>
      <c r="C42" s="37"/>
      <c r="D42" s="37"/>
      <c r="E42" s="37"/>
      <c r="F42" s="37"/>
      <c r="G42" s="37"/>
    </row>
    <row r="43" spans="1:11" ht="15.75" thickTop="1" x14ac:dyDescent="0.25">
      <c r="A43" s="1"/>
      <c r="B43" s="1"/>
      <c r="C43" s="1"/>
      <c r="D43" s="1"/>
      <c r="E43" s="1"/>
      <c r="F43" s="1"/>
      <c r="G43" s="1"/>
    </row>
    <row r="44" spans="1:11" x14ac:dyDescent="0.25">
      <c r="A44" s="1"/>
      <c r="B44" s="1"/>
      <c r="C44" s="1"/>
      <c r="D44" s="1"/>
      <c r="E44" s="1"/>
      <c r="F44" s="1"/>
      <c r="G44" s="1"/>
    </row>
    <row r="45" spans="1:11" x14ac:dyDescent="0.25">
      <c r="A45" s="1" t="s">
        <v>9</v>
      </c>
      <c r="B45" s="1"/>
      <c r="C45" s="1"/>
      <c r="D45" s="1"/>
      <c r="E45" s="1"/>
      <c r="F45" s="1"/>
      <c r="G45" s="1"/>
    </row>
    <row r="46" spans="1:11" x14ac:dyDescent="0.25">
      <c r="A46" s="254" t="s">
        <v>24</v>
      </c>
      <c r="B46" s="254"/>
      <c r="C46" s="254"/>
      <c r="D46" s="254"/>
      <c r="E46" s="254"/>
      <c r="F46" s="254"/>
      <c r="G46" s="254"/>
    </row>
    <row r="47" spans="1:11" x14ac:dyDescent="0.25">
      <c r="A47" s="44" t="s">
        <v>23</v>
      </c>
      <c r="B47" s="44"/>
      <c r="C47" s="44"/>
      <c r="D47" s="44"/>
      <c r="E47" s="44"/>
      <c r="F47" s="44"/>
      <c r="G47" s="44"/>
    </row>
    <row r="48" spans="1:11" x14ac:dyDescent="0.25">
      <c r="A48" s="266" t="s">
        <v>16</v>
      </c>
      <c r="B48" s="266"/>
      <c r="C48" s="266"/>
      <c r="D48" s="266"/>
      <c r="E48" s="266"/>
      <c r="F48" s="266"/>
      <c r="G48" s="266"/>
    </row>
    <row r="49" spans="1:7" x14ac:dyDescent="0.25">
      <c r="A49" s="254" t="s">
        <v>18</v>
      </c>
      <c r="B49" s="254"/>
      <c r="C49" s="254"/>
      <c r="D49" s="254"/>
      <c r="E49" s="254"/>
      <c r="F49" s="254"/>
      <c r="G49" s="254"/>
    </row>
    <row r="50" spans="1:7" x14ac:dyDescent="0.25">
      <c r="A50" s="254" t="s">
        <v>31</v>
      </c>
      <c r="B50" s="254"/>
      <c r="C50" s="254"/>
      <c r="D50" s="254"/>
      <c r="E50" s="254"/>
      <c r="F50" s="254"/>
      <c r="G50" s="254"/>
    </row>
    <row r="51" spans="1:7" x14ac:dyDescent="0.25">
      <c r="A51" s="44"/>
      <c r="B51" s="44"/>
      <c r="C51" s="44"/>
      <c r="D51" s="44"/>
      <c r="E51" s="44"/>
      <c r="F51" s="44"/>
      <c r="G51" s="44"/>
    </row>
    <row r="52" spans="1:7" x14ac:dyDescent="0.25">
      <c r="A52" s="6" t="s">
        <v>17</v>
      </c>
      <c r="B52" s="44"/>
      <c r="C52" s="44"/>
      <c r="D52" s="44"/>
      <c r="E52" s="44"/>
      <c r="F52" s="44"/>
      <c r="G52" s="44"/>
    </row>
    <row r="53" spans="1:7" x14ac:dyDescent="0.25">
      <c r="A53" s="254" t="s">
        <v>32</v>
      </c>
      <c r="B53" s="254"/>
      <c r="C53" s="254"/>
      <c r="D53" s="254"/>
      <c r="E53" s="254"/>
      <c r="F53" s="254"/>
      <c r="G53" s="254"/>
    </row>
    <row r="54" spans="1:7" x14ac:dyDescent="0.25">
      <c r="A54" s="254" t="s">
        <v>19</v>
      </c>
      <c r="B54" s="254"/>
      <c r="C54" s="254"/>
      <c r="D54" s="254"/>
      <c r="E54" s="254"/>
      <c r="F54" s="254"/>
      <c r="G54" s="254"/>
    </row>
    <row r="55" spans="1:7" x14ac:dyDescent="0.25">
      <c r="A55" s="254" t="s">
        <v>21</v>
      </c>
      <c r="B55" s="254"/>
      <c r="C55" s="254"/>
      <c r="D55" s="254"/>
      <c r="E55" s="254"/>
      <c r="F55" s="254"/>
      <c r="G55" s="254"/>
    </row>
    <row r="56" spans="1:7" x14ac:dyDescent="0.25">
      <c r="A56" s="254" t="s">
        <v>33</v>
      </c>
      <c r="B56" s="254"/>
      <c r="C56" s="254"/>
      <c r="D56" s="254"/>
      <c r="E56" s="254"/>
      <c r="F56" s="254"/>
      <c r="G56" s="254"/>
    </row>
    <row r="57" spans="1:7" x14ac:dyDescent="0.25">
      <c r="A57" s="254" t="s">
        <v>20</v>
      </c>
      <c r="B57" s="254"/>
      <c r="C57" s="254"/>
      <c r="D57" s="254"/>
      <c r="E57" s="254"/>
      <c r="F57" s="254"/>
      <c r="G57" s="254"/>
    </row>
    <row r="58" spans="1:7" x14ac:dyDescent="0.25">
      <c r="A58" s="272" t="s">
        <v>22</v>
      </c>
      <c r="B58" s="272"/>
      <c r="C58" s="272"/>
      <c r="D58" s="272"/>
      <c r="E58" s="272"/>
      <c r="F58" s="272"/>
      <c r="G58" s="272"/>
    </row>
    <row r="59" spans="1:7" x14ac:dyDescent="0.25">
      <c r="A59" s="254" t="s">
        <v>34</v>
      </c>
      <c r="B59" s="254"/>
      <c r="C59" s="254"/>
      <c r="D59" s="254"/>
      <c r="E59" s="254"/>
      <c r="F59" s="254"/>
      <c r="G59" s="254"/>
    </row>
    <row r="60" spans="1:7" x14ac:dyDescent="0.25">
      <c r="A60" s="254" t="s">
        <v>35</v>
      </c>
      <c r="B60" s="254"/>
      <c r="C60" s="254"/>
      <c r="D60" s="254"/>
      <c r="E60" s="254"/>
      <c r="F60" s="254"/>
      <c r="G60" s="254"/>
    </row>
  </sheetData>
  <mergeCells count="20">
    <mergeCell ref="A50:G50"/>
    <mergeCell ref="A1:G1"/>
    <mergeCell ref="A4:A12"/>
    <mergeCell ref="C4:C8"/>
    <mergeCell ref="C9:C12"/>
    <mergeCell ref="A15:A34"/>
    <mergeCell ref="C25:C34"/>
    <mergeCell ref="A36:A37"/>
    <mergeCell ref="A38:A39"/>
    <mergeCell ref="A46:G46"/>
    <mergeCell ref="A48:G48"/>
    <mergeCell ref="A49:G49"/>
    <mergeCell ref="A59:G59"/>
    <mergeCell ref="A60:G60"/>
    <mergeCell ref="A53:G53"/>
    <mergeCell ref="A54:G54"/>
    <mergeCell ref="A55:G55"/>
    <mergeCell ref="A56:G56"/>
    <mergeCell ref="A57:G57"/>
    <mergeCell ref="A58:G58"/>
  </mergeCells>
  <pageMargins left="0.7" right="0.7" top="0.75" bottom="0.75" header="0.3" footer="0.3"/>
  <pageSetup paperSize="9" scale="6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49618-057D-49B0-A6E9-9E47DC964260}">
  <sheetPr>
    <pageSetUpPr fitToPage="1"/>
  </sheetPr>
  <dimension ref="A1:I64"/>
  <sheetViews>
    <sheetView zoomScale="85" zoomScaleNormal="85" workbookViewId="0">
      <selection activeCell="H1" sqref="H1:I1048576"/>
    </sheetView>
  </sheetViews>
  <sheetFormatPr defaultColWidth="9.140625" defaultRowHeight="15" x14ac:dyDescent="0.25"/>
  <cols>
    <col min="1" max="1" width="22.140625" style="136" bestFit="1" customWidth="1"/>
    <col min="2" max="2" width="50.42578125" style="136" customWidth="1"/>
    <col min="3" max="3" width="11.85546875" style="136" bestFit="1" customWidth="1"/>
    <col min="4" max="4" width="12" style="136" bestFit="1" customWidth="1"/>
    <col min="5" max="5" width="13.7109375" style="136" customWidth="1"/>
    <col min="6" max="6" width="10.85546875" style="136" bestFit="1" customWidth="1"/>
    <col min="7" max="7" width="10.28515625" style="136" customWidth="1"/>
    <col min="8" max="9" width="0" style="136" hidden="1" customWidth="1"/>
    <col min="10" max="16384" width="9.140625" style="136"/>
  </cols>
  <sheetData>
    <row r="1" spans="1:9" ht="41.25" customHeight="1" x14ac:dyDescent="0.3">
      <c r="A1" s="277" t="s">
        <v>68</v>
      </c>
      <c r="B1" s="277"/>
      <c r="C1" s="277"/>
      <c r="D1" s="277"/>
      <c r="E1" s="277"/>
      <c r="F1" s="277"/>
      <c r="G1" s="277"/>
    </row>
    <row r="2" spans="1:9" ht="43.5" thickBot="1" x14ac:dyDescent="0.3">
      <c r="A2" s="137" t="s">
        <v>3</v>
      </c>
      <c r="B2" s="138"/>
      <c r="C2" s="139" t="s">
        <v>4</v>
      </c>
      <c r="D2" s="139" t="s">
        <v>0</v>
      </c>
      <c r="E2" s="140" t="s">
        <v>10</v>
      </c>
      <c r="F2" s="139" t="s">
        <v>1</v>
      </c>
      <c r="G2" s="139" t="s">
        <v>2</v>
      </c>
    </row>
    <row r="3" spans="1:9" ht="15.75" thickBot="1" x14ac:dyDescent="0.3">
      <c r="A3" s="141" t="s">
        <v>14</v>
      </c>
      <c r="B3" s="142" t="s">
        <v>51</v>
      </c>
      <c r="C3" s="143"/>
      <c r="D3" s="144">
        <f>(D10-D9)*D13</f>
        <v>0</v>
      </c>
      <c r="E3" s="144">
        <f>(E10-E9)*E13</f>
        <v>0</v>
      </c>
      <c r="F3" s="144">
        <f>(F10-F9)*F13</f>
        <v>0</v>
      </c>
      <c r="G3" s="145">
        <f>(G10-G9)*G13</f>
        <v>0</v>
      </c>
    </row>
    <row r="4" spans="1:9" x14ac:dyDescent="0.25">
      <c r="A4" s="278" t="s">
        <v>131</v>
      </c>
      <c r="B4" s="146" t="s">
        <v>11</v>
      </c>
      <c r="C4" s="281" t="s">
        <v>5</v>
      </c>
      <c r="D4" s="147">
        <v>43</v>
      </c>
      <c r="E4" s="148">
        <v>13</v>
      </c>
      <c r="F4" s="147">
        <v>20</v>
      </c>
      <c r="G4" s="149"/>
    </row>
    <row r="5" spans="1:9" x14ac:dyDescent="0.25">
      <c r="A5" s="279"/>
      <c r="B5" s="150" t="s">
        <v>48</v>
      </c>
      <c r="C5" s="282"/>
      <c r="D5" s="151">
        <v>12790</v>
      </c>
      <c r="E5" s="151">
        <v>8660</v>
      </c>
      <c r="F5" s="152">
        <v>7840</v>
      </c>
      <c r="G5" s="153"/>
    </row>
    <row r="6" spans="1:9" x14ac:dyDescent="0.25">
      <c r="A6" s="279"/>
      <c r="B6" s="150" t="s">
        <v>49</v>
      </c>
      <c r="C6" s="282"/>
      <c r="D6" s="151">
        <f>D5+D7-D8</f>
        <v>12790</v>
      </c>
      <c r="E6" s="151">
        <f t="shared" ref="E6:G6" si="0">E5+E7-E8</f>
        <v>8660</v>
      </c>
      <c r="F6" s="151">
        <f t="shared" si="0"/>
        <v>7840</v>
      </c>
      <c r="G6" s="153">
        <f t="shared" si="0"/>
        <v>0</v>
      </c>
    </row>
    <row r="7" spans="1:9" x14ac:dyDescent="0.25">
      <c r="A7" s="279"/>
      <c r="B7" s="154" t="s">
        <v>44</v>
      </c>
      <c r="C7" s="282"/>
      <c r="D7" s="151">
        <v>0</v>
      </c>
      <c r="E7" s="151">
        <v>0</v>
      </c>
      <c r="F7" s="151">
        <v>0</v>
      </c>
      <c r="G7" s="153"/>
    </row>
    <row r="8" spans="1:9" x14ac:dyDescent="0.25">
      <c r="A8" s="279"/>
      <c r="B8" s="154" t="s">
        <v>45</v>
      </c>
      <c r="C8" s="283"/>
      <c r="D8" s="151">
        <v>0</v>
      </c>
      <c r="E8" s="151">
        <v>0</v>
      </c>
      <c r="F8" s="151">
        <v>0</v>
      </c>
      <c r="G8" s="153"/>
    </row>
    <row r="9" spans="1:9" x14ac:dyDescent="0.25">
      <c r="A9" s="279"/>
      <c r="B9" s="150" t="s">
        <v>42</v>
      </c>
      <c r="C9" s="284" t="s">
        <v>7</v>
      </c>
      <c r="D9" s="151">
        <v>185411.79999999996</v>
      </c>
      <c r="E9" s="151">
        <v>84612.799999999988</v>
      </c>
      <c r="F9" s="151">
        <v>55825.820000000007</v>
      </c>
      <c r="G9" s="153"/>
    </row>
    <row r="10" spans="1:9" x14ac:dyDescent="0.25">
      <c r="A10" s="279"/>
      <c r="B10" s="150" t="s">
        <v>50</v>
      </c>
      <c r="C10" s="285"/>
      <c r="D10" s="151">
        <f t="shared" ref="D10:G10" si="1">D9+D11-D12</f>
        <v>185411.79999999996</v>
      </c>
      <c r="E10" s="151">
        <f t="shared" si="1"/>
        <v>84612.799999999988</v>
      </c>
      <c r="F10" s="151">
        <f t="shared" si="1"/>
        <v>55825.820000000007</v>
      </c>
      <c r="G10" s="153">
        <f t="shared" si="1"/>
        <v>0</v>
      </c>
      <c r="H10" s="252">
        <f ca="1">atskaites_jedox!BS9</f>
        <v>269270.81</v>
      </c>
      <c r="I10" s="252">
        <f ca="1">atskaites_jedox!BT9</f>
        <v>55667.9</v>
      </c>
    </row>
    <row r="11" spans="1:9" x14ac:dyDescent="0.25">
      <c r="A11" s="279"/>
      <c r="B11" s="155" t="s">
        <v>46</v>
      </c>
      <c r="C11" s="285"/>
      <c r="D11" s="151">
        <v>0</v>
      </c>
      <c r="E11" s="151">
        <v>0</v>
      </c>
      <c r="F11" s="151">
        <v>0</v>
      </c>
      <c r="G11" s="153"/>
    </row>
    <row r="12" spans="1:9" x14ac:dyDescent="0.25">
      <c r="A12" s="280"/>
      <c r="B12" s="155" t="s">
        <v>47</v>
      </c>
      <c r="C12" s="286"/>
      <c r="D12" s="151">
        <v>0</v>
      </c>
      <c r="E12" s="151">
        <v>0</v>
      </c>
      <c r="F12" s="151">
        <v>0</v>
      </c>
      <c r="G12" s="153"/>
    </row>
    <row r="13" spans="1:9" ht="30.75" thickBot="1" x14ac:dyDescent="0.3">
      <c r="A13" s="156" t="s">
        <v>131</v>
      </c>
      <c r="B13" s="157" t="s">
        <v>43</v>
      </c>
      <c r="C13" s="158" t="s">
        <v>8</v>
      </c>
      <c r="D13" s="159">
        <v>1.6343000000000001</v>
      </c>
      <c r="E13" s="159">
        <v>0.84199999999999997</v>
      </c>
      <c r="F13" s="159">
        <v>3.0809000000000002</v>
      </c>
      <c r="G13" s="160"/>
      <c r="H13" s="253">
        <f ca="1">atskaites_jedox!BU9</f>
        <v>1.3865000000000001</v>
      </c>
      <c r="I13" s="253">
        <f ca="1">atskaites_jedox!BV9</f>
        <v>3.08</v>
      </c>
    </row>
    <row r="14" spans="1:9" ht="30" thickBot="1" x14ac:dyDescent="0.3">
      <c r="A14" s="161" t="s">
        <v>15</v>
      </c>
      <c r="B14" s="162" t="s">
        <v>41</v>
      </c>
      <c r="C14" s="163"/>
      <c r="D14" s="164">
        <f>SUM(D24*D36,D25*D37,D26*D38)</f>
        <v>8.8861999999999988</v>
      </c>
      <c r="E14" s="164">
        <f>SUM(E24*E36,E25*E37,E26*E38)</f>
        <v>4.0498159999999999</v>
      </c>
      <c r="F14" s="164">
        <f>SUM(F16*F28,F17*F29,F18*F30,F19*F31,F20*F32,F21*F33,F22*F34,F23*F35)</f>
        <v>96.59999999999998</v>
      </c>
      <c r="G14" s="165" t="e">
        <f>SUM(#REF!*#REF!,G23*G32,#REF!*#REF!,#REF!*#REF!,#REF!*#REF!,#REF!*#REF!)</f>
        <v>#REF!</v>
      </c>
    </row>
    <row r="15" spans="1:9" ht="30" customHeight="1" x14ac:dyDescent="0.25">
      <c r="A15" s="287" t="s">
        <v>131</v>
      </c>
      <c r="B15" s="166" t="s">
        <v>39</v>
      </c>
      <c r="C15" s="167"/>
      <c r="D15" s="168"/>
      <c r="E15" s="168"/>
      <c r="F15" s="169"/>
      <c r="G15" s="170"/>
    </row>
    <row r="16" spans="1:9" x14ac:dyDescent="0.25">
      <c r="A16" s="288"/>
      <c r="B16" s="171" t="s">
        <v>61</v>
      </c>
      <c r="C16" s="172" t="s">
        <v>25</v>
      </c>
      <c r="D16" s="173"/>
      <c r="E16" s="173"/>
      <c r="F16" s="174">
        <v>5</v>
      </c>
      <c r="G16" s="175"/>
    </row>
    <row r="17" spans="1:7" x14ac:dyDescent="0.25">
      <c r="A17" s="288"/>
      <c r="B17" s="176" t="s">
        <v>132</v>
      </c>
      <c r="C17" s="177" t="s">
        <v>25</v>
      </c>
      <c r="D17" s="178"/>
      <c r="E17" s="178"/>
      <c r="F17" s="174">
        <v>5</v>
      </c>
      <c r="G17" s="179"/>
    </row>
    <row r="18" spans="1:7" x14ac:dyDescent="0.25">
      <c r="A18" s="288"/>
      <c r="B18" s="176" t="s">
        <v>133</v>
      </c>
      <c r="C18" s="177" t="s">
        <v>25</v>
      </c>
      <c r="D18" s="178"/>
      <c r="E18" s="178"/>
      <c r="F18" s="174">
        <v>2</v>
      </c>
      <c r="G18" s="179"/>
    </row>
    <row r="19" spans="1:7" x14ac:dyDescent="0.25">
      <c r="A19" s="288"/>
      <c r="B19" s="176" t="s">
        <v>71</v>
      </c>
      <c r="C19" s="177" t="s">
        <v>25</v>
      </c>
      <c r="D19" s="178"/>
      <c r="E19" s="178"/>
      <c r="F19" s="174">
        <v>10</v>
      </c>
      <c r="G19" s="179"/>
    </row>
    <row r="20" spans="1:7" x14ac:dyDescent="0.25">
      <c r="A20" s="288"/>
      <c r="B20" s="176" t="s">
        <v>134</v>
      </c>
      <c r="C20" s="177" t="s">
        <v>25</v>
      </c>
      <c r="D20" s="180"/>
      <c r="E20" s="180"/>
      <c r="F20" s="181">
        <v>5</v>
      </c>
      <c r="G20" s="179"/>
    </row>
    <row r="21" spans="1:7" x14ac:dyDescent="0.25">
      <c r="A21" s="288"/>
      <c r="B21" s="176" t="s">
        <v>135</v>
      </c>
      <c r="C21" s="182" t="s">
        <v>59</v>
      </c>
      <c r="D21" s="180"/>
      <c r="E21" s="180"/>
      <c r="F21" s="181">
        <v>1</v>
      </c>
      <c r="G21" s="179"/>
    </row>
    <row r="22" spans="1:7" x14ac:dyDescent="0.25">
      <c r="A22" s="288"/>
      <c r="B22" s="176" t="s">
        <v>136</v>
      </c>
      <c r="C22" s="182" t="s">
        <v>59</v>
      </c>
      <c r="D22" s="180"/>
      <c r="E22" s="180"/>
      <c r="F22" s="181">
        <v>1</v>
      </c>
      <c r="G22" s="179"/>
    </row>
    <row r="23" spans="1:7" x14ac:dyDescent="0.25">
      <c r="A23" s="288"/>
      <c r="B23" s="176" t="s">
        <v>62</v>
      </c>
      <c r="C23" s="177" t="s">
        <v>60</v>
      </c>
      <c r="D23" s="180"/>
      <c r="E23" s="180"/>
      <c r="F23" s="181">
        <v>66</v>
      </c>
      <c r="G23" s="183"/>
    </row>
    <row r="24" spans="1:7" x14ac:dyDescent="0.25">
      <c r="A24" s="288"/>
      <c r="B24" s="176" t="s">
        <v>137</v>
      </c>
      <c r="C24" s="177" t="s">
        <v>59</v>
      </c>
      <c r="D24" s="184">
        <v>0.745</v>
      </c>
      <c r="E24" s="184">
        <v>0.34660000000000002</v>
      </c>
      <c r="F24" s="181"/>
      <c r="G24" s="183"/>
    </row>
    <row r="25" spans="1:7" x14ac:dyDescent="0.25">
      <c r="A25" s="288"/>
      <c r="B25" s="185" t="s">
        <v>138</v>
      </c>
      <c r="C25" s="177" t="s">
        <v>59</v>
      </c>
      <c r="D25" s="186">
        <v>44</v>
      </c>
      <c r="E25" s="186">
        <v>20</v>
      </c>
      <c r="F25" s="187"/>
      <c r="G25" s="183"/>
    </row>
    <row r="26" spans="1:7" ht="15.75" thickBot="1" x14ac:dyDescent="0.3">
      <c r="A26" s="288"/>
      <c r="B26" s="188" t="s">
        <v>139</v>
      </c>
      <c r="C26" s="189" t="s">
        <v>59</v>
      </c>
      <c r="D26" s="190">
        <v>45</v>
      </c>
      <c r="E26" s="190">
        <v>20</v>
      </c>
      <c r="F26" s="191"/>
      <c r="G26" s="192"/>
    </row>
    <row r="27" spans="1:7" ht="30" x14ac:dyDescent="0.25">
      <c r="A27" s="288"/>
      <c r="B27" s="193" t="s">
        <v>40</v>
      </c>
      <c r="C27" s="290" t="s">
        <v>26</v>
      </c>
      <c r="D27" s="194"/>
      <c r="E27" s="173"/>
      <c r="F27" s="178"/>
      <c r="G27" s="175"/>
    </row>
    <row r="28" spans="1:7" x14ac:dyDescent="0.25">
      <c r="A28" s="288"/>
      <c r="B28" s="171" t="s">
        <v>61</v>
      </c>
      <c r="C28" s="290"/>
      <c r="D28" s="194"/>
      <c r="E28" s="173"/>
      <c r="F28" s="178">
        <v>2.472</v>
      </c>
      <c r="G28" s="175"/>
    </row>
    <row r="29" spans="1:7" x14ac:dyDescent="0.25">
      <c r="A29" s="288"/>
      <c r="B29" s="171" t="s">
        <v>132</v>
      </c>
      <c r="C29" s="290"/>
      <c r="D29" s="194"/>
      <c r="E29" s="173"/>
      <c r="F29" s="178">
        <v>2.5139999999999998</v>
      </c>
      <c r="G29" s="175"/>
    </row>
    <row r="30" spans="1:7" x14ac:dyDescent="0.25">
      <c r="A30" s="288"/>
      <c r="B30" s="171" t="s">
        <v>133</v>
      </c>
      <c r="C30" s="290"/>
      <c r="D30" s="194"/>
      <c r="E30" s="173"/>
      <c r="F30" s="178">
        <v>5.31</v>
      </c>
      <c r="G30" s="175"/>
    </row>
    <row r="31" spans="1:7" x14ac:dyDescent="0.25">
      <c r="A31" s="288"/>
      <c r="B31" s="171" t="s">
        <v>71</v>
      </c>
      <c r="C31" s="290"/>
      <c r="D31" s="194"/>
      <c r="E31" s="173"/>
      <c r="F31" s="178">
        <v>2.86</v>
      </c>
      <c r="G31" s="175"/>
    </row>
    <row r="32" spans="1:7" x14ac:dyDescent="0.25">
      <c r="A32" s="288"/>
      <c r="B32" s="171" t="s">
        <v>134</v>
      </c>
      <c r="C32" s="290"/>
      <c r="D32" s="195"/>
      <c r="E32" s="196"/>
      <c r="F32" s="180">
        <v>3.0459999999999998</v>
      </c>
      <c r="G32" s="197"/>
    </row>
    <row r="33" spans="1:9" x14ac:dyDescent="0.25">
      <c r="A33" s="288"/>
      <c r="B33" s="171" t="s">
        <v>135</v>
      </c>
      <c r="C33" s="290"/>
      <c r="D33" s="195"/>
      <c r="E33" s="196"/>
      <c r="F33" s="180">
        <v>1.38</v>
      </c>
      <c r="G33" s="197"/>
    </row>
    <row r="34" spans="1:9" x14ac:dyDescent="0.25">
      <c r="A34" s="288"/>
      <c r="B34" s="171" t="s">
        <v>136</v>
      </c>
      <c r="C34" s="290"/>
      <c r="D34" s="195"/>
      <c r="E34" s="196"/>
      <c r="F34" s="180">
        <v>1.32</v>
      </c>
      <c r="G34" s="197"/>
    </row>
    <row r="35" spans="1:9" x14ac:dyDescent="0.25">
      <c r="A35" s="288"/>
      <c r="B35" s="171" t="s">
        <v>62</v>
      </c>
      <c r="C35" s="290"/>
      <c r="D35" s="195"/>
      <c r="E35" s="196"/>
      <c r="F35" s="180">
        <v>0.22</v>
      </c>
      <c r="G35" s="197"/>
    </row>
    <row r="36" spans="1:9" x14ac:dyDescent="0.25">
      <c r="A36" s="288"/>
      <c r="B36" s="171" t="s">
        <v>137</v>
      </c>
      <c r="C36" s="290"/>
      <c r="D36" s="195">
        <v>4.76</v>
      </c>
      <c r="E36" s="196">
        <v>4.76</v>
      </c>
      <c r="F36" s="180"/>
      <c r="G36" s="197"/>
    </row>
    <row r="37" spans="1:9" x14ac:dyDescent="0.25">
      <c r="A37" s="288"/>
      <c r="B37" s="198" t="s">
        <v>138</v>
      </c>
      <c r="C37" s="290"/>
      <c r="D37" s="195">
        <v>0.06</v>
      </c>
      <c r="E37" s="196">
        <v>0.06</v>
      </c>
      <c r="F37" s="180"/>
      <c r="G37" s="197"/>
    </row>
    <row r="38" spans="1:9" ht="15.75" thickBot="1" x14ac:dyDescent="0.3">
      <c r="A38" s="289"/>
      <c r="B38" s="198" t="s">
        <v>140</v>
      </c>
      <c r="C38" s="291"/>
      <c r="D38" s="195">
        <v>0.06</v>
      </c>
      <c r="E38" s="196">
        <v>0.06</v>
      </c>
      <c r="F38" s="180"/>
      <c r="G38" s="197"/>
    </row>
    <row r="39" spans="1:9" x14ac:dyDescent="0.25">
      <c r="A39" s="199" t="s">
        <v>27</v>
      </c>
      <c r="B39" s="200" t="s">
        <v>53</v>
      </c>
      <c r="C39" s="201"/>
      <c r="D39" s="202">
        <f>((D42/D43)-(D40/D41))*D41</f>
        <v>15499.471908594263</v>
      </c>
      <c r="E39" s="202">
        <f>((E42/E43)-(E40/E41))*E41</f>
        <v>10485.040928081298</v>
      </c>
      <c r="F39" s="202">
        <f>((F42/F43)-(F40/F41))*F41</f>
        <v>4970.7175888909569</v>
      </c>
      <c r="G39" s="203" t="e">
        <f>((G42/G43)-(G40/G41))*G41</f>
        <v>#DIV/0!</v>
      </c>
    </row>
    <row r="40" spans="1:9" ht="60" x14ac:dyDescent="0.25">
      <c r="A40" s="292" t="s">
        <v>131</v>
      </c>
      <c r="B40" s="204" t="s">
        <v>36</v>
      </c>
      <c r="C40" s="205" t="s">
        <v>30</v>
      </c>
      <c r="D40" s="206">
        <v>110380.73</v>
      </c>
      <c r="E40" s="207">
        <v>45565.9</v>
      </c>
      <c r="F40" s="206">
        <v>38461.82</v>
      </c>
      <c r="G40" s="208"/>
      <c r="H40" s="252">
        <f ca="1">atskaites_jedox!BQ9</f>
        <v>163445.29999999999</v>
      </c>
      <c r="I40" s="252">
        <f ca="1">atskaites_jedox!BR9</f>
        <v>33789.99</v>
      </c>
    </row>
    <row r="41" spans="1:9" x14ac:dyDescent="0.25">
      <c r="A41" s="293"/>
      <c r="B41" s="204" t="s">
        <v>52</v>
      </c>
      <c r="C41" s="205" t="s">
        <v>7</v>
      </c>
      <c r="D41" s="206">
        <f>D10</f>
        <v>185411.79999999996</v>
      </c>
      <c r="E41" s="206">
        <f>E10</f>
        <v>84612.799999999988</v>
      </c>
      <c r="F41" s="206">
        <f>F10</f>
        <v>55825.820000000007</v>
      </c>
      <c r="G41" s="208"/>
      <c r="H41" s="252">
        <f ca="1">atskaites_jedox!BS9</f>
        <v>269270.81</v>
      </c>
      <c r="I41" s="252">
        <f ca="1">atskaites_jedox!BT9</f>
        <v>55667.9</v>
      </c>
    </row>
    <row r="42" spans="1:9" ht="60" x14ac:dyDescent="0.25">
      <c r="A42" s="292" t="s">
        <v>141</v>
      </c>
      <c r="B42" s="204" t="s">
        <v>37</v>
      </c>
      <c r="C42" s="205" t="s">
        <v>30</v>
      </c>
      <c r="D42" s="206">
        <v>169015.44</v>
      </c>
      <c r="E42" s="206">
        <v>57357.82</v>
      </c>
      <c r="F42" s="206">
        <v>46667.92</v>
      </c>
      <c r="G42" s="208"/>
      <c r="H42" s="252">
        <f ca="1">atskaites_jedox!U9</f>
        <v>216589.08</v>
      </c>
      <c r="I42" s="252">
        <f ca="1">atskaites_jedox!V9</f>
        <v>41531.620000000003</v>
      </c>
    </row>
    <row r="43" spans="1:9" ht="15.75" thickBot="1" x14ac:dyDescent="0.3">
      <c r="A43" s="293"/>
      <c r="B43" s="209" t="s">
        <v>38</v>
      </c>
      <c r="C43" s="210" t="s">
        <v>7</v>
      </c>
      <c r="D43" s="211">
        <v>248946.66900000008</v>
      </c>
      <c r="E43" s="211">
        <v>86585.624999999985</v>
      </c>
      <c r="F43" s="211">
        <v>59984.404465484637</v>
      </c>
      <c r="G43" s="212"/>
      <c r="H43" s="252">
        <f ca="1">atskaites_jedox!W9</f>
        <v>300428.26</v>
      </c>
      <c r="I43" s="252">
        <f ca="1">atskaites_jedox!X9</f>
        <v>57586.8</v>
      </c>
    </row>
    <row r="44" spans="1:9" x14ac:dyDescent="0.25">
      <c r="A44" s="213"/>
      <c r="B44" s="213"/>
      <c r="C44" s="213"/>
      <c r="D44" s="213"/>
      <c r="E44" s="213"/>
      <c r="F44" s="213"/>
      <c r="G44" s="213"/>
    </row>
    <row r="45" spans="1:9" x14ac:dyDescent="0.25">
      <c r="A45" s="213"/>
      <c r="B45" s="213"/>
      <c r="C45" s="213"/>
      <c r="D45" s="213"/>
      <c r="E45" s="213"/>
      <c r="F45" s="213"/>
      <c r="G45" s="213"/>
    </row>
    <row r="46" spans="1:9" ht="15.75" thickBot="1" x14ac:dyDescent="0.3">
      <c r="A46" s="213"/>
      <c r="B46" s="214" t="s">
        <v>88</v>
      </c>
      <c r="C46" s="215"/>
      <c r="D46" s="215"/>
      <c r="E46" s="215"/>
      <c r="F46" s="215"/>
      <c r="G46" s="215"/>
    </row>
    <row r="47" spans="1:9" ht="15.75" thickTop="1" x14ac:dyDescent="0.25">
      <c r="A47" s="213"/>
      <c r="B47" s="213"/>
      <c r="C47" s="213"/>
      <c r="D47" s="213"/>
      <c r="E47" s="213"/>
      <c r="F47" s="213"/>
      <c r="G47" s="213"/>
    </row>
    <row r="48" spans="1:9" x14ac:dyDescent="0.25">
      <c r="A48" s="213"/>
      <c r="B48" s="213"/>
      <c r="C48" s="213"/>
      <c r="D48" s="213"/>
      <c r="E48" s="213"/>
      <c r="F48" s="213"/>
      <c r="G48" s="213"/>
    </row>
    <row r="49" spans="1:7" x14ac:dyDescent="0.25">
      <c r="A49" s="213" t="s">
        <v>9</v>
      </c>
      <c r="B49" s="213"/>
      <c r="C49" s="213"/>
      <c r="D49" s="213"/>
      <c r="E49" s="213"/>
      <c r="F49" s="213"/>
      <c r="G49" s="213"/>
    </row>
    <row r="50" spans="1:7" x14ac:dyDescent="0.25">
      <c r="A50" s="275" t="s">
        <v>24</v>
      </c>
      <c r="B50" s="275"/>
      <c r="C50" s="275"/>
      <c r="D50" s="275"/>
      <c r="E50" s="275"/>
      <c r="F50" s="275"/>
      <c r="G50" s="275"/>
    </row>
    <row r="51" spans="1:7" x14ac:dyDescent="0.25">
      <c r="A51" s="216" t="s">
        <v>23</v>
      </c>
      <c r="B51" s="216"/>
      <c r="C51" s="216"/>
      <c r="D51" s="216"/>
      <c r="E51" s="216"/>
      <c r="F51" s="216"/>
      <c r="G51" s="216"/>
    </row>
    <row r="52" spans="1:7" x14ac:dyDescent="0.25">
      <c r="A52" s="294" t="s">
        <v>16</v>
      </c>
      <c r="B52" s="294"/>
      <c r="C52" s="294"/>
      <c r="D52" s="294"/>
      <c r="E52" s="294"/>
      <c r="F52" s="294"/>
      <c r="G52" s="294"/>
    </row>
    <row r="53" spans="1:7" x14ac:dyDescent="0.25">
      <c r="A53" s="275" t="s">
        <v>18</v>
      </c>
      <c r="B53" s="275"/>
      <c r="C53" s="275"/>
      <c r="D53" s="275"/>
      <c r="E53" s="275"/>
      <c r="F53" s="275"/>
      <c r="G53" s="275"/>
    </row>
    <row r="54" spans="1:7" ht="31.5" customHeight="1" x14ac:dyDescent="0.25">
      <c r="A54" s="275" t="s">
        <v>31</v>
      </c>
      <c r="B54" s="275"/>
      <c r="C54" s="275"/>
      <c r="D54" s="275"/>
      <c r="E54" s="275"/>
      <c r="F54" s="275"/>
      <c r="G54" s="275"/>
    </row>
    <row r="55" spans="1:7" x14ac:dyDescent="0.25">
      <c r="A55" s="216"/>
      <c r="B55" s="216"/>
      <c r="C55" s="216"/>
      <c r="D55" s="216"/>
      <c r="E55" s="216"/>
      <c r="F55" s="216"/>
      <c r="G55" s="216"/>
    </row>
    <row r="56" spans="1:7" x14ac:dyDescent="0.25">
      <c r="A56" s="217" t="s">
        <v>17</v>
      </c>
      <c r="B56" s="216"/>
      <c r="C56" s="216"/>
      <c r="D56" s="216"/>
      <c r="E56" s="216"/>
      <c r="F56" s="216"/>
      <c r="G56" s="216"/>
    </row>
    <row r="57" spans="1:7" x14ac:dyDescent="0.25">
      <c r="A57" s="275" t="s">
        <v>32</v>
      </c>
      <c r="B57" s="275"/>
      <c r="C57" s="275"/>
      <c r="D57" s="275"/>
      <c r="E57" s="275"/>
      <c r="F57" s="275"/>
      <c r="G57" s="275"/>
    </row>
    <row r="58" spans="1:7" x14ac:dyDescent="0.25">
      <c r="A58" s="275" t="s">
        <v>19</v>
      </c>
      <c r="B58" s="275"/>
      <c r="C58" s="275"/>
      <c r="D58" s="275"/>
      <c r="E58" s="275"/>
      <c r="F58" s="275"/>
      <c r="G58" s="275"/>
    </row>
    <row r="59" spans="1:7" x14ac:dyDescent="0.25">
      <c r="A59" s="275" t="s">
        <v>21</v>
      </c>
      <c r="B59" s="275"/>
      <c r="C59" s="275"/>
      <c r="D59" s="275"/>
      <c r="E59" s="275"/>
      <c r="F59" s="275"/>
      <c r="G59" s="275"/>
    </row>
    <row r="60" spans="1:7" x14ac:dyDescent="0.25">
      <c r="A60" s="275" t="s">
        <v>33</v>
      </c>
      <c r="B60" s="275"/>
      <c r="C60" s="275"/>
      <c r="D60" s="275"/>
      <c r="E60" s="275"/>
      <c r="F60" s="275"/>
      <c r="G60" s="275"/>
    </row>
    <row r="61" spans="1:7" x14ac:dyDescent="0.25">
      <c r="A61" s="275" t="s">
        <v>20</v>
      </c>
      <c r="B61" s="275"/>
      <c r="C61" s="275"/>
      <c r="D61" s="275"/>
      <c r="E61" s="275"/>
      <c r="F61" s="275"/>
      <c r="G61" s="275"/>
    </row>
    <row r="62" spans="1:7" x14ac:dyDescent="0.25">
      <c r="A62" s="276" t="s">
        <v>22</v>
      </c>
      <c r="B62" s="276"/>
      <c r="C62" s="276"/>
      <c r="D62" s="276"/>
      <c r="E62" s="276"/>
      <c r="F62" s="276"/>
      <c r="G62" s="276"/>
    </row>
    <row r="63" spans="1:7" x14ac:dyDescent="0.25">
      <c r="A63" s="275" t="s">
        <v>34</v>
      </c>
      <c r="B63" s="275"/>
      <c r="C63" s="275"/>
      <c r="D63" s="275"/>
      <c r="E63" s="275"/>
      <c r="F63" s="275"/>
      <c r="G63" s="275"/>
    </row>
    <row r="64" spans="1:7" ht="45.75" customHeight="1" x14ac:dyDescent="0.25">
      <c r="A64" s="275" t="s">
        <v>35</v>
      </c>
      <c r="B64" s="275"/>
      <c r="C64" s="275"/>
      <c r="D64" s="275"/>
      <c r="E64" s="275"/>
      <c r="F64" s="275"/>
      <c r="G64" s="275"/>
    </row>
  </sheetData>
  <mergeCells count="20">
    <mergeCell ref="A54:G54"/>
    <mergeCell ref="A1:G1"/>
    <mergeCell ref="A4:A12"/>
    <mergeCell ref="C4:C8"/>
    <mergeCell ref="C9:C12"/>
    <mergeCell ref="A15:A38"/>
    <mergeCell ref="C27:C38"/>
    <mergeCell ref="A40:A41"/>
    <mergeCell ref="A42:A43"/>
    <mergeCell ref="A50:G50"/>
    <mergeCell ref="A52:G52"/>
    <mergeCell ref="A53:G53"/>
    <mergeCell ref="A63:G63"/>
    <mergeCell ref="A64:G64"/>
    <mergeCell ref="A57:G57"/>
    <mergeCell ref="A58:G58"/>
    <mergeCell ref="A59:G59"/>
    <mergeCell ref="A60:G60"/>
    <mergeCell ref="A61:G61"/>
    <mergeCell ref="A62:G62"/>
  </mergeCells>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3F958-579B-4F10-B0DF-5B7000ED3AF7}">
  <sheetPr>
    <pageSetUpPr fitToPage="1"/>
  </sheetPr>
  <dimension ref="A3:R9"/>
  <sheetViews>
    <sheetView tabSelected="1" zoomScale="90" zoomScaleNormal="90" workbookViewId="0">
      <selection activeCell="A18" sqref="A18"/>
    </sheetView>
  </sheetViews>
  <sheetFormatPr defaultRowHeight="15" x14ac:dyDescent="0.25"/>
  <cols>
    <col min="1" max="1" width="56.7109375" customWidth="1"/>
    <col min="2" max="2" width="14.140625" customWidth="1"/>
    <col min="3" max="4" width="9.85546875" bestFit="1" customWidth="1"/>
    <col min="5" max="5" width="11.42578125" customWidth="1"/>
    <col min="6" max="8" width="9.85546875" bestFit="1" customWidth="1"/>
    <col min="9" max="9" width="10.7109375" bestFit="1" customWidth="1"/>
    <col min="10" max="12" width="9.85546875" bestFit="1" customWidth="1"/>
    <col min="13" max="13" width="10.140625" bestFit="1" customWidth="1"/>
    <col min="14" max="15" width="9.85546875" bestFit="1" customWidth="1"/>
    <col min="16" max="16" width="8.42578125" bestFit="1" customWidth="1"/>
    <col min="17" max="17" width="10.140625" bestFit="1" customWidth="1"/>
    <col min="18" max="18" width="10.7109375" bestFit="1" customWidth="1"/>
  </cols>
  <sheetData>
    <row r="3" spans="1:18" x14ac:dyDescent="0.25">
      <c r="A3" s="135" t="s">
        <v>130</v>
      </c>
      <c r="B3" s="135" t="s">
        <v>126</v>
      </c>
    </row>
    <row r="4" spans="1:18" ht="27.6" customHeight="1" x14ac:dyDescent="0.25">
      <c r="B4" s="225" t="s">
        <v>6</v>
      </c>
      <c r="C4" s="225"/>
      <c r="D4" s="225"/>
      <c r="E4" s="225" t="s">
        <v>129</v>
      </c>
      <c r="F4" t="s">
        <v>106</v>
      </c>
      <c r="I4" t="s">
        <v>127</v>
      </c>
      <c r="J4" t="s">
        <v>111</v>
      </c>
      <c r="M4" t="s">
        <v>128</v>
      </c>
      <c r="N4" t="s">
        <v>116</v>
      </c>
      <c r="Q4" t="s">
        <v>142</v>
      </c>
      <c r="R4" t="s">
        <v>125</v>
      </c>
    </row>
    <row r="5" spans="1:18" x14ac:dyDescent="0.25">
      <c r="A5" s="135" t="s">
        <v>124</v>
      </c>
      <c r="B5" t="s">
        <v>99</v>
      </c>
      <c r="C5" t="s">
        <v>122</v>
      </c>
      <c r="D5" t="s">
        <v>123</v>
      </c>
      <c r="F5" t="s">
        <v>99</v>
      </c>
      <c r="G5" t="s">
        <v>122</v>
      </c>
      <c r="H5" t="s">
        <v>123</v>
      </c>
      <c r="J5" t="s">
        <v>99</v>
      </c>
      <c r="K5" t="s">
        <v>122</v>
      </c>
      <c r="L5" t="s">
        <v>123</v>
      </c>
      <c r="N5" t="s">
        <v>99</v>
      </c>
      <c r="O5" t="s">
        <v>122</v>
      </c>
      <c r="P5" t="s">
        <v>123</v>
      </c>
    </row>
    <row r="6" spans="1:18" ht="37.5" customHeight="1" x14ac:dyDescent="0.25">
      <c r="A6" s="245" t="s">
        <v>98</v>
      </c>
      <c r="B6" s="246">
        <v>-553.35571200001482</v>
      </c>
      <c r="C6" s="246">
        <v>-685.55852399999742</v>
      </c>
      <c r="D6" s="246">
        <v>0</v>
      </c>
      <c r="E6" s="247">
        <v>-1238.9142360000124</v>
      </c>
      <c r="F6" s="224">
        <v>-650.86077600002432</v>
      </c>
      <c r="G6" s="224">
        <v>-1165.7668399999977</v>
      </c>
      <c r="H6" s="224">
        <v>0</v>
      </c>
      <c r="I6" s="247">
        <v>-1816.627616000022</v>
      </c>
      <c r="J6" s="224">
        <v>-943.53084000000945</v>
      </c>
      <c r="K6" s="224">
        <v>-1180.2300999999975</v>
      </c>
      <c r="L6" s="224">
        <v>0</v>
      </c>
      <c r="M6" s="247">
        <v>-2123.7609400000069</v>
      </c>
      <c r="N6" s="224">
        <v>0</v>
      </c>
      <c r="O6" s="224">
        <v>0</v>
      </c>
      <c r="P6" s="224">
        <v>0</v>
      </c>
      <c r="Q6" s="247">
        <v>0</v>
      </c>
      <c r="R6" s="247">
        <v>-5179.3027920000413</v>
      </c>
    </row>
    <row r="7" spans="1:18" ht="54.6" customHeight="1" x14ac:dyDescent="0.25">
      <c r="A7" s="245" t="s">
        <v>100</v>
      </c>
      <c r="B7" s="246">
        <v>4.74</v>
      </c>
      <c r="C7" s="246">
        <v>2.1</v>
      </c>
      <c r="D7" s="246">
        <v>123.78</v>
      </c>
      <c r="E7" s="247">
        <v>130.62</v>
      </c>
      <c r="F7" s="224">
        <v>10.65574</v>
      </c>
      <c r="G7" s="224">
        <v>7.2198500000000001</v>
      </c>
      <c r="H7" s="224">
        <v>133.11000000000001</v>
      </c>
      <c r="I7" s="247">
        <v>150.98559</v>
      </c>
      <c r="J7" s="224">
        <v>0</v>
      </c>
      <c r="K7" s="224">
        <v>0</v>
      </c>
      <c r="L7" s="224">
        <v>95.358699999999999</v>
      </c>
      <c r="M7" s="247">
        <v>95.358699999999999</v>
      </c>
      <c r="N7" s="224">
        <v>8.8861999999999988</v>
      </c>
      <c r="O7" s="224">
        <v>4.0498159999999999</v>
      </c>
      <c r="P7" s="224">
        <v>96.59999999999998</v>
      </c>
      <c r="Q7" s="247">
        <v>109.53601599999998</v>
      </c>
      <c r="R7" s="247">
        <v>486.50030599999997</v>
      </c>
    </row>
    <row r="8" spans="1:18" ht="37.5" customHeight="1" x14ac:dyDescent="0.25">
      <c r="A8" s="245" t="s">
        <v>101</v>
      </c>
      <c r="B8" s="246">
        <v>39844.114257586123</v>
      </c>
      <c r="C8" s="246">
        <v>15998.645778817619</v>
      </c>
      <c r="D8" s="246">
        <v>13650.344734461389</v>
      </c>
      <c r="E8" s="247">
        <v>69493.104770865131</v>
      </c>
      <c r="F8" s="224">
        <v>45980.561726162974</v>
      </c>
      <c r="G8" s="224">
        <v>18645.098511471824</v>
      </c>
      <c r="H8" s="224">
        <v>14026.174224572578</v>
      </c>
      <c r="I8" s="247">
        <v>78651.834462207378</v>
      </c>
      <c r="J8" s="224">
        <v>37892.127555498118</v>
      </c>
      <c r="K8" s="224">
        <v>15730.163169870544</v>
      </c>
      <c r="L8" s="224">
        <v>10102.968149693032</v>
      </c>
      <c r="M8" s="247">
        <v>63725.2588750617</v>
      </c>
      <c r="N8" s="224">
        <v>15499.471908594263</v>
      </c>
      <c r="O8" s="224">
        <v>10485.040928081298</v>
      </c>
      <c r="P8" s="224">
        <v>4970.7175888909569</v>
      </c>
      <c r="Q8" s="247">
        <v>30955.230425566515</v>
      </c>
      <c r="R8" s="247">
        <v>242825.4285337007</v>
      </c>
    </row>
    <row r="9" spans="1:18" s="251" customFormat="1" ht="27" customHeight="1" x14ac:dyDescent="0.2">
      <c r="A9" s="248" t="s">
        <v>125</v>
      </c>
      <c r="B9" s="249">
        <v>39295.49854558611</v>
      </c>
      <c r="C9" s="249">
        <v>15315.187254817622</v>
      </c>
      <c r="D9" s="249">
        <v>13774.124734461389</v>
      </c>
      <c r="E9" s="250">
        <v>68384.810534865115</v>
      </c>
      <c r="F9" s="250">
        <v>45340.356690162953</v>
      </c>
      <c r="G9" s="250">
        <v>17486.551521471825</v>
      </c>
      <c r="H9" s="250">
        <v>14159.284224572579</v>
      </c>
      <c r="I9" s="250">
        <v>76986.192436207362</v>
      </c>
      <c r="J9" s="250">
        <v>36948.596715498112</v>
      </c>
      <c r="K9" s="250">
        <v>14549.933069870547</v>
      </c>
      <c r="L9" s="250">
        <v>10198.326849693032</v>
      </c>
      <c r="M9" s="250">
        <v>61696.856635061689</v>
      </c>
      <c r="N9" s="250">
        <v>15508.358108594264</v>
      </c>
      <c r="O9" s="250">
        <v>10489.090744081299</v>
      </c>
      <c r="P9" s="250">
        <v>5067.3175888909573</v>
      </c>
      <c r="Q9" s="250">
        <v>31064.766441566513</v>
      </c>
      <c r="R9" s="250">
        <v>238132.62604770067</v>
      </c>
    </row>
  </sheetData>
  <pageMargins left="0.7" right="0.7" top="0.75" bottom="0.75" header="0.3" footer="0.3"/>
  <pageSetup paperSize="9" scale="57" orientation="landscape" horizontalDpi="300" verticalDpi="30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43687-EBAA-46AD-9A69-FEF6BAB9CC92}">
  <dimension ref="B1:I437"/>
  <sheetViews>
    <sheetView zoomScale="80" zoomScaleNormal="80" workbookViewId="0">
      <pane ySplit="5" topLeftCell="A6" activePane="bottomLeft" state="frozen"/>
      <selection pane="bottomLeft" activeCell="P18" sqref="P18"/>
    </sheetView>
  </sheetViews>
  <sheetFormatPr defaultRowHeight="15" x14ac:dyDescent="0.25"/>
  <cols>
    <col min="1" max="1" width="5.42578125" customWidth="1"/>
    <col min="2" max="2" width="49.28515625" customWidth="1"/>
    <col min="3" max="3" width="37.5703125" customWidth="1"/>
    <col min="4" max="4" width="13.42578125" style="227" customWidth="1"/>
    <col min="5" max="5" width="18.42578125" style="226" bestFit="1" customWidth="1"/>
    <col min="6" max="6" width="13.7109375" style="226" customWidth="1"/>
    <col min="7" max="7" width="23.42578125" style="226" bestFit="1" customWidth="1"/>
    <col min="8" max="8" width="9.140625" style="226"/>
  </cols>
  <sheetData>
    <row r="1" spans="2:7" x14ac:dyDescent="0.25">
      <c r="B1" s="295" t="s">
        <v>93</v>
      </c>
      <c r="C1" s="295"/>
      <c r="D1" s="295"/>
      <c r="E1" s="295"/>
      <c r="F1" s="295"/>
      <c r="G1" s="295"/>
    </row>
    <row r="2" spans="2:7" x14ac:dyDescent="0.25">
      <c r="B2" s="295"/>
      <c r="C2" s="295"/>
      <c r="D2" s="295"/>
      <c r="E2" s="295"/>
      <c r="F2" s="295"/>
      <c r="G2" s="295"/>
    </row>
    <row r="5" spans="2:7" ht="15.75" x14ac:dyDescent="0.25">
      <c r="B5" s="235" t="s">
        <v>94</v>
      </c>
      <c r="C5" s="235" t="s">
        <v>4</v>
      </c>
      <c r="D5" s="236" t="s">
        <v>95</v>
      </c>
      <c r="E5" s="237" t="s">
        <v>96</v>
      </c>
      <c r="F5" s="237" t="s">
        <v>97</v>
      </c>
      <c r="G5" s="237" t="s">
        <v>3</v>
      </c>
    </row>
    <row r="6" spans="2:7" ht="42.75" x14ac:dyDescent="0.25">
      <c r="B6" s="121" t="s">
        <v>98</v>
      </c>
      <c r="C6" s="122"/>
      <c r="D6" s="232">
        <v>-553.35571200001482</v>
      </c>
      <c r="E6" s="218" t="s">
        <v>99</v>
      </c>
      <c r="F6" s="218" t="s">
        <v>121</v>
      </c>
      <c r="G6" s="218" t="s">
        <v>6</v>
      </c>
    </row>
    <row r="7" spans="2:7" x14ac:dyDescent="0.25">
      <c r="B7" s="123" t="s">
        <v>11</v>
      </c>
      <c r="C7" s="118" t="s">
        <v>5</v>
      </c>
      <c r="D7" s="228">
        <v>43</v>
      </c>
      <c r="E7" s="218" t="s">
        <v>99</v>
      </c>
      <c r="F7" s="218" t="s">
        <v>121</v>
      </c>
      <c r="G7" s="218" t="s">
        <v>6</v>
      </c>
    </row>
    <row r="8" spans="2:7" x14ac:dyDescent="0.25">
      <c r="B8" s="124" t="s">
        <v>48</v>
      </c>
      <c r="C8" s="118" t="s">
        <v>5</v>
      </c>
      <c r="D8" s="228">
        <v>10201</v>
      </c>
      <c r="E8" s="218" t="s">
        <v>99</v>
      </c>
      <c r="F8" s="218" t="s">
        <v>121</v>
      </c>
      <c r="G8" s="218" t="s">
        <v>6</v>
      </c>
    </row>
    <row r="9" spans="2:7" x14ac:dyDescent="0.25">
      <c r="B9" s="124" t="s">
        <v>49</v>
      </c>
      <c r="C9" s="118" t="s">
        <v>5</v>
      </c>
      <c r="D9" s="228">
        <v>10165</v>
      </c>
      <c r="E9" s="218" t="s">
        <v>99</v>
      </c>
      <c r="F9" s="218" t="s">
        <v>121</v>
      </c>
      <c r="G9" s="218" t="s">
        <v>6</v>
      </c>
    </row>
    <row r="10" spans="2:7" x14ac:dyDescent="0.25">
      <c r="B10" s="125" t="s">
        <v>44</v>
      </c>
      <c r="C10" s="118" t="s">
        <v>5</v>
      </c>
      <c r="D10" s="228">
        <v>0</v>
      </c>
      <c r="E10" s="218" t="s">
        <v>99</v>
      </c>
      <c r="F10" s="218" t="s">
        <v>121</v>
      </c>
      <c r="G10" s="218" t="s">
        <v>6</v>
      </c>
    </row>
    <row r="11" spans="2:7" x14ac:dyDescent="0.25">
      <c r="B11" s="125" t="s">
        <v>45</v>
      </c>
      <c r="C11" s="118" t="s">
        <v>5</v>
      </c>
      <c r="D11" s="228">
        <v>36</v>
      </c>
      <c r="E11" s="218" t="s">
        <v>99</v>
      </c>
      <c r="F11" s="218" t="s">
        <v>121</v>
      </c>
      <c r="G11" s="218" t="s">
        <v>6</v>
      </c>
    </row>
    <row r="12" spans="2:7" x14ac:dyDescent="0.25">
      <c r="B12" s="124" t="s">
        <v>42</v>
      </c>
      <c r="C12" s="119" t="s">
        <v>7</v>
      </c>
      <c r="D12" s="228">
        <v>146665.04</v>
      </c>
      <c r="E12" s="218" t="s">
        <v>99</v>
      </c>
      <c r="F12" s="218" t="s">
        <v>121</v>
      </c>
      <c r="G12" s="218" t="s">
        <v>6</v>
      </c>
    </row>
    <row r="13" spans="2:7" x14ac:dyDescent="0.25">
      <c r="B13" s="124" t="s">
        <v>50</v>
      </c>
      <c r="C13" s="119" t="s">
        <v>7</v>
      </c>
      <c r="D13" s="228">
        <v>146317.28</v>
      </c>
      <c r="E13" s="218" t="s">
        <v>99</v>
      </c>
      <c r="F13" s="218" t="s">
        <v>121</v>
      </c>
      <c r="G13" s="218" t="s">
        <v>6</v>
      </c>
    </row>
    <row r="14" spans="2:7" x14ac:dyDescent="0.25">
      <c r="B14" s="126" t="s">
        <v>46</v>
      </c>
      <c r="C14" s="119" t="s">
        <v>7</v>
      </c>
      <c r="D14" s="228">
        <v>0</v>
      </c>
      <c r="E14" s="218" t="s">
        <v>99</v>
      </c>
      <c r="F14" s="218" t="s">
        <v>121</v>
      </c>
      <c r="G14" s="218" t="s">
        <v>6</v>
      </c>
    </row>
    <row r="15" spans="2:7" x14ac:dyDescent="0.25">
      <c r="B15" s="126" t="s">
        <v>47</v>
      </c>
      <c r="C15" s="119" t="s">
        <v>7</v>
      </c>
      <c r="D15" s="228">
        <v>347.76</v>
      </c>
      <c r="E15" s="218" t="s">
        <v>99</v>
      </c>
      <c r="F15" s="218" t="s">
        <v>121</v>
      </c>
      <c r="G15" s="218" t="s">
        <v>6</v>
      </c>
    </row>
    <row r="16" spans="2:7" x14ac:dyDescent="0.25">
      <c r="B16" s="124" t="s">
        <v>43</v>
      </c>
      <c r="C16" s="238" t="s">
        <v>8</v>
      </c>
      <c r="D16" s="228">
        <v>1.5911999999999999</v>
      </c>
      <c r="E16" s="218" t="s">
        <v>99</v>
      </c>
      <c r="F16" s="218" t="s">
        <v>121</v>
      </c>
      <c r="G16" s="218" t="s">
        <v>6</v>
      </c>
    </row>
    <row r="17" spans="2:7" ht="42.75" x14ac:dyDescent="0.25">
      <c r="B17" s="121" t="s">
        <v>98</v>
      </c>
      <c r="C17" s="122"/>
      <c r="D17" s="232">
        <v>-685.55852399999742</v>
      </c>
      <c r="E17" s="218" t="s">
        <v>122</v>
      </c>
      <c r="F17" s="218" t="s">
        <v>121</v>
      </c>
      <c r="G17" s="218" t="s">
        <v>6</v>
      </c>
    </row>
    <row r="18" spans="2:7" x14ac:dyDescent="0.25">
      <c r="B18" s="123" t="s">
        <v>11</v>
      </c>
      <c r="C18" s="118" t="s">
        <v>5</v>
      </c>
      <c r="D18" s="228">
        <v>13</v>
      </c>
      <c r="E18" s="218" t="s">
        <v>122</v>
      </c>
      <c r="F18" s="218" t="s">
        <v>121</v>
      </c>
      <c r="G18" s="218" t="s">
        <v>6</v>
      </c>
    </row>
    <row r="19" spans="2:7" x14ac:dyDescent="0.25">
      <c r="B19" s="124" t="s">
        <v>48</v>
      </c>
      <c r="C19" s="118" t="s">
        <v>5</v>
      </c>
      <c r="D19" s="228">
        <v>6814</v>
      </c>
      <c r="E19" s="218" t="s">
        <v>122</v>
      </c>
      <c r="F19" s="218" t="s">
        <v>121</v>
      </c>
      <c r="G19" s="218" t="s">
        <v>6</v>
      </c>
    </row>
    <row r="20" spans="2:7" x14ac:dyDescent="0.25">
      <c r="B20" s="124" t="s">
        <v>49</v>
      </c>
      <c r="C20" s="118" t="s">
        <v>5</v>
      </c>
      <c r="D20" s="228">
        <v>6706</v>
      </c>
      <c r="E20" s="218" t="s">
        <v>122</v>
      </c>
      <c r="F20" s="218" t="s">
        <v>121</v>
      </c>
      <c r="G20" s="218" t="s">
        <v>6</v>
      </c>
    </row>
    <row r="21" spans="2:7" x14ac:dyDescent="0.25">
      <c r="B21" s="125" t="s">
        <v>44</v>
      </c>
      <c r="C21" s="118" t="s">
        <v>5</v>
      </c>
      <c r="D21" s="228">
        <v>0</v>
      </c>
      <c r="E21" s="218" t="s">
        <v>122</v>
      </c>
      <c r="F21" s="218" t="s">
        <v>121</v>
      </c>
      <c r="G21" s="218" t="s">
        <v>6</v>
      </c>
    </row>
    <row r="22" spans="2:7" x14ac:dyDescent="0.25">
      <c r="B22" s="125" t="s">
        <v>45</v>
      </c>
      <c r="C22" s="118" t="s">
        <v>5</v>
      </c>
      <c r="D22" s="228">
        <v>108</v>
      </c>
      <c r="E22" s="218" t="s">
        <v>122</v>
      </c>
      <c r="F22" s="218" t="s">
        <v>121</v>
      </c>
      <c r="G22" s="218" t="s">
        <v>6</v>
      </c>
    </row>
    <row r="23" spans="2:7" x14ac:dyDescent="0.25">
      <c r="B23" s="124" t="s">
        <v>42</v>
      </c>
      <c r="C23" s="119" t="s">
        <v>7</v>
      </c>
      <c r="D23" s="228">
        <v>65745.289999999994</v>
      </c>
      <c r="E23" s="218" t="s">
        <v>122</v>
      </c>
      <c r="F23" s="218" t="s">
        <v>121</v>
      </c>
      <c r="G23" s="218" t="s">
        <v>6</v>
      </c>
    </row>
    <row r="24" spans="2:7" x14ac:dyDescent="0.25">
      <c r="B24" s="124" t="s">
        <v>50</v>
      </c>
      <c r="C24" s="119" t="s">
        <v>7</v>
      </c>
      <c r="D24" s="228">
        <v>64902.77</v>
      </c>
      <c r="E24" s="218" t="s">
        <v>122</v>
      </c>
      <c r="F24" s="218" t="s">
        <v>121</v>
      </c>
      <c r="G24" s="218" t="s">
        <v>6</v>
      </c>
    </row>
    <row r="25" spans="2:7" x14ac:dyDescent="0.25">
      <c r="B25" s="126" t="s">
        <v>46</v>
      </c>
      <c r="C25" s="119" t="s">
        <v>7</v>
      </c>
      <c r="D25" s="228">
        <v>0</v>
      </c>
      <c r="E25" s="218" t="s">
        <v>122</v>
      </c>
      <c r="F25" s="218" t="s">
        <v>121</v>
      </c>
      <c r="G25" s="218" t="s">
        <v>6</v>
      </c>
    </row>
    <row r="26" spans="2:7" x14ac:dyDescent="0.25">
      <c r="B26" s="126" t="s">
        <v>47</v>
      </c>
      <c r="C26" s="119" t="s">
        <v>7</v>
      </c>
      <c r="D26" s="228">
        <v>842.52</v>
      </c>
      <c r="E26" s="218" t="s">
        <v>122</v>
      </c>
      <c r="F26" s="218" t="s">
        <v>121</v>
      </c>
      <c r="G26" s="218" t="s">
        <v>6</v>
      </c>
    </row>
    <row r="27" spans="2:7" x14ac:dyDescent="0.25">
      <c r="B27" s="124" t="s">
        <v>43</v>
      </c>
      <c r="C27" s="238" t="s">
        <v>8</v>
      </c>
      <c r="D27" s="228">
        <v>0.81369999999999998</v>
      </c>
      <c r="E27" s="218" t="s">
        <v>122</v>
      </c>
      <c r="F27" s="218" t="s">
        <v>121</v>
      </c>
      <c r="G27" s="218" t="s">
        <v>6</v>
      </c>
    </row>
    <row r="28" spans="2:7" ht="42.75" x14ac:dyDescent="0.25">
      <c r="B28" s="121" t="s">
        <v>98</v>
      </c>
      <c r="C28" s="122"/>
      <c r="D28" s="232">
        <v>0</v>
      </c>
      <c r="E28" s="218" t="s">
        <v>123</v>
      </c>
      <c r="F28" s="218" t="s">
        <v>121</v>
      </c>
      <c r="G28" s="218" t="s">
        <v>6</v>
      </c>
    </row>
    <row r="29" spans="2:7" x14ac:dyDescent="0.25">
      <c r="B29" s="123" t="s">
        <v>11</v>
      </c>
      <c r="C29" s="118" t="s">
        <v>5</v>
      </c>
      <c r="D29" s="228">
        <v>20</v>
      </c>
      <c r="E29" s="218" t="s">
        <v>123</v>
      </c>
      <c r="F29" s="218" t="s">
        <v>121</v>
      </c>
      <c r="G29" s="218" t="s">
        <v>6</v>
      </c>
    </row>
    <row r="30" spans="2:7" x14ac:dyDescent="0.25">
      <c r="B30" s="124" t="s">
        <v>48</v>
      </c>
      <c r="C30" s="118" t="s">
        <v>5</v>
      </c>
      <c r="D30" s="228">
        <v>6084</v>
      </c>
      <c r="E30" s="218" t="s">
        <v>123</v>
      </c>
      <c r="F30" s="218" t="s">
        <v>121</v>
      </c>
      <c r="G30" s="218" t="s">
        <v>6</v>
      </c>
    </row>
    <row r="31" spans="2:7" x14ac:dyDescent="0.25">
      <c r="B31" s="124" t="s">
        <v>49</v>
      </c>
      <c r="C31" s="118" t="s">
        <v>5</v>
      </c>
      <c r="D31" s="228">
        <v>6084</v>
      </c>
      <c r="E31" s="218" t="s">
        <v>123</v>
      </c>
      <c r="F31" s="218" t="s">
        <v>121</v>
      </c>
      <c r="G31" s="218" t="s">
        <v>6</v>
      </c>
    </row>
    <row r="32" spans="2:7" x14ac:dyDescent="0.25">
      <c r="B32" s="125" t="s">
        <v>44</v>
      </c>
      <c r="C32" s="118" t="s">
        <v>5</v>
      </c>
      <c r="D32" s="228">
        <v>0</v>
      </c>
      <c r="E32" s="218" t="s">
        <v>123</v>
      </c>
      <c r="F32" s="218" t="s">
        <v>121</v>
      </c>
      <c r="G32" s="218" t="s">
        <v>6</v>
      </c>
    </row>
    <row r="33" spans="2:7" x14ac:dyDescent="0.25">
      <c r="B33" s="125" t="s">
        <v>45</v>
      </c>
      <c r="C33" s="118" t="s">
        <v>5</v>
      </c>
      <c r="D33" s="228">
        <v>0</v>
      </c>
      <c r="E33" s="218" t="s">
        <v>123</v>
      </c>
      <c r="F33" s="218" t="s">
        <v>121</v>
      </c>
      <c r="G33" s="218" t="s">
        <v>6</v>
      </c>
    </row>
    <row r="34" spans="2:7" x14ac:dyDescent="0.25">
      <c r="B34" s="124" t="s">
        <v>42</v>
      </c>
      <c r="C34" s="119" t="s">
        <v>7</v>
      </c>
      <c r="D34" s="228">
        <v>45021.599999999999</v>
      </c>
      <c r="E34" s="218" t="s">
        <v>123</v>
      </c>
      <c r="F34" s="218" t="s">
        <v>121</v>
      </c>
      <c r="G34" s="218" t="s">
        <v>6</v>
      </c>
    </row>
    <row r="35" spans="2:7" x14ac:dyDescent="0.25">
      <c r="B35" s="124" t="s">
        <v>50</v>
      </c>
      <c r="C35" s="119" t="s">
        <v>7</v>
      </c>
      <c r="D35" s="228">
        <v>45021.599999999999</v>
      </c>
      <c r="E35" s="218" t="s">
        <v>123</v>
      </c>
      <c r="F35" s="218" t="s">
        <v>121</v>
      </c>
      <c r="G35" s="218" t="s">
        <v>6</v>
      </c>
    </row>
    <row r="36" spans="2:7" x14ac:dyDescent="0.25">
      <c r="B36" s="126" t="s">
        <v>46</v>
      </c>
      <c r="C36" s="119" t="s">
        <v>7</v>
      </c>
      <c r="D36" s="228">
        <v>0</v>
      </c>
      <c r="E36" s="218" t="s">
        <v>123</v>
      </c>
      <c r="F36" s="218" t="s">
        <v>121</v>
      </c>
      <c r="G36" s="218" t="s">
        <v>6</v>
      </c>
    </row>
    <row r="37" spans="2:7" x14ac:dyDescent="0.25">
      <c r="B37" s="126" t="s">
        <v>47</v>
      </c>
      <c r="C37" s="119" t="s">
        <v>7</v>
      </c>
      <c r="D37" s="228">
        <v>0</v>
      </c>
      <c r="E37" s="218" t="s">
        <v>123</v>
      </c>
      <c r="F37" s="218" t="s">
        <v>121</v>
      </c>
      <c r="G37" s="218" t="s">
        <v>6</v>
      </c>
    </row>
    <row r="38" spans="2:7" x14ac:dyDescent="0.25">
      <c r="B38" s="124" t="s">
        <v>43</v>
      </c>
      <c r="C38" s="238" t="s">
        <v>8</v>
      </c>
      <c r="D38" s="228">
        <v>2.8062999999999998</v>
      </c>
      <c r="E38" s="218" t="s">
        <v>123</v>
      </c>
      <c r="F38" s="218" t="s">
        <v>121</v>
      </c>
      <c r="G38" s="218" t="s">
        <v>6</v>
      </c>
    </row>
    <row r="39" spans="2:7" ht="57.75" x14ac:dyDescent="0.25">
      <c r="B39" s="127" t="s">
        <v>100</v>
      </c>
      <c r="C39" s="128"/>
      <c r="D39" s="239">
        <f>SUM(D43*D50)</f>
        <v>4.74</v>
      </c>
      <c r="E39" s="218" t="s">
        <v>99</v>
      </c>
      <c r="F39" s="218" t="s">
        <v>121</v>
      </c>
      <c r="G39" s="218" t="s">
        <v>6</v>
      </c>
    </row>
    <row r="40" spans="2:7" ht="30" x14ac:dyDescent="0.25">
      <c r="B40" s="129" t="s">
        <v>39</v>
      </c>
      <c r="C40" s="59"/>
      <c r="D40" s="230"/>
      <c r="E40" s="218" t="s">
        <v>99</v>
      </c>
      <c r="F40" s="218" t="s">
        <v>121</v>
      </c>
      <c r="G40" s="218" t="s">
        <v>6</v>
      </c>
    </row>
    <row r="41" spans="2:7" x14ac:dyDescent="0.25">
      <c r="B41" s="130" t="s">
        <v>61</v>
      </c>
      <c r="C41" s="57" t="s">
        <v>25</v>
      </c>
      <c r="D41" s="229"/>
      <c r="E41" s="218" t="s">
        <v>99</v>
      </c>
      <c r="F41" s="218" t="s">
        <v>121</v>
      </c>
      <c r="G41" s="218" t="s">
        <v>6</v>
      </c>
    </row>
    <row r="42" spans="2:7" x14ac:dyDescent="0.25">
      <c r="B42" s="130" t="s">
        <v>63</v>
      </c>
      <c r="C42" s="57" t="s">
        <v>25</v>
      </c>
      <c r="D42" s="229"/>
      <c r="E42" s="218" t="s">
        <v>99</v>
      </c>
      <c r="F42" s="218" t="s">
        <v>121</v>
      </c>
      <c r="G42" s="218" t="s">
        <v>6</v>
      </c>
    </row>
    <row r="43" spans="2:7" x14ac:dyDescent="0.25">
      <c r="B43" s="130" t="s">
        <v>12</v>
      </c>
      <c r="C43" s="57" t="s">
        <v>59</v>
      </c>
      <c r="D43" s="229">
        <v>79</v>
      </c>
      <c r="E43" s="218" t="s">
        <v>99</v>
      </c>
      <c r="F43" s="218" t="s">
        <v>121</v>
      </c>
      <c r="G43" s="218" t="s">
        <v>6</v>
      </c>
    </row>
    <row r="44" spans="2:7" x14ac:dyDescent="0.25">
      <c r="B44" s="130" t="s">
        <v>62</v>
      </c>
      <c r="C44" s="57" t="s">
        <v>60</v>
      </c>
      <c r="D44" s="229"/>
      <c r="E44" s="218" t="s">
        <v>99</v>
      </c>
      <c r="F44" s="218" t="s">
        <v>121</v>
      </c>
      <c r="G44" s="218" t="s">
        <v>6</v>
      </c>
    </row>
    <row r="45" spans="2:7" x14ac:dyDescent="0.25">
      <c r="B45" s="130" t="s">
        <v>64</v>
      </c>
      <c r="C45" s="57" t="s">
        <v>59</v>
      </c>
      <c r="D45" s="229"/>
      <c r="E45" s="218" t="s">
        <v>99</v>
      </c>
      <c r="F45" s="218" t="s">
        <v>121</v>
      </c>
      <c r="G45" s="218" t="s">
        <v>6</v>
      </c>
    </row>
    <row r="46" spans="2:7" x14ac:dyDescent="0.25">
      <c r="B46" s="131" t="s">
        <v>65</v>
      </c>
      <c r="C46" s="57" t="s">
        <v>59</v>
      </c>
      <c r="D46" s="229"/>
      <c r="E46" s="218" t="s">
        <v>99</v>
      </c>
      <c r="F46" s="218" t="s">
        <v>121</v>
      </c>
      <c r="G46" s="218" t="s">
        <v>6</v>
      </c>
    </row>
    <row r="47" spans="2:7" ht="30" x14ac:dyDescent="0.25">
      <c r="B47" s="129" t="s">
        <v>40</v>
      </c>
      <c r="C47" s="59" t="s">
        <v>26</v>
      </c>
      <c r="D47" s="230"/>
      <c r="E47" s="218" t="s">
        <v>99</v>
      </c>
      <c r="F47" s="218" t="s">
        <v>121</v>
      </c>
      <c r="G47" s="218" t="s">
        <v>6</v>
      </c>
    </row>
    <row r="48" spans="2:7" x14ac:dyDescent="0.25">
      <c r="B48" s="130" t="s">
        <v>57</v>
      </c>
      <c r="C48" s="59" t="s">
        <v>26</v>
      </c>
      <c r="D48" s="230"/>
      <c r="E48" s="218" t="s">
        <v>99</v>
      </c>
      <c r="F48" s="218" t="s">
        <v>121</v>
      </c>
      <c r="G48" s="218" t="s">
        <v>6</v>
      </c>
    </row>
    <row r="49" spans="2:7" x14ac:dyDescent="0.25">
      <c r="B49" s="130" t="s">
        <v>58</v>
      </c>
      <c r="C49" s="59" t="s">
        <v>26</v>
      </c>
      <c r="D49" s="230"/>
      <c r="E49" s="218" t="s">
        <v>99</v>
      </c>
      <c r="F49" s="218" t="s">
        <v>121</v>
      </c>
      <c r="G49" s="218" t="s">
        <v>6</v>
      </c>
    </row>
    <row r="50" spans="2:7" x14ac:dyDescent="0.25">
      <c r="B50" s="130" t="s">
        <v>12</v>
      </c>
      <c r="C50" s="59" t="s">
        <v>26</v>
      </c>
      <c r="D50" s="230">
        <v>0.06</v>
      </c>
      <c r="E50" s="218" t="s">
        <v>99</v>
      </c>
      <c r="F50" s="218" t="s">
        <v>121</v>
      </c>
      <c r="G50" s="218" t="s">
        <v>6</v>
      </c>
    </row>
    <row r="51" spans="2:7" x14ac:dyDescent="0.25">
      <c r="B51" s="130" t="s">
        <v>54</v>
      </c>
      <c r="C51" s="59" t="s">
        <v>26</v>
      </c>
      <c r="D51" s="230"/>
      <c r="E51" s="218" t="s">
        <v>99</v>
      </c>
      <c r="F51" s="218" t="s">
        <v>121</v>
      </c>
      <c r="G51" s="218" t="s">
        <v>6</v>
      </c>
    </row>
    <row r="52" spans="2:7" x14ac:dyDescent="0.25">
      <c r="B52" s="130" t="s">
        <v>55</v>
      </c>
      <c r="C52" s="59" t="s">
        <v>26</v>
      </c>
      <c r="D52" s="230"/>
      <c r="E52" s="218" t="s">
        <v>99</v>
      </c>
      <c r="F52" s="218" t="s">
        <v>121</v>
      </c>
      <c r="G52" s="218" t="s">
        <v>6</v>
      </c>
    </row>
    <row r="53" spans="2:7" x14ac:dyDescent="0.25">
      <c r="B53" s="131" t="s">
        <v>56</v>
      </c>
      <c r="C53" s="59" t="s">
        <v>26</v>
      </c>
      <c r="D53" s="230"/>
      <c r="E53" s="218" t="s">
        <v>99</v>
      </c>
      <c r="F53" s="218" t="s">
        <v>121</v>
      </c>
      <c r="G53" s="218" t="s">
        <v>6</v>
      </c>
    </row>
    <row r="54" spans="2:7" ht="57.75" x14ac:dyDescent="0.25">
      <c r="B54" s="127" t="s">
        <v>100</v>
      </c>
      <c r="C54" s="128"/>
      <c r="D54" s="239">
        <v>2.1</v>
      </c>
      <c r="E54" s="218" t="s">
        <v>122</v>
      </c>
      <c r="F54" s="218" t="s">
        <v>121</v>
      </c>
      <c r="G54" s="218" t="s">
        <v>6</v>
      </c>
    </row>
    <row r="55" spans="2:7" ht="30" x14ac:dyDescent="0.25">
      <c r="B55" s="129" t="s">
        <v>39</v>
      </c>
      <c r="C55" s="59"/>
      <c r="D55" s="230"/>
      <c r="E55" s="218" t="s">
        <v>122</v>
      </c>
      <c r="F55" s="218" t="s">
        <v>121</v>
      </c>
      <c r="G55" s="218" t="s">
        <v>6</v>
      </c>
    </row>
    <row r="56" spans="2:7" x14ac:dyDescent="0.25">
      <c r="B56" s="130" t="s">
        <v>61</v>
      </c>
      <c r="C56" s="57" t="s">
        <v>25</v>
      </c>
      <c r="D56" s="229"/>
      <c r="E56" s="218" t="s">
        <v>122</v>
      </c>
      <c r="F56" s="218" t="s">
        <v>121</v>
      </c>
      <c r="G56" s="218" t="s">
        <v>6</v>
      </c>
    </row>
    <row r="57" spans="2:7" x14ac:dyDescent="0.25">
      <c r="B57" s="130" t="s">
        <v>63</v>
      </c>
      <c r="C57" s="57" t="s">
        <v>25</v>
      </c>
      <c r="D57" s="229"/>
      <c r="E57" s="218" t="s">
        <v>122</v>
      </c>
      <c r="F57" s="218" t="s">
        <v>121</v>
      </c>
      <c r="G57" s="218" t="s">
        <v>6</v>
      </c>
    </row>
    <row r="58" spans="2:7" x14ac:dyDescent="0.25">
      <c r="B58" s="130" t="s">
        <v>12</v>
      </c>
      <c r="C58" s="57" t="s">
        <v>59</v>
      </c>
      <c r="D58" s="229">
        <v>35</v>
      </c>
      <c r="E58" s="218" t="s">
        <v>122</v>
      </c>
      <c r="F58" s="218" t="s">
        <v>121</v>
      </c>
      <c r="G58" s="218" t="s">
        <v>6</v>
      </c>
    </row>
    <row r="59" spans="2:7" x14ac:dyDescent="0.25">
      <c r="B59" s="130" t="s">
        <v>62</v>
      </c>
      <c r="C59" s="57" t="s">
        <v>60</v>
      </c>
      <c r="D59" s="229"/>
      <c r="E59" s="218" t="s">
        <v>122</v>
      </c>
      <c r="F59" s="218" t="s">
        <v>121</v>
      </c>
      <c r="G59" s="218" t="s">
        <v>6</v>
      </c>
    </row>
    <row r="60" spans="2:7" x14ac:dyDescent="0.25">
      <c r="B60" s="130" t="s">
        <v>64</v>
      </c>
      <c r="C60" s="57" t="s">
        <v>59</v>
      </c>
      <c r="D60" s="229"/>
      <c r="E60" s="218" t="s">
        <v>122</v>
      </c>
      <c r="F60" s="218" t="s">
        <v>121</v>
      </c>
      <c r="G60" s="218" t="s">
        <v>6</v>
      </c>
    </row>
    <row r="61" spans="2:7" x14ac:dyDescent="0.25">
      <c r="B61" s="131" t="s">
        <v>65</v>
      </c>
      <c r="C61" s="57" t="s">
        <v>59</v>
      </c>
      <c r="D61" s="229"/>
      <c r="E61" s="218" t="s">
        <v>122</v>
      </c>
      <c r="F61" s="218" t="s">
        <v>121</v>
      </c>
      <c r="G61" s="218" t="s">
        <v>6</v>
      </c>
    </row>
    <row r="62" spans="2:7" ht="30" x14ac:dyDescent="0.25">
      <c r="B62" s="129" t="s">
        <v>40</v>
      </c>
      <c r="C62" s="59" t="s">
        <v>26</v>
      </c>
      <c r="D62" s="230"/>
      <c r="E62" s="218" t="s">
        <v>122</v>
      </c>
      <c r="F62" s="218" t="s">
        <v>121</v>
      </c>
      <c r="G62" s="218" t="s">
        <v>6</v>
      </c>
    </row>
    <row r="63" spans="2:7" x14ac:dyDescent="0.25">
      <c r="B63" s="130" t="s">
        <v>57</v>
      </c>
      <c r="C63" s="59" t="s">
        <v>26</v>
      </c>
      <c r="D63" s="230"/>
      <c r="E63" s="218" t="s">
        <v>122</v>
      </c>
      <c r="F63" s="218" t="s">
        <v>121</v>
      </c>
      <c r="G63" s="218" t="s">
        <v>6</v>
      </c>
    </row>
    <row r="64" spans="2:7" x14ac:dyDescent="0.25">
      <c r="B64" s="130" t="s">
        <v>58</v>
      </c>
      <c r="C64" s="59" t="s">
        <v>26</v>
      </c>
      <c r="D64" s="230"/>
      <c r="E64" s="218" t="s">
        <v>122</v>
      </c>
      <c r="F64" s="218" t="s">
        <v>121</v>
      </c>
      <c r="G64" s="218" t="s">
        <v>6</v>
      </c>
    </row>
    <row r="65" spans="2:7" x14ac:dyDescent="0.25">
      <c r="B65" s="130" t="s">
        <v>12</v>
      </c>
      <c r="C65" s="59" t="s">
        <v>26</v>
      </c>
      <c r="D65" s="230">
        <v>0.06</v>
      </c>
      <c r="E65" s="218" t="s">
        <v>122</v>
      </c>
      <c r="F65" s="218" t="s">
        <v>121</v>
      </c>
      <c r="G65" s="218" t="s">
        <v>6</v>
      </c>
    </row>
    <row r="66" spans="2:7" x14ac:dyDescent="0.25">
      <c r="B66" s="130" t="s">
        <v>54</v>
      </c>
      <c r="C66" s="59" t="s">
        <v>26</v>
      </c>
      <c r="D66" s="230"/>
      <c r="E66" s="218" t="s">
        <v>122</v>
      </c>
      <c r="F66" s="218" t="s">
        <v>121</v>
      </c>
      <c r="G66" s="218" t="s">
        <v>6</v>
      </c>
    </row>
    <row r="67" spans="2:7" x14ac:dyDescent="0.25">
      <c r="B67" s="130" t="s">
        <v>55</v>
      </c>
      <c r="C67" s="59" t="s">
        <v>26</v>
      </c>
      <c r="D67" s="230"/>
      <c r="E67" s="218" t="s">
        <v>122</v>
      </c>
      <c r="F67" s="218" t="s">
        <v>121</v>
      </c>
      <c r="G67" s="218" t="s">
        <v>6</v>
      </c>
    </row>
    <row r="68" spans="2:7" x14ac:dyDescent="0.25">
      <c r="B68" s="131" t="s">
        <v>56</v>
      </c>
      <c r="C68" s="59" t="s">
        <v>26</v>
      </c>
      <c r="D68" s="230"/>
      <c r="E68" s="218" t="s">
        <v>122</v>
      </c>
      <c r="F68" s="218" t="s">
        <v>121</v>
      </c>
      <c r="G68" s="218" t="s">
        <v>6</v>
      </c>
    </row>
    <row r="69" spans="2:7" ht="57.75" x14ac:dyDescent="0.25">
      <c r="B69" s="127" t="s">
        <v>100</v>
      </c>
      <c r="C69" s="128"/>
      <c r="D69" s="240">
        <v>123.78</v>
      </c>
      <c r="E69" s="218" t="s">
        <v>123</v>
      </c>
      <c r="F69" s="218" t="s">
        <v>121</v>
      </c>
      <c r="G69" s="218" t="s">
        <v>6</v>
      </c>
    </row>
    <row r="70" spans="2:7" ht="30" x14ac:dyDescent="0.25">
      <c r="B70" s="129" t="s">
        <v>39</v>
      </c>
      <c r="C70" s="59"/>
      <c r="D70" s="228"/>
      <c r="E70" s="218" t="s">
        <v>123</v>
      </c>
      <c r="F70" s="218" t="s">
        <v>121</v>
      </c>
      <c r="G70" s="218" t="s">
        <v>6</v>
      </c>
    </row>
    <row r="71" spans="2:7" x14ac:dyDescent="0.25">
      <c r="B71" s="130" t="s">
        <v>61</v>
      </c>
      <c r="C71" s="57" t="s">
        <v>25</v>
      </c>
      <c r="D71" s="228">
        <v>5</v>
      </c>
      <c r="E71" s="218" t="s">
        <v>123</v>
      </c>
      <c r="F71" s="218" t="s">
        <v>121</v>
      </c>
      <c r="G71" s="218" t="s">
        <v>6</v>
      </c>
    </row>
    <row r="72" spans="2:7" x14ac:dyDescent="0.25">
      <c r="B72" s="130" t="s">
        <v>63</v>
      </c>
      <c r="C72" s="57" t="s">
        <v>25</v>
      </c>
      <c r="D72" s="228">
        <v>15</v>
      </c>
      <c r="E72" s="218" t="s">
        <v>123</v>
      </c>
      <c r="F72" s="218" t="s">
        <v>121</v>
      </c>
      <c r="G72" s="218" t="s">
        <v>6</v>
      </c>
    </row>
    <row r="73" spans="2:7" x14ac:dyDescent="0.25">
      <c r="B73" s="130" t="s">
        <v>12</v>
      </c>
      <c r="C73" s="57" t="s">
        <v>59</v>
      </c>
      <c r="D73" s="228"/>
      <c r="E73" s="218" t="s">
        <v>123</v>
      </c>
      <c r="F73" s="218" t="s">
        <v>121</v>
      </c>
      <c r="G73" s="218" t="s">
        <v>6</v>
      </c>
    </row>
    <row r="74" spans="2:7" x14ac:dyDescent="0.25">
      <c r="B74" s="130" t="s">
        <v>62</v>
      </c>
      <c r="C74" s="57" t="s">
        <v>60</v>
      </c>
      <c r="D74" s="228">
        <v>260</v>
      </c>
      <c r="E74" s="218" t="s">
        <v>123</v>
      </c>
      <c r="F74" s="218" t="s">
        <v>121</v>
      </c>
      <c r="G74" s="218" t="s">
        <v>6</v>
      </c>
    </row>
    <row r="75" spans="2:7" x14ac:dyDescent="0.25">
      <c r="B75" s="130" t="s">
        <v>64</v>
      </c>
      <c r="C75" s="57" t="s">
        <v>59</v>
      </c>
      <c r="D75" s="228">
        <v>5</v>
      </c>
      <c r="E75" s="218" t="s">
        <v>123</v>
      </c>
      <c r="F75" s="218" t="s">
        <v>121</v>
      </c>
      <c r="G75" s="218" t="s">
        <v>6</v>
      </c>
    </row>
    <row r="76" spans="2:7" x14ac:dyDescent="0.25">
      <c r="B76" s="131" t="s">
        <v>65</v>
      </c>
      <c r="C76" s="57" t="s">
        <v>59</v>
      </c>
      <c r="D76" s="228">
        <v>1</v>
      </c>
      <c r="E76" s="218" t="s">
        <v>123</v>
      </c>
      <c r="F76" s="218" t="s">
        <v>121</v>
      </c>
      <c r="G76" s="218" t="s">
        <v>6</v>
      </c>
    </row>
    <row r="77" spans="2:7" ht="30" x14ac:dyDescent="0.25">
      <c r="B77" s="129" t="s">
        <v>40</v>
      </c>
      <c r="C77" s="59" t="s">
        <v>26</v>
      </c>
      <c r="D77" s="228"/>
      <c r="E77" s="218" t="s">
        <v>123</v>
      </c>
      <c r="F77" s="218" t="s">
        <v>121</v>
      </c>
      <c r="G77" s="218" t="s">
        <v>6</v>
      </c>
    </row>
    <row r="78" spans="2:7" x14ac:dyDescent="0.25">
      <c r="B78" s="130" t="s">
        <v>57</v>
      </c>
      <c r="C78" s="59" t="s">
        <v>26</v>
      </c>
      <c r="D78" s="228">
        <v>2.62</v>
      </c>
      <c r="E78" s="218" t="s">
        <v>123</v>
      </c>
      <c r="F78" s="218" t="s">
        <v>121</v>
      </c>
      <c r="G78" s="218" t="s">
        <v>6</v>
      </c>
    </row>
    <row r="79" spans="2:7" x14ac:dyDescent="0.25">
      <c r="B79" s="130" t="s">
        <v>58</v>
      </c>
      <c r="C79" s="59" t="s">
        <v>26</v>
      </c>
      <c r="D79" s="228">
        <v>2.86</v>
      </c>
      <c r="E79" s="218" t="s">
        <v>123</v>
      </c>
      <c r="F79" s="218" t="s">
        <v>121</v>
      </c>
      <c r="G79" s="218" t="s">
        <v>6</v>
      </c>
    </row>
    <row r="80" spans="2:7" x14ac:dyDescent="0.25">
      <c r="B80" s="130" t="s">
        <v>12</v>
      </c>
      <c r="C80" s="59" t="s">
        <v>26</v>
      </c>
      <c r="D80" s="228"/>
      <c r="E80" s="218" t="s">
        <v>123</v>
      </c>
      <c r="F80" s="218" t="s">
        <v>121</v>
      </c>
      <c r="G80" s="218" t="s">
        <v>6</v>
      </c>
    </row>
    <row r="81" spans="2:7" x14ac:dyDescent="0.25">
      <c r="B81" s="130" t="s">
        <v>54</v>
      </c>
      <c r="C81" s="59" t="s">
        <v>26</v>
      </c>
      <c r="D81" s="228">
        <v>0.23</v>
      </c>
      <c r="E81" s="218" t="s">
        <v>123</v>
      </c>
      <c r="F81" s="218" t="s">
        <v>121</v>
      </c>
      <c r="G81" s="218" t="s">
        <v>6</v>
      </c>
    </row>
    <row r="82" spans="2:7" x14ac:dyDescent="0.25">
      <c r="B82" s="130" t="s">
        <v>55</v>
      </c>
      <c r="C82" s="59" t="s">
        <v>26</v>
      </c>
      <c r="D82" s="228">
        <v>1.32</v>
      </c>
      <c r="E82" s="218" t="s">
        <v>123</v>
      </c>
      <c r="F82" s="218" t="s">
        <v>121</v>
      </c>
      <c r="G82" s="218" t="s">
        <v>6</v>
      </c>
    </row>
    <row r="83" spans="2:7" x14ac:dyDescent="0.25">
      <c r="B83" s="131" t="s">
        <v>56</v>
      </c>
      <c r="C83" s="59" t="s">
        <v>26</v>
      </c>
      <c r="D83" s="228">
        <v>1.38</v>
      </c>
      <c r="E83" s="218" t="s">
        <v>123</v>
      </c>
      <c r="F83" s="218" t="s">
        <v>121</v>
      </c>
      <c r="G83" s="218" t="s">
        <v>6</v>
      </c>
    </row>
    <row r="84" spans="2:7" ht="29.25" x14ac:dyDescent="0.25">
      <c r="B84" s="241" t="s">
        <v>101</v>
      </c>
      <c r="C84" s="242"/>
      <c r="D84" s="243">
        <v>39844.114257586123</v>
      </c>
      <c r="E84" s="218" t="s">
        <v>99</v>
      </c>
      <c r="F84" s="218" t="s">
        <v>121</v>
      </c>
      <c r="G84" s="218" t="s">
        <v>6</v>
      </c>
    </row>
    <row r="85" spans="2:7" ht="60" x14ac:dyDescent="0.25">
      <c r="B85" s="132" t="s">
        <v>102</v>
      </c>
      <c r="C85" s="120" t="s">
        <v>30</v>
      </c>
      <c r="D85" s="231">
        <v>74913.11</v>
      </c>
      <c r="E85" s="218" t="s">
        <v>99</v>
      </c>
      <c r="F85" s="218" t="s">
        <v>121</v>
      </c>
      <c r="G85" s="218" t="s">
        <v>6</v>
      </c>
    </row>
    <row r="86" spans="2:7" x14ac:dyDescent="0.25">
      <c r="B86" s="132" t="s">
        <v>103</v>
      </c>
      <c r="C86" s="120" t="s">
        <v>7</v>
      </c>
      <c r="D86" s="231">
        <v>146317.28</v>
      </c>
      <c r="E86" s="218" t="s">
        <v>99</v>
      </c>
      <c r="F86" s="218" t="s">
        <v>121</v>
      </c>
      <c r="G86" s="218" t="s">
        <v>6</v>
      </c>
    </row>
    <row r="87" spans="2:7" ht="60" x14ac:dyDescent="0.25">
      <c r="B87" s="132" t="s">
        <v>104</v>
      </c>
      <c r="C87" s="120" t="s">
        <v>30</v>
      </c>
      <c r="D87" s="231">
        <v>139567.43</v>
      </c>
      <c r="E87" s="218" t="s">
        <v>99</v>
      </c>
      <c r="F87" s="218" t="s">
        <v>121</v>
      </c>
      <c r="G87" s="218" t="s">
        <v>6</v>
      </c>
    </row>
    <row r="88" spans="2:7" x14ac:dyDescent="0.25">
      <c r="B88" s="132" t="s">
        <v>105</v>
      </c>
      <c r="C88" s="120" t="s">
        <v>7</v>
      </c>
      <c r="D88" s="231">
        <v>177950.6856</v>
      </c>
      <c r="E88" s="218" t="s">
        <v>99</v>
      </c>
      <c r="F88" s="218" t="s">
        <v>121</v>
      </c>
      <c r="G88" s="218" t="s">
        <v>6</v>
      </c>
    </row>
    <row r="89" spans="2:7" ht="29.25" x14ac:dyDescent="0.25">
      <c r="B89" s="241" t="s">
        <v>101</v>
      </c>
      <c r="C89" s="242"/>
      <c r="D89" s="243">
        <v>15998.645778817619</v>
      </c>
      <c r="E89" s="218" t="s">
        <v>122</v>
      </c>
      <c r="F89" s="218" t="s">
        <v>121</v>
      </c>
      <c r="G89" s="218" t="s">
        <v>6</v>
      </c>
    </row>
    <row r="90" spans="2:7" ht="60" x14ac:dyDescent="0.25">
      <c r="B90" s="132" t="s">
        <v>102</v>
      </c>
      <c r="C90" s="120" t="s">
        <v>30</v>
      </c>
      <c r="D90" s="231">
        <v>30374.29</v>
      </c>
      <c r="E90" s="218" t="s">
        <v>122</v>
      </c>
      <c r="F90" s="218" t="s">
        <v>121</v>
      </c>
      <c r="G90" s="218" t="s">
        <v>6</v>
      </c>
    </row>
    <row r="91" spans="2:7" x14ac:dyDescent="0.25">
      <c r="B91" s="132" t="s">
        <v>103</v>
      </c>
      <c r="C91" s="120" t="s">
        <v>7</v>
      </c>
      <c r="D91" s="231">
        <v>64902.77</v>
      </c>
      <c r="E91" s="218" t="s">
        <v>122</v>
      </c>
      <c r="F91" s="218" t="s">
        <v>121</v>
      </c>
      <c r="G91" s="218" t="s">
        <v>6</v>
      </c>
    </row>
    <row r="92" spans="2:7" ht="60" x14ac:dyDescent="0.25">
      <c r="B92" s="132" t="s">
        <v>104</v>
      </c>
      <c r="C92" s="120" t="s">
        <v>30</v>
      </c>
      <c r="D92" s="231">
        <v>46243.24</v>
      </c>
      <c r="E92" s="218" t="s">
        <v>122</v>
      </c>
      <c r="F92" s="218" t="s">
        <v>121</v>
      </c>
      <c r="G92" s="218" t="s">
        <v>6</v>
      </c>
    </row>
    <row r="93" spans="2:7" x14ac:dyDescent="0.25">
      <c r="B93" s="132" t="s">
        <v>105</v>
      </c>
      <c r="C93" s="120" t="s">
        <v>7</v>
      </c>
      <c r="D93" s="231">
        <v>64721.25</v>
      </c>
      <c r="E93" s="218" t="s">
        <v>122</v>
      </c>
      <c r="F93" s="218" t="s">
        <v>121</v>
      </c>
      <c r="G93" s="218" t="s">
        <v>6</v>
      </c>
    </row>
    <row r="94" spans="2:7" ht="29.25" x14ac:dyDescent="0.25">
      <c r="B94" s="241" t="s">
        <v>101</v>
      </c>
      <c r="C94" s="242"/>
      <c r="D94" s="243">
        <v>13650.344734461389</v>
      </c>
      <c r="E94" s="218" t="s">
        <v>123</v>
      </c>
      <c r="F94" s="218" t="s">
        <v>121</v>
      </c>
      <c r="G94" s="218" t="s">
        <v>6</v>
      </c>
    </row>
    <row r="95" spans="2:7" ht="60" x14ac:dyDescent="0.25">
      <c r="B95" s="132" t="s">
        <v>102</v>
      </c>
      <c r="C95" s="120" t="s">
        <v>30</v>
      </c>
      <c r="D95" s="231">
        <v>24986.48</v>
      </c>
      <c r="E95" s="218" t="s">
        <v>123</v>
      </c>
      <c r="F95" s="218" t="s">
        <v>121</v>
      </c>
      <c r="G95" s="218" t="s">
        <v>6</v>
      </c>
    </row>
    <row r="96" spans="2:7" x14ac:dyDescent="0.25">
      <c r="B96" s="132" t="s">
        <v>103</v>
      </c>
      <c r="C96" s="120" t="s">
        <v>7</v>
      </c>
      <c r="D96" s="231">
        <v>45021.599999999999</v>
      </c>
      <c r="E96" s="218" t="s">
        <v>123</v>
      </c>
      <c r="F96" s="218" t="s">
        <v>121</v>
      </c>
      <c r="G96" s="218" t="s">
        <v>6</v>
      </c>
    </row>
    <row r="97" spans="2:7" ht="60" x14ac:dyDescent="0.25">
      <c r="B97" s="132" t="s">
        <v>104</v>
      </c>
      <c r="C97" s="120" t="s">
        <v>30</v>
      </c>
      <c r="D97" s="231">
        <v>37906.51</v>
      </c>
      <c r="E97" s="218" t="s">
        <v>123</v>
      </c>
      <c r="F97" s="218" t="s">
        <v>121</v>
      </c>
      <c r="G97" s="218" t="s">
        <v>6</v>
      </c>
    </row>
    <row r="98" spans="2:7" x14ac:dyDescent="0.25">
      <c r="B98" s="132" t="s">
        <v>105</v>
      </c>
      <c r="C98" s="120" t="s">
        <v>7</v>
      </c>
      <c r="D98" s="231">
        <v>44170.6</v>
      </c>
      <c r="E98" s="218" t="s">
        <v>123</v>
      </c>
      <c r="F98" s="218" t="s">
        <v>121</v>
      </c>
      <c r="G98" s="218" t="s">
        <v>6</v>
      </c>
    </row>
    <row r="99" spans="2:7" ht="42.75" x14ac:dyDescent="0.25">
      <c r="B99" s="121" t="s">
        <v>98</v>
      </c>
      <c r="C99" s="122"/>
      <c r="D99" s="232">
        <v>-650.86077600002432</v>
      </c>
      <c r="E99" s="218" t="s">
        <v>99</v>
      </c>
      <c r="F99" s="218" t="s">
        <v>121</v>
      </c>
      <c r="G99" s="218" t="s">
        <v>106</v>
      </c>
    </row>
    <row r="100" spans="2:7" x14ac:dyDescent="0.25">
      <c r="B100" s="123" t="s">
        <v>11</v>
      </c>
      <c r="C100" s="118" t="s">
        <v>5</v>
      </c>
      <c r="D100" s="228">
        <v>43</v>
      </c>
      <c r="E100" s="218" t="s">
        <v>99</v>
      </c>
      <c r="F100" s="218" t="s">
        <v>121</v>
      </c>
      <c r="G100" s="218" t="s">
        <v>106</v>
      </c>
    </row>
    <row r="101" spans="2:7" x14ac:dyDescent="0.25">
      <c r="B101" s="124" t="s">
        <v>48</v>
      </c>
      <c r="C101" s="118" t="s">
        <v>5</v>
      </c>
      <c r="D101" s="228">
        <v>13150</v>
      </c>
      <c r="E101" s="218" t="s">
        <v>99</v>
      </c>
      <c r="F101" s="218" t="s">
        <v>121</v>
      </c>
      <c r="G101" s="218" t="s">
        <v>106</v>
      </c>
    </row>
    <row r="102" spans="2:7" x14ac:dyDescent="0.25">
      <c r="B102" s="124" t="s">
        <v>49</v>
      </c>
      <c r="C102" s="118" t="s">
        <v>5</v>
      </c>
      <c r="D102" s="228">
        <v>13096</v>
      </c>
      <c r="E102" s="218" t="s">
        <v>99</v>
      </c>
      <c r="F102" s="218" t="s">
        <v>121</v>
      </c>
      <c r="G102" s="218" t="s">
        <v>106</v>
      </c>
    </row>
    <row r="103" spans="2:7" x14ac:dyDescent="0.25">
      <c r="B103" s="125" t="s">
        <v>44</v>
      </c>
      <c r="C103" s="118" t="s">
        <v>5</v>
      </c>
      <c r="D103" s="228">
        <v>6</v>
      </c>
      <c r="E103" s="218" t="s">
        <v>99</v>
      </c>
      <c r="F103" s="218" t="s">
        <v>121</v>
      </c>
      <c r="G103" s="218" t="s">
        <v>106</v>
      </c>
    </row>
    <row r="104" spans="2:7" x14ac:dyDescent="0.25">
      <c r="B104" s="125" t="s">
        <v>45</v>
      </c>
      <c r="C104" s="118" t="s">
        <v>5</v>
      </c>
      <c r="D104" s="228">
        <v>60</v>
      </c>
      <c r="E104" s="218" t="s">
        <v>99</v>
      </c>
      <c r="F104" s="218" t="s">
        <v>121</v>
      </c>
      <c r="G104" s="218" t="s">
        <v>106</v>
      </c>
    </row>
    <row r="105" spans="2:7" x14ac:dyDescent="0.25">
      <c r="B105" s="124" t="s">
        <v>42</v>
      </c>
      <c r="C105" s="119" t="s">
        <v>7</v>
      </c>
      <c r="D105" s="228">
        <v>189950.31999999998</v>
      </c>
      <c r="E105" s="218" t="s">
        <v>99</v>
      </c>
      <c r="F105" s="218" t="s">
        <v>121</v>
      </c>
      <c r="G105" s="218" t="s">
        <v>106</v>
      </c>
    </row>
    <row r="106" spans="2:7" x14ac:dyDescent="0.25">
      <c r="B106" s="124" t="s">
        <v>50</v>
      </c>
      <c r="C106" s="119" t="s">
        <v>7</v>
      </c>
      <c r="D106" s="228">
        <v>189546.45999999996</v>
      </c>
      <c r="E106" s="218" t="s">
        <v>99</v>
      </c>
      <c r="F106" s="218" t="s">
        <v>121</v>
      </c>
      <c r="G106" s="218" t="s">
        <v>106</v>
      </c>
    </row>
    <row r="107" spans="2:7" x14ac:dyDescent="0.25">
      <c r="B107" s="126" t="s">
        <v>46</v>
      </c>
      <c r="C107" s="119" t="s">
        <v>7</v>
      </c>
      <c r="D107" s="228">
        <v>175.74</v>
      </c>
      <c r="E107" s="218" t="s">
        <v>99</v>
      </c>
      <c r="F107" s="218" t="s">
        <v>121</v>
      </c>
      <c r="G107" s="218" t="s">
        <v>106</v>
      </c>
    </row>
    <row r="108" spans="2:7" x14ac:dyDescent="0.25">
      <c r="B108" s="126" t="s">
        <v>47</v>
      </c>
      <c r="C108" s="119" t="s">
        <v>7</v>
      </c>
      <c r="D108" s="228">
        <v>579.6</v>
      </c>
      <c r="E108" s="218" t="s">
        <v>99</v>
      </c>
      <c r="F108" s="218" t="s">
        <v>121</v>
      </c>
      <c r="G108" s="218" t="s">
        <v>106</v>
      </c>
    </row>
    <row r="109" spans="2:7" x14ac:dyDescent="0.25">
      <c r="B109" s="124" t="s">
        <v>43</v>
      </c>
      <c r="C109" s="238" t="s">
        <v>8</v>
      </c>
      <c r="D109" s="228">
        <v>1.6115999999999999</v>
      </c>
      <c r="E109" s="218" t="s">
        <v>99</v>
      </c>
      <c r="F109" s="218" t="s">
        <v>121</v>
      </c>
      <c r="G109" s="218" t="s">
        <v>106</v>
      </c>
    </row>
    <row r="110" spans="2:7" ht="42.75" x14ac:dyDescent="0.25">
      <c r="B110" s="121" t="s">
        <v>98</v>
      </c>
      <c r="C110" s="122"/>
      <c r="D110" s="243">
        <v>-1165.7668399999977</v>
      </c>
      <c r="E110" s="218" t="s">
        <v>122</v>
      </c>
      <c r="F110" s="218" t="s">
        <v>121</v>
      </c>
      <c r="G110" s="218" t="s">
        <v>106</v>
      </c>
    </row>
    <row r="111" spans="2:7" x14ac:dyDescent="0.25">
      <c r="B111" s="123" t="s">
        <v>11</v>
      </c>
      <c r="C111" s="118" t="s">
        <v>5</v>
      </c>
      <c r="D111" s="231">
        <v>13</v>
      </c>
      <c r="E111" s="218" t="s">
        <v>122</v>
      </c>
      <c r="F111" s="218" t="s">
        <v>121</v>
      </c>
      <c r="G111" s="218" t="s">
        <v>106</v>
      </c>
    </row>
    <row r="112" spans="2:7" x14ac:dyDescent="0.25">
      <c r="B112" s="124" t="s">
        <v>48</v>
      </c>
      <c r="C112" s="118" t="s">
        <v>5</v>
      </c>
      <c r="D112" s="231">
        <v>8840</v>
      </c>
      <c r="E112" s="218" t="s">
        <v>122</v>
      </c>
      <c r="F112" s="218" t="s">
        <v>121</v>
      </c>
      <c r="G112" s="218" t="s">
        <v>106</v>
      </c>
    </row>
    <row r="113" spans="2:7" x14ac:dyDescent="0.25">
      <c r="B113" s="124" t="s">
        <v>49</v>
      </c>
      <c r="C113" s="118" t="s">
        <v>5</v>
      </c>
      <c r="D113" s="231">
        <v>8660</v>
      </c>
      <c r="E113" s="218" t="s">
        <v>122</v>
      </c>
      <c r="F113" s="218" t="s">
        <v>121</v>
      </c>
      <c r="G113" s="218" t="s">
        <v>106</v>
      </c>
    </row>
    <row r="114" spans="2:7" x14ac:dyDescent="0.25">
      <c r="B114" s="125" t="s">
        <v>44</v>
      </c>
      <c r="C114" s="118" t="s">
        <v>5</v>
      </c>
      <c r="D114" s="231"/>
      <c r="E114" s="218" t="s">
        <v>122</v>
      </c>
      <c r="F114" s="218" t="s">
        <v>121</v>
      </c>
      <c r="G114" s="218" t="s">
        <v>106</v>
      </c>
    </row>
    <row r="115" spans="2:7" x14ac:dyDescent="0.25">
      <c r="B115" s="125" t="s">
        <v>45</v>
      </c>
      <c r="C115" s="118" t="s">
        <v>5</v>
      </c>
      <c r="D115" s="231">
        <v>180</v>
      </c>
      <c r="E115" s="218" t="s">
        <v>122</v>
      </c>
      <c r="F115" s="218" t="s">
        <v>121</v>
      </c>
      <c r="G115" s="218" t="s">
        <v>106</v>
      </c>
    </row>
    <row r="116" spans="2:7" x14ac:dyDescent="0.25">
      <c r="B116" s="124" t="s">
        <v>42</v>
      </c>
      <c r="C116" s="119" t="s">
        <v>7</v>
      </c>
      <c r="D116" s="231">
        <v>85294.299999999974</v>
      </c>
      <c r="E116" s="218" t="s">
        <v>122</v>
      </c>
      <c r="F116" s="218" t="s">
        <v>121</v>
      </c>
      <c r="G116" s="218" t="s">
        <v>106</v>
      </c>
    </row>
    <row r="117" spans="2:7" x14ac:dyDescent="0.25">
      <c r="B117" s="124" t="s">
        <v>50</v>
      </c>
      <c r="C117" s="119" t="s">
        <v>7</v>
      </c>
      <c r="D117" s="231">
        <v>83890.099999999977</v>
      </c>
      <c r="E117" s="218" t="s">
        <v>122</v>
      </c>
      <c r="F117" s="218" t="s">
        <v>121</v>
      </c>
      <c r="G117" s="218" t="s">
        <v>106</v>
      </c>
    </row>
    <row r="118" spans="2:7" x14ac:dyDescent="0.25">
      <c r="B118" s="126" t="s">
        <v>46</v>
      </c>
      <c r="C118" s="119" t="s">
        <v>7</v>
      </c>
      <c r="D118" s="231">
        <v>0</v>
      </c>
      <c r="E118" s="218" t="s">
        <v>122</v>
      </c>
      <c r="F118" s="218" t="s">
        <v>121</v>
      </c>
      <c r="G118" s="218" t="s">
        <v>106</v>
      </c>
    </row>
    <row r="119" spans="2:7" x14ac:dyDescent="0.25">
      <c r="B119" s="126" t="s">
        <v>47</v>
      </c>
      <c r="C119" s="119" t="s">
        <v>7</v>
      </c>
      <c r="D119" s="231">
        <v>1404.2000000000003</v>
      </c>
      <c r="E119" s="218" t="s">
        <v>122</v>
      </c>
      <c r="F119" s="218" t="s">
        <v>121</v>
      </c>
      <c r="G119" s="218" t="s">
        <v>106</v>
      </c>
    </row>
    <row r="120" spans="2:7" x14ac:dyDescent="0.25">
      <c r="B120" s="124" t="s">
        <v>43</v>
      </c>
      <c r="C120" s="238" t="s">
        <v>8</v>
      </c>
      <c r="D120" s="231">
        <v>0.83020000000000005</v>
      </c>
      <c r="E120" s="218" t="s">
        <v>122</v>
      </c>
      <c r="F120" s="218" t="s">
        <v>121</v>
      </c>
      <c r="G120" s="218" t="s">
        <v>106</v>
      </c>
    </row>
    <row r="121" spans="2:7" ht="42.75" x14ac:dyDescent="0.25">
      <c r="B121" s="121" t="s">
        <v>98</v>
      </c>
      <c r="C121" s="122"/>
      <c r="D121" s="232">
        <v>0</v>
      </c>
      <c r="E121" s="218" t="s">
        <v>123</v>
      </c>
      <c r="F121" s="218" t="s">
        <v>121</v>
      </c>
      <c r="G121" s="218" t="s">
        <v>106</v>
      </c>
    </row>
    <row r="122" spans="2:7" x14ac:dyDescent="0.25">
      <c r="B122" s="123" t="s">
        <v>11</v>
      </c>
      <c r="C122" s="118" t="s">
        <v>5</v>
      </c>
      <c r="D122" s="228">
        <v>21</v>
      </c>
      <c r="E122" s="218" t="s">
        <v>123</v>
      </c>
      <c r="F122" s="218" t="s">
        <v>121</v>
      </c>
      <c r="G122" s="218" t="s">
        <v>106</v>
      </c>
    </row>
    <row r="123" spans="2:7" x14ac:dyDescent="0.25">
      <c r="B123" s="124" t="s">
        <v>48</v>
      </c>
      <c r="C123" s="118" t="s">
        <v>5</v>
      </c>
      <c r="D123" s="228">
        <v>7840</v>
      </c>
      <c r="E123" s="218" t="s">
        <v>123</v>
      </c>
      <c r="F123" s="218" t="s">
        <v>121</v>
      </c>
      <c r="G123" s="218" t="s">
        <v>106</v>
      </c>
    </row>
    <row r="124" spans="2:7" x14ac:dyDescent="0.25">
      <c r="B124" s="124" t="s">
        <v>49</v>
      </c>
      <c r="C124" s="118" t="s">
        <v>5</v>
      </c>
      <c r="D124" s="228">
        <v>7840</v>
      </c>
      <c r="E124" s="218" t="s">
        <v>123</v>
      </c>
      <c r="F124" s="218" t="s">
        <v>121</v>
      </c>
      <c r="G124" s="218" t="s">
        <v>106</v>
      </c>
    </row>
    <row r="125" spans="2:7" x14ac:dyDescent="0.25">
      <c r="B125" s="125" t="s">
        <v>44</v>
      </c>
      <c r="C125" s="118" t="s">
        <v>5</v>
      </c>
      <c r="D125" s="228"/>
      <c r="E125" s="218" t="s">
        <v>123</v>
      </c>
      <c r="F125" s="218" t="s">
        <v>121</v>
      </c>
      <c r="G125" s="218" t="s">
        <v>106</v>
      </c>
    </row>
    <row r="126" spans="2:7" x14ac:dyDescent="0.25">
      <c r="B126" s="125" t="s">
        <v>45</v>
      </c>
      <c r="C126" s="118" t="s">
        <v>5</v>
      </c>
      <c r="D126" s="228"/>
      <c r="E126" s="218" t="s">
        <v>123</v>
      </c>
      <c r="F126" s="218" t="s">
        <v>121</v>
      </c>
      <c r="G126" s="218" t="s">
        <v>106</v>
      </c>
    </row>
    <row r="127" spans="2:7" x14ac:dyDescent="0.25">
      <c r="B127" s="124" t="s">
        <v>42</v>
      </c>
      <c r="C127" s="119" t="s">
        <v>7</v>
      </c>
      <c r="D127" s="228">
        <v>55825.84</v>
      </c>
      <c r="E127" s="218" t="s">
        <v>123</v>
      </c>
      <c r="F127" s="218" t="s">
        <v>121</v>
      </c>
      <c r="G127" s="218" t="s">
        <v>106</v>
      </c>
    </row>
    <row r="128" spans="2:7" x14ac:dyDescent="0.25">
      <c r="B128" s="124" t="s">
        <v>50</v>
      </c>
      <c r="C128" s="119" t="s">
        <v>7</v>
      </c>
      <c r="D128" s="228">
        <v>55825.84</v>
      </c>
      <c r="E128" s="218" t="s">
        <v>123</v>
      </c>
      <c r="F128" s="218" t="s">
        <v>121</v>
      </c>
      <c r="G128" s="218" t="s">
        <v>106</v>
      </c>
    </row>
    <row r="129" spans="2:7" x14ac:dyDescent="0.25">
      <c r="B129" s="126" t="s">
        <v>46</v>
      </c>
      <c r="C129" s="119" t="s">
        <v>7</v>
      </c>
      <c r="D129" s="228">
        <v>0</v>
      </c>
      <c r="E129" s="218" t="s">
        <v>123</v>
      </c>
      <c r="F129" s="218" t="s">
        <v>121</v>
      </c>
      <c r="G129" s="218" t="s">
        <v>106</v>
      </c>
    </row>
    <row r="130" spans="2:7" x14ac:dyDescent="0.25">
      <c r="B130" s="126" t="s">
        <v>47</v>
      </c>
      <c r="C130" s="119" t="s">
        <v>7</v>
      </c>
      <c r="D130" s="228">
        <v>0</v>
      </c>
      <c r="E130" s="218" t="s">
        <v>123</v>
      </c>
      <c r="F130" s="218" t="s">
        <v>121</v>
      </c>
      <c r="G130" s="218" t="s">
        <v>106</v>
      </c>
    </row>
    <row r="131" spans="2:7" x14ac:dyDescent="0.25">
      <c r="B131" s="124" t="s">
        <v>43</v>
      </c>
      <c r="C131" s="238" t="s">
        <v>8</v>
      </c>
      <c r="D131" s="228">
        <v>3.0741999999999998</v>
      </c>
      <c r="E131" s="218" t="s">
        <v>123</v>
      </c>
      <c r="F131" s="218" t="s">
        <v>121</v>
      </c>
      <c r="G131" s="218" t="s">
        <v>106</v>
      </c>
    </row>
    <row r="132" spans="2:7" ht="57.75" x14ac:dyDescent="0.25">
      <c r="B132" s="127" t="s">
        <v>100</v>
      </c>
      <c r="C132" s="128"/>
      <c r="D132" s="240">
        <v>10.65574</v>
      </c>
      <c r="E132" s="218" t="s">
        <v>99</v>
      </c>
      <c r="F132" s="218" t="s">
        <v>121</v>
      </c>
      <c r="G132" s="218" t="s">
        <v>106</v>
      </c>
    </row>
    <row r="133" spans="2:7" ht="30" x14ac:dyDescent="0.25">
      <c r="B133" s="129" t="s">
        <v>39</v>
      </c>
      <c r="C133" s="59"/>
      <c r="D133" s="228"/>
      <c r="E133" s="218" t="s">
        <v>99</v>
      </c>
      <c r="F133" s="218" t="s">
        <v>121</v>
      </c>
      <c r="G133" s="218" t="s">
        <v>106</v>
      </c>
    </row>
    <row r="134" spans="2:7" x14ac:dyDescent="0.25">
      <c r="B134" s="130" t="s">
        <v>61</v>
      </c>
      <c r="C134" s="59" t="s">
        <v>25</v>
      </c>
      <c r="D134" s="228"/>
      <c r="E134" s="218" t="s">
        <v>99</v>
      </c>
      <c r="F134" s="218" t="s">
        <v>121</v>
      </c>
      <c r="G134" s="218" t="s">
        <v>106</v>
      </c>
    </row>
    <row r="135" spans="2:7" x14ac:dyDescent="0.25">
      <c r="B135" s="130" t="s">
        <v>71</v>
      </c>
      <c r="C135" s="59" t="s">
        <v>25</v>
      </c>
      <c r="D135" s="228"/>
      <c r="E135" s="218" t="s">
        <v>99</v>
      </c>
      <c r="F135" s="218" t="s">
        <v>121</v>
      </c>
      <c r="G135" s="218" t="s">
        <v>106</v>
      </c>
    </row>
    <row r="136" spans="2:7" x14ac:dyDescent="0.25">
      <c r="B136" s="130" t="s">
        <v>72</v>
      </c>
      <c r="C136" s="59" t="s">
        <v>59</v>
      </c>
      <c r="D136" s="228">
        <v>1.2644</v>
      </c>
      <c r="E136" s="218" t="s">
        <v>99</v>
      </c>
      <c r="F136" s="218" t="s">
        <v>121</v>
      </c>
      <c r="G136" s="218" t="s">
        <v>106</v>
      </c>
    </row>
    <row r="137" spans="2:7" x14ac:dyDescent="0.25">
      <c r="B137" s="130" t="s">
        <v>12</v>
      </c>
      <c r="C137" s="59" t="s">
        <v>59</v>
      </c>
      <c r="D137" s="228">
        <v>79</v>
      </c>
      <c r="E137" s="218" t="s">
        <v>99</v>
      </c>
      <c r="F137" s="218" t="s">
        <v>121</v>
      </c>
      <c r="G137" s="218" t="s">
        <v>106</v>
      </c>
    </row>
    <row r="138" spans="2:7" x14ac:dyDescent="0.25">
      <c r="B138" s="130" t="s">
        <v>73</v>
      </c>
      <c r="C138" s="59" t="s">
        <v>74</v>
      </c>
      <c r="D138" s="228"/>
      <c r="E138" s="218" t="s">
        <v>99</v>
      </c>
      <c r="F138" s="218" t="s">
        <v>121</v>
      </c>
      <c r="G138" s="218" t="s">
        <v>106</v>
      </c>
    </row>
    <row r="139" spans="2:7" x14ac:dyDescent="0.25">
      <c r="B139" s="130" t="s">
        <v>62</v>
      </c>
      <c r="C139" s="59" t="s">
        <v>60</v>
      </c>
      <c r="D139" s="228"/>
      <c r="E139" s="218" t="s">
        <v>99</v>
      </c>
      <c r="F139" s="218" t="s">
        <v>121</v>
      </c>
      <c r="G139" s="218" t="s">
        <v>106</v>
      </c>
    </row>
    <row r="140" spans="2:7" x14ac:dyDescent="0.25">
      <c r="B140" s="133" t="s">
        <v>75</v>
      </c>
      <c r="C140" s="59"/>
      <c r="D140" s="228"/>
      <c r="E140" s="218" t="s">
        <v>99</v>
      </c>
      <c r="F140" s="218" t="s">
        <v>121</v>
      </c>
      <c r="G140" s="218" t="s">
        <v>106</v>
      </c>
    </row>
    <row r="141" spans="2:7" x14ac:dyDescent="0.25">
      <c r="B141" s="130" t="s">
        <v>76</v>
      </c>
      <c r="C141" s="59" t="s">
        <v>59</v>
      </c>
      <c r="D141" s="228"/>
      <c r="E141" s="218" t="s">
        <v>99</v>
      </c>
      <c r="F141" s="218" t="s">
        <v>121</v>
      </c>
      <c r="G141" s="218" t="s">
        <v>106</v>
      </c>
    </row>
    <row r="142" spans="2:7" ht="30" x14ac:dyDescent="0.25">
      <c r="B142" s="129" t="s">
        <v>40</v>
      </c>
      <c r="C142" s="59" t="s">
        <v>26</v>
      </c>
      <c r="D142" s="228"/>
      <c r="E142" s="218" t="s">
        <v>99</v>
      </c>
      <c r="F142" s="218" t="s">
        <v>121</v>
      </c>
      <c r="G142" s="218" t="s">
        <v>106</v>
      </c>
    </row>
    <row r="143" spans="2:7" x14ac:dyDescent="0.25">
      <c r="B143" s="130" t="s">
        <v>57</v>
      </c>
      <c r="C143" s="59" t="s">
        <v>26</v>
      </c>
      <c r="D143" s="228"/>
      <c r="E143" s="218" t="s">
        <v>99</v>
      </c>
      <c r="F143" s="218" t="s">
        <v>121</v>
      </c>
      <c r="G143" s="218" t="s">
        <v>106</v>
      </c>
    </row>
    <row r="144" spans="2:7" x14ac:dyDescent="0.25">
      <c r="B144" s="130" t="s">
        <v>58</v>
      </c>
      <c r="C144" s="59" t="s">
        <v>26</v>
      </c>
      <c r="D144" s="228"/>
      <c r="E144" s="218" t="s">
        <v>99</v>
      </c>
      <c r="F144" s="218" t="s">
        <v>121</v>
      </c>
      <c r="G144" s="218" t="s">
        <v>106</v>
      </c>
    </row>
    <row r="145" spans="2:7" x14ac:dyDescent="0.25">
      <c r="B145" s="130" t="s">
        <v>72</v>
      </c>
      <c r="C145" s="59" t="s">
        <v>26</v>
      </c>
      <c r="D145" s="228">
        <v>4.5</v>
      </c>
      <c r="E145" s="218" t="s">
        <v>99</v>
      </c>
      <c r="F145" s="218" t="s">
        <v>121</v>
      </c>
      <c r="G145" s="218" t="s">
        <v>106</v>
      </c>
    </row>
    <row r="146" spans="2:7" x14ac:dyDescent="0.25">
      <c r="B146" s="130" t="s">
        <v>12</v>
      </c>
      <c r="C146" s="59" t="s">
        <v>26</v>
      </c>
      <c r="D146" s="228">
        <v>6.2859999999999999E-2</v>
      </c>
      <c r="E146" s="218" t="s">
        <v>99</v>
      </c>
      <c r="F146" s="218" t="s">
        <v>121</v>
      </c>
      <c r="G146" s="218" t="s">
        <v>106</v>
      </c>
    </row>
    <row r="147" spans="2:7" x14ac:dyDescent="0.25">
      <c r="B147" s="130" t="s">
        <v>73</v>
      </c>
      <c r="C147" s="59" t="s">
        <v>26</v>
      </c>
      <c r="D147" s="228"/>
      <c r="E147" s="218" t="s">
        <v>99</v>
      </c>
      <c r="F147" s="218" t="s">
        <v>121</v>
      </c>
      <c r="G147" s="218" t="s">
        <v>106</v>
      </c>
    </row>
    <row r="148" spans="2:7" x14ac:dyDescent="0.25">
      <c r="B148" s="130" t="s">
        <v>54</v>
      </c>
      <c r="C148" s="59" t="s">
        <v>26</v>
      </c>
      <c r="D148" s="228"/>
      <c r="E148" s="218" t="s">
        <v>99</v>
      </c>
      <c r="F148" s="218" t="s">
        <v>121</v>
      </c>
      <c r="G148" s="218" t="s">
        <v>106</v>
      </c>
    </row>
    <row r="149" spans="2:7" x14ac:dyDescent="0.25">
      <c r="B149" s="133" t="s">
        <v>75</v>
      </c>
      <c r="C149" s="59" t="s">
        <v>26</v>
      </c>
      <c r="D149" s="228"/>
      <c r="E149" s="218" t="s">
        <v>99</v>
      </c>
      <c r="F149" s="218" t="s">
        <v>121</v>
      </c>
      <c r="G149" s="218" t="s">
        <v>106</v>
      </c>
    </row>
    <row r="150" spans="2:7" x14ac:dyDescent="0.25">
      <c r="B150" s="130" t="s">
        <v>76</v>
      </c>
      <c r="C150" s="59" t="s">
        <v>26</v>
      </c>
      <c r="D150" s="228"/>
      <c r="E150" s="218" t="s">
        <v>99</v>
      </c>
      <c r="F150" s="218" t="s">
        <v>121</v>
      </c>
      <c r="G150" s="218" t="s">
        <v>106</v>
      </c>
    </row>
    <row r="151" spans="2:7" ht="57.75" x14ac:dyDescent="0.25">
      <c r="B151" s="127" t="s">
        <v>100</v>
      </c>
      <c r="C151" s="128"/>
      <c r="D151" s="240">
        <v>7.2198500000000001</v>
      </c>
      <c r="E151" s="218" t="s">
        <v>122</v>
      </c>
      <c r="F151" s="218" t="s">
        <v>121</v>
      </c>
      <c r="G151" s="218" t="s">
        <v>106</v>
      </c>
    </row>
    <row r="152" spans="2:7" ht="30" x14ac:dyDescent="0.25">
      <c r="B152" s="129" t="s">
        <v>39</v>
      </c>
      <c r="C152" s="59"/>
      <c r="D152" s="228"/>
      <c r="E152" s="218" t="s">
        <v>122</v>
      </c>
      <c r="F152" s="218" t="s">
        <v>121</v>
      </c>
      <c r="G152" s="218" t="s">
        <v>106</v>
      </c>
    </row>
    <row r="153" spans="2:7" x14ac:dyDescent="0.25">
      <c r="B153" s="130" t="s">
        <v>61</v>
      </c>
      <c r="C153" s="59" t="s">
        <v>25</v>
      </c>
      <c r="D153" s="228"/>
      <c r="E153" s="218" t="s">
        <v>122</v>
      </c>
      <c r="F153" s="218" t="s">
        <v>121</v>
      </c>
      <c r="G153" s="218" t="s">
        <v>106</v>
      </c>
    </row>
    <row r="154" spans="2:7" x14ac:dyDescent="0.25">
      <c r="B154" s="130" t="s">
        <v>71</v>
      </c>
      <c r="C154" s="59" t="s">
        <v>25</v>
      </c>
      <c r="D154" s="228"/>
      <c r="E154" s="218" t="s">
        <v>122</v>
      </c>
      <c r="F154" s="218" t="s">
        <v>121</v>
      </c>
      <c r="G154" s="218" t="s">
        <v>106</v>
      </c>
    </row>
    <row r="155" spans="2:7" x14ac:dyDescent="0.25">
      <c r="B155" s="130" t="s">
        <v>72</v>
      </c>
      <c r="C155" s="59" t="s">
        <v>59</v>
      </c>
      <c r="D155" s="228">
        <v>1.1154999999999999</v>
      </c>
      <c r="E155" s="218" t="s">
        <v>122</v>
      </c>
      <c r="F155" s="218" t="s">
        <v>121</v>
      </c>
      <c r="G155" s="218" t="s">
        <v>106</v>
      </c>
    </row>
    <row r="156" spans="2:7" x14ac:dyDescent="0.25">
      <c r="B156" s="130" t="s">
        <v>12</v>
      </c>
      <c r="C156" s="59" t="s">
        <v>59</v>
      </c>
      <c r="D156" s="228">
        <v>35</v>
      </c>
      <c r="E156" s="218" t="s">
        <v>122</v>
      </c>
      <c r="F156" s="218" t="s">
        <v>121</v>
      </c>
      <c r="G156" s="218" t="s">
        <v>106</v>
      </c>
    </row>
    <row r="157" spans="2:7" x14ac:dyDescent="0.25">
      <c r="B157" s="130" t="s">
        <v>73</v>
      </c>
      <c r="C157" s="59" t="s">
        <v>74</v>
      </c>
      <c r="D157" s="228"/>
      <c r="E157" s="218" t="s">
        <v>122</v>
      </c>
      <c r="F157" s="218" t="s">
        <v>121</v>
      </c>
      <c r="G157" s="218" t="s">
        <v>106</v>
      </c>
    </row>
    <row r="158" spans="2:7" x14ac:dyDescent="0.25">
      <c r="B158" s="130" t="s">
        <v>62</v>
      </c>
      <c r="C158" s="59" t="s">
        <v>60</v>
      </c>
      <c r="D158" s="228"/>
      <c r="E158" s="218" t="s">
        <v>122</v>
      </c>
      <c r="F158" s="218" t="s">
        <v>121</v>
      </c>
      <c r="G158" s="218" t="s">
        <v>106</v>
      </c>
    </row>
    <row r="159" spans="2:7" x14ac:dyDescent="0.25">
      <c r="B159" s="133" t="s">
        <v>75</v>
      </c>
      <c r="C159" s="59"/>
      <c r="D159" s="228"/>
      <c r="E159" s="218" t="s">
        <v>122</v>
      </c>
      <c r="F159" s="218" t="s">
        <v>121</v>
      </c>
      <c r="G159" s="218" t="s">
        <v>106</v>
      </c>
    </row>
    <row r="160" spans="2:7" x14ac:dyDescent="0.25">
      <c r="B160" s="130" t="s">
        <v>76</v>
      </c>
      <c r="C160" s="59" t="s">
        <v>59</v>
      </c>
      <c r="D160" s="228"/>
      <c r="E160" s="218" t="s">
        <v>122</v>
      </c>
      <c r="F160" s="218" t="s">
        <v>121</v>
      </c>
      <c r="G160" s="218" t="s">
        <v>106</v>
      </c>
    </row>
    <row r="161" spans="2:7" ht="30" x14ac:dyDescent="0.25">
      <c r="B161" s="129" t="s">
        <v>40</v>
      </c>
      <c r="C161" s="59" t="s">
        <v>26</v>
      </c>
      <c r="D161" s="228"/>
      <c r="E161" s="218" t="s">
        <v>122</v>
      </c>
      <c r="F161" s="218" t="s">
        <v>121</v>
      </c>
      <c r="G161" s="218" t="s">
        <v>106</v>
      </c>
    </row>
    <row r="162" spans="2:7" x14ac:dyDescent="0.25">
      <c r="B162" s="130" t="s">
        <v>57</v>
      </c>
      <c r="C162" s="59" t="s">
        <v>26</v>
      </c>
      <c r="D162" s="228"/>
      <c r="E162" s="218" t="s">
        <v>122</v>
      </c>
      <c r="F162" s="218" t="s">
        <v>121</v>
      </c>
      <c r="G162" s="218" t="s">
        <v>106</v>
      </c>
    </row>
    <row r="163" spans="2:7" x14ac:dyDescent="0.25">
      <c r="B163" s="130" t="s">
        <v>58</v>
      </c>
      <c r="C163" s="59" t="s">
        <v>26</v>
      </c>
      <c r="D163" s="228"/>
      <c r="E163" s="218" t="s">
        <v>122</v>
      </c>
      <c r="F163" s="218" t="s">
        <v>121</v>
      </c>
      <c r="G163" s="218" t="s">
        <v>106</v>
      </c>
    </row>
    <row r="164" spans="2:7" x14ac:dyDescent="0.25">
      <c r="B164" s="130" t="s">
        <v>72</v>
      </c>
      <c r="C164" s="59" t="s">
        <v>26</v>
      </c>
      <c r="D164" s="228">
        <v>4.5</v>
      </c>
      <c r="E164" s="218" t="s">
        <v>122</v>
      </c>
      <c r="F164" s="218" t="s">
        <v>121</v>
      </c>
      <c r="G164" s="218" t="s">
        <v>106</v>
      </c>
    </row>
    <row r="165" spans="2:7" x14ac:dyDescent="0.25">
      <c r="B165" s="130" t="s">
        <v>12</v>
      </c>
      <c r="C165" s="59" t="s">
        <v>26</v>
      </c>
      <c r="D165" s="228">
        <v>6.2859999999999999E-2</v>
      </c>
      <c r="E165" s="218" t="s">
        <v>122</v>
      </c>
      <c r="F165" s="218" t="s">
        <v>121</v>
      </c>
      <c r="G165" s="218" t="s">
        <v>106</v>
      </c>
    </row>
    <row r="166" spans="2:7" x14ac:dyDescent="0.25">
      <c r="B166" s="130" t="s">
        <v>73</v>
      </c>
      <c r="C166" s="59" t="s">
        <v>26</v>
      </c>
      <c r="D166" s="228"/>
      <c r="E166" s="218" t="s">
        <v>122</v>
      </c>
      <c r="F166" s="218" t="s">
        <v>121</v>
      </c>
      <c r="G166" s="218" t="s">
        <v>106</v>
      </c>
    </row>
    <row r="167" spans="2:7" x14ac:dyDescent="0.25">
      <c r="B167" s="130" t="s">
        <v>54</v>
      </c>
      <c r="C167" s="59" t="s">
        <v>26</v>
      </c>
      <c r="D167" s="228"/>
      <c r="E167" s="218" t="s">
        <v>122</v>
      </c>
      <c r="F167" s="218" t="s">
        <v>121</v>
      </c>
      <c r="G167" s="218" t="s">
        <v>106</v>
      </c>
    </row>
    <row r="168" spans="2:7" x14ac:dyDescent="0.25">
      <c r="B168" s="133" t="s">
        <v>75</v>
      </c>
      <c r="C168" s="59" t="s">
        <v>26</v>
      </c>
      <c r="D168" s="228"/>
      <c r="E168" s="218" t="s">
        <v>122</v>
      </c>
      <c r="F168" s="218" t="s">
        <v>121</v>
      </c>
      <c r="G168" s="218" t="s">
        <v>106</v>
      </c>
    </row>
    <row r="169" spans="2:7" x14ac:dyDescent="0.25">
      <c r="B169" s="130" t="s">
        <v>76</v>
      </c>
      <c r="C169" s="59" t="s">
        <v>26</v>
      </c>
      <c r="D169" s="228"/>
      <c r="E169" s="218" t="s">
        <v>122</v>
      </c>
      <c r="F169" s="218" t="s">
        <v>121</v>
      </c>
      <c r="G169" s="218" t="s">
        <v>106</v>
      </c>
    </row>
    <row r="170" spans="2:7" ht="57.75" x14ac:dyDescent="0.25">
      <c r="B170" s="127" t="s">
        <v>100</v>
      </c>
      <c r="C170" s="128"/>
      <c r="D170" s="240">
        <v>133.11000000000001</v>
      </c>
      <c r="E170" s="218" t="s">
        <v>123</v>
      </c>
      <c r="F170" s="218" t="s">
        <v>121</v>
      </c>
      <c r="G170" s="218" t="s">
        <v>106</v>
      </c>
    </row>
    <row r="171" spans="2:7" ht="30" x14ac:dyDescent="0.25">
      <c r="B171" s="129" t="s">
        <v>39</v>
      </c>
      <c r="C171" s="59"/>
      <c r="D171" s="228"/>
      <c r="E171" s="218" t="s">
        <v>123</v>
      </c>
      <c r="F171" s="218" t="s">
        <v>121</v>
      </c>
      <c r="G171" s="218" t="s">
        <v>106</v>
      </c>
    </row>
    <row r="172" spans="2:7" x14ac:dyDescent="0.25">
      <c r="B172" s="130" t="s">
        <v>61</v>
      </c>
      <c r="C172" s="59" t="s">
        <v>25</v>
      </c>
      <c r="D172" s="228">
        <v>6</v>
      </c>
      <c r="E172" s="218" t="s">
        <v>123</v>
      </c>
      <c r="F172" s="218" t="s">
        <v>121</v>
      </c>
      <c r="G172" s="218" t="s">
        <v>106</v>
      </c>
    </row>
    <row r="173" spans="2:7" x14ac:dyDescent="0.25">
      <c r="B173" s="130" t="s">
        <v>71</v>
      </c>
      <c r="C173" s="59" t="s">
        <v>25</v>
      </c>
      <c r="D173" s="228">
        <v>5</v>
      </c>
      <c r="E173" s="218" t="s">
        <v>123</v>
      </c>
      <c r="F173" s="218" t="s">
        <v>121</v>
      </c>
      <c r="G173" s="218" t="s">
        <v>106</v>
      </c>
    </row>
    <row r="174" spans="2:7" x14ac:dyDescent="0.25">
      <c r="B174" s="130" t="s">
        <v>72</v>
      </c>
      <c r="C174" s="59" t="s">
        <v>59</v>
      </c>
      <c r="D174" s="228"/>
      <c r="E174" s="218" t="s">
        <v>123</v>
      </c>
      <c r="F174" s="218" t="s">
        <v>121</v>
      </c>
      <c r="G174" s="218" t="s">
        <v>106</v>
      </c>
    </row>
    <row r="175" spans="2:7" x14ac:dyDescent="0.25">
      <c r="B175" s="130" t="s">
        <v>12</v>
      </c>
      <c r="C175" s="59" t="s">
        <v>59</v>
      </c>
      <c r="D175" s="228">
        <v>50</v>
      </c>
      <c r="E175" s="218" t="s">
        <v>123</v>
      </c>
      <c r="F175" s="218" t="s">
        <v>121</v>
      </c>
      <c r="G175" s="218" t="s">
        <v>106</v>
      </c>
    </row>
    <row r="176" spans="2:7" x14ac:dyDescent="0.25">
      <c r="B176" s="130" t="s">
        <v>73</v>
      </c>
      <c r="C176" s="59" t="s">
        <v>74</v>
      </c>
      <c r="D176" s="228">
        <v>27</v>
      </c>
      <c r="E176" s="218" t="s">
        <v>123</v>
      </c>
      <c r="F176" s="218" t="s">
        <v>121</v>
      </c>
      <c r="G176" s="218" t="s">
        <v>106</v>
      </c>
    </row>
    <row r="177" spans="2:7" x14ac:dyDescent="0.25">
      <c r="B177" s="130" t="s">
        <v>62</v>
      </c>
      <c r="C177" s="59" t="s">
        <v>60</v>
      </c>
      <c r="D177" s="228">
        <v>233</v>
      </c>
      <c r="E177" s="218" t="s">
        <v>123</v>
      </c>
      <c r="F177" s="218" t="s">
        <v>121</v>
      </c>
      <c r="G177" s="218" t="s">
        <v>106</v>
      </c>
    </row>
    <row r="178" spans="2:7" x14ac:dyDescent="0.25">
      <c r="B178" s="133" t="s">
        <v>75</v>
      </c>
      <c r="C178" s="59"/>
      <c r="D178" s="228"/>
      <c r="E178" s="218" t="s">
        <v>123</v>
      </c>
      <c r="F178" s="218" t="s">
        <v>121</v>
      </c>
      <c r="G178" s="218" t="s">
        <v>106</v>
      </c>
    </row>
    <row r="179" spans="2:7" x14ac:dyDescent="0.25">
      <c r="B179" s="130" t="s">
        <v>76</v>
      </c>
      <c r="C179" s="59" t="s">
        <v>59</v>
      </c>
      <c r="D179" s="228">
        <v>4</v>
      </c>
      <c r="E179" s="218" t="s">
        <v>123</v>
      </c>
      <c r="F179" s="218" t="s">
        <v>121</v>
      </c>
      <c r="G179" s="218" t="s">
        <v>106</v>
      </c>
    </row>
    <row r="180" spans="2:7" ht="30" x14ac:dyDescent="0.25">
      <c r="B180" s="129" t="s">
        <v>40</v>
      </c>
      <c r="C180" s="59" t="s">
        <v>26</v>
      </c>
      <c r="D180" s="228"/>
      <c r="E180" s="218" t="s">
        <v>123</v>
      </c>
      <c r="F180" s="218" t="s">
        <v>121</v>
      </c>
      <c r="G180" s="218" t="s">
        <v>106</v>
      </c>
    </row>
    <row r="181" spans="2:7" x14ac:dyDescent="0.25">
      <c r="B181" s="130" t="s">
        <v>57</v>
      </c>
      <c r="C181" s="59" t="s">
        <v>26</v>
      </c>
      <c r="D181" s="228">
        <v>2.4700000000000002</v>
      </c>
      <c r="E181" s="218" t="s">
        <v>123</v>
      </c>
      <c r="F181" s="218" t="s">
        <v>121</v>
      </c>
      <c r="G181" s="218" t="s">
        <v>106</v>
      </c>
    </row>
    <row r="182" spans="2:7" x14ac:dyDescent="0.25">
      <c r="B182" s="130" t="s">
        <v>58</v>
      </c>
      <c r="C182" s="59" t="s">
        <v>26</v>
      </c>
      <c r="D182" s="228">
        <v>2.86</v>
      </c>
      <c r="E182" s="218" t="s">
        <v>123</v>
      </c>
      <c r="F182" s="218" t="s">
        <v>121</v>
      </c>
      <c r="G182" s="218" t="s">
        <v>106</v>
      </c>
    </row>
    <row r="183" spans="2:7" x14ac:dyDescent="0.25">
      <c r="B183" s="130" t="s">
        <v>72</v>
      </c>
      <c r="C183" s="59" t="s">
        <v>26</v>
      </c>
      <c r="D183" s="228"/>
      <c r="E183" s="218" t="s">
        <v>123</v>
      </c>
      <c r="F183" s="218" t="s">
        <v>121</v>
      </c>
      <c r="G183" s="218" t="s">
        <v>106</v>
      </c>
    </row>
    <row r="184" spans="2:7" x14ac:dyDescent="0.25">
      <c r="B184" s="130" t="s">
        <v>12</v>
      </c>
      <c r="C184" s="59" t="s">
        <v>26</v>
      </c>
      <c r="D184" s="228">
        <v>0.36</v>
      </c>
      <c r="E184" s="218" t="s">
        <v>123</v>
      </c>
      <c r="F184" s="218" t="s">
        <v>121</v>
      </c>
      <c r="G184" s="218" t="s">
        <v>106</v>
      </c>
    </row>
    <row r="185" spans="2:7" x14ac:dyDescent="0.25">
      <c r="B185" s="130" t="s">
        <v>73</v>
      </c>
      <c r="C185" s="59" t="s">
        <v>26</v>
      </c>
      <c r="D185" s="228">
        <v>0.68</v>
      </c>
      <c r="E185" s="218" t="s">
        <v>123</v>
      </c>
      <c r="F185" s="218" t="s">
        <v>121</v>
      </c>
      <c r="G185" s="218" t="s">
        <v>106</v>
      </c>
    </row>
    <row r="186" spans="2:7" x14ac:dyDescent="0.25">
      <c r="B186" s="130" t="s">
        <v>54</v>
      </c>
      <c r="C186" s="59" t="s">
        <v>26</v>
      </c>
      <c r="D186" s="228">
        <v>0.23</v>
      </c>
      <c r="E186" s="218" t="s">
        <v>123</v>
      </c>
      <c r="F186" s="218" t="s">
        <v>121</v>
      </c>
      <c r="G186" s="218" t="s">
        <v>106</v>
      </c>
    </row>
    <row r="187" spans="2:7" x14ac:dyDescent="0.25">
      <c r="B187" s="133" t="s">
        <v>75</v>
      </c>
      <c r="C187" s="59" t="s">
        <v>26</v>
      </c>
      <c r="D187" s="228"/>
      <c r="E187" s="218" t="s">
        <v>123</v>
      </c>
      <c r="F187" s="218" t="s">
        <v>121</v>
      </c>
      <c r="G187" s="218" t="s">
        <v>106</v>
      </c>
    </row>
    <row r="188" spans="2:7" x14ac:dyDescent="0.25">
      <c r="B188" s="130" t="s">
        <v>76</v>
      </c>
      <c r="C188" s="59" t="s">
        <v>26</v>
      </c>
      <c r="D188" s="228">
        <v>3.51</v>
      </c>
      <c r="E188" s="218" t="s">
        <v>123</v>
      </c>
      <c r="F188" s="218" t="s">
        <v>121</v>
      </c>
      <c r="G188" s="218" t="s">
        <v>106</v>
      </c>
    </row>
    <row r="189" spans="2:7" ht="29.25" x14ac:dyDescent="0.25">
      <c r="B189" s="241" t="s">
        <v>101</v>
      </c>
      <c r="C189" s="242"/>
      <c r="D189" s="233">
        <v>45980.561726162974</v>
      </c>
      <c r="E189" s="218" t="s">
        <v>99</v>
      </c>
      <c r="F189" s="218" t="s">
        <v>121</v>
      </c>
      <c r="G189" s="218" t="s">
        <v>106</v>
      </c>
    </row>
    <row r="190" spans="2:7" ht="60" x14ac:dyDescent="0.25">
      <c r="B190" s="132" t="s">
        <v>107</v>
      </c>
      <c r="C190" s="120" t="s">
        <v>30</v>
      </c>
      <c r="D190" s="219">
        <v>106290.02</v>
      </c>
      <c r="E190" s="218" t="s">
        <v>99</v>
      </c>
      <c r="F190" s="218" t="s">
        <v>121</v>
      </c>
      <c r="G190" s="218" t="s">
        <v>106</v>
      </c>
    </row>
    <row r="191" spans="2:7" x14ac:dyDescent="0.25">
      <c r="B191" s="132" t="s">
        <v>108</v>
      </c>
      <c r="C191" s="120" t="s">
        <v>7</v>
      </c>
      <c r="D191" s="219">
        <v>189546.45999999996</v>
      </c>
      <c r="E191" s="218" t="s">
        <v>99</v>
      </c>
      <c r="F191" s="218" t="s">
        <v>121</v>
      </c>
      <c r="G191" s="218" t="s">
        <v>106</v>
      </c>
    </row>
    <row r="192" spans="2:7" ht="60" x14ac:dyDescent="0.25">
      <c r="B192" s="132" t="s">
        <v>109</v>
      </c>
      <c r="C192" s="120" t="s">
        <v>30</v>
      </c>
      <c r="D192" s="219">
        <v>191644.13</v>
      </c>
      <c r="E192" s="218" t="s">
        <v>99</v>
      </c>
      <c r="F192" s="218" t="s">
        <v>121</v>
      </c>
      <c r="G192" s="218" t="s">
        <v>106</v>
      </c>
    </row>
    <row r="193" spans="2:7" x14ac:dyDescent="0.25">
      <c r="B193" s="132" t="s">
        <v>110</v>
      </c>
      <c r="C193" s="120" t="s">
        <v>7</v>
      </c>
      <c r="D193" s="219">
        <v>238558.66320000004</v>
      </c>
      <c r="E193" s="218" t="s">
        <v>99</v>
      </c>
      <c r="F193" s="218" t="s">
        <v>121</v>
      </c>
      <c r="G193" s="218" t="s">
        <v>106</v>
      </c>
    </row>
    <row r="194" spans="2:7" ht="29.25" x14ac:dyDescent="0.25">
      <c r="B194" s="241" t="s">
        <v>101</v>
      </c>
      <c r="C194" s="242"/>
      <c r="D194" s="233">
        <v>18645.098511471824</v>
      </c>
      <c r="E194" s="218" t="s">
        <v>122</v>
      </c>
      <c r="F194" s="218" t="s">
        <v>121</v>
      </c>
      <c r="G194" s="218" t="s">
        <v>106</v>
      </c>
    </row>
    <row r="195" spans="2:7" ht="60" x14ac:dyDescent="0.25">
      <c r="B195" s="132" t="s">
        <v>107</v>
      </c>
      <c r="C195" s="120" t="s">
        <v>30</v>
      </c>
      <c r="D195" s="219">
        <v>42792.34</v>
      </c>
      <c r="E195" s="218" t="s">
        <v>122</v>
      </c>
      <c r="F195" s="218" t="s">
        <v>121</v>
      </c>
      <c r="G195" s="218" t="s">
        <v>106</v>
      </c>
    </row>
    <row r="196" spans="2:7" x14ac:dyDescent="0.25">
      <c r="B196" s="132" t="s">
        <v>108</v>
      </c>
      <c r="C196" s="120" t="s">
        <v>7</v>
      </c>
      <c r="D196" s="219">
        <v>83890.099999999977</v>
      </c>
      <c r="E196" s="218" t="s">
        <v>122</v>
      </c>
      <c r="F196" s="218" t="s">
        <v>121</v>
      </c>
      <c r="G196" s="218" t="s">
        <v>106</v>
      </c>
    </row>
    <row r="197" spans="2:7" ht="60" x14ac:dyDescent="0.25">
      <c r="B197" s="132" t="s">
        <v>109</v>
      </c>
      <c r="C197" s="120" t="s">
        <v>30</v>
      </c>
      <c r="D197" s="219">
        <v>61663.18</v>
      </c>
      <c r="E197" s="218" t="s">
        <v>122</v>
      </c>
      <c r="F197" s="218" t="s">
        <v>121</v>
      </c>
      <c r="G197" s="218" t="s">
        <v>106</v>
      </c>
    </row>
    <row r="198" spans="2:7" x14ac:dyDescent="0.25">
      <c r="B198" s="132" t="s">
        <v>110</v>
      </c>
      <c r="C198" s="120" t="s">
        <v>7</v>
      </c>
      <c r="D198" s="219">
        <v>84198.34</v>
      </c>
      <c r="E198" s="218" t="s">
        <v>122</v>
      </c>
      <c r="F198" s="218" t="s">
        <v>121</v>
      </c>
      <c r="G198" s="218" t="s">
        <v>106</v>
      </c>
    </row>
    <row r="199" spans="2:7" ht="29.25" x14ac:dyDescent="0.25">
      <c r="B199" s="241" t="s">
        <v>101</v>
      </c>
      <c r="C199" s="242"/>
      <c r="D199" s="233">
        <v>14026.174224572578</v>
      </c>
      <c r="E199" s="218" t="s">
        <v>123</v>
      </c>
      <c r="F199" s="218" t="s">
        <v>121</v>
      </c>
      <c r="G199" s="218" t="s">
        <v>106</v>
      </c>
    </row>
    <row r="200" spans="2:7" ht="60" x14ac:dyDescent="0.25">
      <c r="B200" s="132" t="s">
        <v>107</v>
      </c>
      <c r="C200" s="120" t="s">
        <v>30</v>
      </c>
      <c r="D200" s="219">
        <v>34312.14</v>
      </c>
      <c r="E200" s="218" t="s">
        <v>123</v>
      </c>
      <c r="F200" s="218" t="s">
        <v>121</v>
      </c>
      <c r="G200" s="218" t="s">
        <v>106</v>
      </c>
    </row>
    <row r="201" spans="2:7" x14ac:dyDescent="0.25">
      <c r="B201" s="132" t="s">
        <v>108</v>
      </c>
      <c r="C201" s="120" t="s">
        <v>7</v>
      </c>
      <c r="D201" s="219">
        <v>55825.84</v>
      </c>
      <c r="E201" s="218" t="s">
        <v>123</v>
      </c>
      <c r="F201" s="218" t="s">
        <v>121</v>
      </c>
      <c r="G201" s="218" t="s">
        <v>106</v>
      </c>
    </row>
    <row r="202" spans="2:7" ht="60" x14ac:dyDescent="0.25">
      <c r="B202" s="132" t="s">
        <v>109</v>
      </c>
      <c r="C202" s="120" t="s">
        <v>30</v>
      </c>
      <c r="D202" s="219">
        <v>50074.54</v>
      </c>
      <c r="E202" s="218" t="s">
        <v>123</v>
      </c>
      <c r="F202" s="218" t="s">
        <v>121</v>
      </c>
      <c r="G202" s="218" t="s">
        <v>106</v>
      </c>
    </row>
    <row r="203" spans="2:7" x14ac:dyDescent="0.25">
      <c r="B203" s="132" t="s">
        <v>110</v>
      </c>
      <c r="C203" s="120" t="s">
        <v>7</v>
      </c>
      <c r="D203" s="219">
        <v>57831.004306983945</v>
      </c>
      <c r="E203" s="218" t="s">
        <v>123</v>
      </c>
      <c r="F203" s="218" t="s">
        <v>121</v>
      </c>
      <c r="G203" s="218" t="s">
        <v>106</v>
      </c>
    </row>
    <row r="204" spans="2:7" ht="42.75" x14ac:dyDescent="0.25">
      <c r="B204" s="121" t="s">
        <v>98</v>
      </c>
      <c r="C204" s="122"/>
      <c r="D204" s="233">
        <v>-943.53084000000945</v>
      </c>
      <c r="E204" s="218" t="s">
        <v>99</v>
      </c>
      <c r="F204" s="218" t="s">
        <v>121</v>
      </c>
      <c r="G204" s="218" t="s">
        <v>111</v>
      </c>
    </row>
    <row r="205" spans="2:7" x14ac:dyDescent="0.25">
      <c r="B205" s="123" t="s">
        <v>11</v>
      </c>
      <c r="C205" s="118" t="s">
        <v>5</v>
      </c>
      <c r="D205" s="219">
        <v>43</v>
      </c>
      <c r="E205" s="218" t="s">
        <v>99</v>
      </c>
      <c r="F205" s="218" t="s">
        <v>121</v>
      </c>
      <c r="G205" s="218" t="s">
        <v>111</v>
      </c>
    </row>
    <row r="206" spans="2:7" x14ac:dyDescent="0.25">
      <c r="B206" s="124" t="s">
        <v>48</v>
      </c>
      <c r="C206" s="118" t="s">
        <v>5</v>
      </c>
      <c r="D206" s="219">
        <v>13585</v>
      </c>
      <c r="E206" s="218" t="s">
        <v>99</v>
      </c>
      <c r="F206" s="218" t="s">
        <v>121</v>
      </c>
      <c r="G206" s="218" t="s">
        <v>111</v>
      </c>
    </row>
    <row r="207" spans="2:7" x14ac:dyDescent="0.25">
      <c r="B207" s="124" t="s">
        <v>49</v>
      </c>
      <c r="C207" s="118" t="s">
        <v>5</v>
      </c>
      <c r="D207" s="219">
        <v>13525</v>
      </c>
      <c r="E207" s="218" t="s">
        <v>99</v>
      </c>
      <c r="F207" s="218" t="s">
        <v>121</v>
      </c>
      <c r="G207" s="218" t="s">
        <v>111</v>
      </c>
    </row>
    <row r="208" spans="2:7" x14ac:dyDescent="0.25">
      <c r="B208" s="125" t="s">
        <v>44</v>
      </c>
      <c r="C208" s="118" t="s">
        <v>5</v>
      </c>
      <c r="D208" s="219">
        <v>0</v>
      </c>
      <c r="E208" s="218" t="s">
        <v>99</v>
      </c>
      <c r="F208" s="218" t="s">
        <v>121</v>
      </c>
      <c r="G208" s="218" t="s">
        <v>111</v>
      </c>
    </row>
    <row r="209" spans="2:7" x14ac:dyDescent="0.25">
      <c r="B209" s="125" t="s">
        <v>45</v>
      </c>
      <c r="C209" s="118" t="s">
        <v>5</v>
      </c>
      <c r="D209" s="219">
        <v>60</v>
      </c>
      <c r="E209" s="218" t="s">
        <v>99</v>
      </c>
      <c r="F209" s="218" t="s">
        <v>121</v>
      </c>
      <c r="G209" s="218" t="s">
        <v>111</v>
      </c>
    </row>
    <row r="210" spans="2:7" x14ac:dyDescent="0.25">
      <c r="B210" s="124" t="s">
        <v>42</v>
      </c>
      <c r="C210" s="119" t="s">
        <v>7</v>
      </c>
      <c r="D210" s="219">
        <v>197049.46</v>
      </c>
      <c r="E210" s="218" t="s">
        <v>99</v>
      </c>
      <c r="F210" s="218" t="s">
        <v>121</v>
      </c>
      <c r="G210" s="218" t="s">
        <v>111</v>
      </c>
    </row>
    <row r="211" spans="2:7" x14ac:dyDescent="0.25">
      <c r="B211" s="124" t="s">
        <v>50</v>
      </c>
      <c r="C211" s="119" t="s">
        <v>7</v>
      </c>
      <c r="D211" s="219">
        <v>196469.86</v>
      </c>
      <c r="E211" s="218" t="s">
        <v>99</v>
      </c>
      <c r="F211" s="218" t="s">
        <v>121</v>
      </c>
      <c r="G211" s="218" t="s">
        <v>111</v>
      </c>
    </row>
    <row r="212" spans="2:7" x14ac:dyDescent="0.25">
      <c r="B212" s="126" t="s">
        <v>46</v>
      </c>
      <c r="C212" s="119" t="s">
        <v>7</v>
      </c>
      <c r="D212" s="219">
        <v>0</v>
      </c>
      <c r="E212" s="218" t="s">
        <v>99</v>
      </c>
      <c r="F212" s="218" t="s">
        <v>121</v>
      </c>
      <c r="G212" s="218" t="s">
        <v>111</v>
      </c>
    </row>
    <row r="213" spans="2:7" x14ac:dyDescent="0.25">
      <c r="B213" s="126" t="s">
        <v>47</v>
      </c>
      <c r="C213" s="119" t="s">
        <v>7</v>
      </c>
      <c r="D213" s="219">
        <v>579.6</v>
      </c>
      <c r="E213" s="218" t="s">
        <v>99</v>
      </c>
      <c r="F213" s="218" t="s">
        <v>121</v>
      </c>
      <c r="G213" s="218" t="s">
        <v>111</v>
      </c>
    </row>
    <row r="214" spans="2:7" x14ac:dyDescent="0.25">
      <c r="B214" s="124" t="s">
        <v>43</v>
      </c>
      <c r="C214" s="238" t="s">
        <v>8</v>
      </c>
      <c r="D214" s="219">
        <v>1.6278999999999999</v>
      </c>
      <c r="E214" s="218" t="s">
        <v>99</v>
      </c>
      <c r="F214" s="218" t="s">
        <v>121</v>
      </c>
      <c r="G214" s="218" t="s">
        <v>111</v>
      </c>
    </row>
    <row r="215" spans="2:7" ht="42.75" x14ac:dyDescent="0.25">
      <c r="B215" s="121" t="s">
        <v>98</v>
      </c>
      <c r="C215" s="122"/>
      <c r="D215" s="233">
        <v>-1180.2300999999975</v>
      </c>
      <c r="E215" s="218" t="s">
        <v>122</v>
      </c>
      <c r="F215" s="218" t="s">
        <v>121</v>
      </c>
      <c r="G215" s="218" t="s">
        <v>111</v>
      </c>
    </row>
    <row r="216" spans="2:7" x14ac:dyDescent="0.25">
      <c r="B216" s="123" t="s">
        <v>11</v>
      </c>
      <c r="C216" s="118" t="s">
        <v>5</v>
      </c>
      <c r="D216" s="219">
        <v>13</v>
      </c>
      <c r="E216" s="218" t="s">
        <v>122</v>
      </c>
      <c r="F216" s="218" t="s">
        <v>121</v>
      </c>
      <c r="G216" s="218" t="s">
        <v>111</v>
      </c>
    </row>
    <row r="217" spans="2:7" x14ac:dyDescent="0.25">
      <c r="B217" s="124" t="s">
        <v>48</v>
      </c>
      <c r="C217" s="118" t="s">
        <v>5</v>
      </c>
      <c r="D217" s="219">
        <v>9102</v>
      </c>
      <c r="E217" s="218" t="s">
        <v>122</v>
      </c>
      <c r="F217" s="218" t="s">
        <v>121</v>
      </c>
      <c r="G217" s="218" t="s">
        <v>111</v>
      </c>
    </row>
    <row r="218" spans="2:7" x14ac:dyDescent="0.25">
      <c r="B218" s="124" t="s">
        <v>49</v>
      </c>
      <c r="C218" s="118" t="s">
        <v>5</v>
      </c>
      <c r="D218" s="219">
        <v>8922</v>
      </c>
      <c r="E218" s="218" t="s">
        <v>122</v>
      </c>
      <c r="F218" s="218" t="s">
        <v>121</v>
      </c>
      <c r="G218" s="218" t="s">
        <v>111</v>
      </c>
    </row>
    <row r="219" spans="2:7" x14ac:dyDescent="0.25">
      <c r="B219" s="125" t="s">
        <v>44</v>
      </c>
      <c r="C219" s="118" t="s">
        <v>5</v>
      </c>
      <c r="D219" s="219">
        <v>0</v>
      </c>
      <c r="E219" s="218" t="s">
        <v>122</v>
      </c>
      <c r="F219" s="218" t="s">
        <v>121</v>
      </c>
      <c r="G219" s="218" t="s">
        <v>111</v>
      </c>
    </row>
    <row r="220" spans="2:7" x14ac:dyDescent="0.25">
      <c r="B220" s="125" t="s">
        <v>45</v>
      </c>
      <c r="C220" s="118" t="s">
        <v>5</v>
      </c>
      <c r="D220" s="219">
        <v>180</v>
      </c>
      <c r="E220" s="218" t="s">
        <v>122</v>
      </c>
      <c r="F220" s="218" t="s">
        <v>121</v>
      </c>
      <c r="G220" s="218" t="s">
        <v>111</v>
      </c>
    </row>
    <row r="221" spans="2:7" x14ac:dyDescent="0.25">
      <c r="B221" s="124" t="s">
        <v>42</v>
      </c>
      <c r="C221" s="119" t="s">
        <v>7</v>
      </c>
      <c r="D221" s="219">
        <v>87623.539999999979</v>
      </c>
      <c r="E221" s="218" t="s">
        <v>122</v>
      </c>
      <c r="F221" s="218" t="s">
        <v>121</v>
      </c>
      <c r="G221" s="218" t="s">
        <v>111</v>
      </c>
    </row>
    <row r="222" spans="2:7" x14ac:dyDescent="0.25">
      <c r="B222" s="124" t="s">
        <v>50</v>
      </c>
      <c r="C222" s="119" t="s">
        <v>7</v>
      </c>
      <c r="D222" s="219">
        <v>86219.339999999982</v>
      </c>
      <c r="E222" s="218" t="s">
        <v>122</v>
      </c>
      <c r="F222" s="218" t="s">
        <v>121</v>
      </c>
      <c r="G222" s="218" t="s">
        <v>111</v>
      </c>
    </row>
    <row r="223" spans="2:7" x14ac:dyDescent="0.25">
      <c r="B223" s="126" t="s">
        <v>46</v>
      </c>
      <c r="C223" s="119" t="s">
        <v>7</v>
      </c>
      <c r="D223" s="219">
        <v>0</v>
      </c>
      <c r="E223" s="218" t="s">
        <v>122</v>
      </c>
      <c r="F223" s="218" t="s">
        <v>121</v>
      </c>
      <c r="G223" s="218" t="s">
        <v>111</v>
      </c>
    </row>
    <row r="224" spans="2:7" x14ac:dyDescent="0.25">
      <c r="B224" s="126" t="s">
        <v>47</v>
      </c>
      <c r="C224" s="119" t="s">
        <v>7</v>
      </c>
      <c r="D224" s="219">
        <v>1404.2000000000003</v>
      </c>
      <c r="E224" s="218" t="s">
        <v>122</v>
      </c>
      <c r="F224" s="218" t="s">
        <v>121</v>
      </c>
      <c r="G224" s="218" t="s">
        <v>111</v>
      </c>
    </row>
    <row r="225" spans="2:7" x14ac:dyDescent="0.25">
      <c r="B225" s="124" t="s">
        <v>43</v>
      </c>
      <c r="C225" s="238" t="s">
        <v>8</v>
      </c>
      <c r="D225" s="219">
        <v>0.84050000000000002</v>
      </c>
      <c r="E225" s="218" t="s">
        <v>122</v>
      </c>
      <c r="F225" s="218" t="s">
        <v>121</v>
      </c>
      <c r="G225" s="218" t="s">
        <v>111</v>
      </c>
    </row>
    <row r="226" spans="2:7" ht="42.75" x14ac:dyDescent="0.25">
      <c r="B226" s="121" t="s">
        <v>98</v>
      </c>
      <c r="C226" s="122"/>
      <c r="D226" s="233">
        <v>0</v>
      </c>
      <c r="E226" s="218" t="s">
        <v>123</v>
      </c>
      <c r="F226" s="218" t="s">
        <v>121</v>
      </c>
      <c r="G226" s="218" t="s">
        <v>111</v>
      </c>
    </row>
    <row r="227" spans="2:7" x14ac:dyDescent="0.25">
      <c r="B227" s="123" t="s">
        <v>11</v>
      </c>
      <c r="C227" s="118" t="s">
        <v>5</v>
      </c>
      <c r="D227" s="219">
        <v>21</v>
      </c>
      <c r="E227" s="218" t="s">
        <v>123</v>
      </c>
      <c r="F227" s="218" t="s">
        <v>121</v>
      </c>
      <c r="G227" s="218" t="s">
        <v>111</v>
      </c>
    </row>
    <row r="228" spans="2:7" x14ac:dyDescent="0.25">
      <c r="B228" s="124" t="s">
        <v>48</v>
      </c>
      <c r="C228" s="118" t="s">
        <v>5</v>
      </c>
      <c r="D228" s="219">
        <v>8072</v>
      </c>
      <c r="E228" s="218" t="s">
        <v>123</v>
      </c>
      <c r="F228" s="218" t="s">
        <v>121</v>
      </c>
      <c r="G228" s="218" t="s">
        <v>111</v>
      </c>
    </row>
    <row r="229" spans="2:7" x14ac:dyDescent="0.25">
      <c r="B229" s="124" t="s">
        <v>49</v>
      </c>
      <c r="C229" s="118" t="s">
        <v>5</v>
      </c>
      <c r="D229" s="219">
        <v>8072</v>
      </c>
      <c r="E229" s="218" t="s">
        <v>123</v>
      </c>
      <c r="F229" s="218" t="s">
        <v>121</v>
      </c>
      <c r="G229" s="218" t="s">
        <v>111</v>
      </c>
    </row>
    <row r="230" spans="2:7" x14ac:dyDescent="0.25">
      <c r="B230" s="125" t="s">
        <v>44</v>
      </c>
      <c r="C230" s="118" t="s">
        <v>5</v>
      </c>
      <c r="D230" s="219">
        <v>0</v>
      </c>
      <c r="E230" s="218" t="s">
        <v>123</v>
      </c>
      <c r="F230" s="218" t="s">
        <v>121</v>
      </c>
      <c r="G230" s="218" t="s">
        <v>111</v>
      </c>
    </row>
    <row r="231" spans="2:7" x14ac:dyDescent="0.25">
      <c r="B231" s="125" t="s">
        <v>45</v>
      </c>
      <c r="C231" s="118" t="s">
        <v>5</v>
      </c>
      <c r="D231" s="219">
        <v>0</v>
      </c>
      <c r="E231" s="218" t="s">
        <v>123</v>
      </c>
      <c r="F231" s="218" t="s">
        <v>121</v>
      </c>
      <c r="G231" s="218" t="s">
        <v>111</v>
      </c>
    </row>
    <row r="232" spans="2:7" x14ac:dyDescent="0.25">
      <c r="B232" s="124" t="s">
        <v>42</v>
      </c>
      <c r="C232" s="119" t="s">
        <v>7</v>
      </c>
      <c r="D232" s="219">
        <v>57478.28</v>
      </c>
      <c r="E232" s="218" t="s">
        <v>123</v>
      </c>
      <c r="F232" s="218" t="s">
        <v>121</v>
      </c>
      <c r="G232" s="218" t="s">
        <v>111</v>
      </c>
    </row>
    <row r="233" spans="2:7" x14ac:dyDescent="0.25">
      <c r="B233" s="124" t="s">
        <v>50</v>
      </c>
      <c r="C233" s="119" t="s">
        <v>7</v>
      </c>
      <c r="D233" s="219">
        <v>57478.28</v>
      </c>
      <c r="E233" s="218" t="s">
        <v>123</v>
      </c>
      <c r="F233" s="218" t="s">
        <v>121</v>
      </c>
      <c r="G233" s="218" t="s">
        <v>111</v>
      </c>
    </row>
    <row r="234" spans="2:7" x14ac:dyDescent="0.25">
      <c r="B234" s="126" t="s">
        <v>46</v>
      </c>
      <c r="C234" s="119" t="s">
        <v>7</v>
      </c>
      <c r="D234" s="219">
        <v>0</v>
      </c>
      <c r="E234" s="218" t="s">
        <v>123</v>
      </c>
      <c r="F234" s="218" t="s">
        <v>121</v>
      </c>
      <c r="G234" s="218" t="s">
        <v>111</v>
      </c>
    </row>
    <row r="235" spans="2:7" x14ac:dyDescent="0.25">
      <c r="B235" s="126" t="s">
        <v>47</v>
      </c>
      <c r="C235" s="119" t="s">
        <v>7</v>
      </c>
      <c r="D235" s="219">
        <v>0</v>
      </c>
      <c r="E235" s="218" t="s">
        <v>123</v>
      </c>
      <c r="F235" s="218" t="s">
        <v>121</v>
      </c>
      <c r="G235" s="218" t="s">
        <v>111</v>
      </c>
    </row>
    <row r="236" spans="2:7" x14ac:dyDescent="0.25">
      <c r="B236" s="124" t="s">
        <v>43</v>
      </c>
      <c r="C236" s="238" t="s">
        <v>8</v>
      </c>
      <c r="D236" s="219">
        <v>3.0813999999999999</v>
      </c>
      <c r="E236" s="218" t="s">
        <v>123</v>
      </c>
      <c r="F236" s="218" t="s">
        <v>121</v>
      </c>
      <c r="G236" s="218" t="s">
        <v>111</v>
      </c>
    </row>
    <row r="237" spans="2:7" ht="57.75" x14ac:dyDescent="0.25">
      <c r="B237" s="127" t="s">
        <v>100</v>
      </c>
      <c r="C237" s="128"/>
      <c r="D237" s="233">
        <v>0</v>
      </c>
      <c r="E237" s="218" t="s">
        <v>99</v>
      </c>
      <c r="F237" s="218" t="s">
        <v>121</v>
      </c>
      <c r="G237" s="218" t="s">
        <v>111</v>
      </c>
    </row>
    <row r="238" spans="2:7" ht="30" x14ac:dyDescent="0.25">
      <c r="B238" s="129" t="s">
        <v>39</v>
      </c>
      <c r="C238" s="59"/>
      <c r="D238" s="219">
        <v>0</v>
      </c>
      <c r="E238" s="218" t="s">
        <v>99</v>
      </c>
      <c r="F238" s="218" t="s">
        <v>121</v>
      </c>
      <c r="G238" s="218" t="s">
        <v>111</v>
      </c>
    </row>
    <row r="239" spans="2:7" x14ac:dyDescent="0.25">
      <c r="B239" s="130" t="s">
        <v>61</v>
      </c>
      <c r="C239" s="59" t="s">
        <v>25</v>
      </c>
      <c r="D239" s="219">
        <v>0</v>
      </c>
      <c r="E239" s="218" t="s">
        <v>99</v>
      </c>
      <c r="F239" s="218" t="s">
        <v>121</v>
      </c>
      <c r="G239" s="218" t="s">
        <v>111</v>
      </c>
    </row>
    <row r="240" spans="2:7" x14ac:dyDescent="0.25">
      <c r="B240" s="130" t="s">
        <v>71</v>
      </c>
      <c r="C240" s="59" t="s">
        <v>25</v>
      </c>
      <c r="D240" s="219">
        <v>0</v>
      </c>
      <c r="E240" s="218" t="s">
        <v>99</v>
      </c>
      <c r="F240" s="218" t="s">
        <v>121</v>
      </c>
      <c r="G240" s="218" t="s">
        <v>111</v>
      </c>
    </row>
    <row r="241" spans="2:7" x14ac:dyDescent="0.25">
      <c r="B241" s="130" t="s">
        <v>80</v>
      </c>
      <c r="C241" s="59" t="s">
        <v>25</v>
      </c>
      <c r="D241" s="219">
        <v>0</v>
      </c>
      <c r="E241" s="218" t="s">
        <v>99</v>
      </c>
      <c r="F241" s="218" t="s">
        <v>121</v>
      </c>
      <c r="G241" s="218" t="s">
        <v>111</v>
      </c>
    </row>
    <row r="242" spans="2:7" x14ac:dyDescent="0.25">
      <c r="B242" s="130" t="s">
        <v>80</v>
      </c>
      <c r="C242" s="59" t="s">
        <v>25</v>
      </c>
      <c r="D242" s="219">
        <v>0</v>
      </c>
      <c r="E242" s="218" t="s">
        <v>99</v>
      </c>
      <c r="F242" s="218" t="s">
        <v>121</v>
      </c>
      <c r="G242" s="218" t="s">
        <v>111</v>
      </c>
    </row>
    <row r="243" spans="2:7" x14ac:dyDescent="0.25">
      <c r="B243" s="130" t="s">
        <v>12</v>
      </c>
      <c r="C243" s="59" t="s">
        <v>59</v>
      </c>
      <c r="D243" s="219">
        <v>0</v>
      </c>
      <c r="E243" s="218" t="s">
        <v>99</v>
      </c>
      <c r="F243" s="218" t="s">
        <v>121</v>
      </c>
      <c r="G243" s="218" t="s">
        <v>111</v>
      </c>
    </row>
    <row r="244" spans="2:7" x14ac:dyDescent="0.25">
      <c r="B244" s="130" t="s">
        <v>81</v>
      </c>
      <c r="C244" s="59" t="s">
        <v>74</v>
      </c>
      <c r="D244" s="219">
        <v>0</v>
      </c>
      <c r="E244" s="218" t="s">
        <v>99</v>
      </c>
      <c r="F244" s="218" t="s">
        <v>121</v>
      </c>
      <c r="G244" s="218" t="s">
        <v>111</v>
      </c>
    </row>
    <row r="245" spans="2:7" x14ac:dyDescent="0.25">
      <c r="B245" s="130" t="s">
        <v>73</v>
      </c>
      <c r="C245" s="59" t="s">
        <v>59</v>
      </c>
      <c r="D245" s="219">
        <v>0</v>
      </c>
      <c r="E245" s="218" t="s">
        <v>99</v>
      </c>
      <c r="F245" s="218" t="s">
        <v>121</v>
      </c>
      <c r="G245" s="218" t="s">
        <v>111</v>
      </c>
    </row>
    <row r="246" spans="2:7" x14ac:dyDescent="0.25">
      <c r="B246" s="130" t="s">
        <v>62</v>
      </c>
      <c r="C246" s="59" t="s">
        <v>60</v>
      </c>
      <c r="D246" s="219">
        <v>0</v>
      </c>
      <c r="E246" s="218" t="s">
        <v>99</v>
      </c>
      <c r="F246" s="218" t="s">
        <v>121</v>
      </c>
      <c r="G246" s="218" t="s">
        <v>111</v>
      </c>
    </row>
    <row r="247" spans="2:7" x14ac:dyDescent="0.25">
      <c r="B247" s="130" t="s">
        <v>62</v>
      </c>
      <c r="C247" s="59" t="s">
        <v>60</v>
      </c>
      <c r="D247" s="219">
        <v>0</v>
      </c>
      <c r="E247" s="218" t="s">
        <v>99</v>
      </c>
      <c r="F247" s="218" t="s">
        <v>121</v>
      </c>
      <c r="G247" s="218" t="s">
        <v>111</v>
      </c>
    </row>
    <row r="248" spans="2:7" ht="30" x14ac:dyDescent="0.25">
      <c r="B248" s="129" t="s">
        <v>40</v>
      </c>
      <c r="C248" s="59" t="s">
        <v>26</v>
      </c>
      <c r="D248" s="219">
        <v>0</v>
      </c>
      <c r="E248" s="218" t="s">
        <v>99</v>
      </c>
      <c r="F248" s="218" t="s">
        <v>121</v>
      </c>
      <c r="G248" s="218" t="s">
        <v>111</v>
      </c>
    </row>
    <row r="249" spans="2:7" x14ac:dyDescent="0.25">
      <c r="B249" s="130" t="s">
        <v>57</v>
      </c>
      <c r="C249" s="59" t="s">
        <v>26</v>
      </c>
      <c r="D249" s="219">
        <v>0</v>
      </c>
      <c r="E249" s="218" t="s">
        <v>99</v>
      </c>
      <c r="F249" s="218" t="s">
        <v>121</v>
      </c>
      <c r="G249" s="218" t="s">
        <v>111</v>
      </c>
    </row>
    <row r="250" spans="2:7" x14ac:dyDescent="0.25">
      <c r="B250" s="130" t="s">
        <v>58</v>
      </c>
      <c r="C250" s="59" t="s">
        <v>26</v>
      </c>
      <c r="D250" s="219">
        <v>0</v>
      </c>
      <c r="E250" s="218" t="s">
        <v>99</v>
      </c>
      <c r="F250" s="218" t="s">
        <v>121</v>
      </c>
      <c r="G250" s="218" t="s">
        <v>111</v>
      </c>
    </row>
    <row r="251" spans="2:7" x14ac:dyDescent="0.25">
      <c r="B251" s="130" t="s">
        <v>82</v>
      </c>
      <c r="C251" s="59" t="s">
        <v>26</v>
      </c>
      <c r="D251" s="219">
        <v>0</v>
      </c>
      <c r="E251" s="218" t="s">
        <v>99</v>
      </c>
      <c r="F251" s="218" t="s">
        <v>121</v>
      </c>
      <c r="G251" s="218" t="s">
        <v>111</v>
      </c>
    </row>
    <row r="252" spans="2:7" x14ac:dyDescent="0.25">
      <c r="B252" s="130" t="s">
        <v>82</v>
      </c>
      <c r="C252" s="59" t="s">
        <v>26</v>
      </c>
      <c r="D252" s="219">
        <v>0</v>
      </c>
      <c r="E252" s="218" t="s">
        <v>99</v>
      </c>
      <c r="F252" s="218" t="s">
        <v>121</v>
      </c>
      <c r="G252" s="218" t="s">
        <v>111</v>
      </c>
    </row>
    <row r="253" spans="2:7" x14ac:dyDescent="0.25">
      <c r="B253" s="130" t="s">
        <v>83</v>
      </c>
      <c r="C253" s="59" t="s">
        <v>26</v>
      </c>
      <c r="D253" s="219">
        <v>0</v>
      </c>
      <c r="E253" s="218" t="s">
        <v>99</v>
      </c>
      <c r="F253" s="218" t="s">
        <v>121</v>
      </c>
      <c r="G253" s="218" t="s">
        <v>111</v>
      </c>
    </row>
    <row r="254" spans="2:7" x14ac:dyDescent="0.25">
      <c r="B254" s="130" t="s">
        <v>84</v>
      </c>
      <c r="C254" s="59" t="s">
        <v>26</v>
      </c>
      <c r="D254" s="219">
        <v>0</v>
      </c>
      <c r="E254" s="218" t="s">
        <v>99</v>
      </c>
      <c r="F254" s="218" t="s">
        <v>121</v>
      </c>
      <c r="G254" s="218" t="s">
        <v>111</v>
      </c>
    </row>
    <row r="255" spans="2:7" x14ac:dyDescent="0.25">
      <c r="B255" s="130" t="s">
        <v>85</v>
      </c>
      <c r="C255" s="59" t="s">
        <v>26</v>
      </c>
      <c r="D255" s="219">
        <v>0</v>
      </c>
      <c r="E255" s="218" t="s">
        <v>99</v>
      </c>
      <c r="F255" s="218" t="s">
        <v>121</v>
      </c>
      <c r="G255" s="218" t="s">
        <v>111</v>
      </c>
    </row>
    <row r="256" spans="2:7" x14ac:dyDescent="0.25">
      <c r="B256" s="130" t="s">
        <v>54</v>
      </c>
      <c r="C256" s="59" t="s">
        <v>26</v>
      </c>
      <c r="D256" s="219">
        <v>0</v>
      </c>
      <c r="E256" s="218" t="s">
        <v>99</v>
      </c>
      <c r="F256" s="218" t="s">
        <v>121</v>
      </c>
      <c r="G256" s="218" t="s">
        <v>111</v>
      </c>
    </row>
    <row r="257" spans="2:7" x14ac:dyDescent="0.25">
      <c r="B257" s="130" t="s">
        <v>54</v>
      </c>
      <c r="C257" s="59" t="s">
        <v>26</v>
      </c>
      <c r="D257" s="219">
        <v>0</v>
      </c>
      <c r="E257" s="218" t="s">
        <v>99</v>
      </c>
      <c r="F257" s="218" t="s">
        <v>121</v>
      </c>
      <c r="G257" s="218" t="s">
        <v>111</v>
      </c>
    </row>
    <row r="258" spans="2:7" ht="57.75" x14ac:dyDescent="0.25">
      <c r="B258" s="127" t="s">
        <v>100</v>
      </c>
      <c r="C258" s="128"/>
      <c r="D258" s="233">
        <v>0</v>
      </c>
      <c r="E258" s="218" t="s">
        <v>122</v>
      </c>
      <c r="F258" s="218" t="s">
        <v>121</v>
      </c>
      <c r="G258" s="218" t="s">
        <v>111</v>
      </c>
    </row>
    <row r="259" spans="2:7" ht="30" x14ac:dyDescent="0.25">
      <c r="B259" s="129" t="s">
        <v>39</v>
      </c>
      <c r="C259" s="59"/>
      <c r="D259" s="219">
        <v>0</v>
      </c>
      <c r="E259" s="218" t="s">
        <v>122</v>
      </c>
      <c r="F259" s="218" t="s">
        <v>121</v>
      </c>
      <c r="G259" s="218" t="s">
        <v>111</v>
      </c>
    </row>
    <row r="260" spans="2:7" x14ac:dyDescent="0.25">
      <c r="B260" s="130" t="s">
        <v>61</v>
      </c>
      <c r="C260" s="59" t="s">
        <v>25</v>
      </c>
      <c r="D260" s="219">
        <v>0</v>
      </c>
      <c r="E260" s="218" t="s">
        <v>122</v>
      </c>
      <c r="F260" s="218" t="s">
        <v>121</v>
      </c>
      <c r="G260" s="218" t="s">
        <v>111</v>
      </c>
    </row>
    <row r="261" spans="2:7" x14ac:dyDescent="0.25">
      <c r="B261" s="130" t="s">
        <v>71</v>
      </c>
      <c r="C261" s="59" t="s">
        <v>25</v>
      </c>
      <c r="D261" s="219">
        <v>0</v>
      </c>
      <c r="E261" s="218" t="s">
        <v>122</v>
      </c>
      <c r="F261" s="218" t="s">
        <v>121</v>
      </c>
      <c r="G261" s="218" t="s">
        <v>111</v>
      </c>
    </row>
    <row r="262" spans="2:7" x14ac:dyDescent="0.25">
      <c r="B262" s="130" t="s">
        <v>80</v>
      </c>
      <c r="C262" s="59" t="s">
        <v>25</v>
      </c>
      <c r="D262" s="219">
        <v>0</v>
      </c>
      <c r="E262" s="218" t="s">
        <v>122</v>
      </c>
      <c r="F262" s="218" t="s">
        <v>121</v>
      </c>
      <c r="G262" s="218" t="s">
        <v>111</v>
      </c>
    </row>
    <row r="263" spans="2:7" x14ac:dyDescent="0.25">
      <c r="B263" s="130" t="s">
        <v>80</v>
      </c>
      <c r="C263" s="59" t="s">
        <v>25</v>
      </c>
      <c r="D263" s="219">
        <v>0</v>
      </c>
      <c r="E263" s="218" t="s">
        <v>122</v>
      </c>
      <c r="F263" s="218" t="s">
        <v>121</v>
      </c>
      <c r="G263" s="218" t="s">
        <v>111</v>
      </c>
    </row>
    <row r="264" spans="2:7" x14ac:dyDescent="0.25">
      <c r="B264" s="130" t="s">
        <v>12</v>
      </c>
      <c r="C264" s="59" t="s">
        <v>59</v>
      </c>
      <c r="D264" s="219">
        <v>0</v>
      </c>
      <c r="E264" s="218" t="s">
        <v>122</v>
      </c>
      <c r="F264" s="218" t="s">
        <v>121</v>
      </c>
      <c r="G264" s="218" t="s">
        <v>111</v>
      </c>
    </row>
    <row r="265" spans="2:7" x14ac:dyDescent="0.25">
      <c r="B265" s="130" t="s">
        <v>81</v>
      </c>
      <c r="C265" s="59" t="s">
        <v>74</v>
      </c>
      <c r="D265" s="219">
        <v>0</v>
      </c>
      <c r="E265" s="218" t="s">
        <v>122</v>
      </c>
      <c r="F265" s="218" t="s">
        <v>121</v>
      </c>
      <c r="G265" s="218" t="s">
        <v>111</v>
      </c>
    </row>
    <row r="266" spans="2:7" x14ac:dyDescent="0.25">
      <c r="B266" s="130" t="s">
        <v>73</v>
      </c>
      <c r="C266" s="59" t="s">
        <v>59</v>
      </c>
      <c r="D266" s="219">
        <v>0</v>
      </c>
      <c r="E266" s="218" t="s">
        <v>122</v>
      </c>
      <c r="F266" s="218" t="s">
        <v>121</v>
      </c>
      <c r="G266" s="218" t="s">
        <v>111</v>
      </c>
    </row>
    <row r="267" spans="2:7" x14ac:dyDescent="0.25">
      <c r="B267" s="130" t="s">
        <v>62</v>
      </c>
      <c r="C267" s="59" t="s">
        <v>60</v>
      </c>
      <c r="D267" s="219">
        <v>0</v>
      </c>
      <c r="E267" s="218" t="s">
        <v>122</v>
      </c>
      <c r="F267" s="218" t="s">
        <v>121</v>
      </c>
      <c r="G267" s="218" t="s">
        <v>111</v>
      </c>
    </row>
    <row r="268" spans="2:7" x14ac:dyDescent="0.25">
      <c r="B268" s="130" t="s">
        <v>62</v>
      </c>
      <c r="C268" s="59" t="s">
        <v>60</v>
      </c>
      <c r="D268" s="219">
        <v>0</v>
      </c>
      <c r="E268" s="218" t="s">
        <v>122</v>
      </c>
      <c r="F268" s="218" t="s">
        <v>121</v>
      </c>
      <c r="G268" s="218" t="s">
        <v>111</v>
      </c>
    </row>
    <row r="269" spans="2:7" ht="30" x14ac:dyDescent="0.25">
      <c r="B269" s="129" t="s">
        <v>40</v>
      </c>
      <c r="C269" s="59" t="s">
        <v>26</v>
      </c>
      <c r="D269" s="219">
        <v>0</v>
      </c>
      <c r="E269" s="218" t="s">
        <v>122</v>
      </c>
      <c r="F269" s="218" t="s">
        <v>121</v>
      </c>
      <c r="G269" s="218" t="s">
        <v>111</v>
      </c>
    </row>
    <row r="270" spans="2:7" x14ac:dyDescent="0.25">
      <c r="B270" s="130" t="s">
        <v>57</v>
      </c>
      <c r="C270" s="59" t="s">
        <v>26</v>
      </c>
      <c r="D270" s="219">
        <v>0</v>
      </c>
      <c r="E270" s="218" t="s">
        <v>122</v>
      </c>
      <c r="F270" s="218" t="s">
        <v>121</v>
      </c>
      <c r="G270" s="218" t="s">
        <v>111</v>
      </c>
    </row>
    <row r="271" spans="2:7" x14ac:dyDescent="0.25">
      <c r="B271" s="130" t="s">
        <v>58</v>
      </c>
      <c r="C271" s="59" t="s">
        <v>26</v>
      </c>
      <c r="D271" s="219">
        <v>0</v>
      </c>
      <c r="E271" s="218" t="s">
        <v>122</v>
      </c>
      <c r="F271" s="218" t="s">
        <v>121</v>
      </c>
      <c r="G271" s="218" t="s">
        <v>111</v>
      </c>
    </row>
    <row r="272" spans="2:7" x14ac:dyDescent="0.25">
      <c r="B272" s="130" t="s">
        <v>82</v>
      </c>
      <c r="C272" s="59" t="s">
        <v>26</v>
      </c>
      <c r="D272" s="219">
        <v>0</v>
      </c>
      <c r="E272" s="218" t="s">
        <v>122</v>
      </c>
      <c r="F272" s="218" t="s">
        <v>121</v>
      </c>
      <c r="G272" s="218" t="s">
        <v>111</v>
      </c>
    </row>
    <row r="273" spans="2:7" x14ac:dyDescent="0.25">
      <c r="B273" s="130" t="s">
        <v>82</v>
      </c>
      <c r="C273" s="59" t="s">
        <v>26</v>
      </c>
      <c r="D273" s="219">
        <v>0</v>
      </c>
      <c r="E273" s="218" t="s">
        <v>122</v>
      </c>
      <c r="F273" s="218" t="s">
        <v>121</v>
      </c>
      <c r="G273" s="218" t="s">
        <v>111</v>
      </c>
    </row>
    <row r="274" spans="2:7" x14ac:dyDescent="0.25">
      <c r="B274" s="130" t="s">
        <v>83</v>
      </c>
      <c r="C274" s="59" t="s">
        <v>26</v>
      </c>
      <c r="D274" s="219">
        <v>0</v>
      </c>
      <c r="E274" s="218" t="s">
        <v>122</v>
      </c>
      <c r="F274" s="218" t="s">
        <v>121</v>
      </c>
      <c r="G274" s="218" t="s">
        <v>111</v>
      </c>
    </row>
    <row r="275" spans="2:7" x14ac:dyDescent="0.25">
      <c r="B275" s="130" t="s">
        <v>84</v>
      </c>
      <c r="C275" s="59" t="s">
        <v>26</v>
      </c>
      <c r="D275" s="219">
        <v>0</v>
      </c>
      <c r="E275" s="218" t="s">
        <v>122</v>
      </c>
      <c r="F275" s="218" t="s">
        <v>121</v>
      </c>
      <c r="G275" s="218" t="s">
        <v>111</v>
      </c>
    </row>
    <row r="276" spans="2:7" x14ac:dyDescent="0.25">
      <c r="B276" s="130" t="s">
        <v>85</v>
      </c>
      <c r="C276" s="59" t="s">
        <v>26</v>
      </c>
      <c r="D276" s="219">
        <v>0</v>
      </c>
      <c r="E276" s="218" t="s">
        <v>122</v>
      </c>
      <c r="F276" s="218" t="s">
        <v>121</v>
      </c>
      <c r="G276" s="218" t="s">
        <v>111</v>
      </c>
    </row>
    <row r="277" spans="2:7" x14ac:dyDescent="0.25">
      <c r="B277" s="130" t="s">
        <v>54</v>
      </c>
      <c r="C277" s="59" t="s">
        <v>26</v>
      </c>
      <c r="D277" s="219">
        <v>0</v>
      </c>
      <c r="E277" s="218" t="s">
        <v>122</v>
      </c>
      <c r="F277" s="218" t="s">
        <v>121</v>
      </c>
      <c r="G277" s="218" t="s">
        <v>111</v>
      </c>
    </row>
    <row r="278" spans="2:7" x14ac:dyDescent="0.25">
      <c r="B278" s="130" t="s">
        <v>54</v>
      </c>
      <c r="C278" s="59" t="s">
        <v>26</v>
      </c>
      <c r="D278" s="219">
        <v>0</v>
      </c>
      <c r="E278" s="218" t="s">
        <v>122</v>
      </c>
      <c r="F278" s="218" t="s">
        <v>121</v>
      </c>
      <c r="G278" s="218" t="s">
        <v>111</v>
      </c>
    </row>
    <row r="279" spans="2:7" ht="57.75" x14ac:dyDescent="0.25">
      <c r="B279" s="127" t="s">
        <v>100</v>
      </c>
      <c r="C279" s="128"/>
      <c r="D279" s="233">
        <v>95.358699999999999</v>
      </c>
      <c r="E279" s="218" t="s">
        <v>123</v>
      </c>
      <c r="F279" s="218" t="s">
        <v>121</v>
      </c>
      <c r="G279" s="218" t="s">
        <v>111</v>
      </c>
    </row>
    <row r="280" spans="2:7" ht="30" x14ac:dyDescent="0.25">
      <c r="B280" s="129" t="s">
        <v>39</v>
      </c>
      <c r="C280" s="59"/>
      <c r="D280" s="219"/>
      <c r="E280" s="218" t="s">
        <v>123</v>
      </c>
      <c r="F280" s="218" t="s">
        <v>121</v>
      </c>
      <c r="G280" s="218" t="s">
        <v>111</v>
      </c>
    </row>
    <row r="281" spans="2:7" x14ac:dyDescent="0.25">
      <c r="B281" s="130" t="s">
        <v>61</v>
      </c>
      <c r="C281" s="59" t="s">
        <v>25</v>
      </c>
      <c r="D281" s="219">
        <v>9</v>
      </c>
      <c r="E281" s="218" t="s">
        <v>123</v>
      </c>
      <c r="F281" s="218" t="s">
        <v>121</v>
      </c>
      <c r="G281" s="218" t="s">
        <v>111</v>
      </c>
    </row>
    <row r="282" spans="2:7" x14ac:dyDescent="0.25">
      <c r="B282" s="130" t="s">
        <v>71</v>
      </c>
      <c r="C282" s="59" t="s">
        <v>25</v>
      </c>
      <c r="D282" s="219">
        <v>5</v>
      </c>
      <c r="E282" s="218" t="s">
        <v>123</v>
      </c>
      <c r="F282" s="218" t="s">
        <v>121</v>
      </c>
      <c r="G282" s="218" t="s">
        <v>111</v>
      </c>
    </row>
    <row r="283" spans="2:7" x14ac:dyDescent="0.25">
      <c r="B283" s="130" t="s">
        <v>80</v>
      </c>
      <c r="C283" s="59" t="s">
        <v>25</v>
      </c>
      <c r="D283" s="219">
        <v>5</v>
      </c>
      <c r="E283" s="218" t="s">
        <v>123</v>
      </c>
      <c r="F283" s="218" t="s">
        <v>121</v>
      </c>
      <c r="G283" s="218" t="s">
        <v>111</v>
      </c>
    </row>
    <row r="284" spans="2:7" x14ac:dyDescent="0.25">
      <c r="B284" s="130" t="s">
        <v>80</v>
      </c>
      <c r="C284" s="59" t="s">
        <v>25</v>
      </c>
      <c r="D284" s="219">
        <v>2</v>
      </c>
      <c r="E284" s="218" t="s">
        <v>123</v>
      </c>
      <c r="F284" s="218" t="s">
        <v>121</v>
      </c>
      <c r="G284" s="218" t="s">
        <v>111</v>
      </c>
    </row>
    <row r="285" spans="2:7" x14ac:dyDescent="0.25">
      <c r="B285" s="130" t="s">
        <v>12</v>
      </c>
      <c r="C285" s="59" t="s">
        <v>59</v>
      </c>
      <c r="D285" s="219">
        <v>10</v>
      </c>
      <c r="E285" s="218" t="s">
        <v>123</v>
      </c>
      <c r="F285" s="218" t="s">
        <v>121</v>
      </c>
      <c r="G285" s="218" t="s">
        <v>111</v>
      </c>
    </row>
    <row r="286" spans="2:7" x14ac:dyDescent="0.25">
      <c r="B286" s="130" t="s">
        <v>81</v>
      </c>
      <c r="C286" s="59" t="s">
        <v>74</v>
      </c>
      <c r="D286" s="219">
        <v>1</v>
      </c>
      <c r="E286" s="218" t="s">
        <v>123</v>
      </c>
      <c r="F286" s="218" t="s">
        <v>121</v>
      </c>
      <c r="G286" s="218" t="s">
        <v>111</v>
      </c>
    </row>
    <row r="287" spans="2:7" x14ac:dyDescent="0.25">
      <c r="B287" s="130" t="s">
        <v>73</v>
      </c>
      <c r="C287" s="59" t="s">
        <v>59</v>
      </c>
      <c r="D287" s="219">
        <v>46</v>
      </c>
      <c r="E287" s="218" t="s">
        <v>123</v>
      </c>
      <c r="F287" s="218" t="s">
        <v>121</v>
      </c>
      <c r="G287" s="218" t="s">
        <v>111</v>
      </c>
    </row>
    <row r="288" spans="2:7" x14ac:dyDescent="0.25">
      <c r="B288" s="130" t="s">
        <v>62</v>
      </c>
      <c r="C288" s="59" t="s">
        <v>60</v>
      </c>
      <c r="D288" s="219">
        <v>37</v>
      </c>
      <c r="E288" s="218" t="s">
        <v>123</v>
      </c>
      <c r="F288" s="218" t="s">
        <v>121</v>
      </c>
      <c r="G288" s="218" t="s">
        <v>111</v>
      </c>
    </row>
    <row r="289" spans="2:7" x14ac:dyDescent="0.25">
      <c r="B289" s="130" t="s">
        <v>62</v>
      </c>
      <c r="C289" s="59" t="s">
        <v>60</v>
      </c>
      <c r="D289" s="219">
        <v>33</v>
      </c>
      <c r="E289" s="218" t="s">
        <v>123</v>
      </c>
      <c r="F289" s="218" t="s">
        <v>121</v>
      </c>
      <c r="G289" s="218" t="s">
        <v>111</v>
      </c>
    </row>
    <row r="290" spans="2:7" ht="30" x14ac:dyDescent="0.25">
      <c r="B290" s="129" t="s">
        <v>40</v>
      </c>
      <c r="C290" s="59" t="s">
        <v>26</v>
      </c>
      <c r="D290" s="219"/>
      <c r="E290" s="218" t="s">
        <v>123</v>
      </c>
      <c r="F290" s="218" t="s">
        <v>121</v>
      </c>
      <c r="G290" s="218" t="s">
        <v>111</v>
      </c>
    </row>
    <row r="291" spans="2:7" x14ac:dyDescent="0.25">
      <c r="B291" s="130" t="s">
        <v>57</v>
      </c>
      <c r="C291" s="59" t="s">
        <v>26</v>
      </c>
      <c r="D291" s="219">
        <v>2.4700000000000002</v>
      </c>
      <c r="E291" s="218" t="s">
        <v>123</v>
      </c>
      <c r="F291" s="218" t="s">
        <v>121</v>
      </c>
      <c r="G291" s="218" t="s">
        <v>111</v>
      </c>
    </row>
    <row r="292" spans="2:7" x14ac:dyDescent="0.25">
      <c r="B292" s="130" t="s">
        <v>58</v>
      </c>
      <c r="C292" s="59" t="s">
        <v>26</v>
      </c>
      <c r="D292" s="219">
        <v>2.8620000000000001</v>
      </c>
      <c r="E292" s="218" t="s">
        <v>123</v>
      </c>
      <c r="F292" s="218" t="s">
        <v>121</v>
      </c>
      <c r="G292" s="218" t="s">
        <v>111</v>
      </c>
    </row>
    <row r="293" spans="2:7" x14ac:dyDescent="0.25">
      <c r="B293" s="130" t="s">
        <v>82</v>
      </c>
      <c r="C293" s="59" t="s">
        <v>26</v>
      </c>
      <c r="D293" s="219">
        <v>2.5139999999999998</v>
      </c>
      <c r="E293" s="218" t="s">
        <v>123</v>
      </c>
      <c r="F293" s="218" t="s">
        <v>121</v>
      </c>
      <c r="G293" s="218" t="s">
        <v>111</v>
      </c>
    </row>
    <row r="294" spans="2:7" x14ac:dyDescent="0.25">
      <c r="B294" s="130" t="s">
        <v>82</v>
      </c>
      <c r="C294" s="59" t="s">
        <v>26</v>
      </c>
      <c r="D294" s="219">
        <v>5.31</v>
      </c>
      <c r="E294" s="218" t="s">
        <v>123</v>
      </c>
      <c r="F294" s="218" t="s">
        <v>121</v>
      </c>
      <c r="G294" s="218" t="s">
        <v>111</v>
      </c>
    </row>
    <row r="295" spans="2:7" x14ac:dyDescent="0.25">
      <c r="B295" s="130" t="s">
        <v>83</v>
      </c>
      <c r="C295" s="59" t="s">
        <v>26</v>
      </c>
      <c r="D295" s="219">
        <v>0.35699999999999998</v>
      </c>
      <c r="E295" s="218" t="s">
        <v>123</v>
      </c>
      <c r="F295" s="218" t="s">
        <v>121</v>
      </c>
      <c r="G295" s="218" t="s">
        <v>111</v>
      </c>
    </row>
    <row r="296" spans="2:7" x14ac:dyDescent="0.25">
      <c r="B296" s="130" t="s">
        <v>84</v>
      </c>
      <c r="C296" s="59" t="s">
        <v>26</v>
      </c>
      <c r="D296" s="219">
        <v>0.56000000000000005</v>
      </c>
      <c r="E296" s="218" t="s">
        <v>123</v>
      </c>
      <c r="F296" s="218" t="s">
        <v>121</v>
      </c>
      <c r="G296" s="218" t="s">
        <v>111</v>
      </c>
    </row>
    <row r="297" spans="2:7" x14ac:dyDescent="0.25">
      <c r="B297" s="130" t="s">
        <v>85</v>
      </c>
      <c r="C297" s="59" t="s">
        <v>26</v>
      </c>
      <c r="D297" s="219">
        <v>0.34</v>
      </c>
      <c r="E297" s="218" t="s">
        <v>123</v>
      </c>
      <c r="F297" s="218" t="s">
        <v>121</v>
      </c>
      <c r="G297" s="218" t="s">
        <v>111</v>
      </c>
    </row>
    <row r="298" spans="2:7" x14ac:dyDescent="0.25">
      <c r="B298" s="130" t="s">
        <v>54</v>
      </c>
      <c r="C298" s="59" t="s">
        <v>26</v>
      </c>
      <c r="D298" s="219">
        <v>0.22</v>
      </c>
      <c r="E298" s="218" t="s">
        <v>123</v>
      </c>
      <c r="F298" s="218" t="s">
        <v>121</v>
      </c>
      <c r="G298" s="218" t="s">
        <v>111</v>
      </c>
    </row>
    <row r="299" spans="2:7" x14ac:dyDescent="0.25">
      <c r="B299" s="130" t="s">
        <v>54</v>
      </c>
      <c r="C299" s="59" t="s">
        <v>26</v>
      </c>
      <c r="D299" s="219">
        <v>0.2339</v>
      </c>
      <c r="E299" s="218" t="s">
        <v>123</v>
      </c>
      <c r="F299" s="218" t="s">
        <v>121</v>
      </c>
      <c r="G299" s="218" t="s">
        <v>111</v>
      </c>
    </row>
    <row r="300" spans="2:7" ht="29.25" x14ac:dyDescent="0.25">
      <c r="B300" s="241" t="s">
        <v>101</v>
      </c>
      <c r="C300" s="242"/>
      <c r="D300" s="233">
        <v>37892.127555498118</v>
      </c>
      <c r="E300" s="218" t="s">
        <v>99</v>
      </c>
      <c r="F300" s="218" t="s">
        <v>121</v>
      </c>
      <c r="G300" s="218" t="s">
        <v>111</v>
      </c>
    </row>
    <row r="301" spans="2:7" ht="60" x14ac:dyDescent="0.25">
      <c r="B301" s="132" t="s">
        <v>112</v>
      </c>
      <c r="C301" s="120" t="s">
        <v>30</v>
      </c>
      <c r="D301" s="219">
        <v>114554.52219309782</v>
      </c>
      <c r="E301" s="218" t="s">
        <v>99</v>
      </c>
      <c r="F301" s="218" t="s">
        <v>121</v>
      </c>
      <c r="G301" s="218" t="s">
        <v>111</v>
      </c>
    </row>
    <row r="302" spans="2:7" x14ac:dyDescent="0.25">
      <c r="B302" s="132" t="s">
        <v>113</v>
      </c>
      <c r="C302" s="120" t="s">
        <v>7</v>
      </c>
      <c r="D302" s="219">
        <v>196469.86</v>
      </c>
      <c r="E302" s="218" t="s">
        <v>99</v>
      </c>
      <c r="F302" s="218" t="s">
        <v>121</v>
      </c>
      <c r="G302" s="218" t="s">
        <v>111</v>
      </c>
    </row>
    <row r="303" spans="2:7" ht="60" x14ac:dyDescent="0.25">
      <c r="B303" s="132" t="s">
        <v>114</v>
      </c>
      <c r="C303" s="120" t="s">
        <v>30</v>
      </c>
      <c r="D303" s="219">
        <v>193164.92440684114</v>
      </c>
      <c r="E303" s="218" t="s">
        <v>99</v>
      </c>
      <c r="F303" s="218" t="s">
        <v>121</v>
      </c>
      <c r="G303" s="218" t="s">
        <v>111</v>
      </c>
    </row>
    <row r="304" spans="2:7" x14ac:dyDescent="0.25">
      <c r="B304" s="132" t="s">
        <v>115</v>
      </c>
      <c r="C304" s="120" t="s">
        <v>7</v>
      </c>
      <c r="D304" s="219">
        <v>248946.66900000008</v>
      </c>
      <c r="E304" s="218" t="s">
        <v>99</v>
      </c>
      <c r="F304" s="218" t="s">
        <v>121</v>
      </c>
      <c r="G304" s="218" t="s">
        <v>111</v>
      </c>
    </row>
    <row r="305" spans="2:9" ht="29.25" x14ac:dyDescent="0.25">
      <c r="B305" s="241" t="s">
        <v>101</v>
      </c>
      <c r="C305" s="242"/>
      <c r="D305" s="233">
        <v>15730.163169870544</v>
      </c>
      <c r="E305" s="218" t="s">
        <v>122</v>
      </c>
      <c r="F305" s="218" t="s">
        <v>121</v>
      </c>
      <c r="G305" s="218" t="s">
        <v>111</v>
      </c>
    </row>
    <row r="306" spans="2:9" ht="60" x14ac:dyDescent="0.25">
      <c r="B306" s="132" t="s">
        <v>112</v>
      </c>
      <c r="C306" s="120" t="s">
        <v>30</v>
      </c>
      <c r="D306" s="219">
        <v>45150.817637916865</v>
      </c>
      <c r="E306" s="218" t="s">
        <v>122</v>
      </c>
      <c r="F306" s="218" t="s">
        <v>121</v>
      </c>
      <c r="G306" s="218" t="s">
        <v>111</v>
      </c>
    </row>
    <row r="307" spans="2:9" x14ac:dyDescent="0.25">
      <c r="B307" s="132" t="s">
        <v>113</v>
      </c>
      <c r="C307" s="120" t="s">
        <v>7</v>
      </c>
      <c r="D307" s="219">
        <v>86219.339999999982</v>
      </c>
      <c r="E307" s="218" t="s">
        <v>122</v>
      </c>
      <c r="F307" s="218" t="s">
        <v>121</v>
      </c>
      <c r="G307" s="218" t="s">
        <v>111</v>
      </c>
    </row>
    <row r="308" spans="2:9" ht="60" x14ac:dyDescent="0.25">
      <c r="B308" s="132" t="s">
        <v>114</v>
      </c>
      <c r="C308" s="120" t="s">
        <v>30</v>
      </c>
      <c r="D308" s="219">
        <v>61139.621039261932</v>
      </c>
      <c r="E308" s="218" t="s">
        <v>122</v>
      </c>
      <c r="F308" s="218" t="s">
        <v>121</v>
      </c>
      <c r="G308" s="218" t="s">
        <v>111</v>
      </c>
    </row>
    <row r="309" spans="2:9" x14ac:dyDescent="0.25">
      <c r="B309" s="132" t="s">
        <v>115</v>
      </c>
      <c r="C309" s="120" t="s">
        <v>7</v>
      </c>
      <c r="D309" s="219">
        <v>86585.624999999985</v>
      </c>
      <c r="E309" s="218" t="s">
        <v>122</v>
      </c>
      <c r="F309" s="218" t="s">
        <v>121</v>
      </c>
      <c r="G309" s="218" t="s">
        <v>111</v>
      </c>
    </row>
    <row r="310" spans="2:9" ht="29.25" x14ac:dyDescent="0.25">
      <c r="B310" s="241" t="s">
        <v>101</v>
      </c>
      <c r="C310" s="242"/>
      <c r="D310" s="233">
        <v>10102.968149693032</v>
      </c>
      <c r="E310" s="218" t="s">
        <v>123</v>
      </c>
      <c r="F310" s="218" t="s">
        <v>121</v>
      </c>
      <c r="G310" s="218" t="s">
        <v>111</v>
      </c>
    </row>
    <row r="311" spans="2:9" ht="60" x14ac:dyDescent="0.25">
      <c r="B311" s="132" t="s">
        <v>112</v>
      </c>
      <c r="C311" s="120" t="s">
        <v>30</v>
      </c>
      <c r="D311" s="219">
        <v>37767.140168985352</v>
      </c>
      <c r="E311" s="218" t="s">
        <v>123</v>
      </c>
      <c r="F311" s="218" t="s">
        <v>121</v>
      </c>
      <c r="G311" s="218" t="s">
        <v>111</v>
      </c>
    </row>
    <row r="312" spans="2:9" x14ac:dyDescent="0.25">
      <c r="B312" s="132" t="s">
        <v>113</v>
      </c>
      <c r="C312" s="120" t="s">
        <v>7</v>
      </c>
      <c r="D312" s="219">
        <v>57478.28</v>
      </c>
      <c r="E312" s="218" t="s">
        <v>123</v>
      </c>
      <c r="F312" s="218" t="s">
        <v>121</v>
      </c>
      <c r="G312" s="218" t="s">
        <v>111</v>
      </c>
    </row>
    <row r="313" spans="2:9" ht="60" x14ac:dyDescent="0.25">
      <c r="B313" s="132" t="s">
        <v>114</v>
      </c>
      <c r="C313" s="120" t="s">
        <v>30</v>
      </c>
      <c r="D313" s="219">
        <v>49957.304553896967</v>
      </c>
      <c r="E313" s="218" t="s">
        <v>123</v>
      </c>
      <c r="F313" s="218" t="s">
        <v>121</v>
      </c>
      <c r="G313" s="218" t="s">
        <v>111</v>
      </c>
    </row>
    <row r="314" spans="2:9" x14ac:dyDescent="0.25">
      <c r="B314" s="132" t="s">
        <v>115</v>
      </c>
      <c r="C314" s="120" t="s">
        <v>7</v>
      </c>
      <c r="D314" s="219">
        <v>59984.404465484637</v>
      </c>
      <c r="E314" s="218" t="s">
        <v>123</v>
      </c>
      <c r="F314" s="218" t="s">
        <v>121</v>
      </c>
      <c r="G314" s="218" t="s">
        <v>111</v>
      </c>
    </row>
    <row r="315" spans="2:9" ht="42.75" x14ac:dyDescent="0.25">
      <c r="B315" s="121" t="s">
        <v>98</v>
      </c>
      <c r="C315" s="122"/>
      <c r="D315" s="233">
        <v>0</v>
      </c>
      <c r="E315" s="218" t="s">
        <v>99</v>
      </c>
      <c r="F315" s="218" t="s">
        <v>121</v>
      </c>
      <c r="G315" s="218" t="s">
        <v>116</v>
      </c>
      <c r="H315" s="134"/>
      <c r="I315" s="134"/>
    </row>
    <row r="316" spans="2:9" x14ac:dyDescent="0.25">
      <c r="B316" s="123" t="s">
        <v>11</v>
      </c>
      <c r="C316" s="118" t="s">
        <v>5</v>
      </c>
      <c r="D316" s="219">
        <v>43</v>
      </c>
      <c r="E316" s="218" t="s">
        <v>99</v>
      </c>
      <c r="F316" s="218" t="s">
        <v>121</v>
      </c>
      <c r="G316" s="218" t="s">
        <v>116</v>
      </c>
      <c r="H316" s="134"/>
      <c r="I316" s="134"/>
    </row>
    <row r="317" spans="2:9" x14ac:dyDescent="0.25">
      <c r="B317" s="124" t="s">
        <v>48</v>
      </c>
      <c r="C317" s="118" t="s">
        <v>5</v>
      </c>
      <c r="D317" s="219">
        <v>12790</v>
      </c>
      <c r="E317" s="218" t="s">
        <v>99</v>
      </c>
      <c r="F317" s="218" t="s">
        <v>121</v>
      </c>
      <c r="G317" s="218" t="s">
        <v>116</v>
      </c>
      <c r="H317" s="134"/>
      <c r="I317" s="134"/>
    </row>
    <row r="318" spans="2:9" x14ac:dyDescent="0.25">
      <c r="B318" s="124" t="s">
        <v>49</v>
      </c>
      <c r="C318" s="118" t="s">
        <v>5</v>
      </c>
      <c r="D318" s="219">
        <v>12790</v>
      </c>
      <c r="E318" s="218" t="s">
        <v>99</v>
      </c>
      <c r="F318" s="218" t="s">
        <v>121</v>
      </c>
      <c r="G318" s="218" t="s">
        <v>116</v>
      </c>
      <c r="H318" s="134"/>
      <c r="I318" s="134"/>
    </row>
    <row r="319" spans="2:9" x14ac:dyDescent="0.25">
      <c r="B319" s="125" t="s">
        <v>44</v>
      </c>
      <c r="C319" s="118" t="s">
        <v>5</v>
      </c>
      <c r="D319" s="219">
        <v>0</v>
      </c>
      <c r="E319" s="218" t="s">
        <v>99</v>
      </c>
      <c r="F319" s="218" t="s">
        <v>121</v>
      </c>
      <c r="G319" s="218" t="s">
        <v>116</v>
      </c>
      <c r="H319" s="134"/>
      <c r="I319" s="134"/>
    </row>
    <row r="320" spans="2:9" x14ac:dyDescent="0.25">
      <c r="B320" s="125" t="s">
        <v>45</v>
      </c>
      <c r="C320" s="118" t="s">
        <v>5</v>
      </c>
      <c r="D320" s="219">
        <v>0</v>
      </c>
      <c r="E320" s="218" t="s">
        <v>99</v>
      </c>
      <c r="F320" s="218" t="s">
        <v>121</v>
      </c>
      <c r="G320" s="218" t="s">
        <v>116</v>
      </c>
      <c r="H320" s="134"/>
      <c r="I320" s="134"/>
    </row>
    <row r="321" spans="2:9" x14ac:dyDescent="0.25">
      <c r="B321" s="124" t="s">
        <v>42</v>
      </c>
      <c r="C321" s="119" t="s">
        <v>7</v>
      </c>
      <c r="D321" s="219">
        <v>185411.79999999996</v>
      </c>
      <c r="E321" s="218" t="s">
        <v>99</v>
      </c>
      <c r="F321" s="218" t="s">
        <v>121</v>
      </c>
      <c r="G321" s="218" t="s">
        <v>116</v>
      </c>
      <c r="H321" s="134"/>
      <c r="I321" s="134"/>
    </row>
    <row r="322" spans="2:9" x14ac:dyDescent="0.25">
      <c r="B322" s="124" t="s">
        <v>50</v>
      </c>
      <c r="C322" s="119" t="s">
        <v>7</v>
      </c>
      <c r="D322" s="219">
        <v>185411.79999999996</v>
      </c>
      <c r="E322" s="218" t="s">
        <v>99</v>
      </c>
      <c r="F322" s="218" t="s">
        <v>121</v>
      </c>
      <c r="G322" s="218" t="s">
        <v>116</v>
      </c>
      <c r="H322" s="134"/>
      <c r="I322" s="134"/>
    </row>
    <row r="323" spans="2:9" x14ac:dyDescent="0.25">
      <c r="B323" s="126" t="s">
        <v>46</v>
      </c>
      <c r="C323" s="119" t="s">
        <v>7</v>
      </c>
      <c r="D323" s="219">
        <v>0</v>
      </c>
      <c r="E323" s="218" t="s">
        <v>99</v>
      </c>
      <c r="F323" s="218" t="s">
        <v>121</v>
      </c>
      <c r="G323" s="218" t="s">
        <v>116</v>
      </c>
      <c r="H323" s="134"/>
      <c r="I323" s="134"/>
    </row>
    <row r="324" spans="2:9" x14ac:dyDescent="0.25">
      <c r="B324" s="126" t="s">
        <v>47</v>
      </c>
      <c r="C324" s="119" t="s">
        <v>7</v>
      </c>
      <c r="D324" s="219">
        <v>0</v>
      </c>
      <c r="E324" s="218" t="s">
        <v>99</v>
      </c>
      <c r="F324" s="218" t="s">
        <v>121</v>
      </c>
      <c r="G324" s="218" t="s">
        <v>116</v>
      </c>
      <c r="H324" s="134"/>
      <c r="I324" s="134"/>
    </row>
    <row r="325" spans="2:9" x14ac:dyDescent="0.25">
      <c r="B325" s="124" t="s">
        <v>43</v>
      </c>
      <c r="C325" s="238" t="s">
        <v>8</v>
      </c>
      <c r="D325" s="219">
        <v>1.6343000000000001</v>
      </c>
      <c r="E325" s="218" t="s">
        <v>99</v>
      </c>
      <c r="F325" s="218" t="s">
        <v>121</v>
      </c>
      <c r="G325" s="218" t="s">
        <v>116</v>
      </c>
      <c r="H325" s="134"/>
      <c r="I325" s="134"/>
    </row>
    <row r="326" spans="2:9" ht="42.75" x14ac:dyDescent="0.25">
      <c r="B326" s="121" t="s">
        <v>98</v>
      </c>
      <c r="C326" s="122"/>
      <c r="D326" s="233">
        <v>0</v>
      </c>
      <c r="E326" s="218" t="s">
        <v>122</v>
      </c>
      <c r="F326" s="218" t="s">
        <v>121</v>
      </c>
      <c r="G326" s="218" t="s">
        <v>116</v>
      </c>
      <c r="H326" s="134"/>
      <c r="I326" s="134"/>
    </row>
    <row r="327" spans="2:9" x14ac:dyDescent="0.25">
      <c r="B327" s="123" t="s">
        <v>11</v>
      </c>
      <c r="C327" s="118" t="s">
        <v>5</v>
      </c>
      <c r="D327" s="219">
        <v>13</v>
      </c>
      <c r="E327" s="218" t="s">
        <v>122</v>
      </c>
      <c r="F327" s="218" t="s">
        <v>121</v>
      </c>
      <c r="G327" s="218" t="s">
        <v>116</v>
      </c>
      <c r="H327" s="134"/>
      <c r="I327" s="134"/>
    </row>
    <row r="328" spans="2:9" x14ac:dyDescent="0.25">
      <c r="B328" s="124" t="s">
        <v>48</v>
      </c>
      <c r="C328" s="118" t="s">
        <v>5</v>
      </c>
      <c r="D328" s="219">
        <v>8660</v>
      </c>
      <c r="E328" s="218" t="s">
        <v>122</v>
      </c>
      <c r="F328" s="218" t="s">
        <v>121</v>
      </c>
      <c r="G328" s="218" t="s">
        <v>116</v>
      </c>
      <c r="H328" s="134"/>
      <c r="I328" s="134"/>
    </row>
    <row r="329" spans="2:9" x14ac:dyDescent="0.25">
      <c r="B329" s="124" t="s">
        <v>49</v>
      </c>
      <c r="C329" s="118" t="s">
        <v>5</v>
      </c>
      <c r="D329" s="219">
        <v>8660</v>
      </c>
      <c r="E329" s="218" t="s">
        <v>122</v>
      </c>
      <c r="F329" s="218" t="s">
        <v>121</v>
      </c>
      <c r="G329" s="218" t="s">
        <v>116</v>
      </c>
      <c r="H329" s="134"/>
      <c r="I329" s="134"/>
    </row>
    <row r="330" spans="2:9" x14ac:dyDescent="0.25">
      <c r="B330" s="125" t="s">
        <v>44</v>
      </c>
      <c r="C330" s="118" t="s">
        <v>5</v>
      </c>
      <c r="D330" s="219">
        <v>0</v>
      </c>
      <c r="E330" s="218" t="s">
        <v>122</v>
      </c>
      <c r="F330" s="218" t="s">
        <v>121</v>
      </c>
      <c r="G330" s="218" t="s">
        <v>116</v>
      </c>
      <c r="H330" s="134"/>
      <c r="I330" s="134"/>
    </row>
    <row r="331" spans="2:9" x14ac:dyDescent="0.25">
      <c r="B331" s="125" t="s">
        <v>45</v>
      </c>
      <c r="C331" s="118" t="s">
        <v>5</v>
      </c>
      <c r="D331" s="219">
        <v>0</v>
      </c>
      <c r="E331" s="218" t="s">
        <v>122</v>
      </c>
      <c r="F331" s="218" t="s">
        <v>121</v>
      </c>
      <c r="G331" s="218" t="s">
        <v>116</v>
      </c>
      <c r="H331" s="134"/>
      <c r="I331" s="134"/>
    </row>
    <row r="332" spans="2:9" x14ac:dyDescent="0.25">
      <c r="B332" s="124" t="s">
        <v>42</v>
      </c>
      <c r="C332" s="119" t="s">
        <v>7</v>
      </c>
      <c r="D332" s="219">
        <v>84612.799999999988</v>
      </c>
      <c r="E332" s="218" t="s">
        <v>122</v>
      </c>
      <c r="F332" s="218" t="s">
        <v>121</v>
      </c>
      <c r="G332" s="218" t="s">
        <v>116</v>
      </c>
      <c r="H332" s="134"/>
      <c r="I332" s="134"/>
    </row>
    <row r="333" spans="2:9" x14ac:dyDescent="0.25">
      <c r="B333" s="124" t="s">
        <v>50</v>
      </c>
      <c r="C333" s="119" t="s">
        <v>7</v>
      </c>
      <c r="D333" s="219">
        <v>84612.799999999988</v>
      </c>
      <c r="E333" s="218" t="s">
        <v>122</v>
      </c>
      <c r="F333" s="218" t="s">
        <v>121</v>
      </c>
      <c r="G333" s="218" t="s">
        <v>116</v>
      </c>
      <c r="H333" s="134"/>
      <c r="I333" s="134"/>
    </row>
    <row r="334" spans="2:9" x14ac:dyDescent="0.25">
      <c r="B334" s="126" t="s">
        <v>46</v>
      </c>
      <c r="C334" s="119" t="s">
        <v>7</v>
      </c>
      <c r="D334" s="219">
        <v>0</v>
      </c>
      <c r="E334" s="218" t="s">
        <v>122</v>
      </c>
      <c r="F334" s="218" t="s">
        <v>121</v>
      </c>
      <c r="G334" s="218" t="s">
        <v>116</v>
      </c>
      <c r="H334" s="134"/>
      <c r="I334" s="134"/>
    </row>
    <row r="335" spans="2:9" x14ac:dyDescent="0.25">
      <c r="B335" s="126" t="s">
        <v>47</v>
      </c>
      <c r="C335" s="119" t="s">
        <v>7</v>
      </c>
      <c r="D335" s="219">
        <v>0</v>
      </c>
      <c r="E335" s="218" t="s">
        <v>122</v>
      </c>
      <c r="F335" s="218" t="s">
        <v>121</v>
      </c>
      <c r="G335" s="218" t="s">
        <v>116</v>
      </c>
      <c r="H335" s="134"/>
      <c r="I335" s="134"/>
    </row>
    <row r="336" spans="2:9" x14ac:dyDescent="0.25">
      <c r="B336" s="124" t="s">
        <v>43</v>
      </c>
      <c r="C336" s="238" t="s">
        <v>8</v>
      </c>
      <c r="D336" s="219">
        <v>0.84199999999999997</v>
      </c>
      <c r="E336" s="218" t="s">
        <v>122</v>
      </c>
      <c r="F336" s="218" t="s">
        <v>121</v>
      </c>
      <c r="G336" s="218" t="s">
        <v>116</v>
      </c>
      <c r="H336" s="134"/>
      <c r="I336" s="134"/>
    </row>
    <row r="337" spans="2:9" ht="42.75" x14ac:dyDescent="0.25">
      <c r="B337" s="121" t="s">
        <v>98</v>
      </c>
      <c r="C337" s="122"/>
      <c r="D337" s="219">
        <v>0</v>
      </c>
      <c r="E337" s="218" t="s">
        <v>123</v>
      </c>
      <c r="F337" s="218" t="s">
        <v>121</v>
      </c>
      <c r="G337" s="218" t="s">
        <v>116</v>
      </c>
      <c r="H337" s="134"/>
      <c r="I337" s="134"/>
    </row>
    <row r="338" spans="2:9" x14ac:dyDescent="0.25">
      <c r="B338" s="123" t="s">
        <v>11</v>
      </c>
      <c r="C338" s="118" t="s">
        <v>5</v>
      </c>
      <c r="D338" s="219">
        <v>20</v>
      </c>
      <c r="E338" s="218" t="s">
        <v>123</v>
      </c>
      <c r="F338" s="218" t="s">
        <v>121</v>
      </c>
      <c r="G338" s="218" t="s">
        <v>116</v>
      </c>
      <c r="H338" s="134"/>
      <c r="I338" s="134"/>
    </row>
    <row r="339" spans="2:9" x14ac:dyDescent="0.25">
      <c r="B339" s="124" t="s">
        <v>48</v>
      </c>
      <c r="C339" s="118" t="s">
        <v>5</v>
      </c>
      <c r="D339" s="219">
        <v>7840</v>
      </c>
      <c r="E339" s="218" t="s">
        <v>123</v>
      </c>
      <c r="F339" s="218" t="s">
        <v>121</v>
      </c>
      <c r="G339" s="218" t="s">
        <v>116</v>
      </c>
      <c r="H339" s="134"/>
      <c r="I339" s="134"/>
    </row>
    <row r="340" spans="2:9" x14ac:dyDescent="0.25">
      <c r="B340" s="124" t="s">
        <v>49</v>
      </c>
      <c r="C340" s="118" t="s">
        <v>5</v>
      </c>
      <c r="D340" s="219">
        <v>7840</v>
      </c>
      <c r="E340" s="218" t="s">
        <v>123</v>
      </c>
      <c r="F340" s="218" t="s">
        <v>121</v>
      </c>
      <c r="G340" s="218" t="s">
        <v>116</v>
      </c>
      <c r="H340" s="134"/>
      <c r="I340" s="134"/>
    </row>
    <row r="341" spans="2:9" x14ac:dyDescent="0.25">
      <c r="B341" s="125" t="s">
        <v>44</v>
      </c>
      <c r="C341" s="118" t="s">
        <v>5</v>
      </c>
      <c r="D341" s="219">
        <v>0</v>
      </c>
      <c r="E341" s="218" t="s">
        <v>123</v>
      </c>
      <c r="F341" s="218" t="s">
        <v>121</v>
      </c>
      <c r="G341" s="218" t="s">
        <v>116</v>
      </c>
      <c r="H341" s="134"/>
      <c r="I341" s="134"/>
    </row>
    <row r="342" spans="2:9" x14ac:dyDescent="0.25">
      <c r="B342" s="125" t="s">
        <v>45</v>
      </c>
      <c r="C342" s="118" t="s">
        <v>5</v>
      </c>
      <c r="D342" s="219">
        <v>0</v>
      </c>
      <c r="E342" s="218" t="s">
        <v>123</v>
      </c>
      <c r="F342" s="218" t="s">
        <v>121</v>
      </c>
      <c r="G342" s="218" t="s">
        <v>116</v>
      </c>
      <c r="H342" s="134"/>
      <c r="I342" s="134"/>
    </row>
    <row r="343" spans="2:9" x14ac:dyDescent="0.25">
      <c r="B343" s="124" t="s">
        <v>42</v>
      </c>
      <c r="C343" s="119" t="s">
        <v>7</v>
      </c>
      <c r="D343" s="219">
        <v>55825.820000000007</v>
      </c>
      <c r="E343" s="218" t="s">
        <v>123</v>
      </c>
      <c r="F343" s="218" t="s">
        <v>121</v>
      </c>
      <c r="G343" s="218" t="s">
        <v>116</v>
      </c>
      <c r="H343" s="134"/>
      <c r="I343" s="134"/>
    </row>
    <row r="344" spans="2:9" x14ac:dyDescent="0.25">
      <c r="B344" s="124" t="s">
        <v>50</v>
      </c>
      <c r="C344" s="119" t="s">
        <v>7</v>
      </c>
      <c r="D344" s="219">
        <v>55825.820000000007</v>
      </c>
      <c r="E344" s="218" t="s">
        <v>123</v>
      </c>
      <c r="F344" s="218" t="s">
        <v>121</v>
      </c>
      <c r="G344" s="218" t="s">
        <v>116</v>
      </c>
      <c r="H344" s="134"/>
      <c r="I344" s="134"/>
    </row>
    <row r="345" spans="2:9" x14ac:dyDescent="0.25">
      <c r="B345" s="126" t="s">
        <v>46</v>
      </c>
      <c r="C345" s="119" t="s">
        <v>7</v>
      </c>
      <c r="D345" s="219">
        <v>0</v>
      </c>
      <c r="E345" s="218" t="s">
        <v>123</v>
      </c>
      <c r="F345" s="218" t="s">
        <v>121</v>
      </c>
      <c r="G345" s="218" t="s">
        <v>116</v>
      </c>
      <c r="H345" s="134"/>
      <c r="I345" s="134"/>
    </row>
    <row r="346" spans="2:9" x14ac:dyDescent="0.25">
      <c r="B346" s="126" t="s">
        <v>47</v>
      </c>
      <c r="C346" s="119" t="s">
        <v>7</v>
      </c>
      <c r="D346" s="219">
        <v>0</v>
      </c>
      <c r="E346" s="218" t="s">
        <v>123</v>
      </c>
      <c r="F346" s="218" t="s">
        <v>121</v>
      </c>
      <c r="G346" s="218" t="s">
        <v>116</v>
      </c>
      <c r="H346" s="134"/>
      <c r="I346" s="134"/>
    </row>
    <row r="347" spans="2:9" x14ac:dyDescent="0.25">
      <c r="B347" s="124" t="s">
        <v>43</v>
      </c>
      <c r="C347" s="238" t="s">
        <v>8</v>
      </c>
      <c r="D347" s="219">
        <v>3.0809000000000002</v>
      </c>
      <c r="E347" s="218" t="s">
        <v>123</v>
      </c>
      <c r="F347" s="218" t="s">
        <v>121</v>
      </c>
      <c r="G347" s="218" t="s">
        <v>116</v>
      </c>
      <c r="H347" s="134"/>
      <c r="I347" s="134"/>
    </row>
    <row r="348" spans="2:9" ht="57.75" x14ac:dyDescent="0.25">
      <c r="B348" s="127" t="s">
        <v>100</v>
      </c>
      <c r="C348" s="128"/>
      <c r="D348" s="233">
        <v>8.8861999999999988</v>
      </c>
      <c r="E348" s="218" t="s">
        <v>99</v>
      </c>
      <c r="F348" s="218" t="s">
        <v>121</v>
      </c>
      <c r="G348" s="218" t="s">
        <v>116</v>
      </c>
      <c r="H348" s="134"/>
      <c r="I348" s="134"/>
    </row>
    <row r="349" spans="2:9" ht="30" x14ac:dyDescent="0.25">
      <c r="B349" s="220" t="s">
        <v>39</v>
      </c>
      <c r="C349" s="172"/>
      <c r="D349" s="219"/>
      <c r="E349" s="218" t="s">
        <v>99</v>
      </c>
      <c r="F349" s="218" t="s">
        <v>121</v>
      </c>
      <c r="G349" s="218" t="s">
        <v>116</v>
      </c>
      <c r="H349" s="134"/>
      <c r="I349" s="134"/>
    </row>
    <row r="350" spans="2:9" x14ac:dyDescent="0.25">
      <c r="B350" s="221" t="s">
        <v>61</v>
      </c>
      <c r="C350" s="172" t="s">
        <v>25</v>
      </c>
      <c r="D350" s="219"/>
      <c r="E350" s="218" t="s">
        <v>99</v>
      </c>
      <c r="F350" s="218" t="s">
        <v>121</v>
      </c>
      <c r="G350" s="218" t="s">
        <v>116</v>
      </c>
      <c r="H350" s="134"/>
      <c r="I350" s="134"/>
    </row>
    <row r="351" spans="2:9" x14ac:dyDescent="0.25">
      <c r="B351" s="222" t="s">
        <v>132</v>
      </c>
      <c r="C351" s="177" t="s">
        <v>25</v>
      </c>
      <c r="D351" s="219"/>
      <c r="E351" s="218" t="s">
        <v>99</v>
      </c>
      <c r="F351" s="218" t="s">
        <v>121</v>
      </c>
      <c r="G351" s="218" t="s">
        <v>116</v>
      </c>
      <c r="H351" s="134"/>
      <c r="I351" s="134"/>
    </row>
    <row r="352" spans="2:9" x14ac:dyDescent="0.25">
      <c r="B352" s="222" t="s">
        <v>133</v>
      </c>
      <c r="C352" s="177" t="s">
        <v>25</v>
      </c>
      <c r="D352" s="219"/>
      <c r="E352" s="218" t="s">
        <v>99</v>
      </c>
      <c r="F352" s="218" t="s">
        <v>121</v>
      </c>
      <c r="G352" s="218" t="s">
        <v>116</v>
      </c>
      <c r="H352" s="134"/>
      <c r="I352" s="134"/>
    </row>
    <row r="353" spans="2:9" x14ac:dyDescent="0.25">
      <c r="B353" s="222" t="s">
        <v>71</v>
      </c>
      <c r="C353" s="177" t="s">
        <v>25</v>
      </c>
      <c r="D353" s="219"/>
      <c r="E353" s="218" t="s">
        <v>99</v>
      </c>
      <c r="F353" s="218" t="s">
        <v>121</v>
      </c>
      <c r="G353" s="218" t="s">
        <v>116</v>
      </c>
      <c r="H353" s="134"/>
      <c r="I353" s="134"/>
    </row>
    <row r="354" spans="2:9" x14ac:dyDescent="0.25">
      <c r="B354" s="222" t="s">
        <v>134</v>
      </c>
      <c r="C354" s="177" t="s">
        <v>25</v>
      </c>
      <c r="D354" s="219"/>
      <c r="E354" s="218" t="s">
        <v>99</v>
      </c>
      <c r="F354" s="218" t="s">
        <v>121</v>
      </c>
      <c r="G354" s="218" t="s">
        <v>116</v>
      </c>
      <c r="H354" s="134"/>
      <c r="I354" s="134"/>
    </row>
    <row r="355" spans="2:9" x14ac:dyDescent="0.25">
      <c r="B355" s="222" t="s">
        <v>135</v>
      </c>
      <c r="C355" s="177" t="s">
        <v>59</v>
      </c>
      <c r="D355" s="219"/>
      <c r="E355" s="218" t="s">
        <v>99</v>
      </c>
      <c r="F355" s="218" t="s">
        <v>121</v>
      </c>
      <c r="G355" s="218" t="s">
        <v>116</v>
      </c>
      <c r="H355" s="134"/>
      <c r="I355" s="134"/>
    </row>
    <row r="356" spans="2:9" x14ac:dyDescent="0.25">
      <c r="B356" s="222" t="s">
        <v>136</v>
      </c>
      <c r="C356" s="177" t="s">
        <v>59</v>
      </c>
      <c r="D356" s="219"/>
      <c r="E356" s="218" t="s">
        <v>99</v>
      </c>
      <c r="F356" s="218" t="s">
        <v>121</v>
      </c>
      <c r="G356" s="218" t="s">
        <v>116</v>
      </c>
      <c r="H356" s="134"/>
      <c r="I356" s="134"/>
    </row>
    <row r="357" spans="2:9" x14ac:dyDescent="0.25">
      <c r="B357" s="222" t="s">
        <v>62</v>
      </c>
      <c r="C357" s="177" t="s">
        <v>60</v>
      </c>
      <c r="D357" s="219"/>
      <c r="E357" s="218" t="s">
        <v>99</v>
      </c>
      <c r="F357" s="218" t="s">
        <v>121</v>
      </c>
      <c r="G357" s="218" t="s">
        <v>116</v>
      </c>
      <c r="H357" s="134"/>
      <c r="I357" s="134"/>
    </row>
    <row r="358" spans="2:9" x14ac:dyDescent="0.25">
      <c r="B358" s="222" t="s">
        <v>137</v>
      </c>
      <c r="C358" s="177" t="s">
        <v>59</v>
      </c>
      <c r="D358" s="219">
        <v>0.745</v>
      </c>
      <c r="E358" s="218" t="s">
        <v>99</v>
      </c>
      <c r="F358" s="218" t="s">
        <v>121</v>
      </c>
      <c r="G358" s="218" t="s">
        <v>116</v>
      </c>
      <c r="H358" s="134"/>
      <c r="I358" s="134"/>
    </row>
    <row r="359" spans="2:9" x14ac:dyDescent="0.25">
      <c r="B359" s="223" t="s">
        <v>138</v>
      </c>
      <c r="C359" s="177" t="s">
        <v>59</v>
      </c>
      <c r="D359" s="219">
        <v>44</v>
      </c>
      <c r="E359" s="218" t="s">
        <v>99</v>
      </c>
      <c r="F359" s="218" t="s">
        <v>121</v>
      </c>
      <c r="G359" s="218" t="s">
        <v>116</v>
      </c>
      <c r="H359" s="134"/>
      <c r="I359" s="134"/>
    </row>
    <row r="360" spans="2:9" x14ac:dyDescent="0.25">
      <c r="B360" s="223" t="s">
        <v>139</v>
      </c>
      <c r="C360" s="177" t="s">
        <v>59</v>
      </c>
      <c r="D360" s="219">
        <v>45</v>
      </c>
      <c r="E360" s="218" t="s">
        <v>99</v>
      </c>
      <c r="F360" s="218" t="s">
        <v>121</v>
      </c>
      <c r="G360" s="218" t="s">
        <v>116</v>
      </c>
      <c r="H360" s="134"/>
      <c r="I360" s="134"/>
    </row>
    <row r="361" spans="2:9" ht="30" x14ac:dyDescent="0.25">
      <c r="B361" s="220" t="s">
        <v>40</v>
      </c>
      <c r="C361" s="172" t="s">
        <v>26</v>
      </c>
      <c r="D361" s="219"/>
      <c r="E361" s="218" t="s">
        <v>99</v>
      </c>
      <c r="F361" s="218" t="s">
        <v>121</v>
      </c>
      <c r="G361" s="218" t="s">
        <v>116</v>
      </c>
      <c r="H361" s="134"/>
      <c r="I361" s="134"/>
    </row>
    <row r="362" spans="2:9" x14ac:dyDescent="0.25">
      <c r="B362" s="221" t="s">
        <v>61</v>
      </c>
      <c r="C362" s="172" t="s">
        <v>26</v>
      </c>
      <c r="D362" s="219"/>
      <c r="E362" s="218" t="s">
        <v>99</v>
      </c>
      <c r="F362" s="218" t="s">
        <v>121</v>
      </c>
      <c r="G362" s="218" t="s">
        <v>116</v>
      </c>
      <c r="H362" s="134"/>
      <c r="I362" s="134"/>
    </row>
    <row r="363" spans="2:9" x14ac:dyDescent="0.25">
      <c r="B363" s="221" t="s">
        <v>132</v>
      </c>
      <c r="C363" s="172" t="s">
        <v>26</v>
      </c>
      <c r="D363" s="219"/>
      <c r="E363" s="218" t="s">
        <v>99</v>
      </c>
      <c r="F363" s="218" t="s">
        <v>121</v>
      </c>
      <c r="G363" s="218" t="s">
        <v>116</v>
      </c>
      <c r="H363" s="134"/>
      <c r="I363" s="134"/>
    </row>
    <row r="364" spans="2:9" x14ac:dyDescent="0.25">
      <c r="B364" s="221" t="s">
        <v>133</v>
      </c>
      <c r="C364" s="172" t="s">
        <v>26</v>
      </c>
      <c r="D364" s="219"/>
      <c r="E364" s="218" t="s">
        <v>99</v>
      </c>
      <c r="F364" s="218" t="s">
        <v>121</v>
      </c>
      <c r="G364" s="218" t="s">
        <v>116</v>
      </c>
      <c r="H364" s="134"/>
      <c r="I364" s="134"/>
    </row>
    <row r="365" spans="2:9" x14ac:dyDescent="0.25">
      <c r="B365" s="221" t="s">
        <v>71</v>
      </c>
      <c r="C365" s="172" t="s">
        <v>26</v>
      </c>
      <c r="D365" s="219"/>
      <c r="E365" s="218" t="s">
        <v>99</v>
      </c>
      <c r="F365" s="218" t="s">
        <v>121</v>
      </c>
      <c r="G365" s="218" t="s">
        <v>116</v>
      </c>
    </row>
    <row r="366" spans="2:9" x14ac:dyDescent="0.25">
      <c r="B366" s="221" t="s">
        <v>134</v>
      </c>
      <c r="C366" s="172" t="s">
        <v>26</v>
      </c>
      <c r="D366" s="219"/>
      <c r="E366" s="218" t="s">
        <v>99</v>
      </c>
      <c r="F366" s="218" t="s">
        <v>121</v>
      </c>
      <c r="G366" s="218" t="s">
        <v>116</v>
      </c>
    </row>
    <row r="367" spans="2:9" x14ac:dyDescent="0.25">
      <c r="B367" s="221" t="s">
        <v>135</v>
      </c>
      <c r="C367" s="172" t="s">
        <v>26</v>
      </c>
      <c r="D367" s="219"/>
      <c r="E367" s="218" t="s">
        <v>99</v>
      </c>
      <c r="F367" s="218" t="s">
        <v>121</v>
      </c>
      <c r="G367" s="218" t="s">
        <v>116</v>
      </c>
    </row>
    <row r="368" spans="2:9" x14ac:dyDescent="0.25">
      <c r="B368" s="221" t="s">
        <v>136</v>
      </c>
      <c r="C368" s="172" t="s">
        <v>26</v>
      </c>
      <c r="D368" s="219"/>
      <c r="E368" s="218" t="s">
        <v>99</v>
      </c>
      <c r="F368" s="218" t="s">
        <v>121</v>
      </c>
      <c r="G368" s="218" t="s">
        <v>116</v>
      </c>
    </row>
    <row r="369" spans="2:7" x14ac:dyDescent="0.25">
      <c r="B369" s="221" t="s">
        <v>62</v>
      </c>
      <c r="C369" s="172" t="s">
        <v>26</v>
      </c>
      <c r="D369" s="219"/>
      <c r="E369" s="218" t="s">
        <v>99</v>
      </c>
      <c r="F369" s="218" t="s">
        <v>121</v>
      </c>
      <c r="G369" s="218" t="s">
        <v>116</v>
      </c>
    </row>
    <row r="370" spans="2:7" x14ac:dyDescent="0.25">
      <c r="B370" s="221" t="s">
        <v>137</v>
      </c>
      <c r="C370" s="172" t="s">
        <v>26</v>
      </c>
      <c r="D370" s="219">
        <v>4.76</v>
      </c>
      <c r="E370" s="218" t="s">
        <v>99</v>
      </c>
      <c r="F370" s="218" t="s">
        <v>121</v>
      </c>
      <c r="G370" s="218" t="s">
        <v>116</v>
      </c>
    </row>
    <row r="371" spans="2:7" x14ac:dyDescent="0.25">
      <c r="B371" s="221" t="s">
        <v>138</v>
      </c>
      <c r="C371" s="172" t="s">
        <v>26</v>
      </c>
      <c r="D371" s="219">
        <v>0.06</v>
      </c>
      <c r="E371" s="218" t="s">
        <v>99</v>
      </c>
      <c r="F371" s="218" t="s">
        <v>121</v>
      </c>
      <c r="G371" s="218" t="s">
        <v>116</v>
      </c>
    </row>
    <row r="372" spans="2:7" x14ac:dyDescent="0.25">
      <c r="B372" s="221" t="s">
        <v>140</v>
      </c>
      <c r="C372" s="172" t="s">
        <v>26</v>
      </c>
      <c r="D372" s="219">
        <v>0.06</v>
      </c>
      <c r="E372" s="218" t="s">
        <v>99</v>
      </c>
      <c r="F372" s="218" t="s">
        <v>121</v>
      </c>
      <c r="G372" s="218" t="s">
        <v>116</v>
      </c>
    </row>
    <row r="373" spans="2:7" ht="57.75" x14ac:dyDescent="0.25">
      <c r="B373" s="127" t="s">
        <v>100</v>
      </c>
      <c r="C373" s="128"/>
      <c r="D373" s="244">
        <v>4.0498159999999999</v>
      </c>
      <c r="E373" s="218" t="s">
        <v>122</v>
      </c>
      <c r="F373" s="218" t="s">
        <v>121</v>
      </c>
      <c r="G373" s="218" t="s">
        <v>116</v>
      </c>
    </row>
    <row r="374" spans="2:7" ht="30" x14ac:dyDescent="0.25">
      <c r="B374" s="220" t="s">
        <v>39</v>
      </c>
      <c r="C374" s="172"/>
      <c r="D374" s="234"/>
      <c r="E374" s="218" t="s">
        <v>122</v>
      </c>
      <c r="F374" s="218" t="s">
        <v>121</v>
      </c>
      <c r="G374" s="218" t="s">
        <v>116</v>
      </c>
    </row>
    <row r="375" spans="2:7" x14ac:dyDescent="0.25">
      <c r="B375" s="221" t="s">
        <v>61</v>
      </c>
      <c r="C375" s="172" t="s">
        <v>25</v>
      </c>
      <c r="D375" s="234"/>
      <c r="E375" s="218" t="s">
        <v>122</v>
      </c>
      <c r="F375" s="218" t="s">
        <v>121</v>
      </c>
      <c r="G375" s="218" t="s">
        <v>116</v>
      </c>
    </row>
    <row r="376" spans="2:7" x14ac:dyDescent="0.25">
      <c r="B376" s="222" t="s">
        <v>132</v>
      </c>
      <c r="C376" s="177" t="s">
        <v>25</v>
      </c>
      <c r="D376" s="234"/>
      <c r="E376" s="218" t="s">
        <v>122</v>
      </c>
      <c r="F376" s="218" t="s">
        <v>121</v>
      </c>
      <c r="G376" s="218" t="s">
        <v>116</v>
      </c>
    </row>
    <row r="377" spans="2:7" x14ac:dyDescent="0.25">
      <c r="B377" s="222" t="s">
        <v>133</v>
      </c>
      <c r="C377" s="177" t="s">
        <v>25</v>
      </c>
      <c r="D377" s="234"/>
      <c r="E377" s="218" t="s">
        <v>122</v>
      </c>
      <c r="F377" s="218" t="s">
        <v>121</v>
      </c>
      <c r="G377" s="218" t="s">
        <v>116</v>
      </c>
    </row>
    <row r="378" spans="2:7" x14ac:dyDescent="0.25">
      <c r="B378" s="222" t="s">
        <v>71</v>
      </c>
      <c r="C378" s="177" t="s">
        <v>25</v>
      </c>
      <c r="D378" s="234"/>
      <c r="E378" s="218" t="s">
        <v>122</v>
      </c>
      <c r="F378" s="218" t="s">
        <v>121</v>
      </c>
      <c r="G378" s="218" t="s">
        <v>116</v>
      </c>
    </row>
    <row r="379" spans="2:7" x14ac:dyDescent="0.25">
      <c r="B379" s="222" t="s">
        <v>134</v>
      </c>
      <c r="C379" s="177" t="s">
        <v>25</v>
      </c>
      <c r="D379" s="234"/>
      <c r="E379" s="218" t="s">
        <v>122</v>
      </c>
      <c r="F379" s="218" t="s">
        <v>121</v>
      </c>
      <c r="G379" s="218" t="s">
        <v>116</v>
      </c>
    </row>
    <row r="380" spans="2:7" x14ac:dyDescent="0.25">
      <c r="B380" s="222" t="s">
        <v>135</v>
      </c>
      <c r="C380" s="177" t="s">
        <v>59</v>
      </c>
      <c r="D380" s="234"/>
      <c r="E380" s="218" t="s">
        <v>122</v>
      </c>
      <c r="F380" s="218" t="s">
        <v>121</v>
      </c>
      <c r="G380" s="218" t="s">
        <v>116</v>
      </c>
    </row>
    <row r="381" spans="2:7" x14ac:dyDescent="0.25">
      <c r="B381" s="222" t="s">
        <v>136</v>
      </c>
      <c r="C381" s="177" t="s">
        <v>59</v>
      </c>
      <c r="D381" s="234"/>
      <c r="E381" s="218" t="s">
        <v>122</v>
      </c>
      <c r="F381" s="218" t="s">
        <v>121</v>
      </c>
      <c r="G381" s="218" t="s">
        <v>116</v>
      </c>
    </row>
    <row r="382" spans="2:7" x14ac:dyDescent="0.25">
      <c r="B382" s="222" t="s">
        <v>62</v>
      </c>
      <c r="C382" s="177" t="s">
        <v>60</v>
      </c>
      <c r="D382" s="234"/>
      <c r="E382" s="218" t="s">
        <v>122</v>
      </c>
      <c r="F382" s="218" t="s">
        <v>121</v>
      </c>
      <c r="G382" s="218" t="s">
        <v>116</v>
      </c>
    </row>
    <row r="383" spans="2:7" x14ac:dyDescent="0.25">
      <c r="B383" s="222" t="s">
        <v>137</v>
      </c>
      <c r="C383" s="177" t="s">
        <v>59</v>
      </c>
      <c r="D383" s="234">
        <v>0.34660000000000002</v>
      </c>
      <c r="E383" s="218" t="s">
        <v>122</v>
      </c>
      <c r="F383" s="218" t="s">
        <v>121</v>
      </c>
      <c r="G383" s="218" t="s">
        <v>116</v>
      </c>
    </row>
    <row r="384" spans="2:7" x14ac:dyDescent="0.25">
      <c r="B384" s="223" t="s">
        <v>138</v>
      </c>
      <c r="C384" s="177" t="s">
        <v>59</v>
      </c>
      <c r="D384" s="234">
        <v>20</v>
      </c>
      <c r="E384" s="218" t="s">
        <v>122</v>
      </c>
      <c r="F384" s="218" t="s">
        <v>121</v>
      </c>
      <c r="G384" s="218" t="s">
        <v>116</v>
      </c>
    </row>
    <row r="385" spans="2:7" x14ac:dyDescent="0.25">
      <c r="B385" s="223" t="s">
        <v>139</v>
      </c>
      <c r="C385" s="177" t="s">
        <v>59</v>
      </c>
      <c r="D385" s="234">
        <v>20</v>
      </c>
      <c r="E385" s="218" t="s">
        <v>122</v>
      </c>
      <c r="F385" s="218" t="s">
        <v>121</v>
      </c>
      <c r="G385" s="218" t="s">
        <v>116</v>
      </c>
    </row>
    <row r="386" spans="2:7" ht="30" x14ac:dyDescent="0.25">
      <c r="B386" s="220" t="s">
        <v>40</v>
      </c>
      <c r="C386" s="172" t="s">
        <v>26</v>
      </c>
      <c r="D386" s="234"/>
      <c r="E386" s="218" t="s">
        <v>122</v>
      </c>
      <c r="F386" s="218" t="s">
        <v>121</v>
      </c>
      <c r="G386" s="218" t="s">
        <v>116</v>
      </c>
    </row>
    <row r="387" spans="2:7" x14ac:dyDescent="0.25">
      <c r="B387" s="221" t="s">
        <v>61</v>
      </c>
      <c r="C387" s="172" t="s">
        <v>26</v>
      </c>
      <c r="D387" s="234"/>
      <c r="E387" s="218" t="s">
        <v>122</v>
      </c>
      <c r="F387" s="218" t="s">
        <v>121</v>
      </c>
      <c r="G387" s="218" t="s">
        <v>116</v>
      </c>
    </row>
    <row r="388" spans="2:7" x14ac:dyDescent="0.25">
      <c r="B388" s="221" t="s">
        <v>132</v>
      </c>
      <c r="C388" s="172" t="s">
        <v>26</v>
      </c>
      <c r="D388" s="234"/>
      <c r="E388" s="218" t="s">
        <v>122</v>
      </c>
      <c r="F388" s="218" t="s">
        <v>121</v>
      </c>
      <c r="G388" s="218" t="s">
        <v>116</v>
      </c>
    </row>
    <row r="389" spans="2:7" x14ac:dyDescent="0.25">
      <c r="B389" s="221" t="s">
        <v>133</v>
      </c>
      <c r="C389" s="172" t="s">
        <v>26</v>
      </c>
      <c r="D389" s="234"/>
      <c r="E389" s="218" t="s">
        <v>122</v>
      </c>
      <c r="F389" s="218" t="s">
        <v>121</v>
      </c>
      <c r="G389" s="218" t="s">
        <v>116</v>
      </c>
    </row>
    <row r="390" spans="2:7" x14ac:dyDescent="0.25">
      <c r="B390" s="221" t="s">
        <v>71</v>
      </c>
      <c r="C390" s="172" t="s">
        <v>26</v>
      </c>
      <c r="D390" s="234"/>
      <c r="E390" s="218" t="s">
        <v>122</v>
      </c>
      <c r="F390" s="218" t="s">
        <v>121</v>
      </c>
      <c r="G390" s="218" t="s">
        <v>116</v>
      </c>
    </row>
    <row r="391" spans="2:7" x14ac:dyDescent="0.25">
      <c r="B391" s="221" t="s">
        <v>134</v>
      </c>
      <c r="C391" s="172" t="s">
        <v>26</v>
      </c>
      <c r="D391" s="233"/>
      <c r="E391" s="218" t="s">
        <v>122</v>
      </c>
      <c r="F391" s="218" t="s">
        <v>121</v>
      </c>
      <c r="G391" s="218" t="s">
        <v>116</v>
      </c>
    </row>
    <row r="392" spans="2:7" x14ac:dyDescent="0.25">
      <c r="B392" s="221" t="s">
        <v>135</v>
      </c>
      <c r="C392" s="172" t="s">
        <v>26</v>
      </c>
      <c r="D392" s="219"/>
      <c r="E392" s="218" t="s">
        <v>122</v>
      </c>
      <c r="F392" s="218" t="s">
        <v>121</v>
      </c>
      <c r="G392" s="218" t="s">
        <v>116</v>
      </c>
    </row>
    <row r="393" spans="2:7" x14ac:dyDescent="0.25">
      <c r="B393" s="221" t="s">
        <v>136</v>
      </c>
      <c r="C393" s="172" t="s">
        <v>26</v>
      </c>
      <c r="D393" s="219"/>
      <c r="E393" s="218" t="s">
        <v>122</v>
      </c>
      <c r="F393" s="218" t="s">
        <v>121</v>
      </c>
      <c r="G393" s="218" t="s">
        <v>116</v>
      </c>
    </row>
    <row r="394" spans="2:7" x14ac:dyDescent="0.25">
      <c r="B394" s="221" t="s">
        <v>62</v>
      </c>
      <c r="C394" s="172" t="s">
        <v>26</v>
      </c>
      <c r="D394" s="219"/>
      <c r="E394" s="218" t="s">
        <v>122</v>
      </c>
      <c r="F394" s="218" t="s">
        <v>121</v>
      </c>
      <c r="G394" s="218" t="s">
        <v>116</v>
      </c>
    </row>
    <row r="395" spans="2:7" x14ac:dyDescent="0.25">
      <c r="B395" s="221" t="s">
        <v>137</v>
      </c>
      <c r="C395" s="172" t="s">
        <v>26</v>
      </c>
      <c r="D395" s="219">
        <v>4.76</v>
      </c>
      <c r="E395" s="218" t="s">
        <v>122</v>
      </c>
      <c r="F395" s="218" t="s">
        <v>121</v>
      </c>
      <c r="G395" s="218" t="s">
        <v>116</v>
      </c>
    </row>
    <row r="396" spans="2:7" x14ac:dyDescent="0.25">
      <c r="B396" s="221" t="s">
        <v>138</v>
      </c>
      <c r="C396" s="172" t="s">
        <v>26</v>
      </c>
      <c r="D396" s="219">
        <v>0.06</v>
      </c>
      <c r="E396" s="218" t="s">
        <v>122</v>
      </c>
      <c r="F396" s="218" t="s">
        <v>121</v>
      </c>
      <c r="G396" s="218" t="s">
        <v>116</v>
      </c>
    </row>
    <row r="397" spans="2:7" x14ac:dyDescent="0.25">
      <c r="B397" s="221" t="s">
        <v>140</v>
      </c>
      <c r="C397" s="172" t="s">
        <v>26</v>
      </c>
      <c r="D397" s="219">
        <v>0.06</v>
      </c>
      <c r="E397" s="218" t="s">
        <v>122</v>
      </c>
      <c r="F397" s="218" t="s">
        <v>121</v>
      </c>
      <c r="G397" s="218" t="s">
        <v>116</v>
      </c>
    </row>
    <row r="398" spans="2:7" ht="57.75" x14ac:dyDescent="0.25">
      <c r="B398" s="127" t="s">
        <v>100</v>
      </c>
      <c r="C398" s="128"/>
      <c r="D398" s="233">
        <v>96.59999999999998</v>
      </c>
      <c r="E398" s="218" t="s">
        <v>123</v>
      </c>
      <c r="F398" s="218" t="s">
        <v>121</v>
      </c>
      <c r="G398" s="218" t="s">
        <v>116</v>
      </c>
    </row>
    <row r="399" spans="2:7" ht="30" x14ac:dyDescent="0.25">
      <c r="B399" s="220" t="s">
        <v>39</v>
      </c>
      <c r="C399" s="172"/>
      <c r="D399" s="219"/>
      <c r="E399" s="218" t="s">
        <v>123</v>
      </c>
      <c r="F399" s="218" t="s">
        <v>121</v>
      </c>
      <c r="G399" s="218" t="s">
        <v>116</v>
      </c>
    </row>
    <row r="400" spans="2:7" x14ac:dyDescent="0.25">
      <c r="B400" s="221" t="s">
        <v>61</v>
      </c>
      <c r="C400" s="172" t="s">
        <v>25</v>
      </c>
      <c r="D400" s="219">
        <v>5</v>
      </c>
      <c r="E400" s="218" t="s">
        <v>123</v>
      </c>
      <c r="F400" s="218" t="s">
        <v>121</v>
      </c>
      <c r="G400" s="218" t="s">
        <v>116</v>
      </c>
    </row>
    <row r="401" spans="2:7" x14ac:dyDescent="0.25">
      <c r="B401" s="222" t="s">
        <v>132</v>
      </c>
      <c r="C401" s="177" t="s">
        <v>25</v>
      </c>
      <c r="D401" s="219">
        <v>5</v>
      </c>
      <c r="E401" s="218" t="s">
        <v>123</v>
      </c>
      <c r="F401" s="218" t="s">
        <v>121</v>
      </c>
      <c r="G401" s="218" t="s">
        <v>116</v>
      </c>
    </row>
    <row r="402" spans="2:7" x14ac:dyDescent="0.25">
      <c r="B402" s="222" t="s">
        <v>133</v>
      </c>
      <c r="C402" s="177" t="s">
        <v>25</v>
      </c>
      <c r="D402" s="219">
        <v>2</v>
      </c>
      <c r="E402" s="218" t="s">
        <v>123</v>
      </c>
      <c r="F402" s="218" t="s">
        <v>121</v>
      </c>
      <c r="G402" s="218" t="s">
        <v>116</v>
      </c>
    </row>
    <row r="403" spans="2:7" x14ac:dyDescent="0.25">
      <c r="B403" s="222" t="s">
        <v>71</v>
      </c>
      <c r="C403" s="177" t="s">
        <v>25</v>
      </c>
      <c r="D403" s="219">
        <v>10</v>
      </c>
      <c r="E403" s="218" t="s">
        <v>123</v>
      </c>
      <c r="F403" s="218" t="s">
        <v>121</v>
      </c>
      <c r="G403" s="218" t="s">
        <v>116</v>
      </c>
    </row>
    <row r="404" spans="2:7" x14ac:dyDescent="0.25">
      <c r="B404" s="222" t="s">
        <v>134</v>
      </c>
      <c r="C404" s="177" t="s">
        <v>25</v>
      </c>
      <c r="D404" s="219">
        <v>5</v>
      </c>
      <c r="E404" s="218" t="s">
        <v>123</v>
      </c>
      <c r="F404" s="218" t="s">
        <v>121</v>
      </c>
      <c r="G404" s="218" t="s">
        <v>116</v>
      </c>
    </row>
    <row r="405" spans="2:7" x14ac:dyDescent="0.25">
      <c r="B405" s="222" t="s">
        <v>135</v>
      </c>
      <c r="C405" s="177" t="s">
        <v>59</v>
      </c>
      <c r="D405" s="219">
        <v>1</v>
      </c>
      <c r="E405" s="218" t="s">
        <v>123</v>
      </c>
      <c r="F405" s="218" t="s">
        <v>121</v>
      </c>
      <c r="G405" s="218" t="s">
        <v>116</v>
      </c>
    </row>
    <row r="406" spans="2:7" x14ac:dyDescent="0.25">
      <c r="B406" s="222" t="s">
        <v>136</v>
      </c>
      <c r="C406" s="177" t="s">
        <v>59</v>
      </c>
      <c r="D406" s="219">
        <v>1</v>
      </c>
      <c r="E406" s="218" t="s">
        <v>123</v>
      </c>
      <c r="F406" s="218" t="s">
        <v>121</v>
      </c>
      <c r="G406" s="218" t="s">
        <v>116</v>
      </c>
    </row>
    <row r="407" spans="2:7" x14ac:dyDescent="0.25">
      <c r="B407" s="222" t="s">
        <v>62</v>
      </c>
      <c r="C407" s="177" t="s">
        <v>60</v>
      </c>
      <c r="D407" s="219">
        <v>66</v>
      </c>
      <c r="E407" s="218" t="s">
        <v>123</v>
      </c>
      <c r="F407" s="218" t="s">
        <v>121</v>
      </c>
      <c r="G407" s="218" t="s">
        <v>116</v>
      </c>
    </row>
    <row r="408" spans="2:7" x14ac:dyDescent="0.25">
      <c r="B408" s="222" t="s">
        <v>137</v>
      </c>
      <c r="C408" s="177" t="s">
        <v>59</v>
      </c>
      <c r="D408" s="219"/>
      <c r="E408" s="218" t="s">
        <v>123</v>
      </c>
      <c r="F408" s="218" t="s">
        <v>121</v>
      </c>
      <c r="G408" s="218" t="s">
        <v>116</v>
      </c>
    </row>
    <row r="409" spans="2:7" x14ac:dyDescent="0.25">
      <c r="B409" s="223" t="s">
        <v>138</v>
      </c>
      <c r="C409" s="177" t="s">
        <v>59</v>
      </c>
      <c r="D409" s="219"/>
      <c r="E409" s="218" t="s">
        <v>123</v>
      </c>
      <c r="F409" s="218" t="s">
        <v>121</v>
      </c>
      <c r="G409" s="218" t="s">
        <v>116</v>
      </c>
    </row>
    <row r="410" spans="2:7" x14ac:dyDescent="0.25">
      <c r="B410" s="223" t="s">
        <v>139</v>
      </c>
      <c r="C410" s="177" t="s">
        <v>59</v>
      </c>
      <c r="D410" s="219"/>
      <c r="E410" s="218" t="s">
        <v>123</v>
      </c>
      <c r="F410" s="218" t="s">
        <v>121</v>
      </c>
      <c r="G410" s="218" t="s">
        <v>116</v>
      </c>
    </row>
    <row r="411" spans="2:7" ht="30" x14ac:dyDescent="0.25">
      <c r="B411" s="220" t="s">
        <v>40</v>
      </c>
      <c r="C411" s="172" t="s">
        <v>26</v>
      </c>
      <c r="D411" s="219"/>
      <c r="E411" s="218" t="s">
        <v>123</v>
      </c>
      <c r="F411" s="218" t="s">
        <v>121</v>
      </c>
      <c r="G411" s="218" t="s">
        <v>116</v>
      </c>
    </row>
    <row r="412" spans="2:7" x14ac:dyDescent="0.25">
      <c r="B412" s="221" t="s">
        <v>61</v>
      </c>
      <c r="C412" s="172" t="s">
        <v>26</v>
      </c>
      <c r="D412" s="219">
        <v>2.472</v>
      </c>
      <c r="E412" s="218" t="s">
        <v>123</v>
      </c>
      <c r="F412" s="218" t="s">
        <v>121</v>
      </c>
      <c r="G412" s="218" t="s">
        <v>116</v>
      </c>
    </row>
    <row r="413" spans="2:7" x14ac:dyDescent="0.25">
      <c r="B413" s="221" t="s">
        <v>132</v>
      </c>
      <c r="C413" s="172" t="s">
        <v>26</v>
      </c>
      <c r="D413" s="219">
        <v>2.5139999999999998</v>
      </c>
      <c r="E413" s="218" t="s">
        <v>123</v>
      </c>
      <c r="F413" s="218" t="s">
        <v>121</v>
      </c>
      <c r="G413" s="218" t="s">
        <v>116</v>
      </c>
    </row>
    <row r="414" spans="2:7" x14ac:dyDescent="0.25">
      <c r="B414" s="221" t="s">
        <v>133</v>
      </c>
      <c r="C414" s="172" t="s">
        <v>26</v>
      </c>
      <c r="D414" s="219">
        <v>5.31</v>
      </c>
      <c r="E414" s="218" t="s">
        <v>123</v>
      </c>
      <c r="F414" s="218" t="s">
        <v>121</v>
      </c>
      <c r="G414" s="218" t="s">
        <v>116</v>
      </c>
    </row>
    <row r="415" spans="2:7" x14ac:dyDescent="0.25">
      <c r="B415" s="221" t="s">
        <v>71</v>
      </c>
      <c r="C415" s="172" t="s">
        <v>26</v>
      </c>
      <c r="D415" s="219">
        <v>2.86</v>
      </c>
      <c r="E415" s="218" t="s">
        <v>123</v>
      </c>
      <c r="F415" s="218" t="s">
        <v>121</v>
      </c>
      <c r="G415" s="218" t="s">
        <v>116</v>
      </c>
    </row>
    <row r="416" spans="2:7" x14ac:dyDescent="0.25">
      <c r="B416" s="221" t="s">
        <v>134</v>
      </c>
      <c r="C416" s="172" t="s">
        <v>26</v>
      </c>
      <c r="D416" s="219">
        <v>3.0459999999999998</v>
      </c>
      <c r="E416" s="218" t="s">
        <v>123</v>
      </c>
      <c r="F416" s="218" t="s">
        <v>121</v>
      </c>
      <c r="G416" s="218" t="s">
        <v>116</v>
      </c>
    </row>
    <row r="417" spans="2:7" x14ac:dyDescent="0.25">
      <c r="B417" s="221" t="s">
        <v>135</v>
      </c>
      <c r="C417" s="172" t="s">
        <v>26</v>
      </c>
      <c r="D417" s="219">
        <v>1.38</v>
      </c>
      <c r="E417" s="218" t="s">
        <v>123</v>
      </c>
      <c r="F417" s="218" t="s">
        <v>121</v>
      </c>
      <c r="G417" s="218" t="s">
        <v>116</v>
      </c>
    </row>
    <row r="418" spans="2:7" x14ac:dyDescent="0.25">
      <c r="B418" s="221" t="s">
        <v>136</v>
      </c>
      <c r="C418" s="172" t="s">
        <v>26</v>
      </c>
      <c r="D418" s="219">
        <v>1.32</v>
      </c>
      <c r="E418" s="218" t="s">
        <v>123</v>
      </c>
      <c r="F418" s="218" t="s">
        <v>121</v>
      </c>
      <c r="G418" s="218" t="s">
        <v>116</v>
      </c>
    </row>
    <row r="419" spans="2:7" x14ac:dyDescent="0.25">
      <c r="B419" s="221" t="s">
        <v>62</v>
      </c>
      <c r="C419" s="172" t="s">
        <v>26</v>
      </c>
      <c r="D419" s="219">
        <v>0.22</v>
      </c>
      <c r="E419" s="218" t="s">
        <v>123</v>
      </c>
      <c r="F419" s="218" t="s">
        <v>121</v>
      </c>
      <c r="G419" s="218" t="s">
        <v>116</v>
      </c>
    </row>
    <row r="420" spans="2:7" x14ac:dyDescent="0.25">
      <c r="B420" s="221" t="s">
        <v>137</v>
      </c>
      <c r="C420" s="172" t="s">
        <v>26</v>
      </c>
      <c r="D420" s="219"/>
      <c r="E420" s="218" t="s">
        <v>123</v>
      </c>
      <c r="F420" s="218" t="s">
        <v>121</v>
      </c>
      <c r="G420" s="218" t="s">
        <v>116</v>
      </c>
    </row>
    <row r="421" spans="2:7" x14ac:dyDescent="0.25">
      <c r="B421" s="221" t="s">
        <v>138</v>
      </c>
      <c r="C421" s="172" t="s">
        <v>26</v>
      </c>
      <c r="D421" s="219"/>
      <c r="E421" s="218" t="s">
        <v>123</v>
      </c>
      <c r="F421" s="218" t="s">
        <v>121</v>
      </c>
      <c r="G421" s="218" t="s">
        <v>116</v>
      </c>
    </row>
    <row r="422" spans="2:7" x14ac:dyDescent="0.25">
      <c r="B422" s="221" t="s">
        <v>140</v>
      </c>
      <c r="C422" s="172" t="s">
        <v>26</v>
      </c>
      <c r="D422" s="219"/>
      <c r="E422" s="218" t="s">
        <v>123</v>
      </c>
      <c r="F422" s="218" t="s">
        <v>121</v>
      </c>
      <c r="G422" s="218" t="s">
        <v>116</v>
      </c>
    </row>
    <row r="423" spans="2:7" ht="29.25" x14ac:dyDescent="0.25">
      <c r="B423" s="241" t="s">
        <v>101</v>
      </c>
      <c r="C423" s="242"/>
      <c r="D423" s="233">
        <v>15499.471908594263</v>
      </c>
      <c r="E423" s="218" t="s">
        <v>99</v>
      </c>
      <c r="F423" s="218" t="s">
        <v>121</v>
      </c>
      <c r="G423" s="218" t="s">
        <v>116</v>
      </c>
    </row>
    <row r="424" spans="2:7" ht="60" x14ac:dyDescent="0.25">
      <c r="B424" s="132" t="s">
        <v>117</v>
      </c>
      <c r="C424" s="120" t="s">
        <v>30</v>
      </c>
      <c r="D424" s="219">
        <v>110380.73</v>
      </c>
      <c r="E424" s="218" t="s">
        <v>99</v>
      </c>
      <c r="F424" s="218" t="s">
        <v>121</v>
      </c>
      <c r="G424" s="218" t="s">
        <v>116</v>
      </c>
    </row>
    <row r="425" spans="2:7" x14ac:dyDescent="0.25">
      <c r="B425" s="132" t="s">
        <v>118</v>
      </c>
      <c r="C425" s="120" t="s">
        <v>7</v>
      </c>
      <c r="D425" s="219">
        <v>185411.79999999996</v>
      </c>
      <c r="E425" s="218" t="s">
        <v>99</v>
      </c>
      <c r="F425" s="218" t="s">
        <v>121</v>
      </c>
      <c r="G425" s="218" t="s">
        <v>116</v>
      </c>
    </row>
    <row r="426" spans="2:7" ht="60" x14ac:dyDescent="0.25">
      <c r="B426" s="132" t="s">
        <v>119</v>
      </c>
      <c r="C426" s="120" t="s">
        <v>30</v>
      </c>
      <c r="D426" s="219">
        <v>169015.44</v>
      </c>
      <c r="E426" s="218" t="s">
        <v>99</v>
      </c>
      <c r="F426" s="218" t="s">
        <v>121</v>
      </c>
      <c r="G426" s="218" t="s">
        <v>116</v>
      </c>
    </row>
    <row r="427" spans="2:7" x14ac:dyDescent="0.25">
      <c r="B427" s="132" t="s">
        <v>120</v>
      </c>
      <c r="C427" s="120" t="s">
        <v>7</v>
      </c>
      <c r="D427" s="219">
        <v>248946.66900000008</v>
      </c>
      <c r="E427" s="218" t="s">
        <v>99</v>
      </c>
      <c r="F427" s="218" t="s">
        <v>121</v>
      </c>
      <c r="G427" s="218" t="s">
        <v>116</v>
      </c>
    </row>
    <row r="428" spans="2:7" ht="29.25" x14ac:dyDescent="0.25">
      <c r="B428" s="241" t="s">
        <v>101</v>
      </c>
      <c r="C428" s="242"/>
      <c r="D428" s="233">
        <v>10485.040928081298</v>
      </c>
      <c r="E428" s="218" t="s">
        <v>122</v>
      </c>
      <c r="F428" s="218" t="s">
        <v>121</v>
      </c>
      <c r="G428" s="218" t="s">
        <v>116</v>
      </c>
    </row>
    <row r="429" spans="2:7" ht="60" x14ac:dyDescent="0.25">
      <c r="B429" s="132" t="s">
        <v>117</v>
      </c>
      <c r="C429" s="120" t="s">
        <v>30</v>
      </c>
      <c r="D429" s="219">
        <v>45565.9</v>
      </c>
      <c r="E429" s="218" t="s">
        <v>122</v>
      </c>
      <c r="F429" s="218" t="s">
        <v>121</v>
      </c>
      <c r="G429" s="218" t="s">
        <v>116</v>
      </c>
    </row>
    <row r="430" spans="2:7" x14ac:dyDescent="0.25">
      <c r="B430" s="132" t="s">
        <v>118</v>
      </c>
      <c r="C430" s="120" t="s">
        <v>7</v>
      </c>
      <c r="D430" s="219">
        <v>84612.799999999988</v>
      </c>
      <c r="E430" s="218" t="s">
        <v>122</v>
      </c>
      <c r="F430" s="218" t="s">
        <v>121</v>
      </c>
      <c r="G430" s="218" t="s">
        <v>116</v>
      </c>
    </row>
    <row r="431" spans="2:7" ht="60" x14ac:dyDescent="0.25">
      <c r="B431" s="132" t="s">
        <v>119</v>
      </c>
      <c r="C431" s="120" t="s">
        <v>30</v>
      </c>
      <c r="D431" s="219">
        <v>57357.82</v>
      </c>
      <c r="E431" s="218" t="s">
        <v>122</v>
      </c>
      <c r="F431" s="218" t="s">
        <v>121</v>
      </c>
      <c r="G431" s="218" t="s">
        <v>116</v>
      </c>
    </row>
    <row r="432" spans="2:7" x14ac:dyDescent="0.25">
      <c r="B432" s="132" t="s">
        <v>120</v>
      </c>
      <c r="C432" s="120" t="s">
        <v>7</v>
      </c>
      <c r="D432" s="219">
        <v>86585.624999999985</v>
      </c>
      <c r="E432" s="218" t="s">
        <v>122</v>
      </c>
      <c r="F432" s="218" t="s">
        <v>121</v>
      </c>
      <c r="G432" s="218" t="s">
        <v>116</v>
      </c>
    </row>
    <row r="433" spans="2:7" ht="29.25" x14ac:dyDescent="0.25">
      <c r="B433" s="241" t="s">
        <v>101</v>
      </c>
      <c r="C433" s="242"/>
      <c r="D433" s="233">
        <v>4970.7175888909569</v>
      </c>
      <c r="E433" s="218" t="s">
        <v>123</v>
      </c>
      <c r="F433" s="218" t="s">
        <v>121</v>
      </c>
      <c r="G433" s="218" t="s">
        <v>116</v>
      </c>
    </row>
    <row r="434" spans="2:7" ht="60" x14ac:dyDescent="0.25">
      <c r="B434" s="132" t="s">
        <v>117</v>
      </c>
      <c r="C434" s="120" t="s">
        <v>30</v>
      </c>
      <c r="D434" s="219">
        <v>38461.82</v>
      </c>
      <c r="E434" s="218" t="s">
        <v>123</v>
      </c>
      <c r="F434" s="218" t="s">
        <v>121</v>
      </c>
      <c r="G434" s="218" t="s">
        <v>116</v>
      </c>
    </row>
    <row r="435" spans="2:7" x14ac:dyDescent="0.25">
      <c r="B435" s="132" t="s">
        <v>118</v>
      </c>
      <c r="C435" s="120" t="s">
        <v>7</v>
      </c>
      <c r="D435" s="219">
        <v>55825.820000000007</v>
      </c>
      <c r="E435" s="218" t="s">
        <v>123</v>
      </c>
      <c r="F435" s="218" t="s">
        <v>121</v>
      </c>
      <c r="G435" s="218" t="s">
        <v>116</v>
      </c>
    </row>
    <row r="436" spans="2:7" ht="60" x14ac:dyDescent="0.25">
      <c r="B436" s="132" t="s">
        <v>119</v>
      </c>
      <c r="C436" s="120" t="s">
        <v>30</v>
      </c>
      <c r="D436" s="219">
        <v>46667.92</v>
      </c>
      <c r="E436" s="218" t="s">
        <v>123</v>
      </c>
      <c r="F436" s="218" t="s">
        <v>121</v>
      </c>
      <c r="G436" s="218" t="s">
        <v>116</v>
      </c>
    </row>
    <row r="437" spans="2:7" x14ac:dyDescent="0.25">
      <c r="B437" s="132" t="s">
        <v>120</v>
      </c>
      <c r="C437" s="120" t="s">
        <v>7</v>
      </c>
      <c r="D437" s="219">
        <v>59984.404465484637</v>
      </c>
      <c r="E437" s="218" t="s">
        <v>123</v>
      </c>
      <c r="F437" s="218" t="s">
        <v>121</v>
      </c>
      <c r="G437" s="218" t="s">
        <v>116</v>
      </c>
    </row>
  </sheetData>
  <mergeCells count="1">
    <mergeCell ref="B1:G2"/>
  </mergeCells>
  <phoneticPr fontId="20" type="noConversion"/>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C6BDB-BB19-42DD-88DB-466036653625}">
  <dimension ref="B2:BV9"/>
  <sheetViews>
    <sheetView topLeftCell="N1" workbookViewId="0">
      <selection activeCell="C7" sqref="C7 E7 G7 I7 K7 M7 O7 Q7 S7 U7 W7 Y7 AA7 AC7 AE7 AG7 AI7 AK7 AM7 AO7 AQ7 AS7 AU7 AW7 AY7 BA7 BC7 BE7 BG7 BI7 BK7 BM7 BO7 BQ7 BS7 BU7"/>
    </sheetView>
  </sheetViews>
  <sheetFormatPr defaultColWidth="9.140625" defaultRowHeight="15" x14ac:dyDescent="0.25"/>
  <cols>
    <col min="1" max="1" width="3.7109375" style="92" customWidth="1"/>
    <col min="2" max="2" width="32.7109375" style="92" bestFit="1" customWidth="1"/>
    <col min="3" max="74" width="14.7109375" style="92" customWidth="1"/>
    <col min="75" max="16384" width="9.140625" style="92"/>
  </cols>
  <sheetData>
    <row r="2" spans="2:74" x14ac:dyDescent="0.25">
      <c r="B2" s="91" t="s">
        <v>89</v>
      </c>
      <c r="D2" s="93" t="str">
        <f ca="1">_xll.PALO.VIEW.DIMNAME($B$2,$B$3,0,0)</f>
        <v>ContractNo</v>
      </c>
      <c r="E2" s="93" t="str">
        <f ca="1">_xll.PALO.VIEW.DIMNAME($B$2,$B$3,0,1)</f>
        <v>Region</v>
      </c>
      <c r="F2" s="93" t="str">
        <f ca="1">_xll.PALO.VIEW.DIMNAME($B$2,$B$3,0,2)</f>
        <v>Period_type</v>
      </c>
      <c r="G2" s="93" t="str">
        <f ca="1">_xll.PALO.VIEW.DIMNAME($B$2,$B$3,0,3)</f>
        <v>Report_type</v>
      </c>
      <c r="H2" s="93" t="str">
        <f ca="1">_xll.PALO.VIEW.DIMNAME($B$2,$B$3,0,4)</f>
        <v>Vertibas</v>
      </c>
      <c r="I2" s="93" t="str">
        <f ca="1">_xll.PALO.VIEW.DIMNAME($B$2,$B$3,0,5)</f>
        <v>Traffic</v>
      </c>
    </row>
    <row r="3" spans="2:74" x14ac:dyDescent="0.25">
      <c r="B3" s="94" t="str">
        <f ca="1">_xll.PALO.CUBE($B$2,"PnL_")</f>
        <v xml:space="preserve">	02f513aaa8023d4d71048152dadd6cce77dcb9d7</v>
      </c>
      <c r="D3" s="95" t="str">
        <f ca="1">_xll.PALO.ENAME($B$2,$B$3,0,0,0)</f>
        <v>Visi_ligumi</v>
      </c>
      <c r="E3" s="95" t="str">
        <f ca="1">_xll.PALO.ENAME($B$2,$B$3,0,1,0)</f>
        <v>Visi regioni</v>
      </c>
      <c r="F3" s="96" t="str">
        <f ca="1">_xll.PALO.ENAME($B$2,$B$3,0,2,0)</f>
        <v>MONTH</v>
      </c>
      <c r="G3" s="96" t="str">
        <f ca="1">_xll.PALO.ENAME($B$2,$B$3,0,3,0)</f>
        <v>FACTUAL</v>
      </c>
      <c r="H3" s="95" t="str">
        <f ca="1">_xll.PALO.ENAME($B$2,$B$3,0,4,0)</f>
        <v>EUR [+]</v>
      </c>
      <c r="I3" s="95" t="str">
        <f ca="1">_xll.PALO.ENAME($B$2,$B$3,0,5,0)</f>
        <v>Visi marsruti</v>
      </c>
    </row>
    <row r="4" spans="2:74" x14ac:dyDescent="0.25">
      <c r="B4" s="97" t="s">
        <v>90</v>
      </c>
    </row>
    <row r="5" spans="2:74" x14ac:dyDescent="0.25">
      <c r="B5" s="98" t="s">
        <v>91</v>
      </c>
    </row>
    <row r="6" spans="2:74" x14ac:dyDescent="0.25">
      <c r="C6" s="99" t="str">
        <f ca="1">_xll.PALO.ENAME($B$2,$B$3,2,0,0)</f>
        <v>2019-03</v>
      </c>
      <c r="D6" s="100" t="str">
        <f ca="1">_xll.PALO.ENAME($B$2,$B$3,2,0,1)</f>
        <v>2019-03</v>
      </c>
      <c r="E6" s="100" t="str">
        <f ca="1">_xll.PALO.ENAME($B$2,$B$3,2,0,2)</f>
        <v>2019-03</v>
      </c>
      <c r="F6" s="100" t="str">
        <f ca="1">_xll.PALO.ENAME($B$2,$B$3,2,0,3)</f>
        <v>2019-03</v>
      </c>
      <c r="G6" s="100" t="str">
        <f ca="1">_xll.PALO.ENAME($B$2,$B$3,2,0,4)</f>
        <v>2019-03</v>
      </c>
      <c r="H6" s="100" t="str">
        <f ca="1">_xll.PALO.ENAME($B$2,$B$3,2,0,5)</f>
        <v>2019-03</v>
      </c>
      <c r="I6" s="99" t="str">
        <f ca="1">_xll.PALO.ENAME($B$2,$B$3,2,0,6)</f>
        <v>2019-04</v>
      </c>
      <c r="J6" s="100" t="str">
        <f ca="1">_xll.PALO.ENAME($B$2,$B$3,2,0,7)</f>
        <v>2019-04</v>
      </c>
      <c r="K6" s="100" t="str">
        <f ca="1">_xll.PALO.ENAME($B$2,$B$3,2,0,8)</f>
        <v>2019-04</v>
      </c>
      <c r="L6" s="100" t="str">
        <f ca="1">_xll.PALO.ENAME($B$2,$B$3,2,0,9)</f>
        <v>2019-04</v>
      </c>
      <c r="M6" s="100" t="str">
        <f ca="1">_xll.PALO.ENAME($B$2,$B$3,2,0,10)</f>
        <v>2019-04</v>
      </c>
      <c r="N6" s="100" t="str">
        <f ca="1">_xll.PALO.ENAME($B$2,$B$3,2,0,11)</f>
        <v>2019-04</v>
      </c>
      <c r="O6" s="99" t="str">
        <f ca="1">_xll.PALO.ENAME($B$2,$B$3,2,0,12)</f>
        <v>2019-05</v>
      </c>
      <c r="P6" s="100" t="str">
        <f ca="1">_xll.PALO.ENAME($B$2,$B$3,2,0,13)</f>
        <v>2019-05</v>
      </c>
      <c r="Q6" s="100" t="str">
        <f ca="1">_xll.PALO.ENAME($B$2,$B$3,2,0,14)</f>
        <v>2019-05</v>
      </c>
      <c r="R6" s="100" t="str">
        <f ca="1">_xll.PALO.ENAME($B$2,$B$3,2,0,15)</f>
        <v>2019-05</v>
      </c>
      <c r="S6" s="100" t="str">
        <f ca="1">_xll.PALO.ENAME($B$2,$B$3,2,0,16)</f>
        <v>2019-05</v>
      </c>
      <c r="T6" s="100" t="str">
        <f ca="1">_xll.PALO.ENAME($B$2,$B$3,2,0,17)</f>
        <v>2019-05</v>
      </c>
      <c r="U6" s="99" t="str">
        <f ca="1">_xll.PALO.ENAME($B$2,$B$3,2,0,18)</f>
        <v>2019-06</v>
      </c>
      <c r="V6" s="100" t="str">
        <f ca="1">_xll.PALO.ENAME($B$2,$B$3,2,0,19)</f>
        <v>2019-06</v>
      </c>
      <c r="W6" s="100" t="str">
        <f ca="1">_xll.PALO.ENAME($B$2,$B$3,2,0,20)</f>
        <v>2019-06</v>
      </c>
      <c r="X6" s="100" t="str">
        <f ca="1">_xll.PALO.ENAME($B$2,$B$3,2,0,21)</f>
        <v>2019-06</v>
      </c>
      <c r="Y6" s="100" t="str">
        <f ca="1">_xll.PALO.ENAME($B$2,$B$3,2,0,22)</f>
        <v>2019-06</v>
      </c>
      <c r="Z6" s="100" t="str">
        <f ca="1">_xll.PALO.ENAME($B$2,$B$3,2,0,23)</f>
        <v>2019-06</v>
      </c>
      <c r="AA6" s="99" t="str">
        <f ca="1">_xll.PALO.ENAME($B$2,$B$3,2,0,24)</f>
        <v>2020-03</v>
      </c>
      <c r="AB6" s="100" t="str">
        <f ca="1">_xll.PALO.ENAME($B$2,$B$3,2,0,25)</f>
        <v>2020-03</v>
      </c>
      <c r="AC6" s="100" t="str">
        <f ca="1">_xll.PALO.ENAME($B$2,$B$3,2,0,26)</f>
        <v>2020-03</v>
      </c>
      <c r="AD6" s="100" t="str">
        <f ca="1">_xll.PALO.ENAME($B$2,$B$3,2,0,27)</f>
        <v>2020-03</v>
      </c>
      <c r="AE6" s="100" t="str">
        <f ca="1">_xll.PALO.ENAME($B$2,$B$3,2,0,28)</f>
        <v>2020-03</v>
      </c>
      <c r="AF6" s="100" t="str">
        <f ca="1">_xll.PALO.ENAME($B$2,$B$3,2,0,29)</f>
        <v>2020-03</v>
      </c>
      <c r="AG6" s="99" t="str">
        <f ca="1">_xll.PALO.ENAME($B$2,$B$3,2,0,30)</f>
        <v>2020-04</v>
      </c>
      <c r="AH6" s="100" t="str">
        <f ca="1">_xll.PALO.ENAME($B$2,$B$3,2,0,31)</f>
        <v>2020-04</v>
      </c>
      <c r="AI6" s="100" t="str">
        <f ca="1">_xll.PALO.ENAME($B$2,$B$3,2,0,32)</f>
        <v>2020-04</v>
      </c>
      <c r="AJ6" s="100" t="str">
        <f ca="1">_xll.PALO.ENAME($B$2,$B$3,2,0,33)</f>
        <v>2020-04</v>
      </c>
      <c r="AK6" s="100" t="str">
        <f ca="1">_xll.PALO.ENAME($B$2,$B$3,2,0,34)</f>
        <v>2020-04</v>
      </c>
      <c r="AL6" s="100" t="str">
        <f ca="1">_xll.PALO.ENAME($B$2,$B$3,2,0,35)</f>
        <v>2020-04</v>
      </c>
      <c r="AM6" s="99" t="str">
        <f ca="1">_xll.PALO.ENAME($B$2,$B$3,2,0,36)</f>
        <v>2020-05</v>
      </c>
      <c r="AN6" s="100" t="str">
        <f ca="1">_xll.PALO.ENAME($B$2,$B$3,2,0,37)</f>
        <v>2020-05</v>
      </c>
      <c r="AO6" s="100" t="str">
        <f ca="1">_xll.PALO.ENAME($B$2,$B$3,2,0,38)</f>
        <v>2020-05</v>
      </c>
      <c r="AP6" s="100" t="str">
        <f ca="1">_xll.PALO.ENAME($B$2,$B$3,2,0,39)</f>
        <v>2020-05</v>
      </c>
      <c r="AQ6" s="100" t="str">
        <f ca="1">_xll.PALO.ENAME($B$2,$B$3,2,0,40)</f>
        <v>2020-05</v>
      </c>
      <c r="AR6" s="100" t="str">
        <f ca="1">_xll.PALO.ENAME($B$2,$B$3,2,0,41)</f>
        <v>2020-05</v>
      </c>
      <c r="AS6" s="99" t="str">
        <f ca="1">_xll.PALO.ENAME($B$2,$B$3,2,0,42)</f>
        <v>2020-06</v>
      </c>
      <c r="AT6" s="100" t="str">
        <f ca="1">_xll.PALO.ENAME($B$2,$B$3,2,0,43)</f>
        <v>2020-06</v>
      </c>
      <c r="AU6" s="100" t="str">
        <f ca="1">_xll.PALO.ENAME($B$2,$B$3,2,0,44)</f>
        <v>2020-06</v>
      </c>
      <c r="AV6" s="100" t="str">
        <f ca="1">_xll.PALO.ENAME($B$2,$B$3,2,0,45)</f>
        <v>2020-06</v>
      </c>
      <c r="AW6" s="100" t="str">
        <f ca="1">_xll.PALO.ENAME($B$2,$B$3,2,0,46)</f>
        <v>2020-06</v>
      </c>
      <c r="AX6" s="100" t="str">
        <f ca="1">_xll.PALO.ENAME($B$2,$B$3,2,0,47)</f>
        <v>2020-06</v>
      </c>
      <c r="AY6" s="99" t="str">
        <f ca="1">_xll.PALO.ENAME($B$2,$B$3,2,0,48)</f>
        <v>2021-03</v>
      </c>
      <c r="AZ6" s="100" t="str">
        <f ca="1">_xll.PALO.ENAME($B$2,$B$3,2,0,49)</f>
        <v>2021-03</v>
      </c>
      <c r="BA6" s="100" t="str">
        <f ca="1">_xll.PALO.ENAME($B$2,$B$3,2,0,50)</f>
        <v>2021-03</v>
      </c>
      <c r="BB6" s="100" t="str">
        <f ca="1">_xll.PALO.ENAME($B$2,$B$3,2,0,51)</f>
        <v>2021-03</v>
      </c>
      <c r="BC6" s="100" t="str">
        <f ca="1">_xll.PALO.ENAME($B$2,$B$3,2,0,52)</f>
        <v>2021-03</v>
      </c>
      <c r="BD6" s="100" t="str">
        <f ca="1">_xll.PALO.ENAME($B$2,$B$3,2,0,53)</f>
        <v>2021-03</v>
      </c>
      <c r="BE6" s="99" t="str">
        <f ca="1">_xll.PALO.ENAME($B$2,$B$3,2,0,54)</f>
        <v>2021-04</v>
      </c>
      <c r="BF6" s="100" t="str">
        <f ca="1">_xll.PALO.ENAME($B$2,$B$3,2,0,55)</f>
        <v>2021-04</v>
      </c>
      <c r="BG6" s="100" t="str">
        <f ca="1">_xll.PALO.ENAME($B$2,$B$3,2,0,56)</f>
        <v>2021-04</v>
      </c>
      <c r="BH6" s="100" t="str">
        <f ca="1">_xll.PALO.ENAME($B$2,$B$3,2,0,57)</f>
        <v>2021-04</v>
      </c>
      <c r="BI6" s="100" t="str">
        <f ca="1">_xll.PALO.ENAME($B$2,$B$3,2,0,58)</f>
        <v>2021-04</v>
      </c>
      <c r="BJ6" s="100" t="str">
        <f ca="1">_xll.PALO.ENAME($B$2,$B$3,2,0,59)</f>
        <v>2021-04</v>
      </c>
      <c r="BK6" s="99" t="str">
        <f ca="1">_xll.PALO.ENAME($B$2,$B$3,2,0,60)</f>
        <v>2021-05</v>
      </c>
      <c r="BL6" s="100" t="str">
        <f ca="1">_xll.PALO.ENAME($B$2,$B$3,2,0,61)</f>
        <v>2021-05</v>
      </c>
      <c r="BM6" s="100" t="str">
        <f ca="1">_xll.PALO.ENAME($B$2,$B$3,2,0,62)</f>
        <v>2021-05</v>
      </c>
      <c r="BN6" s="100" t="str">
        <f ca="1">_xll.PALO.ENAME($B$2,$B$3,2,0,63)</f>
        <v>2021-05</v>
      </c>
      <c r="BO6" s="100" t="str">
        <f ca="1">_xll.PALO.ENAME($B$2,$B$3,2,0,64)</f>
        <v>2021-05</v>
      </c>
      <c r="BP6" s="100" t="str">
        <f ca="1">_xll.PALO.ENAME($B$2,$B$3,2,0,65)</f>
        <v>2021-05</v>
      </c>
      <c r="BQ6" s="99" t="str">
        <f ca="1">_xll.PALO.ENAME($B$2,$B$3,2,0,66)</f>
        <v>2021-06</v>
      </c>
      <c r="BR6" s="100" t="str">
        <f ca="1">_xll.PALO.ENAME($B$2,$B$3,2,0,67)</f>
        <v>2021-06</v>
      </c>
      <c r="BS6" s="100" t="str">
        <f ca="1">_xll.PALO.ENAME($B$2,$B$3,2,0,68)</f>
        <v>2021-06</v>
      </c>
      <c r="BT6" s="100" t="str">
        <f ca="1">_xll.PALO.ENAME($B$2,$B$3,2,0,69)</f>
        <v>2021-06</v>
      </c>
      <c r="BU6" s="100" t="str">
        <f ca="1">_xll.PALO.ENAME($B$2,$B$3,2,0,70)</f>
        <v>2021-06</v>
      </c>
      <c r="BV6" s="100" t="str">
        <f ca="1">_xll.PALO.ENAME($B$2,$B$3,2,0,71)</f>
        <v>2021-06</v>
      </c>
    </row>
    <row r="7" spans="2:74" ht="24.75" x14ac:dyDescent="0.25">
      <c r="C7" s="101" t="str">
        <f ca="1">_xll.PALO.ENAME($B$2,$B$3,2,1,0)</f>
        <v>Ieņēmumi</v>
      </c>
      <c r="D7" s="102" t="str">
        <f ca="1">_xll.PALO.ENAME($B$2,$B$3,2,1,1)</f>
        <v>Ieņēmumi</v>
      </c>
      <c r="E7" s="101" t="str">
        <f ca="1">_xll.PALO.ENAME($B$2,$B$3,2,1,2)</f>
        <v>Nobraukums maršrutu tīklā</v>
      </c>
      <c r="F7" s="102" t="str">
        <f ca="1">_xll.PALO.ENAME($B$2,$B$3,2,1,3)</f>
        <v>Nobraukums maršrutu tīklā</v>
      </c>
      <c r="G7" s="101" t="str">
        <f ca="1">_xll.PALO.ENAME($B$2,$B$3,2,1,4)</f>
        <v>Viena kilometra pašizmaksa (EUR)</v>
      </c>
      <c r="H7" s="102" t="str">
        <f ca="1">_xll.PALO.ENAME($B$2,$B$3,2,1,5)</f>
        <v>Viena kilometra pašizmaksa (EUR)</v>
      </c>
      <c r="I7" s="101" t="str">
        <f ca="1">_xll.PALO.ENAME($B$2,$B$3,2,1,6)</f>
        <v>Ieņēmumi</v>
      </c>
      <c r="J7" s="102" t="str">
        <f ca="1">_xll.PALO.ENAME($B$2,$B$3,2,1,7)</f>
        <v>Ieņēmumi</v>
      </c>
      <c r="K7" s="101" t="str">
        <f ca="1">_xll.PALO.ENAME($B$2,$B$3,2,1,8)</f>
        <v>Nobraukums maršrutu tīklā</v>
      </c>
      <c r="L7" s="102" t="str">
        <f ca="1">_xll.PALO.ENAME($B$2,$B$3,2,1,9)</f>
        <v>Nobraukums maršrutu tīklā</v>
      </c>
      <c r="M7" s="101" t="str">
        <f ca="1">_xll.PALO.ENAME($B$2,$B$3,2,1,10)</f>
        <v>Viena kilometra pašizmaksa (EUR)</v>
      </c>
      <c r="N7" s="102" t="str">
        <f ca="1">_xll.PALO.ENAME($B$2,$B$3,2,1,11)</f>
        <v>Viena kilometra pašizmaksa (EUR)</v>
      </c>
      <c r="O7" s="101" t="str">
        <f ca="1">_xll.PALO.ENAME($B$2,$B$3,2,1,12)</f>
        <v>Ieņēmumi</v>
      </c>
      <c r="P7" s="102" t="str">
        <f ca="1">_xll.PALO.ENAME($B$2,$B$3,2,1,13)</f>
        <v>Ieņēmumi</v>
      </c>
      <c r="Q7" s="101" t="str">
        <f ca="1">_xll.PALO.ENAME($B$2,$B$3,2,1,14)</f>
        <v>Nobraukums maršrutu tīklā</v>
      </c>
      <c r="R7" s="102" t="str">
        <f ca="1">_xll.PALO.ENAME($B$2,$B$3,2,1,15)</f>
        <v>Nobraukums maršrutu tīklā</v>
      </c>
      <c r="S7" s="101" t="str">
        <f ca="1">_xll.PALO.ENAME($B$2,$B$3,2,1,16)</f>
        <v>Viena kilometra pašizmaksa (EUR)</v>
      </c>
      <c r="T7" s="102" t="str">
        <f ca="1">_xll.PALO.ENAME($B$2,$B$3,2,1,17)</f>
        <v>Viena kilometra pašizmaksa (EUR)</v>
      </c>
      <c r="U7" s="101" t="str">
        <f ca="1">_xll.PALO.ENAME($B$2,$B$3,2,1,18)</f>
        <v>Ieņēmumi</v>
      </c>
      <c r="V7" s="102" t="str">
        <f ca="1">_xll.PALO.ENAME($B$2,$B$3,2,1,19)</f>
        <v>Ieņēmumi</v>
      </c>
      <c r="W7" s="101" t="str">
        <f ca="1">_xll.PALO.ENAME($B$2,$B$3,2,1,20)</f>
        <v>Nobraukums maršrutu tīklā</v>
      </c>
      <c r="X7" s="102" t="str">
        <f ca="1">_xll.PALO.ENAME($B$2,$B$3,2,1,21)</f>
        <v>Nobraukums maršrutu tīklā</v>
      </c>
      <c r="Y7" s="101" t="str">
        <f ca="1">_xll.PALO.ENAME($B$2,$B$3,2,1,22)</f>
        <v>Viena kilometra pašizmaksa (EUR)</v>
      </c>
      <c r="Z7" s="102" t="str">
        <f ca="1">_xll.PALO.ENAME($B$2,$B$3,2,1,23)</f>
        <v>Viena kilometra pašizmaksa (EUR)</v>
      </c>
      <c r="AA7" s="101" t="str">
        <f ca="1">_xll.PALO.ENAME($B$2,$B$3,2,1,24)</f>
        <v>Ieņēmumi</v>
      </c>
      <c r="AB7" s="102" t="str">
        <f ca="1">_xll.PALO.ENAME($B$2,$B$3,2,1,25)</f>
        <v>Ieņēmumi</v>
      </c>
      <c r="AC7" s="101" t="str">
        <f ca="1">_xll.PALO.ENAME($B$2,$B$3,2,1,26)</f>
        <v>Nobraukums maršrutu tīklā</v>
      </c>
      <c r="AD7" s="102" t="str">
        <f ca="1">_xll.PALO.ENAME($B$2,$B$3,2,1,27)</f>
        <v>Nobraukums maršrutu tīklā</v>
      </c>
      <c r="AE7" s="101" t="str">
        <f ca="1">_xll.PALO.ENAME($B$2,$B$3,2,1,28)</f>
        <v>Viena kilometra pašizmaksa (EUR)</v>
      </c>
      <c r="AF7" s="102" t="str">
        <f ca="1">_xll.PALO.ENAME($B$2,$B$3,2,1,29)</f>
        <v>Viena kilometra pašizmaksa (EUR)</v>
      </c>
      <c r="AG7" s="101" t="str">
        <f ca="1">_xll.PALO.ENAME($B$2,$B$3,2,1,30)</f>
        <v>Ieņēmumi</v>
      </c>
      <c r="AH7" s="102" t="str">
        <f ca="1">_xll.PALO.ENAME($B$2,$B$3,2,1,31)</f>
        <v>Ieņēmumi</v>
      </c>
      <c r="AI7" s="101" t="str">
        <f ca="1">_xll.PALO.ENAME($B$2,$B$3,2,1,32)</f>
        <v>Nobraukums maršrutu tīklā</v>
      </c>
      <c r="AJ7" s="102" t="str">
        <f ca="1">_xll.PALO.ENAME($B$2,$B$3,2,1,33)</f>
        <v>Nobraukums maršrutu tīklā</v>
      </c>
      <c r="AK7" s="101" t="str">
        <f ca="1">_xll.PALO.ENAME($B$2,$B$3,2,1,34)</f>
        <v>Viena kilometra pašizmaksa (EUR)</v>
      </c>
      <c r="AL7" s="102" t="str">
        <f ca="1">_xll.PALO.ENAME($B$2,$B$3,2,1,35)</f>
        <v>Viena kilometra pašizmaksa (EUR)</v>
      </c>
      <c r="AM7" s="101" t="str">
        <f ca="1">_xll.PALO.ENAME($B$2,$B$3,2,1,36)</f>
        <v>Ieņēmumi</v>
      </c>
      <c r="AN7" s="102" t="str">
        <f ca="1">_xll.PALO.ENAME($B$2,$B$3,2,1,37)</f>
        <v>Ieņēmumi</v>
      </c>
      <c r="AO7" s="101" t="str">
        <f ca="1">_xll.PALO.ENAME($B$2,$B$3,2,1,38)</f>
        <v>Nobraukums maršrutu tīklā</v>
      </c>
      <c r="AP7" s="102" t="str">
        <f ca="1">_xll.PALO.ENAME($B$2,$B$3,2,1,39)</f>
        <v>Nobraukums maršrutu tīklā</v>
      </c>
      <c r="AQ7" s="101" t="str">
        <f ca="1">_xll.PALO.ENAME($B$2,$B$3,2,1,40)</f>
        <v>Viena kilometra pašizmaksa (EUR)</v>
      </c>
      <c r="AR7" s="102" t="str">
        <f ca="1">_xll.PALO.ENAME($B$2,$B$3,2,1,41)</f>
        <v>Viena kilometra pašizmaksa (EUR)</v>
      </c>
      <c r="AS7" s="101" t="str">
        <f ca="1">_xll.PALO.ENAME($B$2,$B$3,2,1,42)</f>
        <v>Ieņēmumi</v>
      </c>
      <c r="AT7" s="102" t="str">
        <f ca="1">_xll.PALO.ENAME($B$2,$B$3,2,1,43)</f>
        <v>Ieņēmumi</v>
      </c>
      <c r="AU7" s="101" t="str">
        <f ca="1">_xll.PALO.ENAME($B$2,$B$3,2,1,44)</f>
        <v>Nobraukums maršrutu tīklā</v>
      </c>
      <c r="AV7" s="102" t="str">
        <f ca="1">_xll.PALO.ENAME($B$2,$B$3,2,1,45)</f>
        <v>Nobraukums maršrutu tīklā</v>
      </c>
      <c r="AW7" s="101" t="str">
        <f ca="1">_xll.PALO.ENAME($B$2,$B$3,2,1,46)</f>
        <v>Viena kilometra pašizmaksa (EUR)</v>
      </c>
      <c r="AX7" s="102" t="str">
        <f ca="1">_xll.PALO.ENAME($B$2,$B$3,2,1,47)</f>
        <v>Viena kilometra pašizmaksa (EUR)</v>
      </c>
      <c r="AY7" s="101" t="str">
        <f ca="1">_xll.PALO.ENAME($B$2,$B$3,2,1,48)</f>
        <v>Ieņēmumi</v>
      </c>
      <c r="AZ7" s="102" t="str">
        <f ca="1">_xll.PALO.ENAME($B$2,$B$3,2,1,49)</f>
        <v>Ieņēmumi</v>
      </c>
      <c r="BA7" s="101" t="str">
        <f ca="1">_xll.PALO.ENAME($B$2,$B$3,2,1,50)</f>
        <v>Nobraukums maršrutu tīklā</v>
      </c>
      <c r="BB7" s="102" t="str">
        <f ca="1">_xll.PALO.ENAME($B$2,$B$3,2,1,51)</f>
        <v>Nobraukums maršrutu tīklā</v>
      </c>
      <c r="BC7" s="101" t="str">
        <f ca="1">_xll.PALO.ENAME($B$2,$B$3,2,1,52)</f>
        <v>Viena kilometra pašizmaksa (EUR)</v>
      </c>
      <c r="BD7" s="102" t="str">
        <f ca="1">_xll.PALO.ENAME($B$2,$B$3,2,1,53)</f>
        <v>Viena kilometra pašizmaksa (EUR)</v>
      </c>
      <c r="BE7" s="101" t="str">
        <f ca="1">_xll.PALO.ENAME($B$2,$B$3,2,1,54)</f>
        <v>Ieņēmumi</v>
      </c>
      <c r="BF7" s="102" t="str">
        <f ca="1">_xll.PALO.ENAME($B$2,$B$3,2,1,55)</f>
        <v>Ieņēmumi</v>
      </c>
      <c r="BG7" s="101" t="str">
        <f ca="1">_xll.PALO.ENAME($B$2,$B$3,2,1,56)</f>
        <v>Nobraukums maršrutu tīklā</v>
      </c>
      <c r="BH7" s="102" t="str">
        <f ca="1">_xll.PALO.ENAME($B$2,$B$3,2,1,57)</f>
        <v>Nobraukums maršrutu tīklā</v>
      </c>
      <c r="BI7" s="101" t="str">
        <f ca="1">_xll.PALO.ENAME($B$2,$B$3,2,1,58)</f>
        <v>Viena kilometra pašizmaksa (EUR)</v>
      </c>
      <c r="BJ7" s="102" t="str">
        <f ca="1">_xll.PALO.ENAME($B$2,$B$3,2,1,59)</f>
        <v>Viena kilometra pašizmaksa (EUR)</v>
      </c>
      <c r="BK7" s="101" t="str">
        <f ca="1">_xll.PALO.ENAME($B$2,$B$3,2,1,60)</f>
        <v>Ieņēmumi</v>
      </c>
      <c r="BL7" s="102" t="str">
        <f ca="1">_xll.PALO.ENAME($B$2,$B$3,2,1,61)</f>
        <v>Ieņēmumi</v>
      </c>
      <c r="BM7" s="101" t="str">
        <f ca="1">_xll.PALO.ENAME($B$2,$B$3,2,1,62)</f>
        <v>Nobraukums maršrutu tīklā</v>
      </c>
      <c r="BN7" s="102" t="str">
        <f ca="1">_xll.PALO.ENAME($B$2,$B$3,2,1,63)</f>
        <v>Nobraukums maršrutu tīklā</v>
      </c>
      <c r="BO7" s="101" t="str">
        <f ca="1">_xll.PALO.ENAME($B$2,$B$3,2,1,64)</f>
        <v>Viena kilometra pašizmaksa (EUR)</v>
      </c>
      <c r="BP7" s="102" t="str">
        <f ca="1">_xll.PALO.ENAME($B$2,$B$3,2,1,65)</f>
        <v>Viena kilometra pašizmaksa (EUR)</v>
      </c>
      <c r="BQ7" s="101" t="str">
        <f ca="1">_xll.PALO.ENAME($B$2,$B$3,2,1,66)</f>
        <v>Ieņēmumi</v>
      </c>
      <c r="BR7" s="102" t="str">
        <f ca="1">_xll.PALO.ENAME($B$2,$B$3,2,1,67)</f>
        <v>Ieņēmumi</v>
      </c>
      <c r="BS7" s="101" t="str">
        <f ca="1">_xll.PALO.ENAME($B$2,$B$3,2,1,68)</f>
        <v>Nobraukums maršrutu tīklā</v>
      </c>
      <c r="BT7" s="102" t="str">
        <f ca="1">_xll.PALO.ENAME($B$2,$B$3,2,1,69)</f>
        <v>Nobraukums maršrutu tīklā</v>
      </c>
      <c r="BU7" s="101" t="str">
        <f ca="1">_xll.PALO.ENAME($B$2,$B$3,2,1,70)</f>
        <v>Viena kilometra pašizmaksa (EUR)</v>
      </c>
      <c r="BV7" s="102" t="str">
        <f ca="1">_xll.PALO.ENAME($B$2,$B$3,2,1,71)</f>
        <v>Viena kilometra pašizmaksa (EUR)</v>
      </c>
    </row>
    <row r="8" spans="2:74" x14ac:dyDescent="0.25">
      <c r="C8" s="103" t="str">
        <f ca="1">_xll.PALO.ENAME($B$2,$B$3,2,2,0)</f>
        <v>Bus</v>
      </c>
      <c r="D8" s="103" t="str">
        <f ca="1">_xll.PALO.ENAME($B$2,$B$3,2,2,1)</f>
        <v>Tram</v>
      </c>
      <c r="E8" s="103" t="str">
        <f ca="1">_xll.PALO.ENAME($B$2,$B$3,2,2,2)</f>
        <v>Bus</v>
      </c>
      <c r="F8" s="103" t="str">
        <f ca="1">_xll.PALO.ENAME($B$2,$B$3,2,2,3)</f>
        <v>Tram</v>
      </c>
      <c r="G8" s="103" t="str">
        <f ca="1">_xll.PALO.ENAME($B$2,$B$3,2,2,4)</f>
        <v>Bus</v>
      </c>
      <c r="H8" s="103" t="str">
        <f ca="1">_xll.PALO.ENAME($B$2,$B$3,2,2,5)</f>
        <v>Tram</v>
      </c>
      <c r="I8" s="103" t="str">
        <f ca="1">_xll.PALO.ENAME($B$2,$B$3,2,2,6)</f>
        <v>Bus</v>
      </c>
      <c r="J8" s="103" t="str">
        <f ca="1">_xll.PALO.ENAME($B$2,$B$3,2,2,7)</f>
        <v>Tram</v>
      </c>
      <c r="K8" s="103" t="str">
        <f ca="1">_xll.PALO.ENAME($B$2,$B$3,2,2,8)</f>
        <v>Bus</v>
      </c>
      <c r="L8" s="103" t="str">
        <f ca="1">_xll.PALO.ENAME($B$2,$B$3,2,2,9)</f>
        <v>Tram</v>
      </c>
      <c r="M8" s="103" t="str">
        <f ca="1">_xll.PALO.ENAME($B$2,$B$3,2,2,10)</f>
        <v>Bus</v>
      </c>
      <c r="N8" s="103" t="str">
        <f ca="1">_xll.PALO.ENAME($B$2,$B$3,2,2,11)</f>
        <v>Tram</v>
      </c>
      <c r="O8" s="103" t="str">
        <f ca="1">_xll.PALO.ENAME($B$2,$B$3,2,2,12)</f>
        <v>Bus</v>
      </c>
      <c r="P8" s="103" t="str">
        <f ca="1">_xll.PALO.ENAME($B$2,$B$3,2,2,13)</f>
        <v>Tram</v>
      </c>
      <c r="Q8" s="103" t="str">
        <f ca="1">_xll.PALO.ENAME($B$2,$B$3,2,2,14)</f>
        <v>Bus</v>
      </c>
      <c r="R8" s="103" t="str">
        <f ca="1">_xll.PALO.ENAME($B$2,$B$3,2,2,15)</f>
        <v>Tram</v>
      </c>
      <c r="S8" s="103" t="str">
        <f ca="1">_xll.PALO.ENAME($B$2,$B$3,2,2,16)</f>
        <v>Bus</v>
      </c>
      <c r="T8" s="103" t="str">
        <f ca="1">_xll.PALO.ENAME($B$2,$B$3,2,2,17)</f>
        <v>Tram</v>
      </c>
      <c r="U8" s="103" t="str">
        <f ca="1">_xll.PALO.ENAME($B$2,$B$3,2,2,18)</f>
        <v>Bus</v>
      </c>
      <c r="V8" s="103" t="str">
        <f ca="1">_xll.PALO.ENAME($B$2,$B$3,2,2,19)</f>
        <v>Tram</v>
      </c>
      <c r="W8" s="103" t="str">
        <f ca="1">_xll.PALO.ENAME($B$2,$B$3,2,2,20)</f>
        <v>Bus</v>
      </c>
      <c r="X8" s="103" t="str">
        <f ca="1">_xll.PALO.ENAME($B$2,$B$3,2,2,21)</f>
        <v>Tram</v>
      </c>
      <c r="Y8" s="103" t="str">
        <f ca="1">_xll.PALO.ENAME($B$2,$B$3,2,2,22)</f>
        <v>Bus</v>
      </c>
      <c r="Z8" s="103" t="str">
        <f ca="1">_xll.PALO.ENAME($B$2,$B$3,2,2,23)</f>
        <v>Tram</v>
      </c>
      <c r="AA8" s="103" t="str">
        <f ca="1">_xll.PALO.ENAME($B$2,$B$3,2,2,24)</f>
        <v>Bus</v>
      </c>
      <c r="AB8" s="103" t="str">
        <f ca="1">_xll.PALO.ENAME($B$2,$B$3,2,2,25)</f>
        <v>Tram</v>
      </c>
      <c r="AC8" s="103" t="str">
        <f ca="1">_xll.PALO.ENAME($B$2,$B$3,2,2,26)</f>
        <v>Bus</v>
      </c>
      <c r="AD8" s="103" t="str">
        <f ca="1">_xll.PALO.ENAME($B$2,$B$3,2,2,27)</f>
        <v>Tram</v>
      </c>
      <c r="AE8" s="103" t="str">
        <f ca="1">_xll.PALO.ENAME($B$2,$B$3,2,2,28)</f>
        <v>Bus</v>
      </c>
      <c r="AF8" s="103" t="str">
        <f ca="1">_xll.PALO.ENAME($B$2,$B$3,2,2,29)</f>
        <v>Tram</v>
      </c>
      <c r="AG8" s="103" t="str">
        <f ca="1">_xll.PALO.ENAME($B$2,$B$3,2,2,30)</f>
        <v>Bus</v>
      </c>
      <c r="AH8" s="103" t="str">
        <f ca="1">_xll.PALO.ENAME($B$2,$B$3,2,2,31)</f>
        <v>Tram</v>
      </c>
      <c r="AI8" s="103" t="str">
        <f ca="1">_xll.PALO.ENAME($B$2,$B$3,2,2,32)</f>
        <v>Bus</v>
      </c>
      <c r="AJ8" s="103" t="str">
        <f ca="1">_xll.PALO.ENAME($B$2,$B$3,2,2,33)</f>
        <v>Tram</v>
      </c>
      <c r="AK8" s="103" t="str">
        <f ca="1">_xll.PALO.ENAME($B$2,$B$3,2,2,34)</f>
        <v>Bus</v>
      </c>
      <c r="AL8" s="103" t="str">
        <f ca="1">_xll.PALO.ENAME($B$2,$B$3,2,2,35)</f>
        <v>Tram</v>
      </c>
      <c r="AM8" s="103" t="str">
        <f ca="1">_xll.PALO.ENAME($B$2,$B$3,2,2,36)</f>
        <v>Bus</v>
      </c>
      <c r="AN8" s="103" t="str">
        <f ca="1">_xll.PALO.ENAME($B$2,$B$3,2,2,37)</f>
        <v>Tram</v>
      </c>
      <c r="AO8" s="103" t="str">
        <f ca="1">_xll.PALO.ENAME($B$2,$B$3,2,2,38)</f>
        <v>Bus</v>
      </c>
      <c r="AP8" s="103" t="str">
        <f ca="1">_xll.PALO.ENAME($B$2,$B$3,2,2,39)</f>
        <v>Tram</v>
      </c>
      <c r="AQ8" s="103" t="str">
        <f ca="1">_xll.PALO.ENAME($B$2,$B$3,2,2,40)</f>
        <v>Bus</v>
      </c>
      <c r="AR8" s="103" t="str">
        <f ca="1">_xll.PALO.ENAME($B$2,$B$3,2,2,41)</f>
        <v>Tram</v>
      </c>
      <c r="AS8" s="103" t="str">
        <f ca="1">_xll.PALO.ENAME($B$2,$B$3,2,2,42)</f>
        <v>Bus</v>
      </c>
      <c r="AT8" s="103" t="str">
        <f ca="1">_xll.PALO.ENAME($B$2,$B$3,2,2,43)</f>
        <v>Tram</v>
      </c>
      <c r="AU8" s="103" t="str">
        <f ca="1">_xll.PALO.ENAME($B$2,$B$3,2,2,44)</f>
        <v>Bus</v>
      </c>
      <c r="AV8" s="103" t="str">
        <f ca="1">_xll.PALO.ENAME($B$2,$B$3,2,2,45)</f>
        <v>Tram</v>
      </c>
      <c r="AW8" s="103" t="str">
        <f ca="1">_xll.PALO.ENAME($B$2,$B$3,2,2,46)</f>
        <v>Bus</v>
      </c>
      <c r="AX8" s="103" t="str">
        <f ca="1">_xll.PALO.ENAME($B$2,$B$3,2,2,47)</f>
        <v>Tram</v>
      </c>
      <c r="AY8" s="103" t="str">
        <f ca="1">_xll.PALO.ENAME($B$2,$B$3,2,2,48)</f>
        <v>Bus</v>
      </c>
      <c r="AZ8" s="103" t="str">
        <f ca="1">_xll.PALO.ENAME($B$2,$B$3,2,2,49)</f>
        <v>Tram</v>
      </c>
      <c r="BA8" s="103" t="str">
        <f ca="1">_xll.PALO.ENAME($B$2,$B$3,2,2,50)</f>
        <v>Bus</v>
      </c>
      <c r="BB8" s="103" t="str">
        <f ca="1">_xll.PALO.ENAME($B$2,$B$3,2,2,51)</f>
        <v>Tram</v>
      </c>
      <c r="BC8" s="103" t="str">
        <f ca="1">_xll.PALO.ENAME($B$2,$B$3,2,2,52)</f>
        <v>Bus</v>
      </c>
      <c r="BD8" s="103" t="str">
        <f ca="1">_xll.PALO.ENAME($B$2,$B$3,2,2,53)</f>
        <v>Tram</v>
      </c>
      <c r="BE8" s="103" t="str">
        <f ca="1">_xll.PALO.ENAME($B$2,$B$3,2,2,54)</f>
        <v>Bus</v>
      </c>
      <c r="BF8" s="103" t="str">
        <f ca="1">_xll.PALO.ENAME($B$2,$B$3,2,2,55)</f>
        <v>Tram</v>
      </c>
      <c r="BG8" s="103" t="str">
        <f ca="1">_xll.PALO.ENAME($B$2,$B$3,2,2,56)</f>
        <v>Bus</v>
      </c>
      <c r="BH8" s="103" t="str">
        <f ca="1">_xll.PALO.ENAME($B$2,$B$3,2,2,57)</f>
        <v>Tram</v>
      </c>
      <c r="BI8" s="103" t="str">
        <f ca="1">_xll.PALO.ENAME($B$2,$B$3,2,2,58)</f>
        <v>Bus</v>
      </c>
      <c r="BJ8" s="103" t="str">
        <f ca="1">_xll.PALO.ENAME($B$2,$B$3,2,2,59)</f>
        <v>Tram</v>
      </c>
      <c r="BK8" s="103" t="str">
        <f ca="1">_xll.PALO.ENAME($B$2,$B$3,2,2,60)</f>
        <v>Bus</v>
      </c>
      <c r="BL8" s="103" t="str">
        <f ca="1">_xll.PALO.ENAME($B$2,$B$3,2,2,61)</f>
        <v>Tram</v>
      </c>
      <c r="BM8" s="103" t="str">
        <f ca="1">_xll.PALO.ENAME($B$2,$B$3,2,2,62)</f>
        <v>Bus</v>
      </c>
      <c r="BN8" s="103" t="str">
        <f ca="1">_xll.PALO.ENAME($B$2,$B$3,2,2,63)</f>
        <v>Tram</v>
      </c>
      <c r="BO8" s="103" t="str">
        <f ca="1">_xll.PALO.ENAME($B$2,$B$3,2,2,64)</f>
        <v>Bus</v>
      </c>
      <c r="BP8" s="103" t="str">
        <f ca="1">_xll.PALO.ENAME($B$2,$B$3,2,2,65)</f>
        <v>Tram</v>
      </c>
      <c r="BQ8" s="103" t="str">
        <f ca="1">_xll.PALO.ENAME($B$2,$B$3,2,2,66)</f>
        <v>Bus</v>
      </c>
      <c r="BR8" s="103" t="str">
        <f ca="1">_xll.PALO.ENAME($B$2,$B$3,2,2,67)</f>
        <v>Tram</v>
      </c>
      <c r="BS8" s="103" t="str">
        <f ca="1">_xll.PALO.ENAME($B$2,$B$3,2,2,68)</f>
        <v>Bus</v>
      </c>
      <c r="BT8" s="103" t="str">
        <f ca="1">_xll.PALO.ENAME($B$2,$B$3,2,2,69)</f>
        <v>Tram</v>
      </c>
      <c r="BU8" s="103" t="str">
        <f ca="1">_xll.PALO.ENAME($B$2,$B$3,2,2,70)</f>
        <v>Bus</v>
      </c>
      <c r="BV8" s="103" t="str">
        <f ca="1">_xll.PALO.ENAME($B$2,$B$3,2,2,71)</f>
        <v>Tram</v>
      </c>
    </row>
    <row r="9" spans="2:74" x14ac:dyDescent="0.25">
      <c r="B9" s="104" t="str">
        <f ca="1">_xll.PALO.ENAME($B$2,$B$3,1,0,0)</f>
        <v>LPPA "Liepājas sabiedriskais transports"</v>
      </c>
      <c r="C9" s="105">
        <f ca="1">_xll.PALO.DATA($B$2,$B$3,_xll.PALO.EL("Time",C$6),_xll.PALO.EL("Partner",$B9),_xll.PALO.EL($D$2,$D$3),_xll.PALO.EL($E$2,$E$3),_xll.PALO.EL($I$2,$I$3),_xll.PALO.EL($F$2,$F$3),_xll.PALO.EL($G$2,$G$3),_xll.PALO.EL("Transport",C$8),_xll.PALO.EL($H$2,$H$3),_xll.PALO.EL("Position",C$7))</f>
        <v>255532.3</v>
      </c>
      <c r="D9" s="105">
        <f ca="1">_xll.PALO.DATA($B$2,$B$3,_xll.PALO.EL("Time",D$6),_xll.PALO.EL("Partner",$B9),_xll.PALO.EL($D$2,$D$3),_xll.PALO.EL($E$2,$E$3),_xll.PALO.EL($I$2,$I$3),_xll.PALO.EL($F$2,$F$3),_xll.PALO.EL($G$2,$G$3),_xll.PALO.EL("Transport",D$8),_xll.PALO.EL($H$2,$H$3),_xll.PALO.EL("Position",D$7))</f>
        <v>46515.34</v>
      </c>
      <c r="E9" s="105">
        <f ca="1">_xll.PALO.DATA($B$2,$B$3,_xll.PALO.EL("Time",E$6),_xll.PALO.EL("Partner",$B9),_xll.PALO.EL($D$2,$D$3),_xll.PALO.EL($E$2,$E$3),_xll.PALO.EL($I$2,$I$3),_xll.PALO.EL($F$2,$F$3),_xll.PALO.EL($G$2,$G$3),_xll.PALO.EL("Transport",E$8),_xll.PALO.EL($H$2,$H$3),_xll.PALO.EL("Position",E$7))</f>
        <v>328818.45</v>
      </c>
      <c r="F9" s="105">
        <f ca="1">_xll.PALO.DATA($B$2,$B$3,_xll.PALO.EL("Time",F$6),_xll.PALO.EL("Partner",$B9),_xll.PALO.EL($D$2,$D$3),_xll.PALO.EL($E$2,$E$3),_xll.PALO.EL($I$2,$I$3),_xll.PALO.EL($F$2,$F$3),_xll.PALO.EL($G$2,$G$3),_xll.PALO.EL("Transport",F$8),_xll.PALO.EL($H$2,$H$3),_xll.PALO.EL("Position",F$7))</f>
        <v>59858.6</v>
      </c>
      <c r="G9" s="105">
        <f ca="1">_xll.PALO.DATA($B$2,$B$3,_xll.PALO.EL("Time",G$6),_xll.PALO.EL("Partner",$B9),_xll.PALO.EL($D$2,$D$3),_xll.PALO.EL($E$2,$E$3),_xll.PALO.EL($I$2,$I$3),_xll.PALO.EL($F$2,$F$3),_xll.PALO.EL($G$2,$G$3),_xll.PALO.EL("Transport",G$8),_xll.PALO.EL($H$2,$H$3),_xll.PALO.EL("Position",G$7))</f>
        <v>1.4</v>
      </c>
      <c r="H9" s="105">
        <f ca="1">_xll.PALO.DATA($B$2,$B$3,_xll.PALO.EL("Time",H$6),_xll.PALO.EL("Partner",$B9),_xll.PALO.EL($D$2,$D$3),_xll.PALO.EL($E$2,$E$3),_xll.PALO.EL($I$2,$I$3),_xll.PALO.EL($F$2,$F$3),_xll.PALO.EL($G$2,$G$3),_xll.PALO.EL("Transport",H$8),_xll.PALO.EL($H$2,$H$3),_xll.PALO.EL("Position",H$7))</f>
        <v>2.46</v>
      </c>
      <c r="I9" s="105">
        <f ca="1">_xll.PALO.DATA($B$2,$B$3,_xll.PALO.EL("Time",I$6),_xll.PALO.EL("Partner",$B9),_xll.PALO.EL($D$2,$D$3),_xll.PALO.EL($E$2,$E$3),_xll.PALO.EL($I$2,$I$3),_xll.PALO.EL($F$2,$F$3),_xll.PALO.EL($G$2,$G$3),_xll.PALO.EL("Transport",I$8),_xll.PALO.EL($H$2,$H$3),_xll.PALO.EL("Position",I$7))</f>
        <v>266391.34999999998</v>
      </c>
      <c r="J9" s="105">
        <f ca="1">_xll.PALO.DATA($B$2,$B$3,_xll.PALO.EL("Time",J$6),_xll.PALO.EL("Partner",$B9),_xll.PALO.EL($D$2,$D$3),_xll.PALO.EL($E$2,$E$3),_xll.PALO.EL($I$2,$I$3),_xll.PALO.EL($F$2,$F$3),_xll.PALO.EL($G$2,$G$3),_xll.PALO.EL("Transport",J$8),_xll.PALO.EL($H$2,$H$3),_xll.PALO.EL("Position",J$7))</f>
        <v>47823.5</v>
      </c>
      <c r="K9" s="105">
        <f ca="1">_xll.PALO.DATA($B$2,$B$3,_xll.PALO.EL("Time",K$6),_xll.PALO.EL("Partner",$B9),_xll.PALO.EL($D$2,$D$3),_xll.PALO.EL($E$2,$E$3),_xll.PALO.EL($I$2,$I$3),_xll.PALO.EL($F$2,$F$3),_xll.PALO.EL($G$2,$G$3),_xll.PALO.EL("Transport",K$8),_xll.PALO.EL($H$2,$H$3),_xll.PALO.EL("Position",K$7))</f>
        <v>322082.32</v>
      </c>
      <c r="L9" s="105">
        <f ca="1">_xll.PALO.DATA($B$2,$B$3,_xll.PALO.EL("Time",L$6),_xll.PALO.EL("Partner",$B9),_xll.PALO.EL($D$2,$D$3),_xll.PALO.EL($E$2,$E$3),_xll.PALO.EL($I$2,$I$3),_xll.PALO.EL($F$2,$F$3),_xll.PALO.EL($G$2,$G$3),_xll.PALO.EL("Transport",L$8),_xll.PALO.EL($H$2,$H$3),_xll.PALO.EL("Position",L$7))</f>
        <v>57831</v>
      </c>
      <c r="M9" s="105">
        <f ca="1">_xll.PALO.DATA($B$2,$B$3,_xll.PALO.EL("Time",M$6),_xll.PALO.EL("Partner",$B9),_xll.PALO.EL($D$2,$D$3),_xll.PALO.EL($E$2,$E$3),_xll.PALO.EL($I$2,$I$3),_xll.PALO.EL($F$2,$F$3),_xll.PALO.EL($G$2,$G$3),_xll.PALO.EL("Transport",M$8),_xll.PALO.EL($H$2,$H$3),_xll.PALO.EL("Position",M$7))</f>
        <v>1.3978999999999999</v>
      </c>
      <c r="N9" s="105">
        <f ca="1">_xll.PALO.DATA($B$2,$B$3,_xll.PALO.EL("Time",N$6),_xll.PALO.EL("Partner",$B9),_xll.PALO.EL($D$2,$D$3),_xll.PALO.EL($E$2,$E$3),_xll.PALO.EL($I$2,$I$3),_xll.PALO.EL($F$2,$F$3),_xll.PALO.EL($G$2,$G$3),_xll.PALO.EL("Transport",N$8),_xll.PALO.EL($H$2,$H$3),_xll.PALO.EL("Position",N$7))</f>
        <v>2.4581</v>
      </c>
      <c r="O9" s="105">
        <f ca="1">_xll.PALO.DATA($B$2,$B$3,_xll.PALO.EL("Time",O$6),_xll.PALO.EL("Partner",$B9),_xll.PALO.EL($D$2,$D$3),_xll.PALO.EL($E$2,$E$3),_xll.PALO.EL($I$2,$I$3),_xll.PALO.EL($F$2,$F$3),_xll.PALO.EL($G$2,$G$3),_xll.PALO.EL("Transport",O$8),_xll.PALO.EL($H$2,$H$3),_xll.PALO.EL("Position",O$7))</f>
        <v>239647.78</v>
      </c>
      <c r="P9" s="105">
        <f ca="1">_xll.PALO.DATA($B$2,$B$3,_xll.PALO.EL("Time",P$6),_xll.PALO.EL("Partner",$B9),_xll.PALO.EL($D$2,$D$3),_xll.PALO.EL($E$2,$E$3),_xll.PALO.EL($I$2,$I$3),_xll.PALO.EL($F$2,$F$3),_xll.PALO.EL($G$2,$G$3),_xll.PALO.EL("Transport",P$8),_xll.PALO.EL($H$2,$H$3),_xll.PALO.EL("Position",P$7))</f>
        <v>42955.73</v>
      </c>
      <c r="Q9" s="105">
        <f ca="1">_xll.PALO.DATA($B$2,$B$3,_xll.PALO.EL("Time",Q$6),_xll.PALO.EL("Partner",$B9),_xll.PALO.EL($D$2,$D$3),_xll.PALO.EL($E$2,$E$3),_xll.PALO.EL($I$2,$I$3),_xll.PALO.EL($F$2,$F$3),_xll.PALO.EL($G$2,$G$3),_xll.PALO.EL("Transport",Q$8),_xll.PALO.EL($H$2,$H$3),_xll.PALO.EL("Position",Q$7))</f>
        <v>334653.18</v>
      </c>
      <c r="R9" s="105">
        <f ca="1">_xll.PALO.DATA($B$2,$B$3,_xll.PALO.EL("Time",R$6),_xll.PALO.EL("Partner",$B9),_xll.PALO.EL($D$2,$D$3),_xll.PALO.EL($E$2,$E$3),_xll.PALO.EL($I$2,$I$3),_xll.PALO.EL($F$2,$F$3),_xll.PALO.EL($G$2,$G$3),_xll.PALO.EL("Transport",R$8),_xll.PALO.EL($H$2,$H$3),_xll.PALO.EL("Position",R$7))</f>
        <v>59984.4</v>
      </c>
      <c r="S9" s="105">
        <f ca="1">_xll.PALO.DATA($B$2,$B$3,_xll.PALO.EL("Time",S$6),_xll.PALO.EL("Partner",$B9),_xll.PALO.EL($D$2,$D$3),_xll.PALO.EL($E$2,$E$3),_xll.PALO.EL($I$2,$I$3),_xll.PALO.EL($F$2,$F$3),_xll.PALO.EL($G$2,$G$3),_xll.PALO.EL("Transport",S$8),_xll.PALO.EL($H$2,$H$3),_xll.PALO.EL("Position",S$7))</f>
        <v>1.4100000000000001</v>
      </c>
      <c r="T9" s="105">
        <f ca="1">_xll.PALO.DATA($B$2,$B$3,_xll.PALO.EL("Time",T$6),_xll.PALO.EL("Partner",$B9),_xll.PALO.EL($D$2,$D$3),_xll.PALO.EL($E$2,$E$3),_xll.PALO.EL($I$2,$I$3),_xll.PALO.EL($F$2,$F$3),_xll.PALO.EL($G$2,$G$3),_xll.PALO.EL("Transport",T$8),_xll.PALO.EL($H$2,$H$3),_xll.PALO.EL("Position",T$7))</f>
        <v>2.46</v>
      </c>
      <c r="U9" s="105">
        <f ca="1">_xll.PALO.DATA($B$2,$B$3,_xll.PALO.EL("Time",U$6),_xll.PALO.EL("Partner",$B9),_xll.PALO.EL($D$2,$D$3),_xll.PALO.EL($E$2,$E$3),_xll.PALO.EL($I$2,$I$3),_xll.PALO.EL($F$2,$F$3),_xll.PALO.EL($G$2,$G$3),_xll.PALO.EL("Transport",U$8),_xll.PALO.EL($H$2,$H$3),_xll.PALO.EL("Position",U$7))</f>
        <v>216589.08</v>
      </c>
      <c r="V9" s="105">
        <f ca="1">_xll.PALO.DATA($B$2,$B$3,_xll.PALO.EL("Time",V$6),_xll.PALO.EL("Partner",$B9),_xll.PALO.EL($D$2,$D$3),_xll.PALO.EL($E$2,$E$3),_xll.PALO.EL($I$2,$I$3),_xll.PALO.EL($F$2,$F$3),_xll.PALO.EL($G$2,$G$3),_xll.PALO.EL("Transport",V$8),_xll.PALO.EL($H$2,$H$3),_xll.PALO.EL("Position",V$7))</f>
        <v>41531.620000000003</v>
      </c>
      <c r="W9" s="105">
        <f ca="1">_xll.PALO.DATA($B$2,$B$3,_xll.PALO.EL("Time",W$6),_xll.PALO.EL("Partner",$B9),_xll.PALO.EL($D$2,$D$3),_xll.PALO.EL($E$2,$E$3),_xll.PALO.EL($I$2,$I$3),_xll.PALO.EL($F$2,$F$3),_xll.PALO.EL($G$2,$G$3),_xll.PALO.EL("Transport",W$8),_xll.PALO.EL($H$2,$H$3),_xll.PALO.EL("Position",W$7))</f>
        <v>300428.26</v>
      </c>
      <c r="X9" s="105">
        <f ca="1">_xll.PALO.DATA($B$2,$B$3,_xll.PALO.EL("Time",X$6),_xll.PALO.EL("Partner",$B9),_xll.PALO.EL($D$2,$D$3),_xll.PALO.EL($E$2,$E$3),_xll.PALO.EL($I$2,$I$3),_xll.PALO.EL($F$2,$F$3),_xll.PALO.EL($G$2,$G$3),_xll.PALO.EL("Transport",X$8),_xll.PALO.EL($H$2,$H$3),_xll.PALO.EL("Position",X$7))</f>
        <v>57586.8</v>
      </c>
      <c r="Y9" s="105">
        <f ca="1">_xll.PALO.DATA($B$2,$B$3,_xll.PALO.EL("Time",Y$6),_xll.PALO.EL("Partner",$B9),_xll.PALO.EL($D$2,$D$3),_xll.PALO.EL($E$2,$E$3),_xll.PALO.EL($I$2,$I$3),_xll.PALO.EL($F$2,$F$3),_xll.PALO.EL($G$2,$G$3),_xll.PALO.EL("Transport",Y$8),_xll.PALO.EL($H$2,$H$3),_xll.PALO.EL("Position",Y$7))</f>
        <v>1.55</v>
      </c>
      <c r="Z9" s="105">
        <f ca="1">_xll.PALO.DATA($B$2,$B$3,_xll.PALO.EL("Time",Z$6),_xll.PALO.EL("Partner",$B9),_xll.PALO.EL($D$2,$D$3),_xll.PALO.EL($E$2,$E$3),_xll.PALO.EL($I$2,$I$3),_xll.PALO.EL($F$2,$F$3),_xll.PALO.EL($G$2,$G$3),_xll.PALO.EL("Transport",Z$8),_xll.PALO.EL($H$2,$H$3),_xll.PALO.EL("Position",Z$7))</f>
        <v>2.4700000000000002</v>
      </c>
      <c r="AA9" s="105">
        <f ca="1">_xll.PALO.DATA($B$2,$B$3,_xll.PALO.EL("Time",AA$6),_xll.PALO.EL("Partner",$B9),_xll.PALO.EL($D$2,$D$3),_xll.PALO.EL($E$2,$E$3),_xll.PALO.EL($I$2,$I$3),_xll.PALO.EL($F$2,$F$3),_xll.PALO.EL($G$2,$G$3),_xll.PALO.EL("Transport",AA$8),_xll.PALO.EL($H$2,$H$3),_xll.PALO.EL("Position",AA$7))</f>
        <v>184695.57</v>
      </c>
      <c r="AB9" s="105">
        <f ca="1">_xll.PALO.DATA($B$2,$B$3,_xll.PALO.EL("Time",AB$6),_xll.PALO.EL("Partner",$B9),_xll.PALO.EL($D$2,$D$3),_xll.PALO.EL($E$2,$E$3),_xll.PALO.EL($I$2,$I$3),_xll.PALO.EL($F$2,$F$3),_xll.PALO.EL($G$2,$G$3),_xll.PALO.EL("Transport",AB$8),_xll.PALO.EL($H$2,$H$3),_xll.PALO.EL("Position",AB$7))</f>
        <v>39150.71</v>
      </c>
      <c r="AC9" s="105">
        <f ca="1">_xll.PALO.DATA($B$2,$B$3,_xll.PALO.EL("Time",AC$6),_xll.PALO.EL("Partner",$B9),_xll.PALO.EL($D$2,$D$3),_xll.PALO.EL($E$2,$E$3),_xll.PALO.EL($I$2,$I$3),_xll.PALO.EL($F$2,$F$3),_xll.PALO.EL($G$2,$G$3),_xll.PALO.EL("Transport",AC$8),_xll.PALO.EL($H$2,$H$3),_xll.PALO.EL("Position",AC$7))</f>
        <v>282127.78999999998</v>
      </c>
      <c r="AD9" s="105">
        <f ca="1">_xll.PALO.DATA($B$2,$B$3,_xll.PALO.EL("Time",AD$6),_xll.PALO.EL("Partner",$B9),_xll.PALO.EL($D$2,$D$3),_xll.PALO.EL($E$2,$E$3),_xll.PALO.EL($I$2,$I$3),_xll.PALO.EL($F$2,$F$3),_xll.PALO.EL($G$2,$G$3),_xll.PALO.EL("Transport",AD$8),_xll.PALO.EL($H$2,$H$3),_xll.PALO.EL("Position",AD$7))</f>
        <v>59784.6</v>
      </c>
      <c r="AE9" s="105">
        <f ca="1">_xll.PALO.DATA($B$2,$B$3,_xll.PALO.EL("Time",AE$6),_xll.PALO.EL("Partner",$B9),_xll.PALO.EL($D$2,$D$3),_xll.PALO.EL($E$2,$E$3),_xll.PALO.EL($I$2,$I$3),_xll.PALO.EL($F$2,$F$3),_xll.PALO.EL($G$2,$G$3),_xll.PALO.EL("Transport",AE$8),_xll.PALO.EL($H$2,$H$3),_xll.PALO.EL("Position",AE$7))</f>
        <v>1.38</v>
      </c>
      <c r="AF9" s="105">
        <f ca="1">_xll.PALO.DATA($B$2,$B$3,_xll.PALO.EL("Time",AF$6),_xll.PALO.EL("Partner",$B9),_xll.PALO.EL($D$2,$D$3),_xll.PALO.EL($E$2,$E$3),_xll.PALO.EL($I$2,$I$3),_xll.PALO.EL($F$2,$F$3),_xll.PALO.EL($G$2,$G$3),_xll.PALO.EL("Transport",AF$8),_xll.PALO.EL($H$2,$H$3),_xll.PALO.EL("Position",AF$7))</f>
        <v>2.52</v>
      </c>
      <c r="AG9" s="105">
        <f ca="1">_xll.PALO.DATA($B$2,$B$3,_xll.PALO.EL("Time",AG$6),_xll.PALO.EL("Partner",$B9),_xll.PALO.EL($D$2,$D$3),_xll.PALO.EL($E$2,$E$3),_xll.PALO.EL($I$2,$I$3),_xll.PALO.EL($F$2,$F$3),_xll.PALO.EL($G$2,$G$3),_xll.PALO.EL("Transport",AG$8),_xll.PALO.EL($H$2,$H$3),_xll.PALO.EL("Position",AG$7))</f>
        <v>96194.559999999998</v>
      </c>
      <c r="AH9" s="105">
        <f ca="1">_xll.PALO.DATA($B$2,$B$3,_xll.PALO.EL("Time",AH$6),_xll.PALO.EL("Partner",$B9),_xll.PALO.EL($D$2,$D$3),_xll.PALO.EL($E$2,$E$3),_xll.PALO.EL($I$2,$I$3),_xll.PALO.EL($F$2,$F$3),_xll.PALO.EL($G$2,$G$3),_xll.PALO.EL("Transport",AH$8),_xll.PALO.EL($H$2,$H$3),_xll.PALO.EL("Position",AH$7))</f>
        <v>20830.45</v>
      </c>
      <c r="AI9" s="105">
        <f ca="1">_xll.PALO.DATA($B$2,$B$3,_xll.PALO.EL("Time",AI$6),_xll.PALO.EL("Partner",$B9),_xll.PALO.EL($D$2,$D$3),_xll.PALO.EL($E$2,$E$3),_xll.PALO.EL($I$2,$I$3),_xll.PALO.EL($F$2,$F$3),_xll.PALO.EL($G$2,$G$3),_xll.PALO.EL("Transport",AI$8),_xll.PALO.EL($H$2,$H$3),_xll.PALO.EL("Position",AI$7))</f>
        <v>267794.65000000002</v>
      </c>
      <c r="AJ9" s="105">
        <f ca="1">_xll.PALO.DATA($B$2,$B$3,_xll.PALO.EL("Time",AJ$6),_xll.PALO.EL("Partner",$B9),_xll.PALO.EL($D$2,$D$3),_xll.PALO.EL($E$2,$E$3),_xll.PALO.EL($I$2,$I$3),_xll.PALO.EL($F$2,$F$3),_xll.PALO.EL($G$2,$G$3),_xll.PALO.EL("Transport",AJ$8),_xll.PALO.EL($H$2,$H$3),_xll.PALO.EL("Position",AJ$7))</f>
        <v>57986.400000000001</v>
      </c>
      <c r="AK9" s="105">
        <f ca="1">_xll.PALO.DATA($B$2,$B$3,_xll.PALO.EL("Time",AK$6),_xll.PALO.EL("Partner",$B9),_xll.PALO.EL($D$2,$D$3),_xll.PALO.EL($E$2,$E$3),_xll.PALO.EL($I$2,$I$3),_xll.PALO.EL($F$2,$F$3),_xll.PALO.EL($G$2,$G$3),_xll.PALO.EL("Transport",AK$8),_xll.PALO.EL($H$2,$H$3),_xll.PALO.EL("Position",AK$7))</f>
        <v>1.3444</v>
      </c>
      <c r="AL9" s="105">
        <f ca="1">_xll.PALO.DATA($B$2,$B$3,_xll.PALO.EL("Time",AL$6),_xll.PALO.EL("Partner",$B9),_xll.PALO.EL($D$2,$D$3),_xll.PALO.EL($E$2,$E$3),_xll.PALO.EL($I$2,$I$3),_xll.PALO.EL($F$2,$F$3),_xll.PALO.EL($G$2,$G$3),_xll.PALO.EL("Transport",AL$8),_xll.PALO.EL($H$2,$H$3),_xll.PALO.EL("Position",AL$7))</f>
        <v>2.48</v>
      </c>
      <c r="AM9" s="105">
        <f ca="1">_xll.PALO.DATA($B$2,$B$3,_xll.PALO.EL("Time",AM$6),_xll.PALO.EL("Partner",$B9),_xll.PALO.EL($D$2,$D$3),_xll.PALO.EL($E$2,$E$3),_xll.PALO.EL($I$2,$I$3),_xll.PALO.EL($F$2,$F$3),_xll.PALO.EL($G$2,$G$3),_xll.PALO.EL("Transport",AM$8),_xll.PALO.EL($H$2,$H$3),_xll.PALO.EL("Position",AM$7))</f>
        <v>97604.87</v>
      </c>
      <c r="AN9" s="105">
        <f ca="1">_xll.PALO.DATA($B$2,$B$3,_xll.PALO.EL("Time",AN$6),_xll.PALO.EL("Partner",$B9),_xll.PALO.EL($D$2,$D$3),_xll.PALO.EL($E$2,$E$3),_xll.PALO.EL($I$2,$I$3),_xll.PALO.EL($F$2,$F$3),_xll.PALO.EL($G$2,$G$3),_xll.PALO.EL("Transport",AN$8),_xll.PALO.EL($H$2,$H$3),_xll.PALO.EL("Position",AN$7))</f>
        <v>21164.75</v>
      </c>
      <c r="AO9" s="105">
        <f ca="1">_xll.PALO.DATA($B$2,$B$3,_xll.PALO.EL("Time",AO$6),_xll.PALO.EL("Partner",$B9),_xll.PALO.EL($D$2,$D$3),_xll.PALO.EL($E$2,$E$3),_xll.PALO.EL($I$2,$I$3),_xll.PALO.EL($F$2,$F$3),_xll.PALO.EL($G$2,$G$3),_xll.PALO.EL("Transport",AO$8),_xll.PALO.EL($H$2,$H$3),_xll.PALO.EL("Position",AO$7))</f>
        <v>273819.84000000003</v>
      </c>
      <c r="AP9" s="105">
        <f ca="1">_xll.PALO.DATA($B$2,$B$3,_xll.PALO.EL("Time",AP$6),_xll.PALO.EL("Partner",$B9),_xll.PALO.EL($D$2,$D$3),_xll.PALO.EL($E$2,$E$3),_xll.PALO.EL($I$2,$I$3),_xll.PALO.EL($F$2,$F$3),_xll.PALO.EL($G$2,$G$3),_xll.PALO.EL("Transport",AP$8),_xll.PALO.EL($H$2,$H$3),_xll.PALO.EL("Position",AP$7))</f>
        <v>59377.599999999999</v>
      </c>
      <c r="AQ9" s="105">
        <f ca="1">_xll.PALO.DATA($B$2,$B$3,_xll.PALO.EL("Time",AQ$6),_xll.PALO.EL("Partner",$B9),_xll.PALO.EL($D$2,$D$3),_xll.PALO.EL($E$2,$E$3),_xll.PALO.EL($I$2,$I$3),_xll.PALO.EL($F$2,$F$3),_xll.PALO.EL($G$2,$G$3),_xll.PALO.EL("Transport",AQ$8),_xll.PALO.EL($H$2,$H$3),_xll.PALO.EL("Position",AQ$7))</f>
        <v>1.3599999999999999</v>
      </c>
      <c r="AR9" s="105">
        <f ca="1">_xll.PALO.DATA($B$2,$B$3,_xll.PALO.EL("Time",AR$6),_xll.PALO.EL("Partner",$B9),_xll.PALO.EL($D$2,$D$3),_xll.PALO.EL($E$2,$E$3),_xll.PALO.EL($I$2,$I$3),_xll.PALO.EL($F$2,$F$3),_xll.PALO.EL($G$2,$G$3),_xll.PALO.EL("Transport",AR$8),_xll.PALO.EL($H$2,$H$3),_xll.PALO.EL("Position",AR$7))</f>
        <v>2.4900000000000002</v>
      </c>
      <c r="AS9" s="105">
        <f ca="1">_xll.PALO.DATA($B$2,$B$3,_xll.PALO.EL("Time",AS$6),_xll.PALO.EL("Partner",$B9),_xll.PALO.EL($D$2,$D$3),_xll.PALO.EL($E$2,$E$3),_xll.PALO.EL($I$2,$I$3),_xll.PALO.EL($F$2,$F$3),_xll.PALO.EL($G$2,$G$3),_xll.PALO.EL("Transport",AS$8),_xll.PALO.EL($H$2,$H$3),_xll.PALO.EL("Position",AS$7))</f>
        <v>145876.73000000001</v>
      </c>
      <c r="AT9" s="105">
        <f ca="1">_xll.PALO.DATA($B$2,$B$3,_xll.PALO.EL("Time",AT$6),_xll.PALO.EL("Partner",$B9),_xll.PALO.EL($D$2,$D$3),_xll.PALO.EL($E$2,$E$3),_xll.PALO.EL($I$2,$I$3),_xll.PALO.EL($F$2,$F$3),_xll.PALO.EL($G$2,$G$3),_xll.PALO.EL("Transport",AT$8),_xll.PALO.EL($H$2,$H$3),_xll.PALO.EL("Position",AT$7))</f>
        <v>31610.47</v>
      </c>
      <c r="AU9" s="105">
        <f ca="1">_xll.PALO.DATA($B$2,$B$3,_xll.PALO.EL("Time",AU$6),_xll.PALO.EL("Partner",$B9),_xll.PALO.EL($D$2,$D$3),_xll.PALO.EL($E$2,$E$3),_xll.PALO.EL($I$2,$I$3),_xll.PALO.EL($F$2,$F$3),_xll.PALO.EL($G$2,$G$3),_xll.PALO.EL("Transport",AU$8),_xll.PALO.EL($H$2,$H$3),_xll.PALO.EL("Position",AU$7))</f>
        <v>267589.38</v>
      </c>
      <c r="AV9" s="105">
        <f ca="1">_xll.PALO.DATA($B$2,$B$3,_xll.PALO.EL("Time",AV$6),_xll.PALO.EL("Partner",$B9),_xll.PALO.EL($D$2,$D$3),_xll.PALO.EL($E$2,$E$3),_xll.PALO.EL($I$2,$I$3),_xll.PALO.EL($F$2,$F$3),_xll.PALO.EL($G$2,$G$3),_xll.PALO.EL("Transport",AV$8),_xll.PALO.EL($H$2,$H$3),_xll.PALO.EL("Position",AV$7))</f>
        <v>57971.6</v>
      </c>
      <c r="AW9" s="105">
        <f ca="1">_xll.PALO.DATA($B$2,$B$3,_xll.PALO.EL("Time",AW$6),_xll.PALO.EL("Partner",$B9),_xll.PALO.EL($D$2,$D$3),_xll.PALO.EL($E$2,$E$3),_xll.PALO.EL($I$2,$I$3),_xll.PALO.EL($F$2,$F$3),_xll.PALO.EL($G$2,$G$3),_xll.PALO.EL("Transport",AW$8),_xll.PALO.EL($H$2,$H$3),_xll.PALO.EL("Position",AW$7))</f>
        <v>1.38</v>
      </c>
      <c r="AX9" s="105">
        <f ca="1">_xll.PALO.DATA($B$2,$B$3,_xll.PALO.EL("Time",AX$6),_xll.PALO.EL("Partner",$B9),_xll.PALO.EL($D$2,$D$3),_xll.PALO.EL($E$2,$E$3),_xll.PALO.EL($I$2,$I$3),_xll.PALO.EL($F$2,$F$3),_xll.PALO.EL($G$2,$G$3),_xll.PALO.EL("Transport",AX$8),_xll.PALO.EL($H$2,$H$3),_xll.PALO.EL("Position",AX$7))</f>
        <v>2.84</v>
      </c>
      <c r="AY9" s="105">
        <f ca="1">_xll.PALO.DATA($B$2,$B$3,_xll.PALO.EL("Time",AY$6),_xll.PALO.EL("Partner",$B9),_xll.PALO.EL($D$2,$D$3),_xll.PALO.EL($E$2,$E$3),_xll.PALO.EL($I$2,$I$3),_xll.PALO.EL($F$2,$F$3),_xll.PALO.EL($G$2,$G$3),_xll.PALO.EL("Transport",AY$8),_xll.PALO.EL($H$2,$H$3),_xll.PALO.EL("Position",AY$7))</f>
        <v>153004.31</v>
      </c>
      <c r="AZ9" s="105">
        <f ca="1">_xll.PALO.DATA($B$2,$B$3,_xll.PALO.EL("Time",AZ$6),_xll.PALO.EL("Partner",$B9),_xll.PALO.EL($D$2,$D$3),_xll.PALO.EL($E$2,$E$3),_xll.PALO.EL($I$2,$I$3),_xll.PALO.EL($F$2,$F$3),_xll.PALO.EL($G$2,$G$3),_xll.PALO.EL("Transport",AZ$8),_xll.PALO.EL($H$2,$H$3),_xll.PALO.EL("Position",AZ$7))</f>
        <v>32612.95</v>
      </c>
      <c r="BA9" s="105">
        <f ca="1">_xll.PALO.DATA($B$2,$B$3,_xll.PALO.EL("Time",BA$6),_xll.PALO.EL("Partner",$B9),_xll.PALO.EL($D$2,$D$3),_xll.PALO.EL($E$2,$E$3),_xll.PALO.EL($I$2,$I$3),_xll.PALO.EL($F$2,$F$3),_xll.PALO.EL($G$2,$G$3),_xll.PALO.EL("Transport",BA$8),_xll.PALO.EL($H$2,$H$3),_xll.PALO.EL("Position",BA$7))</f>
        <v>284587</v>
      </c>
      <c r="BB9" s="105">
        <f ca="1">_xll.PALO.DATA($B$2,$B$3,_xll.PALO.EL("Time",BB$6),_xll.PALO.EL("Partner",$B9),_xll.PALO.EL($D$2,$D$3),_xll.PALO.EL($E$2,$E$3),_xll.PALO.EL($I$2,$I$3),_xll.PALO.EL($F$2,$F$3),_xll.PALO.EL($G$2,$G$3),_xll.PALO.EL("Transport",BB$8),_xll.PALO.EL($H$2,$H$3),_xll.PALO.EL("Position",BB$7))</f>
        <v>60680</v>
      </c>
      <c r="BC9" s="105">
        <f ca="1">_xll.PALO.DATA($B$2,$B$3,_xll.PALO.EL("Time",BC$6),_xll.PALO.EL("Partner",$B9),_xll.PALO.EL($D$2,$D$3),_xll.PALO.EL($E$2,$E$3),_xll.PALO.EL($I$2,$I$3),_xll.PALO.EL($F$2,$F$3),_xll.PALO.EL($G$2,$G$3),_xll.PALO.EL("Transport",BC$8),_xll.PALO.EL($H$2,$H$3),_xll.PALO.EL("Position",BC$7))</f>
        <v>1.3599999999999999</v>
      </c>
      <c r="BD9" s="105">
        <f ca="1">_xll.PALO.DATA($B$2,$B$3,_xll.PALO.EL("Time",BD$6),_xll.PALO.EL("Partner",$B9),_xll.PALO.EL($D$2,$D$3),_xll.PALO.EL($E$2,$E$3),_xll.PALO.EL($I$2,$I$3),_xll.PALO.EL($F$2,$F$3),_xll.PALO.EL($G$2,$G$3),_xll.PALO.EL("Transport",BD$8),_xll.PALO.EL($H$2,$H$3),_xll.PALO.EL("Position",BD$7))</f>
        <v>2.81</v>
      </c>
      <c r="BE9" s="105">
        <f ca="1">_xll.PALO.DATA($B$2,$B$3,_xll.PALO.EL("Time",BE$6),_xll.PALO.EL("Partner",$B9),_xll.PALO.EL($D$2,$D$3),_xll.PALO.EL($E$2,$E$3),_xll.PALO.EL($I$2,$I$3),_xll.PALO.EL($F$2,$F$3),_xll.PALO.EL($G$2,$G$3),_xll.PALO.EL("Transport",BE$8),_xll.PALO.EL($H$2,$H$3),_xll.PALO.EL("Position",BE$7))</f>
        <v>150512.01</v>
      </c>
      <c r="BF9" s="105">
        <f ca="1">_xll.PALO.DATA($B$2,$B$3,_xll.PALO.EL("Time",BF$6),_xll.PALO.EL("Partner",$B9),_xll.PALO.EL($D$2,$D$3),_xll.PALO.EL($E$2,$E$3),_xll.PALO.EL($I$2,$I$3),_xll.PALO.EL($F$2,$F$3),_xll.PALO.EL($G$2,$G$3),_xll.PALO.EL("Transport",BF$8),_xll.PALO.EL($H$2,$H$3),_xll.PALO.EL("Position",BF$7))</f>
        <v>30631.34</v>
      </c>
      <c r="BG9" s="105">
        <f ca="1">_xll.PALO.DATA($B$2,$B$3,_xll.PALO.EL("Time",BG$6),_xll.PALO.EL("Partner",$B9),_xll.PALO.EL($D$2,$D$3),_xll.PALO.EL($E$2,$E$3),_xll.PALO.EL($I$2,$I$3),_xll.PALO.EL($F$2,$F$3),_xll.PALO.EL($G$2,$G$3),_xll.PALO.EL("Transport",BG$8),_xll.PALO.EL($H$2,$H$3),_xll.PALO.EL("Position",BG$7))</f>
        <v>273129.09000000003</v>
      </c>
      <c r="BH9" s="105">
        <f ca="1">_xll.PALO.DATA($B$2,$B$3,_xll.PALO.EL("Time",BH$6),_xll.PALO.EL("Partner",$B9),_xll.PALO.EL($D$2,$D$3),_xll.PALO.EL($E$2,$E$3),_xll.PALO.EL($I$2,$I$3),_xll.PALO.EL($F$2,$F$3),_xll.PALO.EL($G$2,$G$3),_xll.PALO.EL("Transport",BH$8),_xll.PALO.EL($H$2,$H$3),_xll.PALO.EL("Position",BH$7))</f>
        <v>55576.4</v>
      </c>
      <c r="BI9" s="105">
        <f ca="1">_xll.PALO.DATA($B$2,$B$3,_xll.PALO.EL("Time",BI$6),_xll.PALO.EL("Partner",$B9),_xll.PALO.EL($D$2,$D$3),_xll.PALO.EL($E$2,$E$3),_xll.PALO.EL($I$2,$I$3),_xll.PALO.EL($F$2,$F$3),_xll.PALO.EL($G$2,$G$3),_xll.PALO.EL("Transport",BI$8),_xll.PALO.EL($H$2,$H$3),_xll.PALO.EL("Position",BI$7))</f>
        <v>1.37</v>
      </c>
      <c r="BJ9" s="105">
        <f ca="1">_xll.PALO.DATA($B$2,$B$3,_xll.PALO.EL("Time",BJ$6),_xll.PALO.EL("Partner",$B9),_xll.PALO.EL($D$2,$D$3),_xll.PALO.EL($E$2,$E$3),_xll.PALO.EL($I$2,$I$3),_xll.PALO.EL($F$2,$F$3),_xll.PALO.EL($G$2,$G$3),_xll.PALO.EL("Transport",BJ$8),_xll.PALO.EL($H$2,$H$3),_xll.PALO.EL("Position",BJ$7))</f>
        <v>3.07</v>
      </c>
      <c r="BK9" s="105">
        <f ca="1">_xll.PALO.DATA($B$2,$B$3,_xll.PALO.EL("Time",BK$6),_xll.PALO.EL("Partner",$B9),_xll.PALO.EL($D$2,$D$3),_xll.PALO.EL($E$2,$E$3),_xll.PALO.EL($I$2,$I$3),_xll.PALO.EL($F$2,$F$3),_xll.PALO.EL($G$2,$G$3),_xll.PALO.EL("Transport",BK$8),_xll.PALO.EL($H$2,$H$3),_xll.PALO.EL("Position",BK$7))</f>
        <v>156052.5</v>
      </c>
      <c r="BL9" s="105">
        <f ca="1">_xll.PALO.DATA($B$2,$B$3,_xll.PALO.EL("Time",BL$6),_xll.PALO.EL("Partner",$B9),_xll.PALO.EL($D$2,$D$3),_xll.PALO.EL($E$2,$E$3),_xll.PALO.EL($I$2,$I$3),_xll.PALO.EL($F$2,$F$3),_xll.PALO.EL($G$2,$G$3),_xll.PALO.EL("Transport",BL$8),_xll.PALO.EL($H$2,$H$3),_xll.PALO.EL("Position",BL$7))</f>
        <v>31788.03</v>
      </c>
      <c r="BM9" s="105">
        <f ca="1">_xll.PALO.DATA($B$2,$B$3,_xll.PALO.EL("Time",BM$6),_xll.PALO.EL("Partner",$B9),_xll.PALO.EL($D$2,$D$3),_xll.PALO.EL($E$2,$E$3),_xll.PALO.EL($I$2,$I$3),_xll.PALO.EL($F$2,$F$3),_xll.PALO.EL($G$2,$G$3),_xll.PALO.EL("Transport",BM$8),_xll.PALO.EL($H$2,$H$3),_xll.PALO.EL("Position",BM$7))</f>
        <v>281966.53999999998</v>
      </c>
      <c r="BN9" s="105">
        <f ca="1">_xll.PALO.DATA($B$2,$B$3,_xll.PALO.EL("Time",BN$6),_xll.PALO.EL("Partner",$B9),_xll.PALO.EL($D$2,$D$3),_xll.PALO.EL($E$2,$E$3),_xll.PALO.EL($I$2,$I$3),_xll.PALO.EL($F$2,$F$3),_xll.PALO.EL($G$2,$G$3),_xll.PALO.EL("Transport",BN$8),_xll.PALO.EL($H$2,$H$3),_xll.PALO.EL("Position",BN$7))</f>
        <v>57436.84</v>
      </c>
      <c r="BO9" s="105">
        <f ca="1">_xll.PALO.DATA($B$2,$B$3,_xll.PALO.EL("Time",BO$6),_xll.PALO.EL("Partner",$B9),_xll.PALO.EL($D$2,$D$3),_xll.PALO.EL($E$2,$E$3),_xll.PALO.EL($I$2,$I$3),_xll.PALO.EL($F$2,$F$3),_xll.PALO.EL($G$2,$G$3),_xll.PALO.EL("Transport",BO$8),_xll.PALO.EL($H$2,$H$3),_xll.PALO.EL("Position",BO$7))</f>
        <v>1.3900000000000001</v>
      </c>
      <c r="BP9" s="105">
        <f ca="1">_xll.PALO.DATA($B$2,$B$3,_xll.PALO.EL("Time",BP$6),_xll.PALO.EL("Partner",$B9),_xll.PALO.EL($D$2,$D$3),_xll.PALO.EL($E$2,$E$3),_xll.PALO.EL($I$2,$I$3),_xll.PALO.EL($F$2,$F$3),_xll.PALO.EL($G$2,$G$3),_xll.PALO.EL("Transport",BP$8),_xll.PALO.EL($H$2,$H$3),_xll.PALO.EL("Position",BP$7))</f>
        <v>3.08</v>
      </c>
      <c r="BQ9" s="105">
        <f ca="1">_xll.PALO.DATA($B$2,$B$3,_xll.PALO.EL("Time",BQ$6),_xll.PALO.EL("Partner",$B9),_xll.PALO.EL($D$2,$D$3),_xll.PALO.EL($E$2,$E$3),_xll.PALO.EL($I$2,$I$3),_xll.PALO.EL($F$2,$F$3),_xll.PALO.EL($G$2,$G$3),_xll.PALO.EL("Transport",BQ$8),_xll.PALO.EL($H$2,$H$3),_xll.PALO.EL("Position",BQ$7))</f>
        <v>163445.29999999999</v>
      </c>
      <c r="BR9" s="105">
        <f ca="1">_xll.PALO.DATA($B$2,$B$3,_xll.PALO.EL("Time",BR$6),_xll.PALO.EL("Partner",$B9),_xll.PALO.EL($D$2,$D$3),_xll.PALO.EL($E$2,$E$3),_xll.PALO.EL($I$2,$I$3),_xll.PALO.EL($F$2,$F$3),_xll.PALO.EL($G$2,$G$3),_xll.PALO.EL("Transport",BR$8),_xll.PALO.EL($H$2,$H$3),_xll.PALO.EL("Position",BR$7))</f>
        <v>33789.99</v>
      </c>
      <c r="BS9" s="105">
        <f ca="1">_xll.PALO.DATA($B$2,$B$3,_xll.PALO.EL("Time",BS$6),_xll.PALO.EL("Partner",$B9),_xll.PALO.EL($D$2,$D$3),_xll.PALO.EL($E$2,$E$3),_xll.PALO.EL($I$2,$I$3),_xll.PALO.EL($F$2,$F$3),_xll.PALO.EL($G$2,$G$3),_xll.PALO.EL("Transport",BS$8),_xll.PALO.EL($H$2,$H$3),_xll.PALO.EL("Position",BS$7))</f>
        <v>269270.81</v>
      </c>
      <c r="BT9" s="105">
        <f ca="1">_xll.PALO.DATA($B$2,$B$3,_xll.PALO.EL("Time",BT$6),_xll.PALO.EL("Partner",$B9),_xll.PALO.EL($D$2,$D$3),_xll.PALO.EL($E$2,$E$3),_xll.PALO.EL($I$2,$I$3),_xll.PALO.EL($F$2,$F$3),_xll.PALO.EL($G$2,$G$3),_xll.PALO.EL("Transport",BT$8),_xll.PALO.EL($H$2,$H$3),_xll.PALO.EL("Position",BT$7))</f>
        <v>55667.9</v>
      </c>
      <c r="BU9" s="105">
        <f ca="1">_xll.PALO.DATA($B$2,$B$3,_xll.PALO.EL("Time",BU$6),_xll.PALO.EL("Partner",$B9),_xll.PALO.EL($D$2,$D$3),_xll.PALO.EL($E$2,$E$3),_xll.PALO.EL($I$2,$I$3),_xll.PALO.EL($F$2,$F$3),_xll.PALO.EL($G$2,$G$3),_xll.PALO.EL("Transport",BU$8),_xll.PALO.EL($H$2,$H$3),_xll.PALO.EL("Position",BU$7))</f>
        <v>1.3865000000000001</v>
      </c>
      <c r="BV9" s="105">
        <f ca="1">_xll.PALO.DATA($B$2,$B$3,_xll.PALO.EL("Time",BV$6),_xll.PALO.EL("Partner",$B9),_xll.PALO.EL($D$2,$D$3),_xll.PALO.EL($E$2,$E$3),_xll.PALO.EL($I$2,$I$3),_xll.PALO.EL($F$2,$F$3),_xll.PALO.EL($G$2,$G$3),_xll.PALO.EL("Transport",BV$8),_xll.PALO.EL($H$2,$H$3),_xll.PALO.EL("Position",BV$7))</f>
        <v>3.08</v>
      </c>
    </row>
  </sheetData>
  <dataValidations count="1">
    <dataValidation type="custom" allowBlank="1" showInputMessage="1" error="f9feff3c209a460d87eb02ec30026cdd" sqref="B3" xr:uid="{B9E4A0E7-94C4-4F54-8CA9-4267F49694E5}">
      <formula1>TRUE</formula1>
    </dataValidation>
  </dataValidations>
  <pageMargins left="0.7" right="0.7" top="0.75" bottom="0.75" header="0.3" footer="0.3"/>
  <pageSetup orientation="portrait" r:id="rId1"/>
  <customProperties>
    <customPr name="jedoxview_f9feff3c209a460d87eb02ec30026cdd" r:id="rId2"/>
  </customPropertie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7</vt:i4>
      </vt:variant>
    </vt:vector>
  </HeadingPairs>
  <TitlesOfParts>
    <vt:vector size="7" baseType="lpstr">
      <vt:lpstr>marts</vt:lpstr>
      <vt:lpstr>aprīlis</vt:lpstr>
      <vt:lpstr>maijs</vt:lpstr>
      <vt:lpstr>jūnijs</vt:lpstr>
      <vt:lpstr>PIVOT_atskaite</vt:lpstr>
      <vt:lpstr>PIVOT</vt:lpstr>
      <vt:lpstr>atskaites_jedox</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Kristīne Grīviņa</dc:creator>
  <cp:keywords/>
  <dc:description/>
  <cp:lastModifiedBy>Ilze Pence</cp:lastModifiedBy>
  <cp:lastPrinted>2021-08-06T11:21:00Z</cp:lastPrinted>
  <dcterms:created xsi:type="dcterms:W3CDTF">2021-03-26T09:43:50Z</dcterms:created>
  <dcterms:modified xsi:type="dcterms:W3CDTF">2021-08-06T12:14:51Z</dcterms:modified>
  <cp:category/>
</cp:coreProperties>
</file>