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IZM\Mani\Documents\2022\Citi\Par_energoresursu_cenu_celsanos\Atbildes_no_AI\Visas\2022_11_04_pec_FM_atzinumiem\MK_AI_LNG_apkure\Pedejais_2022_11_29\"/>
    </mc:Choice>
  </mc:AlternateContent>
  <bookViews>
    <workbookView xWindow="-120" yWindow="-120" windowWidth="29040" windowHeight="15840" tabRatio="937" firstSheet="1" activeTab="1"/>
  </bookViews>
  <sheets>
    <sheet name="IZM" sheetId="2" state="hidden" r:id="rId1"/>
    <sheet name="Savilkums" sheetId="18" r:id="rId2"/>
    <sheet name="Visas_AI" sheetId="14" r:id="rId3"/>
    <sheet name="BA" sheetId="4" r:id="rId4"/>
    <sheet name="DU" sheetId="10" r:id="rId5"/>
    <sheet name="DU_DMK" sheetId="19" r:id="rId6"/>
    <sheet name="LJA" sheetId="9" r:id="rId7"/>
    <sheet name="LSPA" sheetId="6" r:id="rId8"/>
    <sheet name="LiepU" sheetId="5" r:id="rId9"/>
    <sheet name="LU" sheetId="12" r:id="rId10"/>
    <sheet name="RTA" sheetId="13" r:id="rId11"/>
    <sheet name="RTU" sheetId="7" r:id="rId12"/>
    <sheet name="VeA" sheetId="11" r:id="rId13"/>
    <sheet name="ViA" sheetId="8" r:id="rId14"/>
    <sheet name="RSU" sheetId="15" r:id="rId15"/>
    <sheet name="LBTU" sheetId="16" r:id="rId16"/>
    <sheet name="JVLMA" sheetId="20" r:id="rId17"/>
    <sheet name="LMA" sheetId="21" r:id="rId18"/>
    <sheet name="LKA" sheetId="22" r:id="rId19"/>
    <sheet name="LKA_LKK" sheetId="23" r:id="rId20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6" l="1"/>
  <c r="G4" i="18" l="1"/>
  <c r="H4" i="18"/>
  <c r="I4" i="18"/>
  <c r="F4" i="18"/>
  <c r="I3" i="18" l="1"/>
  <c r="H3" i="18"/>
  <c r="G3" i="18"/>
  <c r="F3" i="18"/>
  <c r="J4" i="18"/>
  <c r="R7" i="14" l="1"/>
  <c r="S7" i="14"/>
  <c r="T7" i="14"/>
  <c r="U7" i="14"/>
  <c r="V7" i="14"/>
  <c r="W7" i="14"/>
  <c r="X7" i="14"/>
  <c r="AC7" i="14"/>
  <c r="Q7" i="14"/>
  <c r="R7" i="23"/>
  <c r="S7" i="23"/>
  <c r="T7" i="23"/>
  <c r="U7" i="23"/>
  <c r="V7" i="23"/>
  <c r="W7" i="23"/>
  <c r="X7" i="23"/>
  <c r="Y7" i="23"/>
  <c r="Z7" i="23"/>
  <c r="AA7" i="23"/>
  <c r="AB7" i="23"/>
  <c r="AC7" i="23"/>
  <c r="Q7" i="23"/>
  <c r="R7" i="22"/>
  <c r="S7" i="22"/>
  <c r="T7" i="22"/>
  <c r="U7" i="22"/>
  <c r="V7" i="22"/>
  <c r="W7" i="22"/>
  <c r="X7" i="22"/>
  <c r="Y7" i="22"/>
  <c r="Z7" i="22"/>
  <c r="AA7" i="22"/>
  <c r="AB7" i="22"/>
  <c r="AC7" i="22"/>
  <c r="Q7" i="22"/>
  <c r="R7" i="21"/>
  <c r="S7" i="21"/>
  <c r="T7" i="21"/>
  <c r="U7" i="21"/>
  <c r="V7" i="21"/>
  <c r="W7" i="21"/>
  <c r="X7" i="21"/>
  <c r="Y7" i="21"/>
  <c r="Z7" i="21"/>
  <c r="AA7" i="21"/>
  <c r="AB7" i="21"/>
  <c r="AC7" i="21"/>
  <c r="Q7" i="21"/>
  <c r="R7" i="20"/>
  <c r="S7" i="20"/>
  <c r="T7" i="20"/>
  <c r="U7" i="20"/>
  <c r="V7" i="20"/>
  <c r="W7" i="20"/>
  <c r="X7" i="20"/>
  <c r="Y7" i="20"/>
  <c r="Z7" i="20"/>
  <c r="AA7" i="20"/>
  <c r="AB7" i="20"/>
  <c r="AC7" i="20"/>
  <c r="Q7" i="20"/>
  <c r="F7" i="16"/>
  <c r="G7" i="16"/>
  <c r="H7" i="16"/>
  <c r="I7" i="16"/>
  <c r="J7" i="16"/>
  <c r="K7" i="16"/>
  <c r="L7" i="16"/>
  <c r="M7" i="16"/>
  <c r="N7" i="16"/>
  <c r="O7" i="16"/>
  <c r="P7" i="16"/>
  <c r="Q7" i="16"/>
  <c r="R7" i="16"/>
  <c r="S7" i="16"/>
  <c r="T7" i="16"/>
  <c r="U7" i="16"/>
  <c r="V7" i="16"/>
  <c r="W7" i="16"/>
  <c r="X7" i="16"/>
  <c r="Y7" i="16"/>
  <c r="Z7" i="16"/>
  <c r="AA7" i="16"/>
  <c r="AB7" i="16"/>
  <c r="AC7" i="16"/>
  <c r="E7" i="16"/>
  <c r="R7" i="15"/>
  <c r="S7" i="15"/>
  <c r="T7" i="15"/>
  <c r="U7" i="15"/>
  <c r="V7" i="15"/>
  <c r="W7" i="15"/>
  <c r="X7" i="15"/>
  <c r="Y7" i="15"/>
  <c r="Z7" i="15"/>
  <c r="AA7" i="15"/>
  <c r="AB7" i="15"/>
  <c r="AC7" i="15"/>
  <c r="Q7" i="15"/>
  <c r="R7" i="8"/>
  <c r="S7" i="8"/>
  <c r="T7" i="8"/>
  <c r="U7" i="8"/>
  <c r="V7" i="8"/>
  <c r="W7" i="8"/>
  <c r="X7" i="8"/>
  <c r="Y7" i="8"/>
  <c r="Z7" i="8"/>
  <c r="AA7" i="8"/>
  <c r="AB7" i="8"/>
  <c r="AC7" i="8"/>
  <c r="Q7" i="8"/>
  <c r="R7" i="11"/>
  <c r="S7" i="11"/>
  <c r="T7" i="11"/>
  <c r="U7" i="11"/>
  <c r="V7" i="11"/>
  <c r="W7" i="11"/>
  <c r="X7" i="11"/>
  <c r="Y7" i="11"/>
  <c r="Z7" i="11"/>
  <c r="AA7" i="11"/>
  <c r="AB7" i="11"/>
  <c r="AC7" i="11"/>
  <c r="Q7" i="11"/>
  <c r="R7" i="7"/>
  <c r="S7" i="7"/>
  <c r="T7" i="7"/>
  <c r="U7" i="7"/>
  <c r="V7" i="7"/>
  <c r="W7" i="7"/>
  <c r="X7" i="7"/>
  <c r="Y7" i="7"/>
  <c r="Z7" i="7"/>
  <c r="AA7" i="7"/>
  <c r="AB7" i="7"/>
  <c r="AC7" i="7"/>
  <c r="Q7" i="7"/>
  <c r="R7" i="13"/>
  <c r="S7" i="13"/>
  <c r="T7" i="13"/>
  <c r="U7" i="13"/>
  <c r="V7" i="13"/>
  <c r="W7" i="13"/>
  <c r="X7" i="13"/>
  <c r="Y7" i="13"/>
  <c r="Z7" i="13"/>
  <c r="AA7" i="13"/>
  <c r="AB7" i="13"/>
  <c r="AC7" i="13"/>
  <c r="Q7" i="13"/>
  <c r="R7" i="12"/>
  <c r="S7" i="12"/>
  <c r="T7" i="12"/>
  <c r="U7" i="12"/>
  <c r="V7" i="12"/>
  <c r="W7" i="12"/>
  <c r="X7" i="12"/>
  <c r="Y7" i="12"/>
  <c r="Z7" i="12"/>
  <c r="AA7" i="12"/>
  <c r="AB7" i="12"/>
  <c r="AC7" i="12"/>
  <c r="Q7" i="12"/>
  <c r="F7" i="12"/>
  <c r="G7" i="12"/>
  <c r="H7" i="12"/>
  <c r="I7" i="12"/>
  <c r="J7" i="12"/>
  <c r="K7" i="12"/>
  <c r="L7" i="12"/>
  <c r="M7" i="12"/>
  <c r="N7" i="12"/>
  <c r="O7" i="12"/>
  <c r="P7" i="12"/>
  <c r="E7" i="12"/>
  <c r="R7" i="5"/>
  <c r="S7" i="5"/>
  <c r="T7" i="5"/>
  <c r="U7" i="5"/>
  <c r="V7" i="5"/>
  <c r="W7" i="5"/>
  <c r="X7" i="5"/>
  <c r="Y7" i="5"/>
  <c r="Z7" i="5"/>
  <c r="AA7" i="5"/>
  <c r="AB7" i="5"/>
  <c r="AC7" i="5"/>
  <c r="Q7" i="5"/>
  <c r="R7" i="6"/>
  <c r="S7" i="6"/>
  <c r="T7" i="6"/>
  <c r="U7" i="6"/>
  <c r="V7" i="6"/>
  <c r="W7" i="6"/>
  <c r="X7" i="6"/>
  <c r="Y7" i="6"/>
  <c r="Z7" i="6"/>
  <c r="AA7" i="6"/>
  <c r="AB7" i="6"/>
  <c r="AC7" i="6"/>
  <c r="Q7" i="6"/>
  <c r="R7" i="9"/>
  <c r="S7" i="9"/>
  <c r="T7" i="9"/>
  <c r="U7" i="9"/>
  <c r="V7" i="9"/>
  <c r="W7" i="9"/>
  <c r="X7" i="9"/>
  <c r="Y7" i="9"/>
  <c r="Z7" i="9"/>
  <c r="AA7" i="9"/>
  <c r="AB7" i="9"/>
  <c r="AC7" i="9"/>
  <c r="Q7" i="9"/>
  <c r="R7" i="19"/>
  <c r="S7" i="19"/>
  <c r="T7" i="19"/>
  <c r="U7" i="19"/>
  <c r="V7" i="19"/>
  <c r="W7" i="19"/>
  <c r="X7" i="19"/>
  <c r="Y7" i="19"/>
  <c r="Z7" i="19"/>
  <c r="AA7" i="19"/>
  <c r="AB7" i="19"/>
  <c r="AC7" i="19"/>
  <c r="Q7" i="19"/>
  <c r="R7" i="10"/>
  <c r="S7" i="10"/>
  <c r="T7" i="10"/>
  <c r="U7" i="10"/>
  <c r="V7" i="10"/>
  <c r="W7" i="10"/>
  <c r="X7" i="10"/>
  <c r="Y7" i="10"/>
  <c r="Z7" i="10"/>
  <c r="AA7" i="10"/>
  <c r="AB7" i="10"/>
  <c r="AC7" i="10"/>
  <c r="Q7" i="10"/>
  <c r="R7" i="4"/>
  <c r="S7" i="4"/>
  <c r="T7" i="4"/>
  <c r="U7" i="4"/>
  <c r="V7" i="4"/>
  <c r="W7" i="4"/>
  <c r="X7" i="4"/>
  <c r="Y7" i="4"/>
  <c r="Z7" i="4"/>
  <c r="AA7" i="4"/>
  <c r="AB7" i="4"/>
  <c r="AC7" i="4"/>
  <c r="Q7" i="4"/>
  <c r="Z8" i="14" l="1"/>
  <c r="Z7" i="14" s="1"/>
  <c r="AA8" i="14"/>
  <c r="AA7" i="14" s="1"/>
  <c r="AB8" i="14"/>
  <c r="AB7" i="14" s="1"/>
  <c r="AC8" i="14"/>
  <c r="F10" i="14"/>
  <c r="G10" i="14"/>
  <c r="H10" i="14"/>
  <c r="I10" i="14"/>
  <c r="J10" i="14"/>
  <c r="K10" i="14"/>
  <c r="L10" i="14"/>
  <c r="M10" i="14"/>
  <c r="N10" i="14"/>
  <c r="O10" i="14"/>
  <c r="P10" i="14"/>
  <c r="Q10" i="14"/>
  <c r="R10" i="14"/>
  <c r="S10" i="14"/>
  <c r="T10" i="14"/>
  <c r="U10" i="14"/>
  <c r="V10" i="14"/>
  <c r="W10" i="14"/>
  <c r="X10" i="14"/>
  <c r="Y10" i="14"/>
  <c r="Z10" i="14"/>
  <c r="AA10" i="14"/>
  <c r="AB10" i="14"/>
  <c r="AC10" i="14"/>
  <c r="F11" i="14"/>
  <c r="G11" i="14"/>
  <c r="H11" i="14"/>
  <c r="I11" i="14"/>
  <c r="J11" i="14"/>
  <c r="K11" i="14"/>
  <c r="L11" i="14"/>
  <c r="M11" i="14"/>
  <c r="N11" i="14"/>
  <c r="O11" i="14"/>
  <c r="P11" i="14"/>
  <c r="Q11" i="14"/>
  <c r="R11" i="14"/>
  <c r="S11" i="14"/>
  <c r="T11" i="14"/>
  <c r="U11" i="14"/>
  <c r="V11" i="14"/>
  <c r="W11" i="14"/>
  <c r="X11" i="14"/>
  <c r="Y11" i="14"/>
  <c r="Z11" i="14"/>
  <c r="AA11" i="14"/>
  <c r="AB11" i="14"/>
  <c r="AC11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F13" i="14"/>
  <c r="H13" i="14"/>
  <c r="I13" i="14"/>
  <c r="J13" i="14"/>
  <c r="K13" i="14"/>
  <c r="L13" i="14"/>
  <c r="M13" i="14"/>
  <c r="N13" i="14"/>
  <c r="O13" i="14"/>
  <c r="P13" i="14"/>
  <c r="R13" i="14"/>
  <c r="S13" i="14"/>
  <c r="T13" i="14"/>
  <c r="U13" i="14"/>
  <c r="V13" i="14"/>
  <c r="W13" i="14"/>
  <c r="X13" i="14"/>
  <c r="Y13" i="14"/>
  <c r="Z13" i="14"/>
  <c r="AA13" i="14"/>
  <c r="AB13" i="14"/>
  <c r="AC13" i="14"/>
  <c r="F14" i="14"/>
  <c r="G14" i="14"/>
  <c r="H14" i="14"/>
  <c r="I14" i="14"/>
  <c r="J14" i="14"/>
  <c r="K14" i="14"/>
  <c r="L14" i="14"/>
  <c r="M14" i="14"/>
  <c r="N14" i="14"/>
  <c r="O14" i="14"/>
  <c r="P14" i="14"/>
  <c r="Q14" i="14"/>
  <c r="R14" i="14"/>
  <c r="S14" i="14"/>
  <c r="T14" i="14"/>
  <c r="U14" i="14"/>
  <c r="V14" i="14"/>
  <c r="W14" i="14"/>
  <c r="X14" i="14"/>
  <c r="Y14" i="14"/>
  <c r="Z14" i="14"/>
  <c r="AA14" i="14"/>
  <c r="AB14" i="14"/>
  <c r="AC14" i="14"/>
  <c r="E14" i="14"/>
  <c r="E13" i="14"/>
  <c r="E12" i="14"/>
  <c r="E11" i="14"/>
  <c r="E10" i="14"/>
  <c r="AE10" i="21" l="1"/>
  <c r="AF10" i="21" s="1"/>
  <c r="AE14" i="16"/>
  <c r="AF14" i="16" s="1"/>
  <c r="AG14" i="16" s="1"/>
  <c r="AE13" i="16"/>
  <c r="AF13" i="16" s="1"/>
  <c r="AG13" i="16" s="1"/>
  <c r="AE12" i="16"/>
  <c r="AF12" i="16" s="1"/>
  <c r="AG12" i="16" s="1"/>
  <c r="AE11" i="16"/>
  <c r="AF11" i="16" s="1"/>
  <c r="AG11" i="16" s="1"/>
  <c r="AE10" i="16"/>
  <c r="AE8" i="16"/>
  <c r="AE14" i="15"/>
  <c r="AF14" i="15" s="1"/>
  <c r="AE13" i="15"/>
  <c r="AF13" i="15" s="1"/>
  <c r="AE12" i="15"/>
  <c r="AF12" i="15" s="1"/>
  <c r="AE11" i="15"/>
  <c r="AF11" i="15" s="1"/>
  <c r="AE10" i="15"/>
  <c r="AF10" i="15" s="1"/>
  <c r="AE8" i="15"/>
  <c r="B12" i="18" s="1"/>
  <c r="AE14" i="8"/>
  <c r="AE13" i="8"/>
  <c r="AE12" i="8"/>
  <c r="AE11" i="8"/>
  <c r="AE10" i="8"/>
  <c r="AE8" i="8"/>
  <c r="B11" i="18" s="1"/>
  <c r="AE14" i="11"/>
  <c r="AF14" i="11" s="1"/>
  <c r="AE13" i="11"/>
  <c r="AF13" i="11" s="1"/>
  <c r="AE12" i="11"/>
  <c r="AF12" i="11" s="1"/>
  <c r="AE11" i="11"/>
  <c r="AF11" i="11" s="1"/>
  <c r="AE10" i="11"/>
  <c r="AF10" i="11" s="1"/>
  <c r="AE14" i="7"/>
  <c r="AE13" i="7"/>
  <c r="AE12" i="7"/>
  <c r="AE11" i="7"/>
  <c r="AE10" i="7"/>
  <c r="AE8" i="7"/>
  <c r="B9" i="18" s="1"/>
  <c r="AE14" i="13"/>
  <c r="AE13" i="13"/>
  <c r="AE12" i="13"/>
  <c r="AE11" i="13"/>
  <c r="AE10" i="13"/>
  <c r="AE8" i="13"/>
  <c r="AE14" i="12"/>
  <c r="AE13" i="12"/>
  <c r="AE12" i="12"/>
  <c r="AE11" i="12"/>
  <c r="AE10" i="12"/>
  <c r="AE8" i="12"/>
  <c r="AE14" i="5"/>
  <c r="AE13" i="5"/>
  <c r="AE12" i="5"/>
  <c r="AE11" i="5"/>
  <c r="AE10" i="5"/>
  <c r="AE8" i="5"/>
  <c r="B6" i="18" s="1"/>
  <c r="AE14" i="6"/>
  <c r="AE13" i="6"/>
  <c r="AE12" i="6"/>
  <c r="AE11" i="6"/>
  <c r="AE10" i="6"/>
  <c r="AE14" i="9"/>
  <c r="AE13" i="9"/>
  <c r="AE12" i="9"/>
  <c r="AE11" i="9"/>
  <c r="AE10" i="9"/>
  <c r="AE8" i="9"/>
  <c r="B4" i="18" s="1"/>
  <c r="AE14" i="19"/>
  <c r="AE12" i="19"/>
  <c r="AF12" i="19" s="1"/>
  <c r="AG12" i="19" s="1"/>
  <c r="AE11" i="19"/>
  <c r="AF11" i="19" s="1"/>
  <c r="AG11" i="19" s="1"/>
  <c r="AE10" i="19"/>
  <c r="AF9" i="19"/>
  <c r="AG9" i="19" s="1"/>
  <c r="AF10" i="19"/>
  <c r="AG10" i="19" s="1"/>
  <c r="AF14" i="19"/>
  <c r="AG14" i="19" s="1"/>
  <c r="AE14" i="10"/>
  <c r="AE13" i="10"/>
  <c r="AE12" i="10"/>
  <c r="AE11" i="10"/>
  <c r="AE10" i="10"/>
  <c r="AE8" i="10"/>
  <c r="E7" i="15"/>
  <c r="F7" i="15"/>
  <c r="G7" i="15"/>
  <c r="H7" i="15"/>
  <c r="I7" i="15"/>
  <c r="J7" i="15"/>
  <c r="K7" i="15"/>
  <c r="L7" i="15"/>
  <c r="M7" i="15"/>
  <c r="N7" i="15"/>
  <c r="O7" i="15"/>
  <c r="P7" i="15"/>
  <c r="B8" i="18" l="1"/>
  <c r="B13" i="18"/>
  <c r="AF10" i="16"/>
  <c r="AG10" i="16" s="1"/>
  <c r="AE7" i="16"/>
  <c r="B7" i="18"/>
  <c r="AE14" i="14"/>
  <c r="AJ7" i="15"/>
  <c r="AD7" i="16"/>
  <c r="AK7" i="16" l="1"/>
  <c r="AJ7" i="16"/>
  <c r="AF8" i="16"/>
  <c r="AG8" i="16" s="1"/>
  <c r="AM7" i="16" l="1"/>
  <c r="AF7" i="16"/>
  <c r="AG7" i="16"/>
  <c r="AL7" i="16"/>
  <c r="AE12" i="14" l="1"/>
  <c r="AF12" i="14" s="1"/>
  <c r="AG12" i="14" s="1"/>
  <c r="AE11" i="14"/>
  <c r="AF11" i="14" s="1"/>
  <c r="AG11" i="14" s="1"/>
  <c r="AE10" i="14"/>
  <c r="AF10" i="14" s="1"/>
  <c r="AG10" i="14" s="1"/>
  <c r="AF14" i="14"/>
  <c r="AG14" i="14" s="1"/>
  <c r="AF8" i="12" l="1"/>
  <c r="AG8" i="12" s="1"/>
  <c r="AB9" i="12"/>
  <c r="AA9" i="12"/>
  <c r="Z9" i="12"/>
  <c r="Y9" i="12"/>
  <c r="X9" i="12"/>
  <c r="W9" i="12"/>
  <c r="V9" i="12"/>
  <c r="U9" i="12"/>
  <c r="T9" i="12"/>
  <c r="S9" i="12"/>
  <c r="R9" i="12"/>
  <c r="Q9" i="12"/>
  <c r="AJ7" i="12"/>
  <c r="AK7" i="12" l="1"/>
  <c r="AL7" i="12" s="1"/>
  <c r="AE7" i="12"/>
  <c r="AG7" i="12"/>
  <c r="AF7" i="12"/>
  <c r="AM7" i="12" l="1"/>
  <c r="AE14" i="22"/>
  <c r="AE10" i="22"/>
  <c r="AE11" i="22"/>
  <c r="AE12" i="22"/>
  <c r="AE13" i="22"/>
  <c r="AE8" i="23" l="1"/>
  <c r="AF8" i="23" s="1"/>
  <c r="AG8" i="23" s="1"/>
  <c r="T9" i="23"/>
  <c r="S9" i="23"/>
  <c r="R9" i="23"/>
  <c r="Q9" i="23"/>
  <c r="AB9" i="23"/>
  <c r="AA9" i="23"/>
  <c r="Z9" i="23"/>
  <c r="AD7" i="23"/>
  <c r="P7" i="23"/>
  <c r="O7" i="23"/>
  <c r="N7" i="23"/>
  <c r="M7" i="23"/>
  <c r="L7" i="23"/>
  <c r="K7" i="23"/>
  <c r="J7" i="23"/>
  <c r="I7" i="23"/>
  <c r="H7" i="23"/>
  <c r="G7" i="23"/>
  <c r="F7" i="23"/>
  <c r="E7" i="23"/>
  <c r="AJ7" i="23" s="1"/>
  <c r="AE8" i="22"/>
  <c r="AB9" i="22"/>
  <c r="AA9" i="22"/>
  <c r="Z9" i="22"/>
  <c r="Y9" i="22"/>
  <c r="X9" i="22"/>
  <c r="W9" i="22"/>
  <c r="V9" i="22"/>
  <c r="U9" i="22"/>
  <c r="T9" i="22"/>
  <c r="S9" i="22"/>
  <c r="R9" i="22"/>
  <c r="Q9" i="22"/>
  <c r="AD7" i="22"/>
  <c r="P7" i="22"/>
  <c r="O7" i="22"/>
  <c r="N7" i="22"/>
  <c r="M7" i="22"/>
  <c r="L7" i="22"/>
  <c r="K7" i="22"/>
  <c r="J7" i="22"/>
  <c r="I7" i="22"/>
  <c r="H7" i="22"/>
  <c r="G7" i="22"/>
  <c r="F7" i="22"/>
  <c r="E7" i="22"/>
  <c r="AJ7" i="22" s="1"/>
  <c r="AE8" i="21"/>
  <c r="AB9" i="21"/>
  <c r="AA9" i="21"/>
  <c r="Z9" i="21"/>
  <c r="Y9" i="21"/>
  <c r="X9" i="21"/>
  <c r="W9" i="21"/>
  <c r="V9" i="21"/>
  <c r="U9" i="21"/>
  <c r="T9" i="21"/>
  <c r="S9" i="21"/>
  <c r="R9" i="21"/>
  <c r="Q9" i="21"/>
  <c r="AD7" i="21"/>
  <c r="P7" i="21"/>
  <c r="O7" i="21"/>
  <c r="N7" i="21"/>
  <c r="M7" i="21"/>
  <c r="L7" i="21"/>
  <c r="K7" i="21"/>
  <c r="J7" i="21"/>
  <c r="I7" i="21"/>
  <c r="H7" i="21"/>
  <c r="G7" i="21"/>
  <c r="F7" i="21"/>
  <c r="E7" i="21"/>
  <c r="AJ7" i="21" s="1"/>
  <c r="AE8" i="20"/>
  <c r="AB9" i="20"/>
  <c r="AA9" i="20"/>
  <c r="Z9" i="20"/>
  <c r="U9" i="20"/>
  <c r="T9" i="20"/>
  <c r="S9" i="20"/>
  <c r="R9" i="20"/>
  <c r="Y8" i="20"/>
  <c r="Y9" i="20" s="1"/>
  <c r="X8" i="20"/>
  <c r="W8" i="20"/>
  <c r="V8" i="20"/>
  <c r="E8" i="20"/>
  <c r="E7" i="20" s="1"/>
  <c r="AJ7" i="20" s="1"/>
  <c r="AD7" i="20"/>
  <c r="P7" i="20"/>
  <c r="O7" i="20"/>
  <c r="N7" i="20"/>
  <c r="M7" i="20"/>
  <c r="L7" i="20"/>
  <c r="K7" i="20"/>
  <c r="J7" i="20"/>
  <c r="I7" i="20"/>
  <c r="H7" i="20"/>
  <c r="G7" i="20"/>
  <c r="F7" i="20"/>
  <c r="AK7" i="22" l="1"/>
  <c r="AL7" i="22" s="1"/>
  <c r="AK7" i="21"/>
  <c r="AL7" i="21" s="1"/>
  <c r="V9" i="20"/>
  <c r="Q9" i="20"/>
  <c r="E8" i="14"/>
  <c r="E7" i="14" s="1"/>
  <c r="W9" i="20"/>
  <c r="AK7" i="23"/>
  <c r="AL7" i="23" s="1"/>
  <c r="AF8" i="22"/>
  <c r="AG8" i="22" s="1"/>
  <c r="B16" i="18"/>
  <c r="AE7" i="22"/>
  <c r="AF8" i="21"/>
  <c r="AG8" i="21" s="1"/>
  <c r="B15" i="18"/>
  <c r="AF8" i="20"/>
  <c r="AG8" i="20" s="1"/>
  <c r="B14" i="18"/>
  <c r="AK7" i="20"/>
  <c r="AM7" i="20" s="1"/>
  <c r="AF7" i="23"/>
  <c r="AG7" i="23"/>
  <c r="AE7" i="23"/>
  <c r="AG7" i="22"/>
  <c r="AF7" i="22"/>
  <c r="AG7" i="21"/>
  <c r="AF7" i="21"/>
  <c r="AE7" i="21"/>
  <c r="AG7" i="20"/>
  <c r="AF7" i="20"/>
  <c r="AE7" i="20"/>
  <c r="X9" i="20"/>
  <c r="Q13" i="19"/>
  <c r="G13" i="19"/>
  <c r="AB9" i="19"/>
  <c r="AA9" i="19"/>
  <c r="Z9" i="19"/>
  <c r="X9" i="19"/>
  <c r="W9" i="19"/>
  <c r="V9" i="19"/>
  <c r="U9" i="19"/>
  <c r="T9" i="19"/>
  <c r="S9" i="19"/>
  <c r="R9" i="19"/>
  <c r="Q9" i="19"/>
  <c r="Y8" i="19"/>
  <c r="AD7" i="19"/>
  <c r="P7" i="19"/>
  <c r="O7" i="19"/>
  <c r="N7" i="19"/>
  <c r="M7" i="19"/>
  <c r="L7" i="19"/>
  <c r="K7" i="19"/>
  <c r="J7" i="19"/>
  <c r="I7" i="19"/>
  <c r="H7" i="19"/>
  <c r="F7" i="19"/>
  <c r="E7" i="19"/>
  <c r="AM7" i="22" l="1"/>
  <c r="AM7" i="21"/>
  <c r="AL7" i="20"/>
  <c r="Y8" i="14"/>
  <c r="Y7" i="14" s="1"/>
  <c r="AE8" i="19"/>
  <c r="G7" i="19"/>
  <c r="G13" i="14"/>
  <c r="Q13" i="14"/>
  <c r="AE13" i="19"/>
  <c r="AF13" i="19" s="1"/>
  <c r="AG13" i="19" s="1"/>
  <c r="AJ7" i="19"/>
  <c r="AM7" i="23"/>
  <c r="AE7" i="19"/>
  <c r="AK7" i="19"/>
  <c r="Y9" i="19"/>
  <c r="B3" i="18" l="1"/>
  <c r="AE13" i="14"/>
  <c r="AF13" i="14" s="1"/>
  <c r="AG13" i="14" s="1"/>
  <c r="AF8" i="19"/>
  <c r="AG8" i="19" s="1"/>
  <c r="AG7" i="19" s="1"/>
  <c r="AM7" i="19"/>
  <c r="AL7" i="19"/>
  <c r="AF7" i="19"/>
  <c r="R9" i="15" l="1"/>
  <c r="S9" i="15"/>
  <c r="T9" i="15"/>
  <c r="U9" i="15"/>
  <c r="V9" i="15"/>
  <c r="W9" i="15"/>
  <c r="X9" i="15"/>
  <c r="Y9" i="15"/>
  <c r="Z9" i="15"/>
  <c r="AA9" i="15"/>
  <c r="AB9" i="15"/>
  <c r="Q9" i="15"/>
  <c r="AF8" i="15"/>
  <c r="AG8" i="15" s="1"/>
  <c r="AD7" i="15"/>
  <c r="AE7" i="15" l="1"/>
  <c r="AK7" i="15"/>
  <c r="AL7" i="15" s="1"/>
  <c r="AD7" i="14"/>
  <c r="AM7" i="15" l="1"/>
  <c r="AF7" i="15" l="1"/>
  <c r="AG7" i="15"/>
  <c r="AF8" i="13" l="1"/>
  <c r="AG8" i="13" s="1"/>
  <c r="AB9" i="13"/>
  <c r="AA9" i="13"/>
  <c r="Z9" i="13"/>
  <c r="Y9" i="13"/>
  <c r="X9" i="13"/>
  <c r="W9" i="13"/>
  <c r="V9" i="13"/>
  <c r="U9" i="13"/>
  <c r="T9" i="13"/>
  <c r="S9" i="13"/>
  <c r="R9" i="13"/>
  <c r="Q9" i="13"/>
  <c r="P7" i="13"/>
  <c r="O7" i="13"/>
  <c r="N7" i="13"/>
  <c r="M7" i="13"/>
  <c r="L7" i="13"/>
  <c r="K7" i="13"/>
  <c r="J7" i="13"/>
  <c r="I7" i="13"/>
  <c r="H7" i="13"/>
  <c r="G7" i="13"/>
  <c r="F7" i="13"/>
  <c r="E7" i="13"/>
  <c r="AJ7" i="13" s="1"/>
  <c r="AK7" i="13" l="1"/>
  <c r="AM7" i="13" s="1"/>
  <c r="AG7" i="13"/>
  <c r="AF7" i="13"/>
  <c r="AE7" i="13"/>
  <c r="AL7" i="13" l="1"/>
  <c r="AA9" i="11"/>
  <c r="Z9" i="11"/>
  <c r="Y9" i="11"/>
  <c r="X9" i="11"/>
  <c r="V9" i="11"/>
  <c r="S9" i="11"/>
  <c r="W8" i="11"/>
  <c r="W9" i="11" s="1"/>
  <c r="U8" i="11"/>
  <c r="U9" i="11" s="1"/>
  <c r="T8" i="11"/>
  <c r="T9" i="11" s="1"/>
  <c r="R8" i="11"/>
  <c r="R9" i="11" s="1"/>
  <c r="Q8" i="11"/>
  <c r="P8" i="11"/>
  <c r="AB9" i="11" s="1"/>
  <c r="O8" i="11"/>
  <c r="L7" i="11"/>
  <c r="H7" i="11"/>
  <c r="AD7" i="11"/>
  <c r="O7" i="11"/>
  <c r="N7" i="11"/>
  <c r="M7" i="11"/>
  <c r="K7" i="11"/>
  <c r="J7" i="11"/>
  <c r="I7" i="11"/>
  <c r="G7" i="11"/>
  <c r="F7" i="11"/>
  <c r="E7" i="11"/>
  <c r="Q9" i="11" l="1"/>
  <c r="Q8" i="14"/>
  <c r="AE8" i="11"/>
  <c r="P7" i="11"/>
  <c r="AJ7" i="11" s="1"/>
  <c r="AK7" i="11"/>
  <c r="AM7" i="11" s="1"/>
  <c r="AF8" i="10"/>
  <c r="AG8" i="10" s="1"/>
  <c r="AE7" i="10"/>
  <c r="AD7" i="10"/>
  <c r="AB9" i="10"/>
  <c r="AA9" i="10"/>
  <c r="Z9" i="10"/>
  <c r="Y9" i="10"/>
  <c r="X9" i="10"/>
  <c r="W9" i="10"/>
  <c r="V9" i="10"/>
  <c r="U9" i="10"/>
  <c r="T9" i="10"/>
  <c r="S9" i="10"/>
  <c r="R9" i="10"/>
  <c r="Q9" i="10"/>
  <c r="P7" i="10"/>
  <c r="O7" i="10"/>
  <c r="N7" i="10"/>
  <c r="M7" i="10"/>
  <c r="L7" i="10"/>
  <c r="K7" i="10"/>
  <c r="J7" i="10"/>
  <c r="I7" i="10"/>
  <c r="H7" i="10"/>
  <c r="G7" i="10"/>
  <c r="F7" i="10"/>
  <c r="AJ7" i="10" s="1"/>
  <c r="E7" i="10"/>
  <c r="AD7" i="9"/>
  <c r="AA9" i="9"/>
  <c r="Z9" i="9"/>
  <c r="X9" i="9"/>
  <c r="W9" i="9"/>
  <c r="V9" i="9"/>
  <c r="U9" i="9"/>
  <c r="T9" i="9"/>
  <c r="S9" i="9"/>
  <c r="R9" i="9"/>
  <c r="Q9" i="9"/>
  <c r="P7" i="9"/>
  <c r="O7" i="9"/>
  <c r="N7" i="9"/>
  <c r="M7" i="9"/>
  <c r="L7" i="9"/>
  <c r="K7" i="9"/>
  <c r="J7" i="9"/>
  <c r="I7" i="9"/>
  <c r="H7" i="9"/>
  <c r="G7" i="9"/>
  <c r="F7" i="9"/>
  <c r="E7" i="9"/>
  <c r="AJ7" i="9" s="1"/>
  <c r="AF8" i="9"/>
  <c r="AG8" i="9" s="1"/>
  <c r="AB9" i="9"/>
  <c r="Y9" i="9"/>
  <c r="AF8" i="8"/>
  <c r="AG8" i="8" s="1"/>
  <c r="AD7" i="8"/>
  <c r="AB9" i="8"/>
  <c r="AK7" i="9"/>
  <c r="AM7" i="9" s="1"/>
  <c r="AE7" i="9"/>
  <c r="AE7" i="8"/>
  <c r="AA9" i="8"/>
  <c r="Z9" i="8"/>
  <c r="Y9" i="8"/>
  <c r="X9" i="8"/>
  <c r="W9" i="8"/>
  <c r="V9" i="8"/>
  <c r="U9" i="8"/>
  <c r="T9" i="8"/>
  <c r="S9" i="8"/>
  <c r="R9" i="8"/>
  <c r="Q9" i="8"/>
  <c r="P7" i="8"/>
  <c r="O7" i="8"/>
  <c r="N7" i="8"/>
  <c r="M7" i="8"/>
  <c r="L7" i="8"/>
  <c r="K7" i="8"/>
  <c r="J7" i="8"/>
  <c r="I7" i="8"/>
  <c r="H7" i="8"/>
  <c r="G7" i="8"/>
  <c r="F7" i="8"/>
  <c r="AJ7" i="8" s="1"/>
  <c r="E7" i="8"/>
  <c r="AK7" i="8"/>
  <c r="AE7" i="7"/>
  <c r="AD7" i="7"/>
  <c r="AB9" i="7"/>
  <c r="AA9" i="7"/>
  <c r="Z9" i="7"/>
  <c r="Y9" i="7"/>
  <c r="X9" i="7"/>
  <c r="W9" i="7"/>
  <c r="V9" i="7"/>
  <c r="U9" i="7"/>
  <c r="T9" i="7"/>
  <c r="S9" i="7"/>
  <c r="R9" i="7"/>
  <c r="Q9" i="7"/>
  <c r="P7" i="7"/>
  <c r="O7" i="7"/>
  <c r="N7" i="7"/>
  <c r="M7" i="7"/>
  <c r="L7" i="7"/>
  <c r="K7" i="7"/>
  <c r="J7" i="7"/>
  <c r="I7" i="7"/>
  <c r="H7" i="7"/>
  <c r="G7" i="7"/>
  <c r="F7" i="7"/>
  <c r="AJ7" i="7" s="1"/>
  <c r="E7" i="7"/>
  <c r="AF8" i="7"/>
  <c r="AG8" i="7" s="1"/>
  <c r="AD7" i="6"/>
  <c r="Q9" i="6"/>
  <c r="R8" i="6"/>
  <c r="F8" i="6"/>
  <c r="F8" i="14" s="1"/>
  <c r="F7" i="14" s="1"/>
  <c r="E7" i="6"/>
  <c r="F7" i="6"/>
  <c r="AF8" i="5"/>
  <c r="AG8" i="5" s="1"/>
  <c r="AD7" i="5"/>
  <c r="AB9" i="5"/>
  <c r="AA9" i="5"/>
  <c r="Z9" i="5"/>
  <c r="Y9" i="5"/>
  <c r="X9" i="5"/>
  <c r="W9" i="5"/>
  <c r="V9" i="5"/>
  <c r="U9" i="5"/>
  <c r="T9" i="5"/>
  <c r="S9" i="5"/>
  <c r="R9" i="5"/>
  <c r="Q9" i="5"/>
  <c r="P7" i="5"/>
  <c r="O7" i="5"/>
  <c r="N7" i="5"/>
  <c r="M7" i="5"/>
  <c r="L7" i="5"/>
  <c r="K7" i="5"/>
  <c r="J7" i="5"/>
  <c r="I7" i="5"/>
  <c r="H7" i="5"/>
  <c r="G7" i="5"/>
  <c r="AJ7" i="5" s="1"/>
  <c r="F7" i="5"/>
  <c r="E7" i="5"/>
  <c r="AE7" i="5"/>
  <c r="AE10" i="4"/>
  <c r="AE8" i="4"/>
  <c r="B2" i="18" s="1"/>
  <c r="AE11" i="4"/>
  <c r="AE12" i="4"/>
  <c r="AE13" i="4"/>
  <c r="AE14" i="4"/>
  <c r="AD7" i="4"/>
  <c r="AK7" i="4"/>
  <c r="AM7" i="4" s="1"/>
  <c r="Q9" i="4"/>
  <c r="O9" i="2"/>
  <c r="S13" i="2"/>
  <c r="R13" i="2"/>
  <c r="E7" i="4"/>
  <c r="AJ7" i="4" s="1"/>
  <c r="S9" i="4"/>
  <c r="R9" i="4"/>
  <c r="T9" i="4"/>
  <c r="F7" i="4"/>
  <c r="L11" i="2"/>
  <c r="M11" i="2"/>
  <c r="N11" i="2"/>
  <c r="F11" i="2"/>
  <c r="G11" i="2"/>
  <c r="H11" i="2"/>
  <c r="I11" i="2"/>
  <c r="K10" i="2"/>
  <c r="F10" i="2"/>
  <c r="G10" i="2"/>
  <c r="H10" i="2"/>
  <c r="I10" i="2"/>
  <c r="L10" i="2"/>
  <c r="M10" i="2"/>
  <c r="N10" i="2"/>
  <c r="G7" i="4"/>
  <c r="P9" i="2"/>
  <c r="U9" i="4"/>
  <c r="V9" i="4"/>
  <c r="I7" i="4"/>
  <c r="H7" i="4"/>
  <c r="Q10" i="2"/>
  <c r="R10" i="2"/>
  <c r="R9" i="2"/>
  <c r="W9" i="4"/>
  <c r="S10" i="2"/>
  <c r="J7" i="4"/>
  <c r="X9" i="4"/>
  <c r="Q11" i="2"/>
  <c r="Q9" i="2"/>
  <c r="Q12" i="2"/>
  <c r="Q13" i="2"/>
  <c r="Q14" i="2"/>
  <c r="Q15" i="2"/>
  <c r="Q16" i="2"/>
  <c r="N9" i="2"/>
  <c r="M9" i="2"/>
  <c r="L9" i="2"/>
  <c r="K9" i="2"/>
  <c r="J9" i="2"/>
  <c r="I9" i="2"/>
  <c r="H9" i="2"/>
  <c r="G9" i="2"/>
  <c r="F9" i="2"/>
  <c r="E9" i="2"/>
  <c r="T9" i="2"/>
  <c r="T10" i="2"/>
  <c r="U10" i="2"/>
  <c r="V10" i="2"/>
  <c r="W10" i="2"/>
  <c r="U9" i="2"/>
  <c r="V9" i="2"/>
  <c r="Y9" i="4"/>
  <c r="K7" i="4"/>
  <c r="R11" i="2"/>
  <c r="S11" i="2"/>
  <c r="S9" i="2"/>
  <c r="Z9" i="4"/>
  <c r="L7" i="4"/>
  <c r="AA9" i="4"/>
  <c r="M7" i="4"/>
  <c r="N7" i="4"/>
  <c r="AB9" i="4"/>
  <c r="O7" i="4"/>
  <c r="P7" i="4"/>
  <c r="AM7" i="8" l="1"/>
  <c r="B10" i="18"/>
  <c r="AF8" i="11"/>
  <c r="AK7" i="14"/>
  <c r="Q9" i="14"/>
  <c r="AE7" i="11"/>
  <c r="AK7" i="5"/>
  <c r="AM7" i="5" s="1"/>
  <c r="R8" i="14"/>
  <c r="G8" i="6"/>
  <c r="S8" i="6"/>
  <c r="R9" i="6"/>
  <c r="AL7" i="9"/>
  <c r="AL7" i="8"/>
  <c r="AK7" i="10"/>
  <c r="AL7" i="10" s="1"/>
  <c r="AK7" i="7"/>
  <c r="AL7" i="7" s="1"/>
  <c r="AE7" i="4"/>
  <c r="AF8" i="4"/>
  <c r="AL7" i="4"/>
  <c r="AK7" i="6"/>
  <c r="AF7" i="8"/>
  <c r="AG7" i="7"/>
  <c r="AG7" i="5"/>
  <c r="AF7" i="5"/>
  <c r="AG7" i="9"/>
  <c r="AF7" i="9"/>
  <c r="AG7" i="8"/>
  <c r="AF7" i="7"/>
  <c r="AG7" i="10"/>
  <c r="AF7" i="10"/>
  <c r="AL7" i="11"/>
  <c r="AG8" i="11" l="1"/>
  <c r="AG7" i="11" s="1"/>
  <c r="AF7" i="11"/>
  <c r="AM7" i="7"/>
  <c r="AL7" i="5"/>
  <c r="R9" i="14"/>
  <c r="G8" i="14"/>
  <c r="G7" i="14" s="1"/>
  <c r="G7" i="6"/>
  <c r="H8" i="6"/>
  <c r="S8" i="14"/>
  <c r="S9" i="6"/>
  <c r="T8" i="6"/>
  <c r="AM7" i="10"/>
  <c r="AF7" i="4"/>
  <c r="AG8" i="4"/>
  <c r="AG7" i="4" s="1"/>
  <c r="T8" i="14" l="1"/>
  <c r="T9" i="6"/>
  <c r="U8" i="6"/>
  <c r="H8" i="14"/>
  <c r="H7" i="14" s="1"/>
  <c r="I8" i="6"/>
  <c r="H7" i="6"/>
  <c r="S9" i="14"/>
  <c r="I8" i="14" l="1"/>
  <c r="I7" i="14" s="1"/>
  <c r="J8" i="6"/>
  <c r="I7" i="6"/>
  <c r="U8" i="14"/>
  <c r="V8" i="6"/>
  <c r="U9" i="6"/>
  <c r="T9" i="14"/>
  <c r="U9" i="14" l="1"/>
  <c r="AJ7" i="6"/>
  <c r="J8" i="14"/>
  <c r="J7" i="14" s="1"/>
  <c r="K8" i="6"/>
  <c r="V8" i="14"/>
  <c r="V9" i="6"/>
  <c r="W8" i="6"/>
  <c r="V9" i="14" l="1"/>
  <c r="W8" i="14"/>
  <c r="W9" i="6"/>
  <c r="X8" i="6"/>
  <c r="K8" i="14"/>
  <c r="K7" i="14" s="1"/>
  <c r="L8" i="6"/>
  <c r="K7" i="6"/>
  <c r="AL7" i="6"/>
  <c r="AM7" i="6"/>
  <c r="W9" i="14" l="1"/>
  <c r="L8" i="14"/>
  <c r="L7" i="14" s="1"/>
  <c r="L7" i="6"/>
  <c r="M8" i="6"/>
  <c r="X8" i="14"/>
  <c r="X9" i="6"/>
  <c r="X9" i="14" l="1"/>
  <c r="M8" i="14"/>
  <c r="Y9" i="6"/>
  <c r="M7" i="6"/>
  <c r="N8" i="6"/>
  <c r="Y9" i="14" l="1"/>
  <c r="M7" i="14"/>
  <c r="N8" i="14"/>
  <c r="O8" i="6"/>
  <c r="N7" i="6"/>
  <c r="Z9" i="6"/>
  <c r="Z9" i="14" l="1"/>
  <c r="N7" i="14"/>
  <c r="O8" i="14"/>
  <c r="O7" i="14" s="1"/>
  <c r="P8" i="6"/>
  <c r="AA9" i="6"/>
  <c r="O7" i="6"/>
  <c r="P8" i="14" l="1"/>
  <c r="AB9" i="6"/>
  <c r="P7" i="6"/>
  <c r="AE8" i="6"/>
  <c r="AA9" i="14"/>
  <c r="AB9" i="14" l="1"/>
  <c r="P7" i="14"/>
  <c r="AJ7" i="14" s="1"/>
  <c r="B5" i="18"/>
  <c r="AF8" i="6"/>
  <c r="AE7" i="6"/>
  <c r="AE8" i="14"/>
  <c r="AF8" i="14" l="1"/>
  <c r="AE7" i="14"/>
  <c r="AM7" i="14"/>
  <c r="AL7" i="14"/>
  <c r="AG8" i="6"/>
  <c r="AG7" i="6" s="1"/>
  <c r="AF7" i="6"/>
  <c r="B17" i="18"/>
  <c r="AG8" i="14" l="1"/>
  <c r="AG7" i="14" s="1"/>
  <c r="AF7" i="14"/>
  <c r="J3" i="18"/>
</calcChain>
</file>

<file path=xl/comments1.xml><?xml version="1.0" encoding="utf-8"?>
<comments xmlns="http://schemas.openxmlformats.org/spreadsheetml/2006/main">
  <authors>
    <author>Finanses</author>
  </authors>
  <commentList>
    <comment ref="E8" authorId="0" shapeId="0">
      <text>
        <r>
          <rPr>
            <b/>
            <sz val="9"/>
            <color indexed="81"/>
            <rFont val="Tahoma"/>
            <family val="2"/>
            <charset val="186"/>
          </rPr>
          <t>29.12.2020. samaksāts 6 399.93 euro par periodu no 01.12.2020.-27.12.2020.</t>
        </r>
      </text>
    </comment>
  </commentList>
</comments>
</file>

<file path=xl/sharedStrings.xml><?xml version="1.0" encoding="utf-8"?>
<sst xmlns="http://schemas.openxmlformats.org/spreadsheetml/2006/main" count="1717" uniqueCount="171">
  <si>
    <t>Izdevumu EKK</t>
  </si>
  <si>
    <t>Nr.p.k.</t>
  </si>
  <si>
    <t>1.</t>
  </si>
  <si>
    <t>Elektroenerģija</t>
  </si>
  <si>
    <t>1.1.</t>
  </si>
  <si>
    <t>1.2.</t>
  </si>
  <si>
    <t>1.3.</t>
  </si>
  <si>
    <t>1.4.</t>
  </si>
  <si>
    <t>Energoresursu izmaksu sadārdzinājums</t>
  </si>
  <si>
    <t>Skaidrojums par veiktajām korekcijām</t>
  </si>
  <si>
    <t>a</t>
  </si>
  <si>
    <t>b</t>
  </si>
  <si>
    <t>c</t>
  </si>
  <si>
    <t>d</t>
  </si>
  <si>
    <t>e</t>
  </si>
  <si>
    <t>g</t>
  </si>
  <si>
    <t>h</t>
  </si>
  <si>
    <t>k</t>
  </si>
  <si>
    <t>l</t>
  </si>
  <si>
    <t>n</t>
  </si>
  <si>
    <t>o</t>
  </si>
  <si>
    <t>Dabasgāze</t>
  </si>
  <si>
    <t>Ogles</t>
  </si>
  <si>
    <t>Kurināmā koksne</t>
  </si>
  <si>
    <t>1.5.</t>
  </si>
  <si>
    <t>1.6.</t>
  </si>
  <si>
    <t>Janvāris (par decembri)</t>
  </si>
  <si>
    <t>Februāris (par janvāri)</t>
  </si>
  <si>
    <t>Marts (par februāri)</t>
  </si>
  <si>
    <t>Aprīlis (par martu)</t>
  </si>
  <si>
    <t>i</t>
  </si>
  <si>
    <t>m</t>
  </si>
  <si>
    <t>1.7.</t>
  </si>
  <si>
    <t>Maijs (par aprīli)</t>
  </si>
  <si>
    <t>j</t>
  </si>
  <si>
    <t>Energoresursu  izmaksu pieaugums 2022.g. janvāris - maijs</t>
  </si>
  <si>
    <t>Izdevumi pēc naudas plūsmas principa par 2021.gadu  EUR</t>
  </si>
  <si>
    <t>Izdevumi pēc naudas plūsmas principa par 2022.gadu EUR</t>
  </si>
  <si>
    <t>Norādīt citu konkrētu energoresursu veidu</t>
  </si>
  <si>
    <t>Siltumenerģija apkurei</t>
  </si>
  <si>
    <t>f</t>
  </si>
  <si>
    <t>p=i+j+k+l+m-d-e-f-g-h+n</t>
  </si>
  <si>
    <t>Korekcijas (+/-), lai dati būtu salīdzināmi</t>
  </si>
  <si>
    <t>2022.gada ___.___________</t>
  </si>
  <si>
    <t>Sagatavotājs:</t>
  </si>
  <si>
    <t>(Vārds, Uzvārds, telefona nr., epasts)</t>
  </si>
  <si>
    <t xml:space="preserve">Kopā energoresursi: </t>
  </si>
  <si>
    <t>x</t>
  </si>
  <si>
    <r>
      <t xml:space="preserve">   tai skaitā konts:_________________________________ (</t>
    </r>
    <r>
      <rPr>
        <b/>
        <i/>
        <sz val="10"/>
        <rFont val="Times New Roman"/>
        <family val="1"/>
      </rPr>
      <t>norēķinu konta numurs</t>
    </r>
    <r>
      <rPr>
        <b/>
        <sz val="10"/>
        <rFont val="Times New Roman"/>
        <family val="1"/>
      </rPr>
      <t>)</t>
    </r>
  </si>
  <si>
    <t>Energoresursu veids</t>
  </si>
  <si>
    <t xml:space="preserve">97.01.00 Ministrijas centrālā aparāta darbības nodrošināšana </t>
  </si>
  <si>
    <t>Vid.izm. Menesī</t>
  </si>
  <si>
    <t xml:space="preserve">Vidējās pieaugums mēnesī </t>
  </si>
  <si>
    <t>Vidējās pieagums gadā</t>
  </si>
  <si>
    <t>Elektroenerģijas maksas samazinājums no 01.01.2022.-30.04.2022</t>
  </si>
  <si>
    <t>Decembris (par novembri)</t>
  </si>
  <si>
    <t>Novembris(par oktobri)</t>
  </si>
  <si>
    <t>Oktobris (par septembri)</t>
  </si>
  <si>
    <t>Septembris (par augustu)</t>
  </si>
  <si>
    <t>Augusts(par jūliju)</t>
  </si>
  <si>
    <t>Jūlijs (par jūniju)</t>
  </si>
  <si>
    <t>Jūnijs (par maiju)</t>
  </si>
  <si>
    <t>Starpība %</t>
  </si>
  <si>
    <t>Siltumenerģija apkurei (2221)</t>
  </si>
  <si>
    <t xml:space="preserve"> BANKU AUGSTSKOLAS energoresursu izmaksu sadārdzinājums</t>
  </si>
  <si>
    <t>2022.gada 14.09.2022</t>
  </si>
  <si>
    <t>(Katrīna Alksne-Alksnīte, telefona nr. 26475683, epasts: Katrina.Alksne-Alksnite@ba.lv)</t>
  </si>
  <si>
    <t>Energoresursu  izmaksu pieaugums 2022.g. janvāris - decembris</t>
  </si>
  <si>
    <t>Sadārdzinājums - septembrim, oktobrim, novembrim, decembrim</t>
  </si>
  <si>
    <t>50% + janvāra mēnesis</t>
  </si>
  <si>
    <t>Liepājas Universitāte (iestādes nosaukums) Energoresursu izmaksu sadārdzinājums</t>
  </si>
  <si>
    <t>2022.gada 14.septembris</t>
  </si>
  <si>
    <t>Sagatavotājs: Jeļena Trukšāne tālr.26300360, jelena.truksane@liepu.lv</t>
  </si>
  <si>
    <t>Latvijas Sporta pedagoģijas akadēmijas Energoresursu izmaksu sadārdzinājums</t>
  </si>
  <si>
    <t>2022.gada 13.septembrī</t>
  </si>
  <si>
    <t>Ingūna Zazīte, tel.nr.67543415</t>
  </si>
  <si>
    <t>inguna.zazite@lspa.lv</t>
  </si>
  <si>
    <r>
      <rPr>
        <b/>
        <u/>
        <sz val="14"/>
        <color theme="1"/>
        <rFont val="Times New Roman"/>
        <family val="1"/>
        <charset val="186"/>
      </rPr>
      <t>Rīgas Tehniskā universitāte</t>
    </r>
    <r>
      <rPr>
        <b/>
        <sz val="14"/>
        <color theme="1"/>
        <rFont val="Times New Roman"/>
        <family val="1"/>
      </rPr>
      <t xml:space="preserve">  Energoresursu izmaksu sadārdzinājums</t>
    </r>
  </si>
  <si>
    <t>Sagatavotājs: Sandis Kārkliņš, +371 22023377, sandis.karklins@rtu.lv</t>
  </si>
  <si>
    <r>
      <t xml:space="preserve">Vidzemes Augstskola </t>
    </r>
    <r>
      <rPr>
        <sz val="14"/>
        <color theme="1"/>
        <rFont val="Times New Roman"/>
        <family val="1"/>
        <charset val="186"/>
      </rPr>
      <t>(iestādes nosaukums)</t>
    </r>
    <r>
      <rPr>
        <b/>
        <sz val="14"/>
        <color theme="1"/>
        <rFont val="Times New Roman"/>
        <family val="1"/>
      </rPr>
      <t xml:space="preserve"> Energoresursu izmaksu sadārdzinājums</t>
    </r>
  </si>
  <si>
    <t>2022.gada 15.septembris</t>
  </si>
  <si>
    <t>Sagatavotājs: Ginta Sēne, 26681800, ginta.sene@va.lv</t>
  </si>
  <si>
    <t>Latvijas Jūras akadēmija    Energoresursu izmaksu sadārdzinājums</t>
  </si>
  <si>
    <t>Irina Skurska, tel. 67161119, e-pasts: irina@latja.lv</t>
  </si>
  <si>
    <t>____________________________________(Daugavpils Universitāte) Energoresursu izmaksu sadārdzinājums</t>
  </si>
  <si>
    <t>Daugavpils Siltumtīkli tarifi:</t>
  </si>
  <si>
    <t>no 1.09.</t>
  </si>
  <si>
    <t>122,55 EUR bez PVN par 1 MWh siltuma</t>
  </si>
  <si>
    <t>no 1.10.</t>
  </si>
  <si>
    <t>175,59 EUR bez PVN par 1 MWh siltuma</t>
  </si>
  <si>
    <t>Elektroenerģijas izdevumu prognoze sastādīta balstoties uz pašreizējām elektroenerģijas cenām</t>
  </si>
  <si>
    <t>Ventspils Augstskolas Energoresursu izmaksu sadārdzinājums</t>
  </si>
  <si>
    <t>VeA</t>
  </si>
  <si>
    <t>Sašķidrinātā gāze apkurei</t>
  </si>
  <si>
    <t>Irbene</t>
  </si>
  <si>
    <t>2022.gada 16.septembrī</t>
  </si>
  <si>
    <t>Sagatavotājs: Jevgenijs Blaževičs, 29809133, jevgenijs.blazevics@lu.lv</t>
  </si>
  <si>
    <t>Rēzeknes Tehnoloģiju akadēmijas  Energoresursu izmaksu sadārdzinājums</t>
  </si>
  <si>
    <t>Apkures maksas samazinājums no 01.05.2022.-31.07.2022.</t>
  </si>
  <si>
    <t>Šķelda</t>
  </si>
  <si>
    <t>Granulas</t>
  </si>
  <si>
    <t>Rīgas Stradiņa universitāte Energoresursu izmaksu sadārdzinājums</t>
  </si>
  <si>
    <t>Koskaidu granulas</t>
  </si>
  <si>
    <t>Atbalsts elektroenerģijai</t>
  </si>
  <si>
    <t>AI energoresursu izmaksu sadārdzinājums</t>
  </si>
  <si>
    <t>Latvijas Biozinātņu un tehnoloģiju universitāte (LBTU) Energoresursu izmaksu sadārdzinājums</t>
  </si>
  <si>
    <t>Siltumenerģija apkurei (2221 un 2321)</t>
  </si>
  <si>
    <t>2321; 2221</t>
  </si>
  <si>
    <t>LBTU ir savas katlu mājas (kods 2321)</t>
  </si>
  <si>
    <t>Kurināmā koksne (šķelda)</t>
  </si>
  <si>
    <t>2022.gada 21.septembris</t>
  </si>
  <si>
    <t>Pieaugums apkurei 2022.gadam</t>
  </si>
  <si>
    <t>KOPĀ</t>
  </si>
  <si>
    <t>Banku augstskola</t>
  </si>
  <si>
    <t>Latvijas Sporta pedagoģijas akadēmija</t>
  </si>
  <si>
    <t>Liepājas Universitāte</t>
  </si>
  <si>
    <t>Latvijas Universitāte</t>
  </si>
  <si>
    <t>Rēzeknes Tehnoloģiju akadēmija</t>
  </si>
  <si>
    <t>Ventspils Augstskola</t>
  </si>
  <si>
    <t>Vidzemes Augstskola</t>
  </si>
  <si>
    <t>Rīgas Stradiņa Universitāte</t>
  </si>
  <si>
    <t>Latvijas Biozinātņu un tehnoloģiju universitāte</t>
  </si>
  <si>
    <r>
      <rPr>
        <b/>
        <u/>
        <sz val="14"/>
        <color rgb="FF0070C0"/>
        <rFont val="Times New Roman"/>
        <family val="1"/>
        <charset val="186"/>
      </rPr>
      <t>Daugavpils Universitātes aģentūra Daugavpils Universitātes Daugavpils medicīnas koledža</t>
    </r>
    <r>
      <rPr>
        <b/>
        <sz val="14"/>
        <color rgb="FF0070C0"/>
        <rFont val="Times New Roman"/>
        <family val="1"/>
        <charset val="186"/>
      </rPr>
      <t xml:space="preserve"> </t>
    </r>
    <r>
      <rPr>
        <b/>
        <sz val="14"/>
        <color theme="1"/>
        <rFont val="Times New Roman"/>
        <family val="1"/>
      </rPr>
      <t xml:space="preserve"> Energoresursu izmaksu sadārdzinājums</t>
    </r>
  </si>
  <si>
    <t>Kokskaidu granulas</t>
  </si>
  <si>
    <t>2022. gada 15. septembrī</t>
  </si>
  <si>
    <t>Sagatavotājs: Nataļja Pučkova, 28210142, natalja@dmk.lv</t>
  </si>
  <si>
    <t>Jāzepa Vītola Latvijas Mūzikas akadēmija Energoresursu izmaksu sadārdzinājums</t>
  </si>
  <si>
    <t>2022.gada 23. septembris</t>
  </si>
  <si>
    <t>Vita Daudisa tel.27865001</t>
  </si>
  <si>
    <t>Latvijas Mākslas akadēmija Energoresursu izmaksu sadārdzinājums</t>
  </si>
  <si>
    <t>Sagatavotājs: Inga Kiselova , 29296021, inga.kiselova@lma.lv</t>
  </si>
  <si>
    <t>Latvijas Kultūras akadēmijas Energoresursu izmaksu sadārdzinājums</t>
  </si>
  <si>
    <t>2022. gada 22. septembris</t>
  </si>
  <si>
    <t>Laura Liniņa, telefona nr. 67114811, Laura.Linina@lka.edu.lv)</t>
  </si>
  <si>
    <t xml:space="preserve">  Latvijas Kultūras akadēmijas aģentūras"Latvijas Kultūras akadēmijas Latvijas Kultūras koledža" Energoresursu izmaksu sadārdzinājums</t>
  </si>
  <si>
    <t>2022.gada 22.septembrī</t>
  </si>
  <si>
    <t>Lelde Strazdiņa</t>
  </si>
  <si>
    <t>Jāzepa Vītola Latvijas Mūzikas akadēmija</t>
  </si>
  <si>
    <t>Latvijas Mākslas akadēmija</t>
  </si>
  <si>
    <t>LATVIJAS UNIVERSITĀTES (iesk. koledžas) Energoresursu izmaksu sadārdzinājums</t>
  </si>
  <si>
    <t>Ietilpst:</t>
  </si>
  <si>
    <t>LU Paula Stradiņa medicīnas koledža</t>
  </si>
  <si>
    <t>LU Rīgas Medicīnas koledža</t>
  </si>
  <si>
    <t>LU Rīgas 1. Medicīnas koledža</t>
  </si>
  <si>
    <t>AI</t>
  </si>
  <si>
    <t>IZM</t>
  </si>
  <si>
    <t>ZM</t>
  </si>
  <si>
    <t>VM</t>
  </si>
  <si>
    <t>KM</t>
  </si>
  <si>
    <t>Kopā:</t>
  </si>
  <si>
    <t>Paskaidrojums par oktobra, novembra un decembra prognozētajām izmaksām</t>
  </si>
  <si>
    <t>Aprēķini balstīti aptuvenā vidējā vēsturiskā mēneša patēriņā, to reizinot ar pieņemtu iespējamo piegādātāju cenu.</t>
  </si>
  <si>
    <t>Apkuri ar šķeldu sāk oktobrī, apkuri ar granulām novembrī. Granulu izmaksas 576 euro par tonnu, šķeldas izmaksas 30,25 euro par 1 berm3.</t>
  </si>
  <si>
    <t>Apkures prognozētie izdevumi ir balstīti uz SIA Rīgas Siltums iesūtīto vēstuli par siltumtarifa cenas dubulto pieaugumu.</t>
  </si>
  <si>
    <t>Apkures izdevumi no 1.oktobra par 1MWh 175,59 euro.</t>
  </si>
  <si>
    <t>* Prognoze atbilstoši optimistiskam scenārijam, neņemot vērā plānotots taupības pasākumus:
- pamats patēriņa prognozei 2019.gada attiecīgā mēneša parēriņš (pēdējais pirms COVID gads, kad infrastruktūra strādāja normālā režīmā);
  - siltumenerģijas tarifs LU, LU RMK un LU R1MK 170,59 EUR/mWh (bez PVN); LU PSMK n/a;
- gāzes tarifs LU 63 EUR/mWh (bez PVN; atbilstoši ilgtermiņa līgumam); LU PSMK 95 EUR/mWh (bez PVN; atbilstoši ilgtermiņa līgumam); LU R1MK 255.37 EUR/mWh (bez PVN; saskaņā ar mainīgo cenu); LU RMK n/a;
- LU kurināmā izmaksas balstoties uz iepriekšējā gada izmaksām, reizinot ar koeficientu 1,7 atbilstoši faktiskam sadārdzinājumam; LU PSMK, LU RMK, LU R1MK n/a</t>
  </si>
  <si>
    <t>Prognozes aprēķinā izmantoti iepriekšējo periodu (2021.g.) patēriņš, kas reizināts ar pēdējo aktuālo cenu no piegādātāja.</t>
  </si>
  <si>
    <t xml:space="preserve">
Oktobris, novembris, decembris prognozēts, ņemot vērā siltuma tarifa dubultošanu. Ar oktobri tarifs no 85 euro par MWh pacelts uz 206 euro par MWh .</t>
  </si>
  <si>
    <t>Izmaksas tika prognozētas pēc iepriekšējo četru gadu vidējā patēriņa un sareizināta ar iesniegto tarifu no siltumenerģijas ražotāja.</t>
  </si>
  <si>
    <t>Izejas dati iegūti pēc saziņas ar PSIA Ventspils Siltums.</t>
  </si>
  <si>
    <r>
      <t xml:space="preserve">Tika izvērtēts pēdējo 5 gadu resursu patēriņa apjoms un izrēķināts vidējais patēriņš katrā no mēnešiem:
</t>
    </r>
    <r>
      <rPr>
        <u/>
        <sz val="10"/>
        <rFont val="Calibri"/>
        <family val="2"/>
        <scheme val="minor"/>
      </rPr>
      <t>Apkure:</t>
    </r>
    <r>
      <rPr>
        <sz val="10"/>
        <rFont val="Calibri"/>
        <family val="2"/>
        <charset val="186"/>
        <scheme val="minor"/>
      </rPr>
      <t xml:space="preserve"> vidējais patēriņš novembra mēnesim 70 MWh, decembra mēnesim 110 MWh, Valmierā noteiktā cena 192 EUR/MWh</t>
    </r>
  </si>
  <si>
    <t>1) Patēriņa izmaiņas ir noteiktas pēc 2021.gada datiem, veicot korekcijas par ietaupījumiem un platības izmaiņām;
2) Siltumenerģija - tarifs pēc Rīgas siltuma publiski pieejamās informācijas, Dabasgāzes tarifs - pēc līguma noteikumiem, Kokskaidu granulas - iespējamā plānotā kokskaidru granulu cena par t, ņemot vērā tirgus tendences.</t>
  </si>
  <si>
    <t>Siltumenerģijas prognozētās izmaksas norādītas rēķinot prognozēto patēriņu ar prognozētajām cenām.</t>
  </si>
  <si>
    <t>Aprēķins  tika veikts, pēc pēdējā zināmā tarifa siltumenerģijai, un vidējā patēriņa  trīs gadu termiņā, neņemot vērā pēdējos divus gadus, kad COVID 19 apstākļos tika organizēts attālinātais mācību process.</t>
  </si>
  <si>
    <t>Daugavpils Universitāte (ieskaitot DU aģentūru- Daugavpils Medicīnas koledžu)</t>
  </si>
  <si>
    <t>Latvijas Universitāte (ieskaitot LU aģentūras- koledžas)</t>
  </si>
  <si>
    <t>Rīgas Tehniskā universitāte (ieskaitot RTU aģentūru- Olaines Tehnoloģiju koledžu)</t>
  </si>
  <si>
    <t>Latvijas Jūras akadēmija (*RTU struktūrvienība, dati iesniegti atsevišķi, jo ir atseviška studiju īstenošanas vieta ar apkures izmaksām)</t>
  </si>
  <si>
    <t>Latvijas Kultūras akadēmija (ieskaitot aģentūru- koledžu)</t>
  </si>
  <si>
    <t>Izdevumi pēc naudas plūsmas principa par 2022.gadu EUR
Faktiskie izdevumi līdz 30.septembrim un prognozētie no 1.oktobra līdz 31.decembrim</t>
  </si>
  <si>
    <t>Izdevumi pēc naudas plūsmas principa par 2022.gadu EUR
Faktiskie izdevumi līdz 31.oktobrim un prognozētie no 1.novembra līdz 31.decembrim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</si>
</sst>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#,##0.0"/>
  </numFmts>
  <fonts count="52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color theme="4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14"/>
      <color theme="1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  <charset val="186"/>
    </font>
    <font>
      <u/>
      <sz val="11"/>
      <color theme="10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b/>
      <u/>
      <sz val="14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0"/>
      <color theme="4"/>
      <name val="Times New Roman"/>
      <family val="1"/>
    </font>
    <font>
      <b/>
      <u/>
      <sz val="10"/>
      <color rgb="FFFF0000"/>
      <name val="Times New Roman"/>
      <family val="1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u/>
      <sz val="14"/>
      <color rgb="FF0070C0"/>
      <name val="Times New Roman"/>
      <family val="1"/>
      <charset val="186"/>
    </font>
    <font>
      <b/>
      <sz val="14"/>
      <color rgb="FF0070C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b/>
      <sz val="14"/>
      <color theme="1"/>
      <name val="Arial Narrow"/>
      <family val="2"/>
      <charset val="186"/>
    </font>
    <font>
      <sz val="11"/>
      <color theme="1"/>
      <name val="Arial Narrow"/>
      <family val="2"/>
      <charset val="186"/>
    </font>
    <font>
      <sz val="10"/>
      <color theme="1"/>
      <name val="Arial Narrow"/>
      <family val="2"/>
      <charset val="186"/>
    </font>
    <font>
      <b/>
      <sz val="10"/>
      <color theme="1"/>
      <name val="Arial Narrow"/>
      <family val="2"/>
      <charset val="186"/>
    </font>
    <font>
      <sz val="9"/>
      <color theme="1"/>
      <name val="Arial Narrow"/>
      <family val="2"/>
      <charset val="186"/>
    </font>
    <font>
      <sz val="10"/>
      <color theme="4"/>
      <name val="Arial Narrow"/>
      <family val="2"/>
      <charset val="186"/>
    </font>
    <font>
      <b/>
      <sz val="10"/>
      <name val="Arial Narrow"/>
      <family val="2"/>
      <charset val="186"/>
    </font>
    <font>
      <sz val="11"/>
      <color rgb="FFFF0000"/>
      <name val="Arial Narrow"/>
      <family val="2"/>
      <charset val="186"/>
    </font>
    <font>
      <sz val="1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11"/>
      <name val="Arial Narrow"/>
      <family val="2"/>
      <charset val="186"/>
    </font>
    <font>
      <sz val="10"/>
      <name val="Calibri"/>
      <family val="2"/>
      <charset val="186"/>
      <scheme val="minor"/>
    </font>
    <font>
      <sz val="9"/>
      <name val="Times New Roman"/>
      <family val="1"/>
      <charset val="186"/>
    </font>
    <font>
      <b/>
      <sz val="10"/>
      <color rgb="FFFF0000"/>
      <name val="Arial Narrow"/>
      <family val="2"/>
      <charset val="186"/>
    </font>
    <font>
      <u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4" fillId="0" borderId="0" applyNumberFormat="0" applyFill="0" applyBorder="0" applyAlignment="0" applyProtection="0"/>
    <xf numFmtId="9" fontId="30" fillId="0" borderId="0" applyFont="0" applyFill="0" applyBorder="0" applyAlignment="0" applyProtection="0"/>
    <xf numFmtId="43" fontId="30" fillId="0" borderId="0" applyFont="0" applyFill="0" applyBorder="0" applyAlignment="0" applyProtection="0"/>
  </cellStyleXfs>
  <cellXfs count="353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center" wrapText="1"/>
    </xf>
    <xf numFmtId="0" fontId="0" fillId="0" borderId="0" xfId="0" applyFont="1"/>
    <xf numFmtId="0" fontId="3" fillId="0" borderId="1" xfId="0" applyFont="1" applyFill="1" applyBorder="1"/>
    <xf numFmtId="0" fontId="1" fillId="0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/>
    <xf numFmtId="0" fontId="9" fillId="0" borderId="1" xfId="0" applyFont="1" applyFill="1" applyBorder="1"/>
    <xf numFmtId="0" fontId="9" fillId="0" borderId="0" xfId="0" applyFont="1"/>
    <xf numFmtId="49" fontId="6" fillId="0" borderId="0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4" fontId="1" fillId="4" borderId="1" xfId="0" applyNumberFormat="1" applyFont="1" applyFill="1" applyBorder="1" applyAlignment="1">
      <alignment vertical="center" wrapText="1"/>
    </xf>
    <xf numFmtId="49" fontId="6" fillId="0" borderId="0" xfId="0" applyNumberFormat="1" applyFont="1" applyFill="1" applyBorder="1" applyAlignment="1">
      <alignment horizontal="left" vertical="center"/>
    </xf>
    <xf numFmtId="4" fontId="6" fillId="0" borderId="1" xfId="0" applyNumberFormat="1" applyFont="1" applyFill="1" applyBorder="1"/>
    <xf numFmtId="4" fontId="1" fillId="0" borderId="1" xfId="0" applyNumberFormat="1" applyFont="1" applyFill="1" applyBorder="1"/>
    <xf numFmtId="4" fontId="1" fillId="4" borderId="1" xfId="0" applyNumberFormat="1" applyFont="1" applyFill="1" applyBorder="1"/>
    <xf numFmtId="4" fontId="8" fillId="0" borderId="1" xfId="0" applyNumberFormat="1" applyFont="1" applyFill="1" applyBorder="1"/>
    <xf numFmtId="4" fontId="3" fillId="0" borderId="1" xfId="0" applyNumberFormat="1" applyFont="1" applyFill="1" applyBorder="1"/>
    <xf numFmtId="4" fontId="9" fillId="0" borderId="0" xfId="0" applyNumberFormat="1" applyFont="1"/>
    <xf numFmtId="4" fontId="0" fillId="0" borderId="0" xfId="0" applyNumberFormat="1"/>
    <xf numFmtId="0" fontId="12" fillId="0" borderId="0" xfId="0" applyFont="1"/>
    <xf numFmtId="0" fontId="13" fillId="0" borderId="0" xfId="0" applyFont="1"/>
    <xf numFmtId="49" fontId="7" fillId="0" borderId="1" xfId="0" applyNumberFormat="1" applyFont="1" applyFill="1" applyBorder="1" applyAlignment="1">
      <alignment horizontal="left" vertical="center"/>
    </xf>
    <xf numFmtId="4" fontId="7" fillId="0" borderId="1" xfId="0" applyNumberFormat="1" applyFont="1" applyFill="1" applyBorder="1"/>
    <xf numFmtId="4" fontId="12" fillId="0" borderId="1" xfId="0" applyNumberFormat="1" applyFont="1" applyFill="1" applyBorder="1"/>
    <xf numFmtId="49" fontId="16" fillId="0" borderId="1" xfId="0" applyNumberFormat="1" applyFont="1" applyFill="1" applyBorder="1" applyAlignment="1">
      <alignment horizontal="left" vertical="center"/>
    </xf>
    <xf numFmtId="4" fontId="16" fillId="0" borderId="1" xfId="0" applyNumberFormat="1" applyFont="1" applyFill="1" applyBorder="1"/>
    <xf numFmtId="4" fontId="17" fillId="0" borderId="1" xfId="0" applyNumberFormat="1" applyFont="1" applyFill="1" applyBorder="1"/>
    <xf numFmtId="10" fontId="17" fillId="0" borderId="1" xfId="0" applyNumberFormat="1" applyFont="1" applyFill="1" applyBorder="1"/>
    <xf numFmtId="0" fontId="14" fillId="0" borderId="0" xfId="0" applyFont="1"/>
    <xf numFmtId="10" fontId="16" fillId="0" borderId="1" xfId="0" applyNumberFormat="1" applyFont="1" applyFill="1" applyBorder="1"/>
    <xf numFmtId="49" fontId="1" fillId="5" borderId="1" xfId="0" applyNumberFormat="1" applyFont="1" applyFill="1" applyBorder="1" applyAlignment="1">
      <alignment horizontal="center" wrapText="1"/>
    </xf>
    <xf numFmtId="49" fontId="4" fillId="5" borderId="1" xfId="0" applyNumberFormat="1" applyFont="1" applyFill="1" applyBorder="1" applyAlignment="1">
      <alignment horizontal="center" wrapText="1"/>
    </xf>
    <xf numFmtId="4" fontId="15" fillId="5" borderId="1" xfId="0" applyNumberFormat="1" applyFont="1" applyFill="1" applyBorder="1"/>
    <xf numFmtId="10" fontId="18" fillId="5" borderId="1" xfId="0" applyNumberFormat="1" applyFont="1" applyFill="1" applyBorder="1"/>
    <xf numFmtId="4" fontId="1" fillId="5" borderId="1" xfId="0" applyNumberFormat="1" applyFont="1" applyFill="1" applyBorder="1"/>
    <xf numFmtId="0" fontId="1" fillId="5" borderId="1" xfId="0" applyFont="1" applyFill="1" applyBorder="1"/>
    <xf numFmtId="0" fontId="0" fillId="5" borderId="1" xfId="0" applyFill="1" applyBorder="1"/>
    <xf numFmtId="49" fontId="6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6" fillId="0" borderId="0" xfId="0" applyNumberFormat="1" applyFont="1" applyFill="1" applyBorder="1" applyAlignment="1">
      <alignment horizontal="left" vertical="center"/>
    </xf>
    <xf numFmtId="4" fontId="21" fillId="0" borderId="0" xfId="0" applyNumberFormat="1" applyFont="1"/>
    <xf numFmtId="0" fontId="12" fillId="0" borderId="0" xfId="0" applyFont="1" applyFill="1"/>
    <xf numFmtId="164" fontId="12" fillId="0" borderId="0" xfId="0" applyNumberFormat="1" applyFont="1" applyFill="1"/>
    <xf numFmtId="4" fontId="19" fillId="0" borderId="1" xfId="0" applyNumberFormat="1" applyFont="1" applyFill="1" applyBorder="1" applyAlignment="1">
      <alignment wrapText="1"/>
    </xf>
    <xf numFmtId="0" fontId="22" fillId="0" borderId="0" xfId="0" applyFont="1"/>
    <xf numFmtId="1" fontId="7" fillId="0" borderId="1" xfId="0" applyNumberFormat="1" applyFont="1" applyFill="1" applyBorder="1" applyAlignment="1">
      <alignment horizontal="center"/>
    </xf>
    <xf numFmtId="4" fontId="7" fillId="6" borderId="1" xfId="0" applyNumberFormat="1" applyFont="1" applyFill="1" applyBorder="1"/>
    <xf numFmtId="4" fontId="12" fillId="6" borderId="1" xfId="0" applyNumberFormat="1" applyFont="1" applyFill="1" applyBorder="1"/>
    <xf numFmtId="0" fontId="24" fillId="0" borderId="0" xfId="1"/>
    <xf numFmtId="2" fontId="6" fillId="0" borderId="1" xfId="0" applyNumberFormat="1" applyFont="1" applyFill="1" applyBorder="1"/>
    <xf numFmtId="2" fontId="1" fillId="0" borderId="1" xfId="0" applyNumberFormat="1" applyFont="1" applyFill="1" applyBorder="1"/>
    <xf numFmtId="4" fontId="18" fillId="5" borderId="1" xfId="0" applyNumberFormat="1" applyFont="1" applyFill="1" applyBorder="1"/>
    <xf numFmtId="2" fontId="9" fillId="0" borderId="1" xfId="0" applyNumberFormat="1" applyFont="1" applyFill="1" applyBorder="1"/>
    <xf numFmtId="2" fontId="0" fillId="0" borderId="1" xfId="0" applyNumberFormat="1" applyFill="1" applyBorder="1"/>
    <xf numFmtId="0" fontId="0" fillId="0" borderId="0" xfId="0" applyBorder="1"/>
    <xf numFmtId="4" fontId="20" fillId="5" borderId="1" xfId="0" applyNumberFormat="1" applyFont="1" applyFill="1" applyBorder="1"/>
    <xf numFmtId="10" fontId="19" fillId="5" borderId="1" xfId="0" applyNumberFormat="1" applyFont="1" applyFill="1" applyBorder="1"/>
    <xf numFmtId="4" fontId="19" fillId="5" borderId="1" xfId="0" applyNumberFormat="1" applyFont="1" applyFill="1" applyBorder="1"/>
    <xf numFmtId="0" fontId="19" fillId="5" borderId="1" xfId="0" applyFont="1" applyFill="1" applyBorder="1"/>
    <xf numFmtId="0" fontId="5" fillId="0" borderId="0" xfId="0" applyFont="1" applyAlignment="1">
      <alignment horizontal="center"/>
    </xf>
    <xf numFmtId="49" fontId="7" fillId="0" borderId="1" xfId="0" applyNumberFormat="1" applyFont="1" applyFill="1" applyBorder="1"/>
    <xf numFmtId="49" fontId="6" fillId="0" borderId="1" xfId="0" applyNumberFormat="1" applyFont="1" applyFill="1" applyBorder="1"/>
    <xf numFmtId="49" fontId="16" fillId="0" borderId="1" xfId="0" applyNumberFormat="1" applyFont="1" applyFill="1" applyBorder="1"/>
    <xf numFmtId="49" fontId="9" fillId="0" borderId="1" xfId="0" applyNumberFormat="1" applyFont="1" applyFill="1" applyBorder="1"/>
    <xf numFmtId="10" fontId="0" fillId="0" borderId="0" xfId="0" applyNumberFormat="1"/>
    <xf numFmtId="10" fontId="1" fillId="0" borderId="1" xfId="0" applyNumberFormat="1" applyFont="1" applyFill="1" applyBorder="1"/>
    <xf numFmtId="0" fontId="5" fillId="0" borderId="0" xfId="0" applyFont="1" applyAlignment="1">
      <alignment horizontal="center"/>
    </xf>
    <xf numFmtId="49" fontId="6" fillId="0" borderId="0" xfId="0" applyNumberFormat="1" applyFont="1" applyFill="1" applyBorder="1" applyAlignment="1">
      <alignment horizontal="left" vertical="center"/>
    </xf>
    <xf numFmtId="0" fontId="15" fillId="0" borderId="0" xfId="0" applyFont="1"/>
    <xf numFmtId="49" fontId="17" fillId="0" borderId="1" xfId="0" applyNumberFormat="1" applyFont="1" applyBorder="1" applyAlignment="1">
      <alignment horizontal="center" wrapText="1"/>
    </xf>
    <xf numFmtId="49" fontId="17" fillId="0" borderId="1" xfId="0" applyNumberFormat="1" applyFont="1" applyFill="1" applyBorder="1" applyAlignment="1">
      <alignment horizontal="center" wrapText="1"/>
    </xf>
    <xf numFmtId="49" fontId="17" fillId="5" borderId="1" xfId="0" applyNumberFormat="1" applyFont="1" applyFill="1" applyBorder="1" applyAlignment="1">
      <alignment horizontal="center" wrapText="1"/>
    </xf>
    <xf numFmtId="49" fontId="2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4" fontId="12" fillId="5" borderId="1" xfId="0" applyNumberFormat="1" applyFont="1" applyFill="1" applyBorder="1"/>
    <xf numFmtId="49" fontId="17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/>
    <xf numFmtId="0" fontId="17" fillId="0" borderId="1" xfId="0" applyFont="1" applyFill="1" applyBorder="1"/>
    <xf numFmtId="4" fontId="17" fillId="5" borderId="1" xfId="0" applyNumberFormat="1" applyFont="1" applyFill="1" applyBorder="1"/>
    <xf numFmtId="0" fontId="17" fillId="5" borderId="1" xfId="0" applyFont="1" applyFill="1" applyBorder="1"/>
    <xf numFmtId="49" fontId="17" fillId="0" borderId="0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left" vertical="center"/>
    </xf>
    <xf numFmtId="0" fontId="17" fillId="0" borderId="0" xfId="0" applyFont="1"/>
    <xf numFmtId="0" fontId="17" fillId="0" borderId="1" xfId="0" applyFont="1" applyBorder="1" applyAlignment="1">
      <alignment horizontal="center"/>
    </xf>
    <xf numFmtId="0" fontId="16" fillId="0" borderId="0" xfId="0" applyFont="1" applyFill="1" applyBorder="1"/>
    <xf numFmtId="0" fontId="17" fillId="0" borderId="0" xfId="0" applyFont="1" applyFill="1" applyBorder="1"/>
    <xf numFmtId="0" fontId="29" fillId="0" borderId="0" xfId="0" applyFont="1" applyFill="1" applyBorder="1"/>
    <xf numFmtId="0" fontId="15" fillId="0" borderId="0" xfId="0" applyFont="1" applyFill="1" applyBorder="1"/>
    <xf numFmtId="0" fontId="16" fillId="0" borderId="0" xfId="0" applyFont="1"/>
    <xf numFmtId="4" fontId="15" fillId="0" borderId="0" xfId="0" applyNumberFormat="1" applyFont="1"/>
    <xf numFmtId="0" fontId="18" fillId="0" borderId="0" xfId="0" applyFont="1"/>
    <xf numFmtId="0" fontId="29" fillId="0" borderId="0" xfId="0" applyFont="1"/>
    <xf numFmtId="4" fontId="17" fillId="0" borderId="0" xfId="0" applyNumberFormat="1" applyFont="1"/>
    <xf numFmtId="1" fontId="7" fillId="0" borderId="1" xfId="0" applyNumberFormat="1" applyFont="1" applyFill="1" applyBorder="1"/>
    <xf numFmtId="1" fontId="6" fillId="0" borderId="1" xfId="0" applyNumberFormat="1" applyFont="1" applyFill="1" applyBorder="1"/>
    <xf numFmtId="1" fontId="16" fillId="0" borderId="1" xfId="0" applyNumberFormat="1" applyFont="1" applyFill="1" applyBorder="1"/>
    <xf numFmtId="1" fontId="8" fillId="0" borderId="1" xfId="0" applyNumberFormat="1" applyFont="1" applyFill="1" applyBorder="1"/>
    <xf numFmtId="0" fontId="8" fillId="0" borderId="1" xfId="0" applyFont="1" applyFill="1" applyBorder="1"/>
    <xf numFmtId="1" fontId="9" fillId="0" borderId="1" xfId="0" applyNumberFormat="1" applyFont="1" applyFill="1" applyBorder="1"/>
    <xf numFmtId="0" fontId="20" fillId="5" borderId="1" xfId="0" applyFont="1" applyFill="1" applyBorder="1"/>
    <xf numFmtId="49" fontId="1" fillId="3" borderId="11" xfId="0" applyNumberFormat="1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1" fillId="3" borderId="12" xfId="0" applyNumberFormat="1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49" fontId="4" fillId="3" borderId="11" xfId="0" applyNumberFormat="1" applyFont="1" applyFill="1" applyBorder="1" applyAlignment="1">
      <alignment horizontal="center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12" xfId="0" applyNumberFormat="1" applyFont="1" applyFill="1" applyBorder="1" applyAlignment="1">
      <alignment horizontal="center" wrapText="1"/>
    </xf>
    <xf numFmtId="4" fontId="1" fillId="0" borderId="11" xfId="0" applyNumberFormat="1" applyFont="1" applyBorder="1"/>
    <xf numFmtId="4" fontId="1" fillId="0" borderId="12" xfId="0" applyNumberFormat="1" applyFont="1" applyBorder="1"/>
    <xf numFmtId="0" fontId="1" fillId="0" borderId="12" xfId="0" applyFont="1" applyBorder="1"/>
    <xf numFmtId="0" fontId="0" fillId="0" borderId="15" xfId="0" applyBorder="1"/>
    <xf numFmtId="10" fontId="19" fillId="5" borderId="12" xfId="0" applyNumberFormat="1" applyFont="1" applyFill="1" applyBorder="1"/>
    <xf numFmtId="3" fontId="6" fillId="0" borderId="1" xfId="0" applyNumberFormat="1" applyFont="1" applyFill="1" applyBorder="1"/>
    <xf numFmtId="0" fontId="31" fillId="0" borderId="1" xfId="0" applyFont="1" applyFill="1" applyBorder="1"/>
    <xf numFmtId="0" fontId="32" fillId="0" borderId="1" xfId="0" applyFont="1" applyFill="1" applyBorder="1"/>
    <xf numFmtId="2" fontId="0" fillId="0" borderId="0" xfId="0" applyNumberFormat="1"/>
    <xf numFmtId="2" fontId="19" fillId="5" borderId="1" xfId="0" applyNumberFormat="1" applyFont="1" applyFill="1" applyBorder="1"/>
    <xf numFmtId="0" fontId="1" fillId="0" borderId="11" xfId="0" applyFont="1" applyBorder="1"/>
    <xf numFmtId="4" fontId="3" fillId="4" borderId="1" xfId="0" applyNumberFormat="1" applyFont="1" applyFill="1" applyBorder="1"/>
    <xf numFmtId="49" fontId="4" fillId="0" borderId="1" xfId="0" applyNumberFormat="1" applyFont="1" applyFill="1" applyBorder="1" applyAlignment="1">
      <alignment horizontal="center" wrapText="1"/>
    </xf>
    <xf numFmtId="0" fontId="17" fillId="0" borderId="1" xfId="0" applyFont="1" applyBorder="1"/>
    <xf numFmtId="49" fontId="6" fillId="0" borderId="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3" fontId="0" fillId="0" borderId="0" xfId="0" applyNumberFormat="1"/>
    <xf numFmtId="0" fontId="1" fillId="0" borderId="1" xfId="0" applyFont="1" applyBorder="1"/>
    <xf numFmtId="0" fontId="6" fillId="0" borderId="1" xfId="0" applyFont="1" applyBorder="1"/>
    <xf numFmtId="165" fontId="0" fillId="0" borderId="0" xfId="0" applyNumberFormat="1"/>
    <xf numFmtId="3" fontId="0" fillId="0" borderId="0" xfId="0" applyNumberFormat="1" applyFont="1"/>
    <xf numFmtId="4" fontId="0" fillId="0" borderId="0" xfId="0" applyNumberFormat="1" applyFont="1"/>
    <xf numFmtId="9" fontId="0" fillId="0" borderId="0" xfId="2" applyFont="1"/>
    <xf numFmtId="4" fontId="3" fillId="5" borderId="1" xfId="0" applyNumberFormat="1" applyFont="1" applyFill="1" applyBorder="1"/>
    <xf numFmtId="4" fontId="15" fillId="9" borderId="1" xfId="0" applyNumberFormat="1" applyFont="1" applyFill="1" applyBorder="1"/>
    <xf numFmtId="10" fontId="18" fillId="9" borderId="1" xfId="0" applyNumberFormat="1" applyFont="1" applyFill="1" applyBorder="1"/>
    <xf numFmtId="4" fontId="18" fillId="9" borderId="1" xfId="0" applyNumberFormat="1" applyFont="1" applyFill="1" applyBorder="1"/>
    <xf numFmtId="0" fontId="18" fillId="9" borderId="1" xfId="0" applyFont="1" applyFill="1" applyBorder="1"/>
    <xf numFmtId="49" fontId="6" fillId="0" borderId="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4" fontId="1" fillId="0" borderId="16" xfId="0" applyNumberFormat="1" applyFont="1" applyFill="1" applyBorder="1"/>
    <xf numFmtId="0" fontId="5" fillId="0" borderId="0" xfId="0" applyFont="1" applyAlignment="1">
      <alignment horizontal="center"/>
    </xf>
    <xf numFmtId="49" fontId="4" fillId="4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/>
    <xf numFmtId="0" fontId="17" fillId="4" borderId="1" xfId="0" applyFont="1" applyFill="1" applyBorder="1"/>
    <xf numFmtId="0" fontId="17" fillId="0" borderId="16" xfId="0" applyFont="1" applyBorder="1"/>
    <xf numFmtId="4" fontId="1" fillId="0" borderId="17" xfId="0" applyNumberFormat="1" applyFont="1" applyFill="1" applyBorder="1"/>
    <xf numFmtId="0" fontId="0" fillId="0" borderId="17" xfId="0" applyBorder="1"/>
    <xf numFmtId="49" fontId="1" fillId="0" borderId="2" xfId="0" applyNumberFormat="1" applyFont="1" applyBorder="1" applyAlignment="1">
      <alignment horizontal="center" wrapText="1"/>
    </xf>
    <xf numFmtId="49" fontId="1" fillId="0" borderId="11" xfId="0" applyNumberFormat="1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 wrapText="1"/>
    </xf>
    <xf numFmtId="49" fontId="4" fillId="0" borderId="1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4" fontId="8" fillId="0" borderId="1" xfId="0" applyNumberFormat="1" applyFont="1" applyBorder="1"/>
    <xf numFmtId="4" fontId="3" fillId="0" borderId="1" xfId="0" applyNumberFormat="1" applyFont="1" applyBorder="1"/>
    <xf numFmtId="4" fontId="3" fillId="0" borderId="2" xfId="0" applyNumberFormat="1" applyFont="1" applyBorder="1"/>
    <xf numFmtId="4" fontId="3" fillId="0" borderId="11" xfId="0" applyNumberFormat="1" applyFont="1" applyBorder="1"/>
    <xf numFmtId="49" fontId="7" fillId="0" borderId="1" xfId="0" applyNumberFormat="1" applyFont="1" applyBorder="1" applyAlignment="1">
      <alignment horizontal="left" vertical="center"/>
    </xf>
    <xf numFmtId="1" fontId="7" fillId="0" borderId="1" xfId="0" applyNumberFormat="1" applyFont="1" applyBorder="1"/>
    <xf numFmtId="4" fontId="7" fillId="0" borderId="1" xfId="0" applyNumberFormat="1" applyFont="1" applyBorder="1"/>
    <xf numFmtId="4" fontId="12" fillId="0" borderId="1" xfId="0" applyNumberFormat="1" applyFont="1" applyBorder="1"/>
    <xf numFmtId="4" fontId="12" fillId="0" borderId="2" xfId="0" applyNumberFormat="1" applyFont="1" applyBorder="1"/>
    <xf numFmtId="4" fontId="12" fillId="0" borderId="11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1" fontId="6" fillId="0" borderId="1" xfId="0" applyNumberFormat="1" applyFont="1" applyBorder="1"/>
    <xf numFmtId="4" fontId="6" fillId="0" borderId="1" xfId="0" applyNumberFormat="1" applyFont="1" applyBorder="1"/>
    <xf numFmtId="4" fontId="1" fillId="0" borderId="1" xfId="0" applyNumberFormat="1" applyFont="1" applyBorder="1"/>
    <xf numFmtId="43" fontId="36" fillId="0" borderId="1" xfId="3" applyFont="1" applyBorder="1"/>
    <xf numFmtId="43" fontId="36" fillId="0" borderId="1" xfId="3" applyFont="1" applyFill="1" applyBorder="1"/>
    <xf numFmtId="49" fontId="16" fillId="0" borderId="1" xfId="0" applyNumberFormat="1" applyFont="1" applyBorder="1" applyAlignment="1">
      <alignment horizontal="left" vertical="center"/>
    </xf>
    <xf numFmtId="1" fontId="16" fillId="0" borderId="1" xfId="0" applyNumberFormat="1" applyFont="1" applyBorder="1"/>
    <xf numFmtId="4" fontId="16" fillId="0" borderId="1" xfId="0" applyNumberFormat="1" applyFont="1" applyBorder="1"/>
    <xf numFmtId="4" fontId="17" fillId="0" borderId="1" xfId="0" applyNumberFormat="1" applyFont="1" applyBorder="1"/>
    <xf numFmtId="4" fontId="17" fillId="0" borderId="2" xfId="0" applyNumberFormat="1" applyFont="1" applyBorder="1"/>
    <xf numFmtId="10" fontId="17" fillId="0" borderId="11" xfId="0" applyNumberFormat="1" applyFont="1" applyBorder="1"/>
    <xf numFmtId="10" fontId="17" fillId="0" borderId="1" xfId="0" applyNumberFormat="1" applyFont="1" applyBorder="1"/>
    <xf numFmtId="10" fontId="16" fillId="0" borderId="1" xfId="0" applyNumberFormat="1" applyFont="1" applyBorder="1"/>
    <xf numFmtId="0" fontId="1" fillId="0" borderId="2" xfId="0" applyFont="1" applyBorder="1"/>
    <xf numFmtId="1" fontId="9" fillId="0" borderId="1" xfId="0" applyNumberFormat="1" applyFont="1" applyBorder="1"/>
    <xf numFmtId="0" fontId="9" fillId="0" borderId="1" xfId="0" applyFont="1" applyBorder="1"/>
    <xf numFmtId="0" fontId="0" fillId="0" borderId="2" xfId="0" applyBorder="1"/>
    <xf numFmtId="0" fontId="0" fillId="0" borderId="11" xfId="0" applyBorder="1"/>
    <xf numFmtId="49" fontId="6" fillId="0" borderId="0" xfId="0" applyNumberFormat="1" applyFont="1" applyAlignment="1">
      <alignment horizontal="left" vertical="center"/>
    </xf>
    <xf numFmtId="4" fontId="12" fillId="0" borderId="0" xfId="0" applyNumberFormat="1" applyFont="1"/>
    <xf numFmtId="49" fontId="11" fillId="0" borderId="0" xfId="0" applyNumberFormat="1" applyFont="1" applyAlignment="1">
      <alignment horizontal="left" vertical="center"/>
    </xf>
    <xf numFmtId="0" fontId="4" fillId="3" borderId="12" xfId="0" applyFont="1" applyFill="1" applyBorder="1" applyAlignment="1">
      <alignment horizontal="center"/>
    </xf>
    <xf numFmtId="49" fontId="2" fillId="0" borderId="11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4" fontId="8" fillId="0" borderId="11" xfId="0" applyNumberFormat="1" applyFont="1" applyBorder="1"/>
    <xf numFmtId="4" fontId="3" fillId="0" borderId="12" xfId="0" applyNumberFormat="1" applyFont="1" applyBorder="1"/>
    <xf numFmtId="4" fontId="3" fillId="5" borderId="12" xfId="0" applyNumberFormat="1" applyFont="1" applyFill="1" applyBorder="1"/>
    <xf numFmtId="49" fontId="1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4" fontId="6" fillId="0" borderId="11" xfId="0" applyNumberFormat="1" applyFont="1" applyBorder="1"/>
    <xf numFmtId="4" fontId="1" fillId="5" borderId="12" xfId="0" applyNumberFormat="1" applyFont="1" applyFill="1" applyBorder="1"/>
    <xf numFmtId="49" fontId="1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left" vertical="center"/>
    </xf>
    <xf numFmtId="0" fontId="9" fillId="0" borderId="15" xfId="0" applyFont="1" applyBorder="1" applyAlignment="1">
      <alignment horizontal="center"/>
    </xf>
    <xf numFmtId="4" fontId="6" fillId="0" borderId="13" xfId="0" applyNumberFormat="1" applyFont="1" applyBorder="1"/>
    <xf numFmtId="4" fontId="6" fillId="0" borderId="14" xfId="0" applyNumberFormat="1" applyFont="1" applyBorder="1"/>
    <xf numFmtId="4" fontId="1" fillId="0" borderId="14" xfId="0" applyNumberFormat="1" applyFont="1" applyBorder="1"/>
    <xf numFmtId="4" fontId="1" fillId="0" borderId="15" xfId="0" applyNumberFormat="1" applyFont="1" applyBorder="1"/>
    <xf numFmtId="4" fontId="1" fillId="0" borderId="13" xfId="0" applyNumberFormat="1" applyFont="1" applyBorder="1"/>
    <xf numFmtId="4" fontId="0" fillId="5" borderId="14" xfId="0" applyNumberFormat="1" applyFill="1" applyBorder="1"/>
    <xf numFmtId="4" fontId="0" fillId="5" borderId="15" xfId="0" applyNumberFormat="1" applyFill="1" applyBorder="1"/>
    <xf numFmtId="4" fontId="0" fillId="0" borderId="13" xfId="0" applyNumberFormat="1" applyBorder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5" fillId="0" borderId="0" xfId="0" applyFont="1"/>
    <xf numFmtId="0" fontId="0" fillId="0" borderId="0" xfId="0" applyAlignment="1">
      <alignment horizontal="left" indent="1"/>
    </xf>
    <xf numFmtId="10" fontId="1" fillId="0" borderId="11" xfId="0" applyNumberFormat="1" applyFont="1" applyBorder="1"/>
    <xf numFmtId="10" fontId="1" fillId="0" borderId="1" xfId="0" applyNumberFormat="1" applyFont="1" applyBorder="1"/>
    <xf numFmtId="10" fontId="6" fillId="0" borderId="1" xfId="0" applyNumberFormat="1" applyFont="1" applyBorder="1"/>
    <xf numFmtId="49" fontId="6" fillId="0" borderId="0" xfId="0" applyNumberFormat="1" applyFont="1" applyFill="1" applyBorder="1" applyAlignment="1">
      <alignment horizontal="left" vertical="center"/>
    </xf>
    <xf numFmtId="0" fontId="37" fillId="0" borderId="0" xfId="0" applyFont="1" applyAlignment="1">
      <alignment horizontal="center"/>
    </xf>
    <xf numFmtId="0" fontId="38" fillId="0" borderId="0" xfId="0" applyFont="1"/>
    <xf numFmtId="49" fontId="39" fillId="0" borderId="1" xfId="0" applyNumberFormat="1" applyFont="1" applyBorder="1" applyAlignment="1">
      <alignment horizontal="center" wrapText="1"/>
    </xf>
    <xf numFmtId="49" fontId="39" fillId="0" borderId="1" xfId="0" applyNumberFormat="1" applyFont="1" applyFill="1" applyBorder="1" applyAlignment="1">
      <alignment horizontal="center" wrapText="1"/>
    </xf>
    <xf numFmtId="49" fontId="39" fillId="5" borderId="1" xfId="0" applyNumberFormat="1" applyFont="1" applyFill="1" applyBorder="1" applyAlignment="1">
      <alignment horizontal="center" wrapText="1"/>
    </xf>
    <xf numFmtId="0" fontId="41" fillId="0" borderId="1" xfId="0" applyFont="1" applyBorder="1" applyAlignment="1">
      <alignment horizontal="center"/>
    </xf>
    <xf numFmtId="49" fontId="41" fillId="0" borderId="1" xfId="0" applyNumberFormat="1" applyFont="1" applyBorder="1" applyAlignment="1">
      <alignment horizontal="center" wrapText="1"/>
    </xf>
    <xf numFmtId="49" fontId="41" fillId="5" borderId="1" xfId="0" applyNumberFormat="1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49" fontId="42" fillId="0" borderId="1" xfId="0" applyNumberFormat="1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center"/>
    </xf>
    <xf numFmtId="4" fontId="40" fillId="0" borderId="1" xfId="0" applyNumberFormat="1" applyFont="1" applyFill="1" applyBorder="1"/>
    <xf numFmtId="164" fontId="12" fillId="0" borderId="0" xfId="0" applyNumberFormat="1" applyFont="1"/>
    <xf numFmtId="4" fontId="19" fillId="0" borderId="1" xfId="0" applyNumberFormat="1" applyFont="1" applyBorder="1" applyAlignment="1">
      <alignment wrapText="1"/>
    </xf>
    <xf numFmtId="49" fontId="39" fillId="0" borderId="1" xfId="0" applyNumberFormat="1" applyFont="1" applyFill="1" applyBorder="1" applyAlignment="1">
      <alignment horizontal="center" vertical="center"/>
    </xf>
    <xf numFmtId="1" fontId="45" fillId="0" borderId="1" xfId="0" applyNumberFormat="1" applyFont="1" applyFill="1" applyBorder="1" applyAlignment="1">
      <alignment horizontal="center"/>
    </xf>
    <xf numFmtId="4" fontId="45" fillId="0" borderId="1" xfId="0" applyNumberFormat="1" applyFont="1" applyFill="1" applyBorder="1"/>
    <xf numFmtId="4" fontId="39" fillId="0" borderId="1" xfId="0" applyNumberFormat="1" applyFont="1" applyFill="1" applyBorder="1"/>
    <xf numFmtId="4" fontId="39" fillId="4" borderId="1" xfId="0" applyNumberFormat="1" applyFont="1" applyFill="1" applyBorder="1"/>
    <xf numFmtId="1" fontId="43" fillId="0" borderId="1" xfId="0" applyNumberFormat="1" applyFont="1" applyFill="1" applyBorder="1" applyAlignment="1">
      <alignment horizontal="center"/>
    </xf>
    <xf numFmtId="49" fontId="45" fillId="0" borderId="1" xfId="0" applyNumberFormat="1" applyFont="1" applyFill="1" applyBorder="1" applyAlignment="1">
      <alignment horizontal="left" vertical="center"/>
    </xf>
    <xf numFmtId="10" fontId="39" fillId="0" borderId="1" xfId="0" applyNumberFormat="1" applyFont="1" applyFill="1" applyBorder="1"/>
    <xf numFmtId="10" fontId="45" fillId="0" borderId="1" xfId="0" applyNumberFormat="1" applyFont="1" applyFill="1" applyBorder="1"/>
    <xf numFmtId="10" fontId="46" fillId="5" borderId="1" xfId="0" applyNumberFormat="1" applyFont="1" applyFill="1" applyBorder="1"/>
    <xf numFmtId="4" fontId="45" fillId="8" borderId="1" xfId="0" applyNumberFormat="1" applyFont="1" applyFill="1" applyBorder="1"/>
    <xf numFmtId="0" fontId="3" fillId="0" borderId="1" xfId="0" applyFont="1" applyBorder="1"/>
    <xf numFmtId="0" fontId="45" fillId="0" borderId="1" xfId="0" applyFont="1" applyFill="1" applyBorder="1"/>
    <xf numFmtId="1" fontId="47" fillId="0" borderId="1" xfId="0" applyNumberFormat="1" applyFont="1" applyFill="1" applyBorder="1" applyAlignment="1">
      <alignment horizontal="center"/>
    </xf>
    <xf numFmtId="0" fontId="47" fillId="8" borderId="0" xfId="0" applyFont="1" applyFill="1"/>
    <xf numFmtId="0" fontId="38" fillId="8" borderId="0" xfId="0" applyFont="1" applyFill="1"/>
    <xf numFmtId="4" fontId="47" fillId="8" borderId="0" xfId="0" applyNumberFormat="1" applyFont="1" applyFill="1"/>
    <xf numFmtId="4" fontId="38" fillId="8" borderId="0" xfId="0" applyNumberFormat="1" applyFont="1" applyFill="1"/>
    <xf numFmtId="0" fontId="40" fillId="8" borderId="0" xfId="0" applyFont="1" applyFill="1"/>
    <xf numFmtId="0" fontId="44" fillId="8" borderId="0" xfId="0" applyFont="1" applyFill="1"/>
    <xf numFmtId="0" fontId="44" fillId="0" borderId="0" xfId="0" applyFont="1"/>
    <xf numFmtId="4" fontId="39" fillId="4" borderId="1" xfId="0" applyNumberFormat="1" applyFont="1" applyFill="1" applyBorder="1" applyAlignment="1">
      <alignment vertical="center" wrapText="1"/>
    </xf>
    <xf numFmtId="49" fontId="41" fillId="4" borderId="1" xfId="0" applyNumberFormat="1" applyFont="1" applyFill="1" applyBorder="1" applyAlignment="1">
      <alignment horizontal="center" wrapText="1"/>
    </xf>
    <xf numFmtId="4" fontId="40" fillId="4" borderId="1" xfId="0" applyNumberFormat="1" applyFont="1" applyFill="1" applyBorder="1"/>
    <xf numFmtId="0" fontId="39" fillId="4" borderId="1" xfId="0" applyFont="1" applyFill="1" applyBorder="1"/>
    <xf numFmtId="0" fontId="38" fillId="4" borderId="1" xfId="0" applyFont="1" applyFill="1" applyBorder="1"/>
    <xf numFmtId="0" fontId="14" fillId="10" borderId="1" xfId="0" applyFont="1" applyFill="1" applyBorder="1"/>
    <xf numFmtId="0" fontId="0" fillId="10" borderId="1" xfId="0" applyFill="1" applyBorder="1"/>
    <xf numFmtId="3" fontId="0" fillId="10" borderId="1" xfId="0" applyNumberFormat="1" applyFill="1" applyBorder="1"/>
    <xf numFmtId="3" fontId="14" fillId="10" borderId="1" xfId="0" applyNumberFormat="1" applyFont="1" applyFill="1" applyBorder="1"/>
    <xf numFmtId="0" fontId="0" fillId="5" borderId="1" xfId="0" applyFill="1" applyBorder="1" applyAlignment="1">
      <alignment wrapText="1"/>
    </xf>
    <xf numFmtId="0" fontId="14" fillId="5" borderId="1" xfId="0" applyFont="1" applyFill="1" applyBorder="1" applyAlignment="1">
      <alignment wrapText="1"/>
    </xf>
    <xf numFmtId="0" fontId="35" fillId="0" borderId="1" xfId="0" applyFont="1" applyBorder="1" applyAlignment="1">
      <alignment wrapText="1"/>
    </xf>
    <xf numFmtId="3" fontId="35" fillId="0" borderId="1" xfId="0" applyNumberFormat="1" applyFont="1" applyBorder="1"/>
    <xf numFmtId="0" fontId="0" fillId="0" borderId="1" xfId="0" applyFont="1" applyBorder="1" applyAlignment="1">
      <alignment wrapText="1"/>
    </xf>
    <xf numFmtId="3" fontId="0" fillId="0" borderId="1" xfId="0" applyNumberFormat="1" applyFont="1" applyBorder="1"/>
    <xf numFmtId="0" fontId="14" fillId="0" borderId="0" xfId="0" applyFont="1" applyFill="1" applyAlignment="1">
      <alignment wrapText="1"/>
    </xf>
    <xf numFmtId="49" fontId="4" fillId="4" borderId="11" xfId="0" applyNumberFormat="1" applyFont="1" applyFill="1" applyBorder="1" applyAlignment="1">
      <alignment horizontal="center" wrapText="1"/>
    </xf>
    <xf numFmtId="49" fontId="4" fillId="4" borderId="12" xfId="0" applyNumberFormat="1" applyFont="1" applyFill="1" applyBorder="1" applyAlignment="1">
      <alignment horizontal="center" wrapText="1"/>
    </xf>
    <xf numFmtId="4" fontId="3" fillId="4" borderId="11" xfId="0" applyNumberFormat="1" applyFont="1" applyFill="1" applyBorder="1"/>
    <xf numFmtId="4" fontId="3" fillId="4" borderId="12" xfId="0" applyNumberFormat="1" applyFont="1" applyFill="1" applyBorder="1"/>
    <xf numFmtId="10" fontId="6" fillId="0" borderId="1" xfId="0" applyNumberFormat="1" applyFont="1" applyFill="1" applyBorder="1"/>
    <xf numFmtId="4" fontId="9" fillId="0" borderId="14" xfId="0" applyNumberFormat="1" applyFont="1" applyFill="1" applyBorder="1"/>
    <xf numFmtId="0" fontId="9" fillId="0" borderId="1" xfId="0" applyFont="1" applyBorder="1" applyAlignment="1">
      <alignment wrapText="1"/>
    </xf>
    <xf numFmtId="3" fontId="9" fillId="0" borderId="1" xfId="0" applyNumberFormat="1" applyFont="1" applyBorder="1"/>
    <xf numFmtId="0" fontId="21" fillId="0" borderId="1" xfId="0" applyFont="1" applyBorder="1" applyAlignment="1">
      <alignment wrapText="1"/>
    </xf>
    <xf numFmtId="4" fontId="21" fillId="0" borderId="1" xfId="0" applyNumberFormat="1" applyFont="1" applyBorder="1" applyAlignment="1"/>
    <xf numFmtId="0" fontId="48" fillId="0" borderId="1" xfId="0" applyFont="1" applyBorder="1" applyAlignment="1">
      <alignment wrapText="1"/>
    </xf>
    <xf numFmtId="4" fontId="15" fillId="0" borderId="1" xfId="0" applyNumberFormat="1" applyFont="1" applyFill="1" applyBorder="1"/>
    <xf numFmtId="10" fontId="18" fillId="0" borderId="1" xfId="0" applyNumberFormat="1" applyFont="1" applyFill="1" applyBorder="1"/>
    <xf numFmtId="49" fontId="6" fillId="0" borderId="1" xfId="0" applyNumberFormat="1" applyFont="1" applyFill="1" applyBorder="1" applyAlignment="1">
      <alignment horizontal="center" wrapText="1"/>
    </xf>
    <xf numFmtId="49" fontId="49" fillId="0" borderId="1" xfId="0" applyNumberFormat="1" applyFont="1" applyFill="1" applyBorder="1" applyAlignment="1">
      <alignment horizontal="center" wrapText="1"/>
    </xf>
    <xf numFmtId="0" fontId="0" fillId="0" borderId="0" xfId="0" applyFill="1"/>
    <xf numFmtId="49" fontId="16" fillId="0" borderId="1" xfId="0" applyNumberFormat="1" applyFont="1" applyFill="1" applyBorder="1" applyAlignment="1">
      <alignment horizontal="center" wrapText="1"/>
    </xf>
    <xf numFmtId="49" fontId="41" fillId="0" borderId="1" xfId="0" applyNumberFormat="1" applyFont="1" applyFill="1" applyBorder="1" applyAlignment="1">
      <alignment horizontal="center" wrapText="1"/>
    </xf>
    <xf numFmtId="10" fontId="46" fillId="0" borderId="1" xfId="0" applyNumberFormat="1" applyFont="1" applyFill="1" applyBorder="1"/>
    <xf numFmtId="4" fontId="50" fillId="5" borderId="1" xfId="0" applyNumberFormat="1" applyFont="1" applyFill="1" applyBorder="1"/>
    <xf numFmtId="4" fontId="46" fillId="5" borderId="1" xfId="0" applyNumberFormat="1" applyFont="1" applyFill="1" applyBorder="1"/>
    <xf numFmtId="4" fontId="20" fillId="7" borderId="1" xfId="0" applyNumberFormat="1" applyFont="1" applyFill="1" applyBorder="1"/>
    <xf numFmtId="0" fontId="19" fillId="7" borderId="1" xfId="0" applyFont="1" applyFill="1" applyBorder="1"/>
    <xf numFmtId="4" fontId="19" fillId="7" borderId="1" xfId="0" applyNumberFormat="1" applyFont="1" applyFill="1" applyBorder="1"/>
    <xf numFmtId="4" fontId="21" fillId="0" borderId="1" xfId="0" applyNumberFormat="1" applyFont="1" applyBorder="1" applyAlignment="1">
      <alignment wrapText="1"/>
    </xf>
    <xf numFmtId="49" fontId="43" fillId="0" borderId="1" xfId="0" applyNumberFormat="1" applyFont="1" applyFill="1" applyBorder="1" applyAlignment="1">
      <alignment horizontal="left" vertical="center" wrapText="1"/>
    </xf>
    <xf numFmtId="49" fontId="43" fillId="0" borderId="1" xfId="0" applyNumberFormat="1" applyFont="1" applyFill="1" applyBorder="1" applyAlignment="1">
      <alignment horizontal="left" vertical="center"/>
    </xf>
    <xf numFmtId="9" fontId="0" fillId="10" borderId="1" xfId="2" applyFont="1" applyFill="1" applyBorder="1"/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49" fontId="6" fillId="0" borderId="0" xfId="0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19" fillId="0" borderId="1" xfId="0" applyFont="1" applyFill="1" applyBorder="1" applyAlignment="1">
      <alignment horizontal="center" wrapText="1"/>
    </xf>
    <xf numFmtId="0" fontId="12" fillId="5" borderId="2" xfId="0" applyFont="1" applyFill="1" applyBorder="1" applyAlignment="1">
      <alignment horizontal="center" wrapText="1"/>
    </xf>
    <xf numFmtId="0" fontId="12" fillId="5" borderId="3" xfId="0" applyFont="1" applyFill="1" applyBorder="1" applyAlignment="1">
      <alignment horizontal="center" wrapText="1"/>
    </xf>
    <xf numFmtId="0" fontId="12" fillId="5" borderId="4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wrapText="1"/>
    </xf>
    <xf numFmtId="49" fontId="16" fillId="0" borderId="0" xfId="0" applyNumberFormat="1" applyFont="1" applyFill="1" applyBorder="1" applyAlignment="1">
      <alignment horizontal="left" vertical="center"/>
    </xf>
    <xf numFmtId="0" fontId="25" fillId="0" borderId="0" xfId="0" applyFont="1" applyAlignment="1">
      <alignment horizontal="center"/>
    </xf>
    <xf numFmtId="0" fontId="1" fillId="4" borderId="5" xfId="0" applyFont="1" applyFill="1" applyBorder="1" applyAlignment="1">
      <alignment horizontal="center" wrapText="1"/>
    </xf>
    <xf numFmtId="0" fontId="1" fillId="4" borderId="11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49" fontId="6" fillId="0" borderId="0" xfId="0" applyNumberFormat="1" applyFont="1" applyAlignment="1">
      <alignment horizontal="left" vertical="center"/>
    </xf>
    <xf numFmtId="0" fontId="1" fillId="3" borderId="5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1" fillId="3" borderId="12" xfId="0" applyFont="1" applyFill="1" applyBorder="1" applyAlignment="1">
      <alignment horizontal="center" wrapText="1"/>
    </xf>
    <xf numFmtId="0" fontId="12" fillId="3" borderId="8" xfId="0" applyFont="1" applyFill="1" applyBorder="1" applyAlignment="1">
      <alignment horizontal="center" wrapText="1"/>
    </xf>
    <xf numFmtId="0" fontId="12" fillId="3" borderId="9" xfId="0" applyFont="1" applyFill="1" applyBorder="1" applyAlignment="1">
      <alignment horizontal="center" wrapText="1"/>
    </xf>
    <xf numFmtId="0" fontId="12" fillId="3" borderId="10" xfId="0" applyFont="1" applyFill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39" fillId="4" borderId="1" xfId="0" applyFont="1" applyFill="1" applyBorder="1" applyAlignment="1">
      <alignment horizontal="center" wrapText="1"/>
    </xf>
    <xf numFmtId="0" fontId="37" fillId="0" borderId="0" xfId="0" applyFont="1" applyAlignment="1">
      <alignment horizontal="center"/>
    </xf>
    <xf numFmtId="0" fontId="39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 wrapText="1"/>
    </xf>
    <xf numFmtId="0" fontId="40" fillId="5" borderId="2" xfId="0" applyFont="1" applyFill="1" applyBorder="1" applyAlignment="1">
      <alignment horizontal="center" wrapText="1"/>
    </xf>
    <xf numFmtId="0" fontId="40" fillId="5" borderId="3" xfId="0" applyFont="1" applyFill="1" applyBorder="1" applyAlignment="1">
      <alignment horizontal="center" wrapText="1"/>
    </xf>
    <xf numFmtId="0" fontId="40" fillId="5" borderId="4" xfId="0" applyFont="1" applyFill="1" applyBorder="1" applyAlignment="1">
      <alignment horizontal="center" wrapText="1"/>
    </xf>
  </cellXfs>
  <cellStyles count="4">
    <cellStyle name="Comma" xfId="3" builtinId="3"/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mailto:inguna.zazite@lspa.lv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0"/>
  <sheetViews>
    <sheetView topLeftCell="C7" zoomScale="85" zoomScaleNormal="85" workbookViewId="0">
      <selection activeCell="T14" sqref="T14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5" width="11.33203125" customWidth="1"/>
    <col min="6" max="6" width="9.6640625" customWidth="1"/>
    <col min="7" max="8" width="9.33203125" customWidth="1"/>
    <col min="9" max="9" width="9.5546875" customWidth="1"/>
    <col min="10" max="10" width="11.44140625" customWidth="1"/>
    <col min="11" max="11" width="10.44140625" customWidth="1"/>
    <col min="12" max="12" width="8.44140625" customWidth="1"/>
    <col min="13" max="13" width="10" customWidth="1"/>
    <col min="14" max="14" width="9.109375" customWidth="1"/>
    <col min="15" max="15" width="10.109375" customWidth="1"/>
    <col min="16" max="16" width="12.33203125" style="7" customWidth="1"/>
    <col min="17" max="17" width="13" customWidth="1"/>
    <col min="19" max="19" width="11.33203125" customWidth="1"/>
    <col min="20" max="20" width="11.109375" customWidth="1"/>
    <col min="21" max="21" width="12.33203125" customWidth="1"/>
  </cols>
  <sheetData>
    <row r="2" spans="2:23" ht="17.399999999999999" x14ac:dyDescent="0.3">
      <c r="B2" s="310" t="s">
        <v>8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</row>
    <row r="4" spans="2:23" ht="53.4" customHeight="1" x14ac:dyDescent="0.3">
      <c r="B4" s="311" t="s">
        <v>1</v>
      </c>
      <c r="C4" s="312" t="s">
        <v>49</v>
      </c>
      <c r="D4" s="312" t="s">
        <v>0</v>
      </c>
      <c r="E4" s="312" t="s">
        <v>36</v>
      </c>
      <c r="F4" s="312"/>
      <c r="G4" s="312"/>
      <c r="H4" s="312"/>
      <c r="I4" s="312"/>
      <c r="J4" s="313" t="s">
        <v>37</v>
      </c>
      <c r="K4" s="314"/>
      <c r="L4" s="314"/>
      <c r="M4" s="314"/>
      <c r="N4" s="315"/>
      <c r="O4" s="312" t="s">
        <v>42</v>
      </c>
      <c r="P4" s="312" t="s">
        <v>9</v>
      </c>
      <c r="Q4" s="316" t="s">
        <v>35</v>
      </c>
      <c r="R4" s="316" t="s">
        <v>52</v>
      </c>
      <c r="S4" s="316" t="s">
        <v>53</v>
      </c>
    </row>
    <row r="5" spans="2:23" ht="70.95" customHeight="1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26</v>
      </c>
      <c r="K5" s="2" t="s">
        <v>27</v>
      </c>
      <c r="L5" s="2" t="s">
        <v>28</v>
      </c>
      <c r="M5" s="6" t="s">
        <v>29</v>
      </c>
      <c r="N5" s="2" t="s">
        <v>33</v>
      </c>
      <c r="O5" s="312"/>
      <c r="P5" s="312"/>
      <c r="Q5" s="316"/>
      <c r="R5" s="316" t="s">
        <v>51</v>
      </c>
      <c r="S5" s="316" t="s">
        <v>51</v>
      </c>
    </row>
    <row r="6" spans="2:23" ht="27" customHeight="1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30</v>
      </c>
      <c r="K6" s="5" t="s">
        <v>34</v>
      </c>
      <c r="L6" s="5" t="s">
        <v>17</v>
      </c>
      <c r="M6" s="5" t="s">
        <v>18</v>
      </c>
      <c r="N6" s="5" t="s">
        <v>31</v>
      </c>
      <c r="O6" s="5" t="s">
        <v>19</v>
      </c>
      <c r="P6" s="5" t="s">
        <v>20</v>
      </c>
      <c r="Q6" s="3" t="s">
        <v>41</v>
      </c>
      <c r="R6" s="21"/>
      <c r="S6" s="21"/>
    </row>
    <row r="7" spans="2:23" ht="20.399999999999999" customHeight="1" x14ac:dyDescent="0.3">
      <c r="B7" s="318" t="s">
        <v>50</v>
      </c>
      <c r="C7" s="319"/>
      <c r="D7" s="319"/>
      <c r="E7" s="319"/>
      <c r="F7" s="319"/>
      <c r="G7" s="319"/>
      <c r="H7" s="319"/>
      <c r="I7" s="319"/>
      <c r="J7" s="319"/>
      <c r="K7" s="319"/>
      <c r="L7" s="319"/>
      <c r="M7" s="319"/>
      <c r="N7" s="319"/>
      <c r="O7" s="319"/>
      <c r="P7" s="319"/>
      <c r="Q7" s="320"/>
      <c r="R7" s="22"/>
      <c r="S7" s="22"/>
    </row>
    <row r="8" spans="2:23" ht="26.4" customHeight="1" x14ac:dyDescent="0.3">
      <c r="B8" s="318" t="s">
        <v>48</v>
      </c>
      <c r="C8" s="319"/>
      <c r="D8" s="319"/>
      <c r="E8" s="319"/>
      <c r="F8" s="319"/>
      <c r="G8" s="319"/>
      <c r="H8" s="319"/>
      <c r="I8" s="319"/>
      <c r="J8" s="319"/>
      <c r="K8" s="319"/>
      <c r="L8" s="319"/>
      <c r="M8" s="319"/>
      <c r="N8" s="319"/>
      <c r="O8" s="319"/>
      <c r="P8" s="319"/>
      <c r="Q8" s="320"/>
      <c r="R8" s="22"/>
      <c r="S8" s="22"/>
    </row>
    <row r="9" spans="2:23" ht="25.95" customHeight="1" x14ac:dyDescent="0.3">
      <c r="B9" s="12" t="s">
        <v>2</v>
      </c>
      <c r="C9" s="13" t="s">
        <v>46</v>
      </c>
      <c r="D9" s="19" t="s">
        <v>47</v>
      </c>
      <c r="E9" s="28">
        <f t="shared" ref="E9:I9" si="0">SUM(E10:E16)</f>
        <v>8193.5</v>
      </c>
      <c r="F9" s="28">
        <f t="shared" si="0"/>
        <v>10132.56</v>
      </c>
      <c r="G9" s="29">
        <f t="shared" si="0"/>
        <v>10947.89</v>
      </c>
      <c r="H9" s="29">
        <f t="shared" si="0"/>
        <v>8440.11</v>
      </c>
      <c r="I9" s="29">
        <f t="shared" si="0"/>
        <v>6081.5400000000027</v>
      </c>
      <c r="J9" s="29">
        <f>SUM(J10:J16)</f>
        <v>16021.47</v>
      </c>
      <c r="K9" s="29">
        <f t="shared" ref="K9" si="1">SUM(K10:K16)</f>
        <v>11787.68</v>
      </c>
      <c r="L9" s="29">
        <f>SUM(L10:L16)</f>
        <v>9068.7100000000009</v>
      </c>
      <c r="M9" s="29">
        <f t="shared" ref="M9:N9" si="2">SUM(M10:M16)</f>
        <v>11398.34</v>
      </c>
      <c r="N9" s="29">
        <f t="shared" si="2"/>
        <v>7817.1400000000012</v>
      </c>
      <c r="O9" s="29">
        <f>SUM(O10:O16)</f>
        <v>5577.79</v>
      </c>
      <c r="P9" s="29">
        <f>SUM(P10:P16)</f>
        <v>0</v>
      </c>
      <c r="Q9" s="29">
        <f>SUM(Q10:Q11)</f>
        <v>17875.53</v>
      </c>
      <c r="R9" s="29">
        <f>SUM(R10)</f>
        <v>2250.444</v>
      </c>
      <c r="S9" s="29">
        <f>SUM(S10:S11)</f>
        <v>37602.624000000003</v>
      </c>
      <c r="T9" s="31">
        <f>SUM(E9:I9)</f>
        <v>43795.6</v>
      </c>
      <c r="U9" s="31">
        <f>SUM(J9:N9)</f>
        <v>56093.34</v>
      </c>
      <c r="V9">
        <f>U9/T9*100-100</f>
        <v>28.079852770597938</v>
      </c>
    </row>
    <row r="10" spans="2:23" ht="79.2" x14ac:dyDescent="0.3">
      <c r="B10" s="1" t="s">
        <v>4</v>
      </c>
      <c r="C10" s="14" t="s">
        <v>3</v>
      </c>
      <c r="D10" s="25">
        <v>2223</v>
      </c>
      <c r="E10" s="25">
        <v>3418.88</v>
      </c>
      <c r="F10" s="25">
        <f>7166.26-E10</f>
        <v>3747.38</v>
      </c>
      <c r="G10" s="26">
        <f>11558.13-F10-E10</f>
        <v>4391.869999999999</v>
      </c>
      <c r="H10" s="26">
        <f>15667.08-G10-F10-E10</f>
        <v>4108.9500000000007</v>
      </c>
      <c r="I10" s="26">
        <f>19304.22-H10-G10-F10-E10</f>
        <v>3637.1400000000012</v>
      </c>
      <c r="J10" s="26">
        <v>9047.81</v>
      </c>
      <c r="K10" s="26">
        <f>13861.83-J10</f>
        <v>4814.0200000000004</v>
      </c>
      <c r="L10" s="26">
        <f>16804.8-J10-K10</f>
        <v>2942.9699999999993</v>
      </c>
      <c r="M10" s="26">
        <f>21804.39-J10-K10-L10</f>
        <v>4999.59</v>
      </c>
      <c r="N10" s="26">
        <f>24978.65-M10-L10-K10-J10</f>
        <v>3174.2600000000039</v>
      </c>
      <c r="O10" s="27">
        <v>5577.79</v>
      </c>
      <c r="P10" s="23" t="s">
        <v>54</v>
      </c>
      <c r="Q10" s="26">
        <f>ROUND(SUM(J10:N10)-SUM(E10:I10)+O10,2)</f>
        <v>11252.22</v>
      </c>
      <c r="R10" s="26">
        <f>Q10/5</f>
        <v>2250.444</v>
      </c>
      <c r="S10" s="26">
        <f>R10*12</f>
        <v>27005.328000000001</v>
      </c>
      <c r="T10">
        <f>T9/5</f>
        <v>8759.119999999999</v>
      </c>
      <c r="U10">
        <f>T10*0.5+T10</f>
        <v>13138.679999999998</v>
      </c>
      <c r="V10">
        <f>U10-T10</f>
        <v>4379.5599999999995</v>
      </c>
      <c r="W10" s="41">
        <f>V10*12</f>
        <v>52554.719999999994</v>
      </c>
    </row>
    <row r="11" spans="2:23" x14ac:dyDescent="0.3">
      <c r="B11" s="1" t="s">
        <v>5</v>
      </c>
      <c r="C11" s="14" t="s">
        <v>39</v>
      </c>
      <c r="D11" s="25">
        <v>2221</v>
      </c>
      <c r="E11" s="25">
        <v>4774.62</v>
      </c>
      <c r="F11" s="25">
        <f>11159.8-E11</f>
        <v>6385.1799999999994</v>
      </c>
      <c r="G11" s="26">
        <f>17715.82-F11-E11</f>
        <v>6556.0199999999995</v>
      </c>
      <c r="H11" s="26">
        <f>22046.98-G11-F11-E11</f>
        <v>4331.1599999999989</v>
      </c>
      <c r="I11" s="26">
        <f>24491.38-H11-G11-F11-E11</f>
        <v>2444.4000000000015</v>
      </c>
      <c r="J11" s="26">
        <v>6973.66</v>
      </c>
      <c r="K11" s="26">
        <v>6973.66</v>
      </c>
      <c r="L11" s="26">
        <f>20073.06-J11-K11</f>
        <v>6125.7400000000016</v>
      </c>
      <c r="M11" s="26">
        <f>26471.81-L11-K11-J11</f>
        <v>6398.75</v>
      </c>
      <c r="N11" s="26">
        <f>31114.69-M11-L11-K11-J11</f>
        <v>4642.8799999999974</v>
      </c>
      <c r="O11" s="26"/>
      <c r="P11" s="26"/>
      <c r="Q11" s="26">
        <f t="shared" ref="Q11:Q16" si="3">ROUND(SUM(J11:N11)-SUM(E11:I11)+O11,2)</f>
        <v>6623.31</v>
      </c>
      <c r="R11" s="26">
        <f>Q11/5</f>
        <v>1324.662</v>
      </c>
      <c r="S11" s="26">
        <f>R11*8</f>
        <v>10597.296</v>
      </c>
    </row>
    <row r="12" spans="2:23" x14ac:dyDescent="0.3">
      <c r="B12" s="1" t="s">
        <v>6</v>
      </c>
      <c r="C12" s="14" t="s">
        <v>21</v>
      </c>
      <c r="D12" s="15"/>
      <c r="E12" s="15"/>
      <c r="F12" s="15"/>
      <c r="G12" s="9"/>
      <c r="H12" s="9"/>
      <c r="I12" s="9"/>
      <c r="J12" s="9"/>
      <c r="K12" s="9"/>
      <c r="L12" s="9"/>
      <c r="M12" s="9"/>
      <c r="N12" s="9"/>
      <c r="O12" s="9"/>
      <c r="P12" s="9"/>
      <c r="Q12" s="9">
        <f t="shared" si="3"/>
        <v>0</v>
      </c>
      <c r="R12" s="8"/>
      <c r="S12" s="8"/>
    </row>
    <row r="13" spans="2:23" x14ac:dyDescent="0.3">
      <c r="B13" s="1" t="s">
        <v>7</v>
      </c>
      <c r="C13" s="14" t="s">
        <v>22</v>
      </c>
      <c r="D13" s="15"/>
      <c r="E13" s="15"/>
      <c r="F13" s="15"/>
      <c r="G13" s="9"/>
      <c r="H13" s="9"/>
      <c r="I13" s="9"/>
      <c r="J13" s="9"/>
      <c r="K13" s="9"/>
      <c r="L13" s="9"/>
      <c r="M13" s="9"/>
      <c r="N13" s="9"/>
      <c r="O13" s="9"/>
      <c r="P13" s="9"/>
      <c r="Q13" s="9">
        <f t="shared" si="3"/>
        <v>0</v>
      </c>
      <c r="R13" s="21">
        <f>3575.11*0.2+3575.11</f>
        <v>4290.1320000000005</v>
      </c>
      <c r="S13" s="21">
        <f>R13*12</f>
        <v>51481.584000000003</v>
      </c>
    </row>
    <row r="14" spans="2:23" x14ac:dyDescent="0.3">
      <c r="B14" s="1" t="s">
        <v>24</v>
      </c>
      <c r="C14" s="15" t="s">
        <v>23</v>
      </c>
      <c r="D14" s="15"/>
      <c r="E14" s="15"/>
      <c r="F14" s="15"/>
      <c r="G14" s="9"/>
      <c r="H14" s="9"/>
      <c r="I14" s="9"/>
      <c r="J14" s="9"/>
      <c r="K14" s="9"/>
      <c r="L14" s="9"/>
      <c r="M14" s="9"/>
      <c r="N14" s="9"/>
      <c r="O14" s="9"/>
      <c r="P14" s="9"/>
      <c r="Q14" s="9">
        <f t="shared" si="3"/>
        <v>0</v>
      </c>
      <c r="R14" s="21"/>
      <c r="S14" s="21"/>
    </row>
    <row r="15" spans="2:23" x14ac:dyDescent="0.3">
      <c r="B15" s="1" t="s">
        <v>25</v>
      </c>
      <c r="C15" s="14" t="s">
        <v>38</v>
      </c>
      <c r="D15" s="15"/>
      <c r="E15" s="15"/>
      <c r="F15" s="15"/>
      <c r="G15" s="9"/>
      <c r="H15" s="9"/>
      <c r="I15" s="9"/>
      <c r="J15" s="9"/>
      <c r="K15" s="9"/>
      <c r="L15" s="9"/>
      <c r="M15" s="9"/>
      <c r="N15" s="9"/>
      <c r="O15" s="9"/>
      <c r="P15" s="9"/>
      <c r="Q15" s="9">
        <f t="shared" si="3"/>
        <v>0</v>
      </c>
      <c r="R15" s="21"/>
      <c r="S15" s="21"/>
    </row>
    <row r="16" spans="2:23" x14ac:dyDescent="0.3">
      <c r="B16" s="1" t="s">
        <v>32</v>
      </c>
      <c r="C16" s="14" t="s">
        <v>38</v>
      </c>
      <c r="D16" s="16"/>
      <c r="E16" s="16"/>
      <c r="F16" s="16"/>
      <c r="G16" s="10"/>
      <c r="H16" s="10"/>
      <c r="I16" s="10"/>
      <c r="J16" s="10"/>
      <c r="K16" s="10"/>
      <c r="L16" s="10"/>
      <c r="M16" s="10"/>
      <c r="N16" s="10"/>
      <c r="O16" s="10"/>
      <c r="P16" s="11"/>
      <c r="Q16" s="9">
        <f t="shared" si="3"/>
        <v>0</v>
      </c>
      <c r="R16" s="21"/>
      <c r="S16" s="21"/>
    </row>
    <row r="17" spans="3:6" x14ac:dyDescent="0.3">
      <c r="C17" s="17"/>
      <c r="D17" s="17"/>
      <c r="E17" s="17"/>
      <c r="F17" s="17"/>
    </row>
    <row r="18" spans="3:6" x14ac:dyDescent="0.3">
      <c r="C18" s="18" t="s">
        <v>43</v>
      </c>
      <c r="D18" s="18"/>
      <c r="E18" s="18"/>
      <c r="F18" s="18"/>
    </row>
    <row r="19" spans="3:6" x14ac:dyDescent="0.3">
      <c r="C19" s="317" t="s">
        <v>44</v>
      </c>
      <c r="D19" s="317"/>
      <c r="E19" s="317"/>
      <c r="F19" s="317"/>
    </row>
    <row r="20" spans="3:6" x14ac:dyDescent="0.3">
      <c r="C20" s="20" t="s">
        <v>45</v>
      </c>
    </row>
  </sheetData>
  <mergeCells count="14">
    <mergeCell ref="R4:R5"/>
    <mergeCell ref="S4:S5"/>
    <mergeCell ref="C19:F19"/>
    <mergeCell ref="B8:Q8"/>
    <mergeCell ref="B7:Q7"/>
    <mergeCell ref="P4:P5"/>
    <mergeCell ref="Q4:Q5"/>
    <mergeCell ref="B2:Q2"/>
    <mergeCell ref="B4:B5"/>
    <mergeCell ref="C4:C5"/>
    <mergeCell ref="D4:D5"/>
    <mergeCell ref="E4:I4"/>
    <mergeCell ref="O4:O5"/>
    <mergeCell ref="J4:N4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zoomScale="90" zoomScaleNormal="90" workbookViewId="0">
      <selection activeCell="C7" sqref="C7"/>
    </sheetView>
  </sheetViews>
  <sheetFormatPr defaultColWidth="12.44140625" defaultRowHeight="14.4" x14ac:dyDescent="0.3"/>
  <cols>
    <col min="1" max="1" width="39.88671875" customWidth="1"/>
    <col min="3" max="3" width="63.33203125" customWidth="1"/>
    <col min="4" max="4" width="4.6640625" customWidth="1"/>
  </cols>
  <sheetData>
    <row r="1" spans="1:10" ht="43.2" x14ac:dyDescent="0.3">
      <c r="A1" s="275"/>
      <c r="B1" s="276" t="s">
        <v>111</v>
      </c>
      <c r="C1" s="276" t="s">
        <v>150</v>
      </c>
      <c r="D1" s="281"/>
    </row>
    <row r="2" spans="1:10" ht="27.6" x14ac:dyDescent="0.3">
      <c r="A2" s="288" t="s">
        <v>113</v>
      </c>
      <c r="B2" s="289">
        <f>ROUNDUP(BA!AE8,0)</f>
        <v>28162</v>
      </c>
      <c r="C2" s="292" t="s">
        <v>156</v>
      </c>
      <c r="E2" s="271" t="s">
        <v>144</v>
      </c>
      <c r="F2" s="271" t="s">
        <v>145</v>
      </c>
      <c r="G2" s="271" t="s">
        <v>146</v>
      </c>
      <c r="H2" s="271" t="s">
        <v>147</v>
      </c>
      <c r="I2" s="271" t="s">
        <v>148</v>
      </c>
      <c r="J2" s="271" t="s">
        <v>149</v>
      </c>
    </row>
    <row r="3" spans="1:10" ht="28.8" x14ac:dyDescent="0.3">
      <c r="A3" s="288" t="s">
        <v>164</v>
      </c>
      <c r="B3" s="289">
        <f>ROUNDUP(DU!AE8+DU_DMK!AE8+DU_DMK!AE13,0)</f>
        <v>91172</v>
      </c>
      <c r="C3" s="292" t="s">
        <v>154</v>
      </c>
      <c r="E3" s="272"/>
      <c r="F3" s="273">
        <f>B2+B3+B4+B5+B6+B7+B8+B9+B10+B11</f>
        <v>3401039</v>
      </c>
      <c r="G3" s="273">
        <f>B13</f>
        <v>1367762</v>
      </c>
      <c r="H3" s="273">
        <f>B12</f>
        <v>547990</v>
      </c>
      <c r="I3" s="273">
        <f>B14+B15+B16</f>
        <v>194061</v>
      </c>
      <c r="J3" s="274">
        <f>SUM(F3:I3)</f>
        <v>5510852</v>
      </c>
    </row>
    <row r="4" spans="1:10" ht="43.2" x14ac:dyDescent="0.3">
      <c r="A4" s="288" t="s">
        <v>167</v>
      </c>
      <c r="B4" s="289">
        <f>ROUNDUP(LJA!AE8,0)</f>
        <v>70251</v>
      </c>
      <c r="C4" s="292" t="s">
        <v>153</v>
      </c>
      <c r="E4" s="309">
        <v>0.5</v>
      </c>
      <c r="F4" s="273">
        <f>ROUNDUP(F3*$E$4,0)</f>
        <v>1700520</v>
      </c>
      <c r="G4" s="273">
        <f t="shared" ref="G4:I4" si="0">ROUNDUP(G3*$E$4,0)</f>
        <v>683881</v>
      </c>
      <c r="H4" s="273">
        <f t="shared" si="0"/>
        <v>273995</v>
      </c>
      <c r="I4" s="273">
        <f t="shared" si="0"/>
        <v>97031</v>
      </c>
      <c r="J4" s="274">
        <f>SUM(F4:I4)</f>
        <v>2755427</v>
      </c>
    </row>
    <row r="5" spans="1:10" ht="31.95" customHeight="1" x14ac:dyDescent="0.3">
      <c r="A5" s="279" t="s">
        <v>114</v>
      </c>
      <c r="B5" s="280">
        <f>ROUNDUP(LSPA!AE8,0)</f>
        <v>64064</v>
      </c>
      <c r="C5" s="290" t="s">
        <v>157</v>
      </c>
      <c r="E5" s="146"/>
    </row>
    <row r="6" spans="1:10" s="17" customFormat="1" ht="27.6" x14ac:dyDescent="0.3">
      <c r="A6" s="288" t="s">
        <v>115</v>
      </c>
      <c r="B6" s="289">
        <f>ROUNDUP(LiepU!AE8,0)</f>
        <v>20257</v>
      </c>
      <c r="C6" s="292" t="s">
        <v>151</v>
      </c>
      <c r="E6" s="31"/>
      <c r="F6"/>
      <c r="G6"/>
      <c r="H6"/>
      <c r="I6"/>
      <c r="J6"/>
    </row>
    <row r="7" spans="1:10" ht="165.6" x14ac:dyDescent="0.3">
      <c r="A7" s="288" t="s">
        <v>165</v>
      </c>
      <c r="B7" s="289">
        <f>ROUNDUP(LU!AE8+LU!AE10+LU!AE12,0)</f>
        <v>1085545</v>
      </c>
      <c r="C7" s="290" t="s">
        <v>155</v>
      </c>
      <c r="E7" s="31"/>
    </row>
    <row r="8" spans="1:10" ht="27.6" x14ac:dyDescent="0.3">
      <c r="A8" s="288" t="s">
        <v>117</v>
      </c>
      <c r="B8" s="289">
        <f>ROUNDUP(RTA!AE8+RTA!AE13+RTA!AE14,0)</f>
        <v>23294</v>
      </c>
      <c r="C8" s="292" t="s">
        <v>152</v>
      </c>
      <c r="E8" s="31"/>
    </row>
    <row r="9" spans="1:10" ht="28.8" x14ac:dyDescent="0.3">
      <c r="A9" s="288" t="s">
        <v>166</v>
      </c>
      <c r="B9" s="289">
        <f>ROUNDUP(RTU!AE8+RTU!AE10,0)</f>
        <v>1973283</v>
      </c>
      <c r="C9" s="292" t="s">
        <v>158</v>
      </c>
      <c r="E9" s="30"/>
      <c r="F9" s="17"/>
      <c r="G9" s="17"/>
      <c r="H9" s="17"/>
      <c r="I9" s="17"/>
      <c r="J9" s="17"/>
    </row>
    <row r="10" spans="1:10" x14ac:dyDescent="0.3">
      <c r="A10" s="279" t="s">
        <v>118</v>
      </c>
      <c r="B10" s="280">
        <f>ROUNDUP(VeA!AE8+VeA!AE13,0)</f>
        <v>13116</v>
      </c>
      <c r="C10" s="306" t="s">
        <v>159</v>
      </c>
      <c r="D10" s="31"/>
      <c r="E10" s="31"/>
    </row>
    <row r="11" spans="1:10" ht="55.2" x14ac:dyDescent="0.3">
      <c r="A11" s="288" t="s">
        <v>119</v>
      </c>
      <c r="B11" s="289">
        <f>ROUNDUP(ViA!AE8,0)</f>
        <v>31895</v>
      </c>
      <c r="C11" s="292" t="s">
        <v>160</v>
      </c>
      <c r="E11" s="31"/>
    </row>
    <row r="12" spans="1:10" ht="69" x14ac:dyDescent="0.3">
      <c r="A12" s="288" t="s">
        <v>120</v>
      </c>
      <c r="B12" s="289">
        <f>ROUNDUP(RSU!AE8+RSU!AE10+RSU!AE13,0)</f>
        <v>547990</v>
      </c>
      <c r="C12" s="292" t="s">
        <v>161</v>
      </c>
      <c r="E12" s="31"/>
    </row>
    <row r="13" spans="1:10" s="17" customFormat="1" ht="27.6" x14ac:dyDescent="0.3">
      <c r="A13" s="288" t="s">
        <v>121</v>
      </c>
      <c r="B13" s="289">
        <f>ROUNDUP(LBTU!AE10+LBTU!AE12,0)</f>
        <v>1367762</v>
      </c>
      <c r="C13" s="292" t="s">
        <v>162</v>
      </c>
      <c r="E13" s="31"/>
      <c r="F13" s="31"/>
      <c r="G13"/>
      <c r="H13"/>
      <c r="I13"/>
      <c r="J13"/>
    </row>
    <row r="14" spans="1:10" ht="41.4" x14ac:dyDescent="0.3">
      <c r="A14" s="288" t="s">
        <v>137</v>
      </c>
      <c r="B14" s="289">
        <f>ROUNDUP(JVLMA!AE8,0)</f>
        <v>36367</v>
      </c>
      <c r="C14" s="292" t="s">
        <v>163</v>
      </c>
      <c r="E14" s="31"/>
    </row>
    <row r="15" spans="1:10" ht="41.4" x14ac:dyDescent="0.3">
      <c r="A15" s="288" t="s">
        <v>138</v>
      </c>
      <c r="B15" s="289">
        <f>ROUNDUP(LMA!AE8+LMA!AE10,0)</f>
        <v>107291</v>
      </c>
      <c r="C15" s="292" t="s">
        <v>163</v>
      </c>
    </row>
    <row r="16" spans="1:10" ht="41.4" x14ac:dyDescent="0.3">
      <c r="A16" s="288" t="s">
        <v>168</v>
      </c>
      <c r="B16" s="289">
        <f>ROUNDUP(LKA!AE8+LKA!AE10+LKA_LKK!AE8,0)</f>
        <v>50403</v>
      </c>
      <c r="C16" s="292" t="s">
        <v>163</v>
      </c>
    </row>
    <row r="17" spans="1:4" x14ac:dyDescent="0.3">
      <c r="A17" s="277" t="s">
        <v>112</v>
      </c>
      <c r="B17" s="278">
        <f>SUM(B2:B16)</f>
        <v>5510852</v>
      </c>
      <c r="C17" s="291"/>
      <c r="D17" s="31"/>
    </row>
    <row r="18" spans="1:4" x14ac:dyDescent="0.3">
      <c r="B18" s="14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16"/>
  <sheetViews>
    <sheetView topLeftCell="B2" zoomScale="90" zoomScaleNormal="90" workbookViewId="0">
      <selection activeCell="G17" sqref="G17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16" width="9.6640625" customWidth="1"/>
    <col min="17" max="18" width="11" customWidth="1"/>
    <col min="19" max="19" width="9.6640625" customWidth="1"/>
    <col min="20" max="20" width="11.44140625" customWidth="1"/>
    <col min="21" max="24" width="9.6640625" customWidth="1"/>
    <col min="25" max="26" width="12" customWidth="1"/>
    <col min="27" max="27" width="11.33203125" customWidth="1"/>
    <col min="28" max="28" width="12.109375" customWidth="1"/>
    <col min="29" max="29" width="10.109375" customWidth="1"/>
    <col min="30" max="30" width="12.33203125" style="7" customWidth="1"/>
    <col min="31" max="31" width="13" customWidth="1"/>
    <col min="32" max="32" width="11.33203125" customWidth="1"/>
    <col min="33" max="33" width="12.6640625" customWidth="1"/>
    <col min="34" max="34" width="8.88671875" customWidth="1"/>
    <col min="35" max="35" width="13.109375" customWidth="1"/>
    <col min="36" max="36" width="11.109375" customWidth="1"/>
    <col min="37" max="37" width="12.33203125" customWidth="1"/>
    <col min="38" max="38" width="10.88671875" customWidth="1"/>
  </cols>
  <sheetData>
    <row r="2" spans="2:40" ht="17.399999999999999" x14ac:dyDescent="0.3">
      <c r="B2" s="310" t="s">
        <v>104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81"/>
      <c r="AD2" s="81"/>
      <c r="AE2" s="81"/>
    </row>
    <row r="4" spans="2:40" ht="37.950000000000003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169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25" t="s">
        <v>42</v>
      </c>
      <c r="AD4" s="325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40" ht="70.95" customHeight="1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295" t="s">
        <v>58</v>
      </c>
      <c r="Z5" s="43" t="s">
        <v>57</v>
      </c>
      <c r="AA5" s="43" t="s">
        <v>56</v>
      </c>
      <c r="AB5" s="43" t="s">
        <v>55</v>
      </c>
      <c r="AC5" s="325"/>
      <c r="AD5" s="325"/>
      <c r="AE5" s="316"/>
      <c r="AF5" s="316" t="s">
        <v>51</v>
      </c>
      <c r="AG5" s="316" t="s">
        <v>51</v>
      </c>
      <c r="AI5" s="321" t="s">
        <v>51</v>
      </c>
    </row>
    <row r="6" spans="2:40" ht="27" customHeight="1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296" t="s">
        <v>18</v>
      </c>
      <c r="Z6" s="44" t="s">
        <v>31</v>
      </c>
      <c r="AA6" s="44" t="s">
        <v>18</v>
      </c>
      <c r="AB6" s="44" t="s">
        <v>31</v>
      </c>
      <c r="AC6" s="156" t="s">
        <v>19</v>
      </c>
      <c r="AD6" s="156" t="s">
        <v>20</v>
      </c>
      <c r="AE6" s="3" t="s">
        <v>41</v>
      </c>
      <c r="AF6" s="21"/>
      <c r="AG6" s="21"/>
      <c r="AI6" s="21"/>
    </row>
    <row r="7" spans="2:40" ht="25.95" customHeight="1" x14ac:dyDescent="0.3">
      <c r="B7" s="12" t="s">
        <v>2</v>
      </c>
      <c r="C7" s="13" t="s">
        <v>46</v>
      </c>
      <c r="D7" s="19" t="s">
        <v>47</v>
      </c>
      <c r="E7" s="28">
        <f t="shared" ref="E7:P7" si="0">SUM(E8:E14)</f>
        <v>539122.70137719985</v>
      </c>
      <c r="F7" s="28">
        <f t="shared" si="0"/>
        <v>710486.78526100016</v>
      </c>
      <c r="G7" s="29">
        <f t="shared" si="0"/>
        <v>714993.52740200015</v>
      </c>
      <c r="H7" s="29">
        <f t="shared" si="0"/>
        <v>532416.76090199989</v>
      </c>
      <c r="I7" s="29">
        <f t="shared" si="0"/>
        <v>313674.35535000003</v>
      </c>
      <c r="J7" s="28">
        <f t="shared" si="0"/>
        <v>122230.54591399999</v>
      </c>
      <c r="K7" s="28">
        <f t="shared" si="0"/>
        <v>43517.343069999995</v>
      </c>
      <c r="L7" s="29">
        <f t="shared" si="0"/>
        <v>31088.335899999995</v>
      </c>
      <c r="M7" s="29">
        <f t="shared" si="0"/>
        <v>45983.178399000004</v>
      </c>
      <c r="N7" s="29">
        <f t="shared" si="0"/>
        <v>170890.70626600002</v>
      </c>
      <c r="O7" s="29">
        <f t="shared" si="0"/>
        <v>454229.801828</v>
      </c>
      <c r="P7" s="29">
        <f t="shared" si="0"/>
        <v>1007127.7472410002</v>
      </c>
      <c r="Q7" s="29">
        <f>Q8+Q10+Q11+Q12+Q13+Q14</f>
        <v>1497138.6135769999</v>
      </c>
      <c r="R7" s="29">
        <f t="shared" ref="R7:AC7" si="1">R8+R10+R11+R12+R13+R14</f>
        <v>1238292.4237049997</v>
      </c>
      <c r="S7" s="29">
        <f t="shared" si="1"/>
        <v>1069981.0855010001</v>
      </c>
      <c r="T7" s="29">
        <f t="shared" si="1"/>
        <v>1059605.759539</v>
      </c>
      <c r="U7" s="29">
        <f t="shared" si="1"/>
        <v>806434.98190799996</v>
      </c>
      <c r="V7" s="29">
        <f t="shared" si="1"/>
        <v>289463.37384999997</v>
      </c>
      <c r="W7" s="29">
        <f t="shared" si="1"/>
        <v>126218.39351200001</v>
      </c>
      <c r="X7" s="29">
        <f t="shared" si="1"/>
        <v>70316.262872000007</v>
      </c>
      <c r="Y7" s="28">
        <f t="shared" si="1"/>
        <v>105440.72011304203</v>
      </c>
      <c r="Z7" s="70">
        <f t="shared" si="1"/>
        <v>305495.22034925112</v>
      </c>
      <c r="AA7" s="70">
        <f t="shared" si="1"/>
        <v>1488369.1815581233</v>
      </c>
      <c r="AB7" s="70">
        <f t="shared" si="1"/>
        <v>2134558.1365353363</v>
      </c>
      <c r="AC7" s="135">
        <f t="shared" si="1"/>
        <v>5292.29</v>
      </c>
      <c r="AD7" s="135">
        <f>SUM(AD8:AD14)</f>
        <v>0</v>
      </c>
      <c r="AE7" s="28">
        <f>SUM(AE8:AE14)</f>
        <v>5510844.6599999992</v>
      </c>
      <c r="AF7" s="29">
        <f>SUM(AF8:AF14)</f>
        <v>459237.05499999999</v>
      </c>
      <c r="AG7" s="29">
        <f>SUM(AG8:AG14)</f>
        <v>3673896.44</v>
      </c>
      <c r="AI7" s="29"/>
      <c r="AJ7" s="55">
        <f>SUM(E7:P7)</f>
        <v>4685761.788910199</v>
      </c>
      <c r="AK7" s="55">
        <f>SUM(Q7:AC7)</f>
        <v>10196606.443019751</v>
      </c>
      <c r="AL7" s="56">
        <f>AJ7-AK7</f>
        <v>-5510844.6541095525</v>
      </c>
      <c r="AM7" s="57">
        <f>AK7/AJ7*100-100</f>
        <v>117.60829727093852</v>
      </c>
    </row>
    <row r="8" spans="2:40" ht="27" x14ac:dyDescent="0.3">
      <c r="B8" s="1" t="s">
        <v>5</v>
      </c>
      <c r="C8" s="34" t="s">
        <v>63</v>
      </c>
      <c r="D8" s="35"/>
      <c r="E8" s="35">
        <f>BA!E8+DU!E8+DU_DMK!E8+LJA!E8+LSPA!E8+LiepU!E8+LU!E8+RTA!E8+RTU!E8+VeA!E8+ViA!E8+RSU!E8+LBTU!E8+JVLMA!E8+LMA!E8+LKA!E8+LKA_LKK!E8</f>
        <v>448608.96047719993</v>
      </c>
      <c r="F8" s="35">
        <f>BA!F8+DU!F8+DU_DMK!F8+LJA!F8+LSPA!F8+LiepU!F8+LU!F8+RTA!F8+RTU!F8+VeA!F8+ViA!F8+RSU!F8+LBTU!F8+JVLMA!F8+LMA!F8+LKA!F8+LKA_LKK!F8</f>
        <v>561189.25126100006</v>
      </c>
      <c r="G8" s="36">
        <f>BA!G8+DU!G8+DU_DMK!G8+LJA!G8+LSPA!G8+LiepU!G8+LU!G8+RTA!G8+RTU!G8+VeA!G8+ViA!G8+RSU!G8+LBTU!G8+JVLMA!G8+LMA!G8+LKA!G8+LKA_LKK!G8</f>
        <v>553180.43810200004</v>
      </c>
      <c r="H8" s="36">
        <f>BA!H8+DU!H8+DU_DMK!H8+LJA!H8+LSPA!H8+LiepU!H8+LU!H8+RTA!H8+RTU!H8+VeA!H8+ViA!H8+RSU!H8+LBTU!H8+JVLMA!H8+LMA!H8+LKA!H8+LKA_LKK!H8</f>
        <v>417867.46710199991</v>
      </c>
      <c r="I8" s="36">
        <f>BA!I8+DU!I8+DU_DMK!I8+LJA!I8+LSPA!I8+LiepU!I8+LU!I8+RTA!I8+RTU!I8+VeA!I8+ViA!I8+RSU!I8+LBTU!I8+JVLMA!I8+LMA!I8+LKA!I8+LKA_LKK!I8</f>
        <v>259058.97685000001</v>
      </c>
      <c r="J8" s="36">
        <f>BA!J8+DU!J8+DU_DMK!J8+LJA!J8+LSPA!J8+LiepU!J8+LU!J8+RTA!J8+RTU!J8+VeA!J8+ViA!J8+RSU!J8+LBTU!J8+JVLMA!J8+LMA!J8+LKA!J8+LKA_LKK!J8</f>
        <v>106019.80941399999</v>
      </c>
      <c r="K8" s="36">
        <f>BA!K8+DU!K8+DU_DMK!K8+LJA!K8+LSPA!K8+LiepU!K8+LU!K8+RTA!K8+RTU!K8+VeA!K8+ViA!K8+RSU!K8+LBTU!K8+JVLMA!K8+LMA!K8+LKA!K8+LKA_LKK!K8</f>
        <v>31977.140369999994</v>
      </c>
      <c r="L8" s="36">
        <f>BA!L8+DU!L8+DU_DMK!L8+LJA!L8+LSPA!L8+LiepU!L8+LU!L8+RTA!L8+RTU!L8+VeA!L8+ViA!L8+RSU!L8+LBTU!L8+JVLMA!L8+LMA!L8+LKA!L8+LKA_LKK!L8</f>
        <v>25944.453799999996</v>
      </c>
      <c r="M8" s="36">
        <f>BA!M8+DU!M8+DU_DMK!M8+LJA!M8+LSPA!M8+LiepU!M8+LU!M8+RTA!M8+RTU!M8+VeA!M8+ViA!M8+RSU!M8+LBTU!M8+JVLMA!M8+LMA!M8+LKA!M8+LKA_LKK!M8</f>
        <v>27415.899098999998</v>
      </c>
      <c r="N8" s="36">
        <f>BA!N8+DU!N8+DU_DMK!N8+LJA!N8+LSPA!N8+LiepU!N8+LU!N8+RTA!N8+RTU!N8+VeA!N8+ViA!N8+RSU!N8+LBTU!N8+JVLMA!N8+LMA!N8+LKA!N8+LKA_LKK!N8</f>
        <v>115012.10506600002</v>
      </c>
      <c r="O8" s="36">
        <f>BA!O8+DU!O8+DU_DMK!O8+LJA!O8+LSPA!O8+LiepU!O8+LU!O8+RTA!O8+RTU!O8+VeA!O8+ViA!O8+RSU!O8+LBTU!O8+JVLMA!O8+LMA!O8+LKA!O8+LKA_LKK!O8</f>
        <v>298019.78492800001</v>
      </c>
      <c r="P8" s="36">
        <f>BA!P8+DU!P8+DU_DMK!P8+LJA!P8+LSPA!P8+LiepU!P8+LU!P8+RTA!P8+RTU!P8+VeA!P8+ViA!P8+RSU!P8+LBTU!P8+JVLMA!P8+LMA!P8+LKA!P8+LKA_LKK!P8</f>
        <v>687444.64324100001</v>
      </c>
      <c r="Q8" s="36">
        <f>BA!Q8+DU!Q8+DU_DMK!Q8+LJA!Q8+LSPA!Q8+LiepU!Q8+LU!Q8+RTA!Q8+RTU!Q8+VeA!Q8+ViA!Q8+RSU!Q8+LBTU!Q8+JVLMA!Q8+LMA!Q8+LKA!Q8+LKA_LKK!Q8</f>
        <v>1007940.339677</v>
      </c>
      <c r="R8" s="36">
        <f>BA!R8+DU!R8+DU_DMK!R8+LJA!R8+LSPA!R8+LiepU!R8+LU!R8+RTA!R8+RTU!R8+VeA!R8+ViA!R8+RSU!R8+LBTU!R8+JVLMA!R8+LMA!R8+LKA!R8+LKA_LKK!R8</f>
        <v>861087.47190499981</v>
      </c>
      <c r="S8" s="36">
        <f>BA!S8+DU!S8+DU_DMK!S8+LJA!S8+LSPA!S8+LiepU!S8+LU!S8+RTA!S8+RTU!S8+VeA!S8+ViA!S8+RSU!S8+LBTU!S8+JVLMA!S8+LMA!S8+LKA!S8+LKA_LKK!S8</f>
        <v>734323.4439010002</v>
      </c>
      <c r="T8" s="36">
        <f>BA!T8+DU!T8+DU_DMK!T8+LJA!T8+LSPA!T8+LiepU!T8+LU!T8+RTA!T8+RTU!T8+VeA!T8+ViA!T8+RSU!T8+LBTU!T8+JVLMA!T8+LMA!T8+LKA!T8+LKA_LKK!T8</f>
        <v>803399.07343899994</v>
      </c>
      <c r="U8" s="36">
        <f>BA!U8+DU!U8+DU_DMK!U8+LJA!U8+LSPA!U8+LiepU!U8+LU!U8+RTA!U8+RTU!U8+VeA!U8+ViA!U8+RSU!U8+LBTU!U8+JVLMA!U8+LMA!U8+LKA!U8+LKA_LKK!U8</f>
        <v>593045.614008</v>
      </c>
      <c r="V8" s="36">
        <f>BA!V8+DU!V8+DU_DMK!V8+LJA!V8+LSPA!V8+LiepU!V8+LU!V8+RTA!V8+RTU!V8+VeA!V8+ViA!V8+RSU!V8+LBTU!V8+JVLMA!V8+LMA!V8+LKA!V8+LKA_LKK!V8</f>
        <v>229868.14635000002</v>
      </c>
      <c r="W8" s="36">
        <f>BA!W8+DU!W8+DU_DMK!W8+LJA!W8+LSPA!W8+LiepU!W8+LU!W8+RTA!W8+RTU!W8+VeA!W8+ViA!W8+RSU!W8+LBTU!W8+JVLMA!W8+LMA!W8+LKA!W8+LKA_LKK!W8</f>
        <v>95919.628212000011</v>
      </c>
      <c r="X8" s="35">
        <f>BA!X8+DU!X8+DU_DMK!X8+LJA!X8+LSPA!X8+LiepU!X8+LU!X8+RTA!X8+RTU!X8+VeA!X8+ViA!X8+RSU!X8+LBTU!X8+JVLMA!X8+LMA!X8+LKA!X8+LKA_LKK!X8</f>
        <v>56938.939872000003</v>
      </c>
      <c r="Y8" s="28">
        <f>BA!Y8+DU!Y8+DU_DMK!Y8+LJA!Y8+LSPA!Y8+LiepU!Y8+LU!Y8+RTA!Y8+RTU!Y8+VeA!Y8+ViA!Y8+RSU!Y8+LBTU!Y8+JVLMA!Y8+LMA!Y8+LKA!Y8+LKA_LKK!Y8</f>
        <v>65837.980113042024</v>
      </c>
      <c r="Z8" s="148">
        <f>BA!Z8+DU!Z8+DU_DMK!Z8+LJA!Z8+LSPA!Z8+LiepU!Z8+LU!Z8+RTA!Z8+RTU!Z8+VeA!Z8+ViA!Z8+RSU!Z8+LBTU!Z8+JVLMA!Z8+LMA!Z8+LKA!Z8+LKA_LKK!Z8</f>
        <v>212302.91156449594</v>
      </c>
      <c r="AA8" s="148">
        <f>BA!AA8+DU!AA8+DU_DMK!AA8+LJA!AA8+LSPA!AA8+LiepU!AA8+LU!AA8+RTA!AA8+RTU!AA8+VeA!AA8+ViA!AA8+RSU!AA8+LBTU!AA8+JVLMA!AA8+LMA!AA8+LKA!AA8+LKA_LKK!AA8</f>
        <v>1109475.4346046739</v>
      </c>
      <c r="AB8" s="148">
        <f>BA!AB8+DU!AB8+DU_DMK!AB8+LJA!AB8+LSPA!AB8+LiepU!AB8+LU!AB8+RTA!AB8+RTU!AB8+VeA!AB8+ViA!AB8+RSU!AB8+LBTU!AB8+JVLMA!AB8+LMA!AB8+LKA!AB8+LKA_LKK!AB8</f>
        <v>1581675.169790322</v>
      </c>
      <c r="AC8" s="27">
        <f>BA!AC8+DU!AC8+DU_DMK!AC8+LJA!AC8+LSPA!AC8+LiepU!AC8+LU!AC8+RTA!AC8+RTU!AC8+VeA!AC8+ViA!AC8+RSU!AC8+LBTU!AC8+JVLMA!AC8+LMA!AC8+LKA!AC8+LKA_LKK!AC8</f>
        <v>5292.29</v>
      </c>
      <c r="AD8" s="27"/>
      <c r="AE8" s="26">
        <f t="shared" ref="AE8:AE14" si="2">ROUND(SUM(Q8:AB8)-SUM(E8:P8)+AC8,2)</f>
        <v>3825367.51</v>
      </c>
      <c r="AF8" s="26">
        <f>AE8/12</f>
        <v>318780.6258333333</v>
      </c>
      <c r="AG8" s="26">
        <f>AF8*8</f>
        <v>2550245.0066666664</v>
      </c>
      <c r="AH8" s="59"/>
      <c r="AI8" s="58" t="s">
        <v>69</v>
      </c>
    </row>
    <row r="9" spans="2:40" s="7" customFormat="1" x14ac:dyDescent="0.3">
      <c r="B9" s="1"/>
      <c r="C9" s="37" t="s">
        <v>62</v>
      </c>
      <c r="D9" s="38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3">Q8/E8</f>
        <v>2.2468127667463911</v>
      </c>
      <c r="R9" s="40">
        <f t="shared" si="3"/>
        <v>1.5343976563523345</v>
      </c>
      <c r="S9" s="40">
        <f t="shared" si="3"/>
        <v>1.32745735988155</v>
      </c>
      <c r="T9" s="40">
        <f t="shared" si="3"/>
        <v>1.9226169460157883</v>
      </c>
      <c r="U9" s="40">
        <f t="shared" si="3"/>
        <v>2.2892301251980336</v>
      </c>
      <c r="V9" s="40">
        <f t="shared" si="3"/>
        <v>2.1681622294978942</v>
      </c>
      <c r="W9" s="40">
        <f t="shared" si="3"/>
        <v>2.9996312084863277</v>
      </c>
      <c r="X9" s="42">
        <f t="shared" si="3"/>
        <v>2.1946478546409027</v>
      </c>
      <c r="Y9" s="286">
        <f t="shared" si="3"/>
        <v>2.4014525248761029</v>
      </c>
      <c r="Z9" s="149">
        <f t="shared" si="3"/>
        <v>1.8459179704837618</v>
      </c>
      <c r="AA9" s="149">
        <f t="shared" si="3"/>
        <v>3.7228247610228871</v>
      </c>
      <c r="AB9" s="149">
        <f t="shared" si="3"/>
        <v>2.3008036870189534</v>
      </c>
      <c r="AC9" s="27"/>
      <c r="AD9" s="27"/>
      <c r="AE9" s="26"/>
      <c r="AF9" s="26"/>
      <c r="AG9" s="26"/>
      <c r="AI9" s="26"/>
      <c r="AN9"/>
    </row>
    <row r="10" spans="2:40" x14ac:dyDescent="0.3">
      <c r="B10" s="1" t="s">
        <v>6</v>
      </c>
      <c r="C10" s="14" t="s">
        <v>21</v>
      </c>
      <c r="D10" s="15"/>
      <c r="E10" s="25">
        <f>BA!E10+DU!E10+DU_DMK!E10+LJA!E10+LSPA!E10+LiepU!E10+LU!E10+RTA!E10+RTU!E10+VeA!E10+ViA!E10+RSU!E10+LBTU!E10+JVLMA!E10+LMA!E10+LKA!E10+LKA_LKK!E10</f>
        <v>59722.052499999991</v>
      </c>
      <c r="F10" s="15">
        <f>BA!F10+DU!F10+DU_DMK!F10+LJA!F10+LSPA!F10+LiepU!F10+LU!F10+RTA!F10+RTU!F10+VeA!F10+ViA!F10+RSU!F10+LBTU!F10+JVLMA!F10+LMA!F10+LKA!F10+LKA_LKK!F10</f>
        <v>123741.78760000001</v>
      </c>
      <c r="G10" s="9">
        <f>BA!G10+DU!G10+DU_DMK!G10+LJA!G10+LSPA!G10+LiepU!G10+LU!G10+RTA!G10+RTU!G10+VeA!G10+ViA!G10+RSU!G10+LBTU!G10+JVLMA!G10+LMA!G10+LKA!G10+LKA_LKK!G10</f>
        <v>133236.8132</v>
      </c>
      <c r="H10" s="9">
        <f>BA!H10+DU!H10+DU_DMK!H10+LJA!H10+LSPA!H10+LiepU!H10+LU!H10+RTA!H10+RTU!H10+VeA!H10+ViA!H10+RSU!H10+LBTU!H10+JVLMA!H10+LMA!H10+LKA!H10+LKA_LKK!H10</f>
        <v>99569.569799999997</v>
      </c>
      <c r="I10" s="9">
        <f>BA!I10+DU!I10+DU_DMK!I10+LJA!I10+LSPA!I10+LiepU!I10+LU!I10+RTA!I10+RTU!I10+VeA!I10+ViA!I10+RSU!I10+LBTU!I10+JVLMA!I10+LMA!I10+LKA!I10+LKA_LKK!I10</f>
        <v>50537.892300000007</v>
      </c>
      <c r="J10" s="15">
        <f>BA!J10+DU!J10+DU_DMK!J10+LJA!J10+LSPA!J10+LiepU!J10+LU!J10+RTA!J10+RTU!J10+VeA!J10+ViA!J10+RSU!J10+LBTU!J10+JVLMA!J10+LMA!J10+LKA!J10+LKA_LKK!J10</f>
        <v>16210.736499999997</v>
      </c>
      <c r="K10" s="15">
        <f>BA!K10+DU!K10+DU_DMK!K10+LJA!K10+LSPA!K10+LiepU!K10+LU!K10+RTA!K10+RTU!K10+VeA!K10+ViA!K10+RSU!K10+LBTU!K10+JVLMA!K10+LMA!K10+LKA!K10+LKA_LKK!K10</f>
        <v>8528.0527000000002</v>
      </c>
      <c r="L10" s="9">
        <f>BA!L10+DU!L10+DU_DMK!L10+LJA!L10+LSPA!L10+LiepU!L10+LU!L10+RTA!L10+RTU!L10+VeA!L10+ViA!L10+RSU!L10+LBTU!L10+JVLMA!L10+LMA!L10+LKA!L10+LKA_LKK!L10</f>
        <v>5143.8820999999998</v>
      </c>
      <c r="M10" s="9">
        <f>BA!M10+DU!M10+DU_DMK!M10+LJA!M10+LSPA!M10+LiepU!M10+LU!M10+RTA!M10+RTU!M10+VeA!M10+ViA!M10+RSU!M10+LBTU!M10+JVLMA!M10+LMA!M10+LKA!M10+LKA_LKK!M10</f>
        <v>8869.8142999999982</v>
      </c>
      <c r="N10" s="9">
        <f>BA!N10+DU!N10+DU_DMK!N10+LJA!N10+LSPA!N10+LiepU!N10+LU!N10+RTA!N10+RTU!N10+VeA!N10+ViA!N10+RSU!N10+LBTU!N10+JVLMA!N10+LMA!N10+LKA!N10+LKA_LKK!N10</f>
        <v>42806.074200000003</v>
      </c>
      <c r="O10" s="9">
        <f>BA!O10+DU!O10+DU_DMK!O10+LJA!O10+LSPA!O10+LiepU!O10+LU!O10+RTA!O10+RTU!O10+VeA!O10+ViA!O10+RSU!O10+LBTU!O10+JVLMA!O10+LMA!O10+LKA!O10+LKA_LKK!O10</f>
        <v>138597.9762</v>
      </c>
      <c r="P10" s="9">
        <f>BA!P10+DU!P10+DU_DMK!P10+LJA!P10+LSPA!P10+LiepU!P10+LU!P10+RTA!P10+RTU!P10+VeA!P10+ViA!P10+RSU!P10+LBTU!P10+JVLMA!P10+LMA!P10+LKA!P10+LKA_LKK!P10</f>
        <v>286723.33840000007</v>
      </c>
      <c r="Q10" s="26">
        <f>BA!Q10+DU!Q10+DU_DMK!Q10+LJA!Q10+LSPA!Q10+LiepU!Q10+LU!Q10+RTA!Q10+RTU!Q10+VeA!Q10+ViA!Q10+RSU!Q10+LBTU!Q10+JVLMA!Q10+LMA!Q10+LKA!Q10+LKA_LKK!Q10</f>
        <v>449440.54430000001</v>
      </c>
      <c r="R10" s="26">
        <f>BA!R10+DU!R10+DU_DMK!R10+LJA!R10+LSPA!R10+LiepU!R10+LU!R10+RTA!R10+RTU!R10+VeA!R10+ViA!R10+RSU!R10+LBTU!R10+JVLMA!R10+LMA!R10+LKA!R10+LKA_LKK!R10</f>
        <v>342725.96769999992</v>
      </c>
      <c r="S10" s="26">
        <f>BA!S10+DU!S10+DU_DMK!S10+LJA!S10+LSPA!S10+LiepU!S10+LU!S10+RTA!S10+RTU!S10+VeA!S10+ViA!S10+RSU!S10+LBTU!S10+JVLMA!S10+LMA!S10+LKA!S10+LKA_LKK!S10</f>
        <v>306378.96009999997</v>
      </c>
      <c r="T10" s="26">
        <f>BA!T10+DU!T10+DU_DMK!T10+LJA!T10+LSPA!T10+LiepU!T10+LU!T10+RTA!T10+RTU!T10+VeA!T10+ViA!T10+RSU!T10+LBTU!T10+JVLMA!T10+LMA!T10+LKA!T10+LKA_LKK!T10</f>
        <v>232247.01</v>
      </c>
      <c r="U10" s="26">
        <f>BA!U10+DU!U10+DU_DMK!U10+LJA!U10+LSPA!U10+LiepU!U10+LU!U10+RTA!U10+RTU!U10+VeA!U10+ViA!U10+RSU!U10+LBTU!U10+JVLMA!U10+LMA!U10+LKA!U10+LKA_LKK!U10</f>
        <v>208638.7162</v>
      </c>
      <c r="V10" s="26">
        <f>BA!V10+DU!V10+DU_DMK!V10+LJA!V10+LSPA!V10+LiepU!V10+LU!V10+RTA!V10+RTU!V10+VeA!V10+ViA!V10+RSU!V10+LBTU!V10+JVLMA!V10+LMA!V10+LKA!V10+LKA_LKK!V10</f>
        <v>52879.330199999997</v>
      </c>
      <c r="W10" s="26">
        <f>BA!W10+DU!W10+DU_DMK!W10+LJA!W10+LSPA!W10+LiepU!W10+LU!W10+RTA!W10+RTU!W10+VeA!W10+ViA!W10+RSU!W10+LBTU!W10+JVLMA!W10+LMA!W10+LKA!W10+LKA_LKK!W10</f>
        <v>24206.515299999999</v>
      </c>
      <c r="X10" s="26">
        <f>BA!X10+DU!X10+DU_DMK!X10+LJA!X10+LSPA!X10+LiepU!X10+LU!X10+RTA!X10+RTU!X10+VeA!X10+ViA!X10+RSU!X10+LBTU!X10+JVLMA!X10+LMA!X10+LKA!X10+LKA_LKK!X10</f>
        <v>13377.322999999999</v>
      </c>
      <c r="Y10" s="25">
        <f>BA!Y10+DU!Y10+DU_DMK!Y10+LJA!Y10+LSPA!Y10+LiepU!Y10+LU!Y10+RTA!Y10+RTU!Y10+VeA!Y10+ViA!Y10+RSU!Y10+LBTU!Y10+JVLMA!Y10+LMA!Y10+LKA!Y10+LKA_LKK!Y10</f>
        <v>20991.94</v>
      </c>
      <c r="Z10" s="150">
        <f>BA!Z10+DU!Z10+DU_DMK!Z10+LJA!Z10+LSPA!Z10+LiepU!Z10+LU!Z10+RTA!Z10+RTU!Z10+VeA!Z10+ViA!Z10+RSU!Z10+LBTU!Z10+JVLMA!Z10+LMA!Z10+LKA!Z10+LKA_LKK!Z10</f>
        <v>45810.075784755209</v>
      </c>
      <c r="AA10" s="150">
        <f>BA!AA10+DU!AA10+DU_DMK!AA10+LJA!AA10+LSPA!AA10+LiepU!AA10+LU!AA10+RTA!AA10+RTU!AA10+VeA!AA10+ViA!AA10+RSU!AA10+LBTU!AA10+JVLMA!AA10+LMA!AA10+LKA!AA10+LKA_LKK!AA10</f>
        <v>166299.00032425675</v>
      </c>
      <c r="AB10" s="150">
        <f>BA!AB10+DU!AB10+DU_DMK!AB10+LJA!AB10+LSPA!AB10+LiepU!AB10+LU!AB10+RTA!AB10+RTU!AB10+VeA!AB10+ViA!AB10+RSU!AB10+LBTU!AB10+JVLMA!AB10+LMA!AB10+LKA!AB10+LKA_LKK!AB10</f>
        <v>236057.28508662852</v>
      </c>
      <c r="AC10" s="27">
        <f>BA!AC10+DU!AC10+DU_DMK!AC10+LJA!AC10+LSPA!AC10+LiepU!AC10+LU!AC10+RTA!AC10+RTU!AC10+VeA!AC10+ViA!AC10+RSU!AC10+LBTU!AC10+JVLMA!AC10+LMA!AC10+LKA!AC10+LKA_LKK!AC10</f>
        <v>0</v>
      </c>
      <c r="AD10" s="157"/>
      <c r="AE10" s="26">
        <f t="shared" si="2"/>
        <v>1125364.68</v>
      </c>
      <c r="AF10" s="26">
        <f t="shared" ref="AF10:AF14" si="4">AE10/12</f>
        <v>93780.39</v>
      </c>
      <c r="AG10" s="26">
        <f t="shared" ref="AG10:AG14" si="5">AF10*8</f>
        <v>750243.12</v>
      </c>
      <c r="AI10" s="8"/>
    </row>
    <row r="11" spans="2:40" x14ac:dyDescent="0.3">
      <c r="B11" s="1" t="s">
        <v>7</v>
      </c>
      <c r="C11" s="14" t="s">
        <v>22</v>
      </c>
      <c r="D11" s="15"/>
      <c r="E11" s="25">
        <f>BA!E11+DU!E11+DU_DMK!E11+LJA!E11+LSPA!E11+LiepU!E11+LU!E11+RTA!E11+RTU!E11+VeA!E11+ViA!E11+RSU!E11+LBTU!E11+JVLMA!E11+LMA!E11+LKA!E11+LKA_LKK!E11</f>
        <v>0</v>
      </c>
      <c r="F11" s="15">
        <f>BA!F11+DU!F11+DU_DMK!F11+LJA!F11+LSPA!F11+LiepU!F11+LU!F11+RTA!F11+RTU!F11+VeA!F11+ViA!F11+RSU!F11+LBTU!F11+JVLMA!F11+LMA!F11+LKA!F11+LKA_LKK!F11</f>
        <v>0</v>
      </c>
      <c r="G11" s="9">
        <f>BA!G11+DU!G11+DU_DMK!G11+LJA!G11+LSPA!G11+LiepU!G11+LU!G11+RTA!G11+RTU!G11+VeA!G11+ViA!G11+RSU!G11+LBTU!G11+JVLMA!G11+LMA!G11+LKA!G11+LKA_LKK!G11</f>
        <v>0</v>
      </c>
      <c r="H11" s="9">
        <f>BA!H11+DU!H11+DU_DMK!H11+LJA!H11+LSPA!H11+LiepU!H11+LU!H11+RTA!H11+RTU!H11+VeA!H11+ViA!H11+RSU!H11+LBTU!H11+JVLMA!H11+LMA!H11+LKA!H11+LKA_LKK!H11</f>
        <v>0</v>
      </c>
      <c r="I11" s="9">
        <f>BA!I11+DU!I11+DU_DMK!I11+LJA!I11+LSPA!I11+LiepU!I11+LU!I11+RTA!I11+RTU!I11+VeA!I11+ViA!I11+RSU!I11+LBTU!I11+JVLMA!I11+LMA!I11+LKA!I11+LKA_LKK!I11</f>
        <v>0</v>
      </c>
      <c r="J11" s="15">
        <f>BA!J11+DU!J11+DU_DMK!J11+LJA!J11+LSPA!J11+LiepU!J11+LU!J11+RTA!J11+RTU!J11+VeA!J11+ViA!J11+RSU!J11+LBTU!J11+JVLMA!J11+LMA!J11+LKA!J11+LKA_LKK!J11</f>
        <v>0</v>
      </c>
      <c r="K11" s="15">
        <f>BA!K11+DU!K11+DU_DMK!K11+LJA!K11+LSPA!K11+LiepU!K11+LU!K11+RTA!K11+RTU!K11+VeA!K11+ViA!K11+RSU!K11+LBTU!K11+JVLMA!K11+LMA!K11+LKA!K11+LKA_LKK!K11</f>
        <v>0</v>
      </c>
      <c r="L11" s="9">
        <f>BA!L11+DU!L11+DU_DMK!L11+LJA!L11+LSPA!L11+LiepU!L11+LU!L11+RTA!L11+RTU!L11+VeA!L11+ViA!L11+RSU!L11+LBTU!L11+JVLMA!L11+LMA!L11+LKA!L11+LKA_LKK!L11</f>
        <v>0</v>
      </c>
      <c r="M11" s="9">
        <f>BA!M11+DU!M11+DU_DMK!M11+LJA!M11+LSPA!M11+LiepU!M11+LU!M11+RTA!M11+RTU!M11+VeA!M11+ViA!M11+RSU!M11+LBTU!M11+JVLMA!M11+LMA!M11+LKA!M11+LKA_LKK!M11</f>
        <v>0</v>
      </c>
      <c r="N11" s="9">
        <f>BA!N11+DU!N11+DU_DMK!N11+LJA!N11+LSPA!N11+LiepU!N11+LU!N11+RTA!N11+RTU!N11+VeA!N11+ViA!N11+RSU!N11+LBTU!N11+JVLMA!N11+LMA!N11+LKA!N11+LKA_LKK!N11</f>
        <v>0</v>
      </c>
      <c r="O11" s="9">
        <f>BA!O11+DU!O11+DU_DMK!O11+LJA!O11+LSPA!O11+LiepU!O11+LU!O11+RTA!O11+RTU!O11+VeA!O11+ViA!O11+RSU!O11+LBTU!O11+JVLMA!O11+LMA!O11+LKA!O11+LKA_LKK!O11</f>
        <v>0</v>
      </c>
      <c r="P11" s="9">
        <f>BA!P11+DU!P11+DU_DMK!P11+LJA!P11+LSPA!P11+LiepU!P11+LU!P11+RTA!P11+RTU!P11+VeA!P11+ViA!P11+RSU!P11+LBTU!P11+JVLMA!P11+LMA!P11+LKA!P11+LKA_LKK!P11</f>
        <v>0</v>
      </c>
      <c r="Q11" s="9">
        <f>BA!Q11+DU!Q11+DU_DMK!Q11+LJA!Q11+LSPA!Q11+LiepU!Q11+LU!Q11+RTA!Q11+RTU!Q11+VeA!Q11+ViA!Q11+RSU!Q11+LBTU!Q11+JVLMA!Q11+LMA!Q11+LKA!Q11+LKA_LKK!Q11</f>
        <v>0</v>
      </c>
      <c r="R11" s="9">
        <f>BA!R11+DU!R11+DU_DMK!R11+LJA!R11+LSPA!R11+LiepU!R11+LU!R11+RTA!R11+RTU!R11+VeA!R11+ViA!R11+RSU!R11+LBTU!R11+JVLMA!R11+LMA!R11+LKA!R11+LKA_LKK!R11</f>
        <v>0</v>
      </c>
      <c r="S11" s="9">
        <f>BA!S11+DU!S11+DU_DMK!S11+LJA!S11+LSPA!S11+LiepU!S11+LU!S11+RTA!S11+RTU!S11+VeA!S11+ViA!S11+RSU!S11+LBTU!S11+JVLMA!S11+LMA!S11+LKA!S11+LKA_LKK!S11</f>
        <v>0</v>
      </c>
      <c r="T11" s="9">
        <f>BA!T11+DU!T11+DU_DMK!T11+LJA!T11+LSPA!T11+LiepU!T11+LU!T11+RTA!T11+RTU!T11+VeA!T11+ViA!T11+RSU!T11+LBTU!T11+JVLMA!T11+LMA!T11+LKA!T11+LKA_LKK!T11</f>
        <v>0</v>
      </c>
      <c r="U11" s="9">
        <f>BA!U11+DU!U11+DU_DMK!U11+LJA!U11+LSPA!U11+LiepU!U11+LU!U11+RTA!U11+RTU!U11+VeA!U11+ViA!U11+RSU!U11+LBTU!U11+JVLMA!U11+LMA!U11+LKA!U11+LKA_LKK!U11</f>
        <v>0</v>
      </c>
      <c r="V11" s="9">
        <f>BA!V11+DU!V11+DU_DMK!V11+LJA!V11+LSPA!V11+LiepU!V11+LU!V11+RTA!V11+RTU!V11+VeA!V11+ViA!V11+RSU!V11+LBTU!V11+JVLMA!V11+LMA!V11+LKA!V11+LKA_LKK!V11</f>
        <v>0</v>
      </c>
      <c r="W11" s="9">
        <f>BA!W11+DU!W11+DU_DMK!W11+LJA!W11+LSPA!W11+LiepU!W11+LU!W11+RTA!W11+RTU!W11+VeA!W11+ViA!W11+RSU!W11+LBTU!W11+JVLMA!W11+LMA!W11+LKA!W11+LKA_LKK!W11</f>
        <v>0</v>
      </c>
      <c r="X11" s="9">
        <f>BA!X11+DU!X11+DU_DMK!X11+LJA!X11+LSPA!X11+LiepU!X11+LU!X11+RTA!X11+RTU!X11+VeA!X11+ViA!X11+RSU!X11+LBTU!X11+JVLMA!X11+LMA!X11+LKA!X11+LKA_LKK!X11</f>
        <v>0</v>
      </c>
      <c r="Y11" s="15">
        <f>BA!Y11+DU!Y11+DU_DMK!Y11+LJA!Y11+LSPA!Y11+LiepU!Y11+LU!Y11+RTA!Y11+RTU!Y11+VeA!Y11+ViA!Y11+RSU!Y11+LBTU!Y11+JVLMA!Y11+LMA!Y11+LKA!Y11+LKA_LKK!Y11</f>
        <v>0</v>
      </c>
      <c r="Z11" s="151">
        <f>BA!Z11+DU!Z11+DU_DMK!Z11+LJA!Z11+LSPA!Z11+LiepU!Z11+LU!Z11+RTA!Z11+RTU!Z11+VeA!Z11+ViA!Z11+RSU!Z11+LBTU!Z11+JVLMA!Z11+LMA!Z11+LKA!Z11+LKA_LKK!Z11</f>
        <v>0</v>
      </c>
      <c r="AA11" s="151">
        <f>BA!AA11+DU!AA11+DU_DMK!AA11+LJA!AA11+LSPA!AA11+LiepU!AA11+LU!AA11+RTA!AA11+RTU!AA11+VeA!AA11+ViA!AA11+RSU!AA11+LBTU!AA11+JVLMA!AA11+LMA!AA11+LKA!AA11+LKA_LKK!AA11</f>
        <v>0</v>
      </c>
      <c r="AB11" s="151">
        <f>BA!AB11+DU!AB11+DU_DMK!AB11+LJA!AB11+LSPA!AB11+LiepU!AB11+LU!AB11+RTA!AB11+RTU!AB11+VeA!AB11+ViA!AB11+RSU!AB11+LBTU!AB11+JVLMA!AB11+LMA!AB11+LKA!AB11+LKA_LKK!AB11</f>
        <v>0</v>
      </c>
      <c r="AC11" s="27">
        <f>BA!AC11+DU!AC11+DU_DMK!AC11+LJA!AC11+LSPA!AC11+LiepU!AC11+LU!AC11+RTA!AC11+RTU!AC11+VeA!AC11+ViA!AC11+RSU!AC11+LBTU!AC11+JVLMA!AC11+LMA!AC11+LKA!AC11+LKA_LKK!AC11</f>
        <v>0</v>
      </c>
      <c r="AD11" s="157"/>
      <c r="AE11" s="26">
        <f t="shared" si="2"/>
        <v>0</v>
      </c>
      <c r="AF11" s="26">
        <f t="shared" si="4"/>
        <v>0</v>
      </c>
      <c r="AG11" s="26">
        <f t="shared" si="5"/>
        <v>0</v>
      </c>
      <c r="AI11" s="21"/>
      <c r="AN11" s="7"/>
    </row>
    <row r="12" spans="2:40" x14ac:dyDescent="0.3">
      <c r="B12" s="1" t="s">
        <v>24</v>
      </c>
      <c r="C12" s="15" t="s">
        <v>23</v>
      </c>
      <c r="D12" s="15"/>
      <c r="E12" s="25">
        <f>BA!E12+DU!E12+DU_DMK!E12+LJA!E12+LSPA!E12+LiepU!E12+LU!E12+RTA!E12+RTU!E12+VeA!E12+ViA!E12+RSU!E12+LBTU!E12+JVLMA!E12+LMA!E12+LKA!E12+LKA_LKK!E12</f>
        <v>25358.302000000003</v>
      </c>
      <c r="F12" s="15">
        <f>BA!F12+DU!F12+DU_DMK!F12+LJA!F12+LSPA!F12+LiepU!F12+LU!F12+RTA!F12+RTU!F12+VeA!F12+ViA!F12+RSU!F12+LBTU!F12+JVLMA!F12+LMA!F12+LKA!F12+LKA_LKK!F12</f>
        <v>20548.62</v>
      </c>
      <c r="G12" s="9">
        <f>BA!G12+DU!G12+DU_DMK!G12+LJA!G12+LSPA!G12+LiepU!G12+LU!G12+RTA!G12+RTU!G12+VeA!G12+ViA!G12+RSU!G12+LBTU!G12+JVLMA!G12+LMA!G12+LKA!G12+LKA_LKK!G12</f>
        <v>19568.8897</v>
      </c>
      <c r="H12" s="9">
        <f>BA!H12+DU!H12+DU_DMK!H12+LJA!H12+LSPA!H12+LiepU!H12+LU!H12+RTA!H12+RTU!H12+VeA!H12+ViA!H12+RSU!H12+LBTU!H12+JVLMA!H12+LMA!H12+LKA!H12+LKA_LKK!H12</f>
        <v>12513.5008</v>
      </c>
      <c r="I12" s="9">
        <f>BA!I12+DU!I12+DU_DMK!I12+LJA!I12+LSPA!I12+LiepU!I12+LU!I12+RTA!I12+RTU!I12+VeA!I12+ViA!I12+RSU!I12+LBTU!I12+JVLMA!I12+LMA!I12+LKA!I12+LKA_LKK!I12</f>
        <v>2999.4812000000002</v>
      </c>
      <c r="J12" s="15">
        <f>BA!J12+DU!J12+DU_DMK!J12+LJA!J12+LSPA!J12+LiepU!J12+LU!J12+RTA!J12+RTU!J12+VeA!J12+ViA!J12+RSU!J12+LBTU!J12+JVLMA!J12+LMA!J12+LKA!J12+LKA_LKK!J12</f>
        <v>0</v>
      </c>
      <c r="K12" s="15">
        <f>BA!K12+DU!K12+DU_DMK!K12+LJA!K12+LSPA!K12+LiepU!K12+LU!K12+RTA!K12+RTU!K12+VeA!K12+ViA!K12+RSU!K12+LBTU!K12+JVLMA!K12+LMA!K12+LKA!K12+LKA_LKK!K12</f>
        <v>3012.15</v>
      </c>
      <c r="L12" s="9">
        <f>BA!L12+DU!L12+DU_DMK!L12+LJA!L12+LSPA!L12+LiepU!L12+LU!L12+RTA!L12+RTU!L12+VeA!L12+ViA!L12+RSU!L12+LBTU!L12+JVLMA!L12+LMA!L12+LKA!L12+LKA_LKK!L12</f>
        <v>0</v>
      </c>
      <c r="M12" s="9">
        <f>BA!M12+DU!M12+DU_DMK!M12+LJA!M12+LSPA!M12+LiepU!M12+LU!M12+RTA!M12+RTU!M12+VeA!M12+ViA!M12+RSU!M12+LBTU!M12+JVLMA!M12+LMA!M12+LKA!M12+LKA_LKK!M12</f>
        <v>553.79999999999995</v>
      </c>
      <c r="N12" s="9">
        <f>BA!N12+DU!N12+DU_DMK!N12+LJA!N12+LSPA!N12+LiepU!N12+LU!N12+RTA!N12+RTU!N12+VeA!N12+ViA!N12+RSU!N12+LBTU!N12+JVLMA!N12+LMA!N12+LKA!N12+LKA_LKK!N12</f>
        <v>10758.401999999998</v>
      </c>
      <c r="O12" s="9">
        <f>BA!O12+DU!O12+DU_DMK!O12+LJA!O12+LSPA!O12+LiepU!O12+LU!O12+RTA!O12+RTU!O12+VeA!O12+ViA!O12+RSU!O12+LBTU!O12+JVLMA!O12+LMA!O12+LKA!O12+LKA_LKK!O12</f>
        <v>14620.0157</v>
      </c>
      <c r="P12" s="9">
        <f>BA!P12+DU!P12+DU_DMK!P12+LJA!P12+LSPA!P12+LiepU!P12+LU!P12+RTA!P12+RTU!P12+VeA!P12+ViA!P12+RSU!P12+LBTU!P12+JVLMA!P12+LMA!P12+LKA!P12+LKA_LKK!P12</f>
        <v>21332.105599999995</v>
      </c>
      <c r="Q12" s="9">
        <f>BA!Q12+DU!Q12+DU_DMK!Q12+LJA!Q12+LSPA!Q12+LiepU!Q12+LU!Q12+RTA!Q12+RTU!Q12+VeA!Q12+ViA!Q12+RSU!Q12+LBTU!Q12+JVLMA!Q12+LMA!Q12+LKA!Q12+LKA_LKK!Q12</f>
        <v>29610.5396</v>
      </c>
      <c r="R12" s="9">
        <f>BA!R12+DU!R12+DU_DMK!R12+LJA!R12+LSPA!R12+LiepU!R12+LU!R12+RTA!R12+RTU!R12+VeA!R12+ViA!R12+RSU!R12+LBTU!R12+JVLMA!R12+LMA!R12+LKA!R12+LKA_LKK!R12</f>
        <v>29874.694099999997</v>
      </c>
      <c r="S12" s="9">
        <f>BA!S12+DU!S12+DU_DMK!S12+LJA!S12+LSPA!S12+LiepU!S12+LU!S12+RTA!S12+RTU!S12+VeA!S12+ViA!S12+RSU!S12+LBTU!S12+JVLMA!S12+LMA!S12+LKA!S12+LKA_LKK!S12</f>
        <v>26010.5965</v>
      </c>
      <c r="T12" s="9">
        <f>BA!T12+DU!T12+DU_DMK!T12+LJA!T12+LSPA!T12+LiepU!T12+LU!T12+RTA!T12+RTU!T12+VeA!T12+ViA!T12+RSU!T12+LBTU!T12+JVLMA!T12+LMA!T12+LKA!T12+LKA_LKK!T12</f>
        <v>21604.6188</v>
      </c>
      <c r="U12" s="9">
        <f>BA!U12+DU!U12+DU_DMK!U12+LJA!U12+LSPA!U12+LiepU!U12+LU!U12+RTA!U12+RTU!U12+VeA!U12+ViA!U12+RSU!U12+LBTU!U12+JVLMA!U12+LMA!U12+LKA!U12+LKA_LKK!U12</f>
        <v>3623.9843999999998</v>
      </c>
      <c r="V12" s="9">
        <f>BA!V12+DU!V12+DU_DMK!V12+LJA!V12+LSPA!V12+LiepU!V12+LU!V12+RTA!V12+RTU!V12+VeA!V12+ViA!V12+RSU!V12+LBTU!V12+JVLMA!V12+LMA!V12+LKA!V12+LKA_LKK!V12</f>
        <v>5589.23</v>
      </c>
      <c r="W12" s="9">
        <f>BA!W12+DU!W12+DU_DMK!W12+LJA!W12+LSPA!W12+LiepU!W12+LU!W12+RTA!W12+RTU!W12+VeA!W12+ViA!W12+RSU!W12+LBTU!W12+JVLMA!W12+LMA!W12+LKA!W12+LKA_LKK!W12</f>
        <v>6092.25</v>
      </c>
      <c r="X12" s="9">
        <f>BA!X12+DU!X12+DU_DMK!X12+LJA!X12+LSPA!X12+LiepU!X12+LU!X12+RTA!X12+RTU!X12+VeA!X12+ViA!X12+RSU!X12+LBTU!X12+JVLMA!X12+LMA!X12+LKA!X12+LKA_LKK!X12</f>
        <v>0</v>
      </c>
      <c r="Y12" s="15">
        <f>BA!Y12+DU!Y12+DU_DMK!Y12+LJA!Y12+LSPA!Y12+LiepU!Y12+LU!Y12+RTA!Y12+RTU!Y12+VeA!Y12+ViA!Y12+RSU!Y12+LBTU!Y12+JVLMA!Y12+LMA!Y12+LKA!Y12+LKA_LKK!Y12</f>
        <v>6740.7</v>
      </c>
      <c r="Z12" s="151">
        <f>BA!Z12+DU!Z12+DU_DMK!Z12+LJA!Z12+LSPA!Z12+LiepU!Z12+LU!Z12+RTA!Z12+RTU!Z12+VeA!Z12+ViA!Z12+RSU!Z12+LBTU!Z12+JVLMA!Z12+LMA!Z12+LKA!Z12+LKA_LKK!Z12</f>
        <v>47382.233</v>
      </c>
      <c r="AA12" s="151">
        <f>BA!AA12+DU!AA12+DU_DMK!AA12+LJA!AA12+LSPA!AA12+LiepU!AA12+LU!AA12+RTA!AA12+RTU!AA12+VeA!AA12+ViA!AA12+RSU!AA12+LBTU!AA12+JVLMA!AA12+LMA!AA12+LKA!AA12+LKA_LKK!AA12</f>
        <v>185339.04499999998</v>
      </c>
      <c r="AB12" s="151">
        <f>BA!AB12+DU!AB12+DU_DMK!AB12+LJA!AB12+LSPA!AB12+LiepU!AB12+LU!AB12+RTA!AB12+RTU!AB12+VeA!AB12+ViA!AB12+RSU!AB12+LBTU!AB12+JVLMA!AB12+LMA!AB12+LKA!AB12+LKA_LKK!AB12</f>
        <v>300722.505</v>
      </c>
      <c r="AC12" s="27">
        <f>BA!AC12+DU!AC12+DU_DMK!AC12+LJA!AC12+LSPA!AC12+LiepU!AC12+LU!AC12+RTA!AC12+RTU!AC12+VeA!AC12+ViA!AC12+RSU!AC12+LBTU!AC12+JVLMA!AC12+LMA!AC12+LKA!AC12+LKA_LKK!AC12</f>
        <v>0</v>
      </c>
      <c r="AD12" s="157"/>
      <c r="AE12" s="26">
        <f t="shared" si="2"/>
        <v>531325.13</v>
      </c>
      <c r="AF12" s="26">
        <f t="shared" si="4"/>
        <v>44277.094166666669</v>
      </c>
      <c r="AG12" s="26">
        <f t="shared" si="5"/>
        <v>354216.75333333336</v>
      </c>
      <c r="AI12" s="21"/>
    </row>
    <row r="13" spans="2:40" x14ac:dyDescent="0.3">
      <c r="B13" s="1" t="s">
        <v>25</v>
      </c>
      <c r="C13" s="14" t="s">
        <v>38</v>
      </c>
      <c r="D13" s="15"/>
      <c r="E13" s="25">
        <f>BA!E13+DU!E13+DU_DMK!E13+LJA!E13+LSPA!E13+LiepU!E13+LU!E13+RTA!E13+RTU!E13+VeA!E13+ViA!E13+RSU!E13+LBTU!E13+JVLMA!E13+LMA!E13+LKA!E13+LKA_LKK!E13</f>
        <v>5081.8063999999995</v>
      </c>
      <c r="F13" s="15">
        <f>BA!F13+DU!F13+DU_DMK!F13+LJA!F13+LSPA!F13+LiepU!F13+LU!F13+RTA!F13+RTU!F13+VeA!F13+ViA!F13+RSU!F13+LBTU!F13+JVLMA!F13+LMA!F13+LKA!F13+LKA_LKK!F13</f>
        <v>4831.3364000000001</v>
      </c>
      <c r="G13" s="9">
        <f>BA!G13+DU!G13+DU_DMK!G13+LJA!G13+LSPA!G13+LiepU!G13+LU!G13+RTA!G13+RTU!G13+VeA!G13+ViA!G13+RSU!G13+LBTU!G13+JVLMA!G13+LMA!G13+LKA!G13+LKA_LKK!G13</f>
        <v>8831.5964000000004</v>
      </c>
      <c r="H13" s="9">
        <f>BA!H13+DU!H13+DU_DMK!H13+LJA!H13+LSPA!H13+LiepU!H13+LU!H13+RTA!H13+RTU!H13+VeA!H13+ViA!H13+RSU!H13+LBTU!H13+JVLMA!H13+LMA!H13+LKA!H13+LKA_LKK!H13</f>
        <v>2290.4331999999999</v>
      </c>
      <c r="I13" s="9">
        <f>BA!I13+DU!I13+DU_DMK!I13+LJA!I13+LSPA!I13+LiepU!I13+LU!I13+RTA!I13+RTU!I13+VeA!I13+ViA!I13+RSU!I13+LBTU!I13+JVLMA!I13+LMA!I13+LKA!I13+LKA_LKK!I13</f>
        <v>1061.7749999999999</v>
      </c>
      <c r="J13" s="15">
        <f>BA!J13+DU!J13+DU_DMK!J13+LJA!J13+LSPA!J13+LiepU!J13+LU!J13+RTA!J13+RTU!J13+VeA!J13+ViA!J13+RSU!J13+LBTU!J13+JVLMA!J13+LMA!J13+LKA!J13+LKA_LKK!J13</f>
        <v>0</v>
      </c>
      <c r="K13" s="15">
        <f>BA!K13+DU!K13+DU_DMK!K13+LJA!K13+LSPA!K13+LiepU!K13+LU!K13+RTA!K13+RTU!K13+VeA!K13+ViA!K13+RSU!K13+LBTU!K13+JVLMA!K13+LMA!K13+LKA!K13+LKA_LKK!K13</f>
        <v>0</v>
      </c>
      <c r="L13" s="9">
        <f>BA!L13+DU!L13+DU_DMK!L13+LJA!L13+LSPA!L13+LiepU!L13+LU!L13+RTA!L13+RTU!L13+VeA!L13+ViA!L13+RSU!L13+LBTU!L13+JVLMA!L13+LMA!L13+LKA!L13+LKA_LKK!L13</f>
        <v>0</v>
      </c>
      <c r="M13" s="9">
        <f>BA!M13+DU!M13+DU_DMK!M13+LJA!M13+LSPA!M13+LiepU!M13+LU!M13+RTA!M13+RTU!M13+VeA!M13+ViA!M13+RSU!M13+LBTU!M13+JVLMA!M13+LMA!M13+LKA!M13+LKA_LKK!M13</f>
        <v>8966.7049999999999</v>
      </c>
      <c r="N13" s="9">
        <f>BA!N13+DU!N13+DU_DMK!N13+LJA!N13+LSPA!N13+LiepU!N13+LU!N13+RTA!N13+RTU!N13+VeA!N13+ViA!N13+RSU!N13+LBTU!N13+JVLMA!N13+LMA!N13+LKA!N13+LKA_LKK!N13</f>
        <v>2314.125</v>
      </c>
      <c r="O13" s="9">
        <f>BA!O13+DU!O13+DU_DMK!O13+LJA!O13+LSPA!O13+LiepU!O13+LU!O13+RTA!O13+RTU!O13+VeA!O13+ViA!O13+RSU!O13+LBTU!O13+JVLMA!O13+LMA!O13+LKA!O13+LKA_LKK!O13</f>
        <v>2815.0649999999996</v>
      </c>
      <c r="P13" s="9">
        <f>BA!P13+DU!P13+DU_DMK!P13+LJA!P13+LSPA!P13+LiepU!P13+LU!P13+RTA!P13+RTU!P13+VeA!P13+ViA!P13+RSU!P13+LBTU!P13+JVLMA!P13+LMA!P13+LKA!P13+LKA_LKK!P13</f>
        <v>11273.74</v>
      </c>
      <c r="Q13" s="9">
        <f>BA!Q13+DU!Q13+DU_DMK!Q13+LJA!Q13+LSPA!Q13+LiepU!Q13+LU!Q13+RTA!Q13+RTU!Q13+VeA!Q13+ViA!Q13+RSU!Q13+LBTU!Q13+JVLMA!Q13+LMA!Q13+LKA!Q13+LKA_LKK!Q13</f>
        <v>9970.23</v>
      </c>
      <c r="R13" s="9">
        <f>BA!R13+DU!R13+DU_DMK!R13+LJA!R13+LSPA!R13+LiepU!R13+LU!R13+RTA!R13+RTU!R13+VeA!R13+ViA!R13+RSU!R13+LBTU!R13+JVLMA!R13+LMA!R13+LKA!R13+LKA_LKK!R13</f>
        <v>4377.78</v>
      </c>
      <c r="S13" s="9">
        <f>BA!S13+DU!S13+DU_DMK!S13+LJA!S13+LSPA!S13+LiepU!S13+LU!S13+RTA!S13+RTU!S13+VeA!S13+ViA!S13+RSU!S13+LBTU!S13+JVLMA!S13+LMA!S13+LKA!S13+LKA_LKK!S13</f>
        <v>2815.0649999999996</v>
      </c>
      <c r="T13" s="9">
        <f>BA!T13+DU!T13+DU_DMK!T13+LJA!T13+LSPA!T13+LiepU!T13+LU!T13+RTA!T13+RTU!T13+VeA!T13+ViA!T13+RSU!T13+LBTU!T13+JVLMA!T13+LMA!T13+LKA!T13+LKA_LKK!T13</f>
        <v>2128.5473000000002</v>
      </c>
      <c r="U13" s="9">
        <f>BA!U13+DU!U13+DU_DMK!U13+LJA!U13+LSPA!U13+LiepU!U13+LU!U13+RTA!U13+RTU!U13+VeA!U13+ViA!U13+RSU!U13+LBTU!U13+JVLMA!U13+LMA!U13+LKA!U13+LKA_LKK!U13</f>
        <v>1126.6673000000001</v>
      </c>
      <c r="V13" s="9">
        <f>BA!V13+DU!V13+DU_DMK!V13+LJA!V13+LSPA!V13+LiepU!V13+LU!V13+RTA!V13+RTU!V13+VeA!V13+ViA!V13+RSU!V13+LBTU!V13+JVLMA!V13+LMA!V13+LKA!V13+LKA_LKK!V13</f>
        <v>1126.6673000000001</v>
      </c>
      <c r="W13" s="9">
        <f>BA!W13+DU!W13+DU_DMK!W13+LJA!W13+LSPA!W13+LiepU!W13+LU!W13+RTA!W13+RTU!W13+VeA!W13+ViA!W13+RSU!W13+LBTU!W13+JVLMA!W13+LMA!W13+LKA!W13+LKA_LKK!W13</f>
        <v>0</v>
      </c>
      <c r="X13" s="9">
        <f>BA!X13+DU!X13+DU_DMK!X13+LJA!X13+LSPA!X13+LiepU!X13+LU!X13+RTA!X13+RTU!X13+VeA!X13+ViA!X13+RSU!X13+LBTU!X13+JVLMA!X13+LMA!X13+LKA!X13+LKA_LKK!X13</f>
        <v>0</v>
      </c>
      <c r="Y13" s="15">
        <f>BA!Y13+DU!Y13+DU_DMK!Y13+LJA!Y13+LSPA!Y13+LiepU!Y13+LU!Y13+RTA!Y13+RTU!Y13+VeA!Y13+ViA!Y13+RSU!Y13+LBTU!Y13+JVLMA!Y13+LMA!Y13+LKA!Y13+LKA_LKK!Y13</f>
        <v>11870.1</v>
      </c>
      <c r="Z13" s="151">
        <f>BA!Z13+DU!Z13+DU_DMK!Z13+LJA!Z13+LSPA!Z13+LiepU!Z13+LU!Z13+RTA!Z13+RTU!Z13+VeA!Z13+ViA!Z13+RSU!Z13+LBTU!Z13+JVLMA!Z13+LMA!Z13+LKA!Z13+LKA_LKK!Z13</f>
        <v>0</v>
      </c>
      <c r="AA13" s="151">
        <f>BA!AA13+DU!AA13+DU_DMK!AA13+LJA!AA13+LSPA!AA13+LiepU!AA13+LU!AA13+RTA!AA13+RTU!AA13+VeA!AA13+ViA!AA13+RSU!AA13+LBTU!AA13+JVLMA!AA13+LMA!AA13+LKA!AA13+LKA_LKK!AA13</f>
        <v>27255.701629192768</v>
      </c>
      <c r="AB13" s="151">
        <f>BA!AB13+DU!AB13+DU_DMK!AB13+LJA!AB13+LSPA!AB13+LiepU!AB13+LU!AB13+RTA!AB13+RTU!AB13+VeA!AB13+ViA!AB13+RSU!AB13+LBTU!AB13+JVLMA!AB13+LMA!AB13+LKA!AB13+LKA_LKK!AB13</f>
        <v>14889.231058385538</v>
      </c>
      <c r="AC13" s="27">
        <f>BA!AC13+DU!AC13+DU_DMK!AC13+LJA!AC13+LSPA!AC13+LiepU!AC13+LU!AC13+RTA!AC13+RTU!AC13+VeA!AC13+ViA!AC13+RSU!AC13+LBTU!AC13+JVLMA!AC13+LMA!AC13+LKA!AC13+LKA_LKK!AC13</f>
        <v>0</v>
      </c>
      <c r="AD13" s="157"/>
      <c r="AE13" s="26">
        <f t="shared" si="2"/>
        <v>28093.41</v>
      </c>
      <c r="AF13" s="26">
        <f t="shared" si="4"/>
        <v>2341.1174999999998</v>
      </c>
      <c r="AG13" s="26">
        <f t="shared" si="5"/>
        <v>18728.939999999999</v>
      </c>
      <c r="AI13" s="21"/>
    </row>
    <row r="14" spans="2:40" s="98" customFormat="1" ht="13.2" x14ac:dyDescent="0.25">
      <c r="B14" s="90" t="s">
        <v>32</v>
      </c>
      <c r="C14" s="37" t="s">
        <v>38</v>
      </c>
      <c r="D14" s="91"/>
      <c r="E14" s="25">
        <f>BA!E14+DU!E14+DU_DMK!E14+LJA!E14+LSPA!E14+LiepU!E14+LU!E14+RTA!E14+RTU!E14+VeA!E14+ViA!E14+RSU!E14+LBTU!E14+JVLMA!E14+LMA!E14+LKA!E14+LKA_LKK!E14</f>
        <v>351.58</v>
      </c>
      <c r="F14" s="91">
        <f>BA!F14+DU!F14+DU_DMK!F14+LJA!F14+LSPA!F14+LiepU!F14+LU!F14+RTA!F14+RTU!F14+VeA!F14+ViA!F14+RSU!F14+LBTU!F14+JVLMA!F14+LMA!F14+LKA!F14+LKA_LKK!F14</f>
        <v>175.79</v>
      </c>
      <c r="G14" s="92">
        <f>BA!G14+DU!G14+DU_DMK!G14+LJA!G14+LSPA!G14+LiepU!G14+LU!G14+RTA!G14+RTU!G14+VeA!G14+ViA!G14+RSU!G14+LBTU!G14+JVLMA!G14+LMA!G14+LKA!G14+LKA_LKK!G14</f>
        <v>175.79</v>
      </c>
      <c r="H14" s="92">
        <f>BA!H14+DU!H14+DU_DMK!H14+LJA!H14+LSPA!H14+LiepU!H14+LU!H14+RTA!H14+RTU!H14+VeA!H14+ViA!H14+RSU!H14+LBTU!H14+JVLMA!H14+LMA!H14+LKA!H14+LKA_LKK!H14</f>
        <v>175.79</v>
      </c>
      <c r="I14" s="92">
        <f>BA!I14+DU!I14+DU_DMK!I14+LJA!I14+LSPA!I14+LiepU!I14+LU!I14+RTA!I14+RTU!I14+VeA!I14+ViA!I14+RSU!I14+LBTU!I14+JVLMA!I14+LMA!I14+LKA!I14+LKA_LKK!I14</f>
        <v>16.23</v>
      </c>
      <c r="J14" s="91">
        <f>BA!J14+DU!J14+DU_DMK!J14+LJA!J14+LSPA!J14+LiepU!J14+LU!J14+RTA!J14+RTU!J14+VeA!J14+ViA!J14+RSU!J14+LBTU!J14+JVLMA!J14+LMA!J14+LKA!J14+LKA_LKK!J14</f>
        <v>0</v>
      </c>
      <c r="K14" s="91">
        <f>BA!K14+DU!K14+DU_DMK!K14+LJA!K14+LSPA!K14+LiepU!K14+LU!K14+RTA!K14+RTU!K14+VeA!K14+ViA!K14+RSU!K14+LBTU!K14+JVLMA!K14+LMA!K14+LKA!K14+LKA_LKK!K14</f>
        <v>0</v>
      </c>
      <c r="L14" s="92">
        <f>BA!L14+DU!L14+DU_DMK!L14+LJA!L14+LSPA!L14+LiepU!L14+LU!L14+RTA!L14+RTU!L14+VeA!L14+ViA!L14+RSU!L14+LBTU!L14+JVLMA!L14+LMA!L14+LKA!L14+LKA_LKK!L14</f>
        <v>0</v>
      </c>
      <c r="M14" s="92">
        <f>BA!M14+DU!M14+DU_DMK!M14+LJA!M14+LSPA!M14+LiepU!M14+LU!M14+RTA!M14+RTU!M14+VeA!M14+ViA!M14+RSU!M14+LBTU!M14+JVLMA!M14+LMA!M14+LKA!M14+LKA_LKK!M14</f>
        <v>176.96</v>
      </c>
      <c r="N14" s="92">
        <f>BA!N14+DU!N14+DU_DMK!N14+LJA!N14+LSPA!N14+LiepU!N14+LU!N14+RTA!N14+RTU!N14+VeA!N14+ViA!N14+RSU!N14+LBTU!N14+JVLMA!N14+LMA!N14+LKA!N14+LKA_LKK!N14</f>
        <v>0</v>
      </c>
      <c r="O14" s="92">
        <f>BA!O14+DU!O14+DU_DMK!O14+LJA!O14+LSPA!O14+LiepU!O14+LU!O14+RTA!O14+RTU!O14+VeA!O14+ViA!O14+RSU!O14+LBTU!O14+JVLMA!O14+LMA!O14+LKA!O14+LKA_LKK!O14</f>
        <v>176.96</v>
      </c>
      <c r="P14" s="92">
        <f>BA!P14+DU!P14+DU_DMK!P14+LJA!P14+LSPA!P14+LiepU!P14+LU!P14+RTA!P14+RTU!P14+VeA!P14+ViA!P14+RSU!P14+LBTU!P14+JVLMA!P14+LMA!P14+LKA!P14+LKA_LKK!P14</f>
        <v>353.92</v>
      </c>
      <c r="Q14" s="92">
        <f>BA!Q14+DU!Q14+DU_DMK!Q14+LJA!Q14+LSPA!Q14+LiepU!Q14+LU!Q14+RTA!Q14+RTU!Q14+VeA!Q14+ViA!Q14+RSU!Q14+LBTU!Q14+JVLMA!Q14+LMA!Q14+LKA!Q14+LKA_LKK!Q14</f>
        <v>176.96</v>
      </c>
      <c r="R14" s="92">
        <f>BA!R14+DU!R14+DU_DMK!R14+LJA!R14+LSPA!R14+LiepU!R14+LU!R14+RTA!R14+RTU!R14+VeA!R14+ViA!R14+RSU!R14+LBTU!R14+JVLMA!R14+LMA!R14+LKA!R14+LKA_LKK!R14</f>
        <v>226.51</v>
      </c>
      <c r="S14" s="92">
        <f>BA!S14+DU!S14+DU_DMK!S14+LJA!S14+LSPA!S14+LiepU!S14+LU!S14+RTA!S14+RTU!S14+VeA!S14+ViA!S14+RSU!S14+LBTU!S14+JVLMA!S14+LMA!S14+LKA!S14+LKA_LKK!S14</f>
        <v>453.02</v>
      </c>
      <c r="T14" s="92">
        <f>BA!T14+DU!T14+DU_DMK!T14+LJA!T14+LSPA!T14+LiepU!T14+LU!T14+RTA!T14+RTU!T14+VeA!T14+ViA!T14+RSU!T14+LBTU!T14+JVLMA!T14+LMA!T14+LKA!T14+LKA_LKK!T14</f>
        <v>226.51</v>
      </c>
      <c r="U14" s="92">
        <f>BA!U14+DU!U14+DU_DMK!U14+LJA!U14+LSPA!U14+LiepU!U14+LU!U14+RTA!U14+RTU!U14+VeA!U14+ViA!U14+RSU!U14+LBTU!U14+JVLMA!U14+LMA!U14+LKA!U14+LKA_LKK!U14</f>
        <v>0</v>
      </c>
      <c r="V14" s="92">
        <f>BA!V14+DU!V14+DU_DMK!V14+LJA!V14+LSPA!V14+LiepU!V14+LU!V14+RTA!V14+RTU!V14+VeA!V14+ViA!V14+RSU!V14+LBTU!V14+JVLMA!V14+LMA!V14+LKA!V14+LKA_LKK!V14</f>
        <v>0</v>
      </c>
      <c r="W14" s="92">
        <f>BA!W14+DU!W14+DU_DMK!W14+LJA!W14+LSPA!W14+LiepU!W14+LU!W14+RTA!W14+RTU!W14+VeA!W14+ViA!W14+RSU!W14+LBTU!W14+JVLMA!W14+LMA!W14+LKA!W14+LKA_LKK!W14</f>
        <v>0</v>
      </c>
      <c r="X14" s="92">
        <f>BA!X14+DU!X14+DU_DMK!X14+LJA!X14+LSPA!X14+LiepU!X14+LU!X14+RTA!X14+RTU!X14+VeA!X14+ViA!X14+RSU!X14+LBTU!X14+JVLMA!X14+LMA!X14+LKA!X14+LKA_LKK!X14</f>
        <v>0</v>
      </c>
      <c r="Y14" s="15">
        <f>BA!Y14+DU!Y14+DU_DMK!Y14+LJA!Y14+LSPA!Y14+LiepU!Y14+LU!Y14+RTA!Y14+RTU!Y14+VeA!Y14+ViA!Y14+RSU!Y14+LBTU!Y14+JVLMA!Y14+LMA!Y14+LKA!Y14+LKA_LKK!Y14</f>
        <v>0</v>
      </c>
      <c r="Z14" s="151">
        <f>BA!Z14+DU!Z14+DU_DMK!Z14+LJA!Z14+LSPA!Z14+LiepU!Z14+LU!Z14+RTA!Z14+RTU!Z14+VeA!Z14+ViA!Z14+RSU!Z14+LBTU!Z14+JVLMA!Z14+LMA!Z14+LKA!Z14+LKA_LKK!Z14</f>
        <v>0</v>
      </c>
      <c r="AA14" s="151">
        <f>BA!AA14+DU!AA14+DU_DMK!AA14+LJA!AA14+LSPA!AA14+LiepU!AA14+LU!AA14+RTA!AA14+RTU!AA14+VeA!AA14+ViA!AA14+RSU!AA14+LBTU!AA14+JVLMA!AA14+LMA!AA14+LKA!AA14+LKA_LKK!AA14</f>
        <v>0</v>
      </c>
      <c r="AB14" s="151">
        <f>BA!AB14+DU!AB14+DU_DMK!AB14+LJA!AB14+LSPA!AB14+LiepU!AB14+LU!AB14+RTA!AB14+RTU!AB14+VeA!AB14+ViA!AB14+RSU!AB14+LBTU!AB14+JVLMA!AB14+LMA!AB14+LKA!AB14+LKA_LKK!AB14</f>
        <v>1213.9456</v>
      </c>
      <c r="AC14" s="27">
        <f>BA!AC14+DU!AC14+DU_DMK!AC14+LJA!AC14+LSPA!AC14+LiepU!AC14+LU!AC14+RTA!AC14+RTU!AC14+VeA!AC14+ViA!AC14+RSU!AC14+LBTU!AC14+JVLMA!AC14+LMA!AC14+LKA!AC14+LKA_LKK!AC14</f>
        <v>0</v>
      </c>
      <c r="AD14" s="158"/>
      <c r="AE14" s="26">
        <f t="shared" si="2"/>
        <v>693.93</v>
      </c>
      <c r="AF14" s="26">
        <f t="shared" si="4"/>
        <v>57.827499999999993</v>
      </c>
      <c r="AG14" s="26">
        <f t="shared" si="5"/>
        <v>462.61999999999995</v>
      </c>
      <c r="AI14" s="137"/>
    </row>
    <row r="15" spans="2:40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40" x14ac:dyDescent="0.3">
      <c r="AE16" s="31"/>
    </row>
  </sheetData>
  <mergeCells count="12">
    <mergeCell ref="AI4:AI5"/>
    <mergeCell ref="B2:AB2"/>
    <mergeCell ref="B4:B5"/>
    <mergeCell ref="C4:C5"/>
    <mergeCell ref="D4:D5"/>
    <mergeCell ref="E4:P4"/>
    <mergeCell ref="Q4:AB4"/>
    <mergeCell ref="AC4:AC5"/>
    <mergeCell ref="AD4:AD5"/>
    <mergeCell ref="AE4:AE5"/>
    <mergeCell ref="AF4:AF5"/>
    <mergeCell ref="AG4:A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19"/>
  <sheetViews>
    <sheetView topLeftCell="B1" zoomScale="80" zoomScaleNormal="80" workbookViewId="0">
      <selection activeCell="J20" sqref="J20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28" width="9.6640625" customWidth="1"/>
    <col min="29" max="29" width="10.109375" customWidth="1"/>
    <col min="30" max="30" width="12.33203125" style="7" customWidth="1"/>
    <col min="31" max="31" width="13" customWidth="1"/>
    <col min="33" max="33" width="11.33203125" hidden="1" customWidth="1"/>
    <col min="34" max="34" width="8.88671875" hidden="1" customWidth="1"/>
    <col min="35" max="35" width="13.109375" customWidth="1"/>
    <col min="37" max="37" width="9.88671875" bestFit="1" customWidth="1"/>
  </cols>
  <sheetData>
    <row r="2" spans="2:40" ht="17.399999999999999" x14ac:dyDescent="0.3">
      <c r="B2" s="310" t="s">
        <v>64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52"/>
      <c r="AD2" s="52"/>
      <c r="AE2" s="52"/>
    </row>
    <row r="4" spans="2:40" ht="37.950000000000003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40" ht="70.95" customHeight="1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295" t="s">
        <v>58</v>
      </c>
      <c r="Z5" s="295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40" ht="27" customHeight="1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296" t="s">
        <v>18</v>
      </c>
      <c r="Z6" s="296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40" ht="25.95" customHeight="1" x14ac:dyDescent="0.3">
      <c r="B7" s="12" t="s">
        <v>2</v>
      </c>
      <c r="C7" s="13" t="s">
        <v>46</v>
      </c>
      <c r="D7" s="19" t="s">
        <v>47</v>
      </c>
      <c r="E7" s="28">
        <f t="shared" ref="E7:P7" si="0">SUM(E8:E14)</f>
        <v>4791.38</v>
      </c>
      <c r="F7" s="28">
        <f t="shared" si="0"/>
        <v>6375.04</v>
      </c>
      <c r="G7" s="29">
        <f t="shared" si="0"/>
        <v>5956.15</v>
      </c>
      <c r="H7" s="29">
        <f t="shared" si="0"/>
        <v>3751.81</v>
      </c>
      <c r="I7" s="29">
        <f t="shared" si="0"/>
        <v>1969.02</v>
      </c>
      <c r="J7" s="28">
        <f t="shared" si="0"/>
        <v>898.59</v>
      </c>
      <c r="K7" s="28">
        <f t="shared" si="0"/>
        <v>411.41</v>
      </c>
      <c r="L7" s="29">
        <f t="shared" si="0"/>
        <v>353.25</v>
      </c>
      <c r="M7" s="29">
        <f t="shared" si="0"/>
        <v>404.25</v>
      </c>
      <c r="N7" s="29">
        <f t="shared" si="0"/>
        <v>1042.26</v>
      </c>
      <c r="O7" s="29">
        <f t="shared" si="0"/>
        <v>2273.13</v>
      </c>
      <c r="P7" s="29">
        <f t="shared" si="0"/>
        <v>6574.62</v>
      </c>
      <c r="Q7" s="29">
        <f>Q8</f>
        <v>10424.64</v>
      </c>
      <c r="R7" s="29">
        <f t="shared" ref="R7:AC7" si="1">R8</f>
        <v>9732.32</v>
      </c>
      <c r="S7" s="29">
        <f t="shared" si="1"/>
        <v>7821.89</v>
      </c>
      <c r="T7" s="29">
        <f t="shared" si="1"/>
        <v>7214.7</v>
      </c>
      <c r="U7" s="29">
        <f t="shared" si="1"/>
        <v>4832.32</v>
      </c>
      <c r="V7" s="29">
        <f t="shared" si="1"/>
        <v>1968.42</v>
      </c>
      <c r="W7" s="29">
        <f t="shared" si="1"/>
        <v>1028.1199999999999</v>
      </c>
      <c r="X7" s="29">
        <f t="shared" si="1"/>
        <v>903.54</v>
      </c>
      <c r="Y7" s="28">
        <f t="shared" si="1"/>
        <v>814.38</v>
      </c>
      <c r="Z7" s="28">
        <f t="shared" si="1"/>
        <v>1512.67</v>
      </c>
      <c r="AA7" s="70">
        <f t="shared" si="1"/>
        <v>4037.55</v>
      </c>
      <c r="AB7" s="70">
        <f t="shared" si="1"/>
        <v>12672</v>
      </c>
      <c r="AC7" s="29">
        <f t="shared" si="1"/>
        <v>0</v>
      </c>
      <c r="AD7" s="29">
        <f>SUM(AD8:AD14)</f>
        <v>0</v>
      </c>
      <c r="AE7" s="28">
        <f>SUM(AE8:AE14)</f>
        <v>28161.64</v>
      </c>
      <c r="AF7" s="29">
        <f>SUM(AF8:AF14)</f>
        <v>2346.8033333333333</v>
      </c>
      <c r="AG7" s="29">
        <f>SUM(AG8:AG14)</f>
        <v>18774.426666666666</v>
      </c>
      <c r="AI7" s="29"/>
      <c r="AJ7" s="55">
        <f>SUM(E7:P7)</f>
        <v>34800.910000000003</v>
      </c>
      <c r="AK7" s="55">
        <f>SUM(Q7:AC7)</f>
        <v>62962.549999999996</v>
      </c>
      <c r="AL7" s="56">
        <f>AJ7-AK7</f>
        <v>-28161.639999999992</v>
      </c>
      <c r="AM7" s="57">
        <f>AK7/AJ7*100-100</f>
        <v>80.922136806192697</v>
      </c>
    </row>
    <row r="8" spans="2:40" ht="27" x14ac:dyDescent="0.3">
      <c r="B8" s="1" t="s">
        <v>5</v>
      </c>
      <c r="C8" s="34" t="s">
        <v>63</v>
      </c>
      <c r="D8" s="35"/>
      <c r="E8" s="35">
        <v>4791.38</v>
      </c>
      <c r="F8" s="35">
        <v>6375.04</v>
      </c>
      <c r="G8" s="36">
        <v>5956.15</v>
      </c>
      <c r="H8" s="36">
        <v>3751.81</v>
      </c>
      <c r="I8" s="36">
        <v>1969.02</v>
      </c>
      <c r="J8" s="36">
        <v>898.59</v>
      </c>
      <c r="K8" s="36">
        <v>411.41</v>
      </c>
      <c r="L8" s="36">
        <v>353.25</v>
      </c>
      <c r="M8" s="36">
        <v>404.25</v>
      </c>
      <c r="N8" s="36">
        <v>1042.26</v>
      </c>
      <c r="O8" s="36">
        <v>2273.13</v>
      </c>
      <c r="P8" s="36">
        <v>6574.62</v>
      </c>
      <c r="Q8" s="36">
        <v>10424.64</v>
      </c>
      <c r="R8" s="36">
        <v>9732.32</v>
      </c>
      <c r="S8" s="36">
        <v>7821.89</v>
      </c>
      <c r="T8" s="36">
        <v>7214.7</v>
      </c>
      <c r="U8" s="36">
        <v>4832.32</v>
      </c>
      <c r="V8" s="36">
        <v>1968.42</v>
      </c>
      <c r="W8" s="36">
        <v>1028.1199999999999</v>
      </c>
      <c r="X8" s="35">
        <v>903.54</v>
      </c>
      <c r="Y8" s="28">
        <v>814.38</v>
      </c>
      <c r="Z8" s="28">
        <v>1512.67</v>
      </c>
      <c r="AA8" s="28">
        <v>4037.55</v>
      </c>
      <c r="AB8" s="70">
        <v>12672</v>
      </c>
      <c r="AC8" s="26"/>
      <c r="AD8" s="26"/>
      <c r="AE8" s="26">
        <f t="shared" ref="AE8:AE14" si="2">ROUND(SUM(Q8:AB8)-SUM(E8:P8)+AC8,2)</f>
        <v>28161.64</v>
      </c>
      <c r="AF8" s="26">
        <f>AE8/12</f>
        <v>2346.8033333333333</v>
      </c>
      <c r="AG8" s="26">
        <f>AF8*8</f>
        <v>18774.426666666666</v>
      </c>
      <c r="AH8" s="59"/>
      <c r="AI8" s="58" t="s">
        <v>69</v>
      </c>
    </row>
    <row r="9" spans="2:40" s="7" customFormat="1" x14ac:dyDescent="0.3">
      <c r="B9" s="1"/>
      <c r="C9" s="37" t="s">
        <v>62</v>
      </c>
      <c r="D9" s="38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3">Q8/E8</f>
        <v>2.17570720752685</v>
      </c>
      <c r="R9" s="40">
        <f t="shared" si="3"/>
        <v>1.5266288525248468</v>
      </c>
      <c r="S9" s="40">
        <f t="shared" si="3"/>
        <v>1.313245972650118</v>
      </c>
      <c r="T9" s="40">
        <f t="shared" si="3"/>
        <v>1.9229918359405194</v>
      </c>
      <c r="U9" s="40">
        <f t="shared" si="3"/>
        <v>2.4541751734365316</v>
      </c>
      <c r="V9" s="40">
        <f t="shared" si="3"/>
        <v>2.1905652188428539</v>
      </c>
      <c r="W9" s="40">
        <f t="shared" si="3"/>
        <v>2.4990155805644001</v>
      </c>
      <c r="X9" s="42">
        <f t="shared" si="3"/>
        <v>2.5577919320594478</v>
      </c>
      <c r="Y9" s="42">
        <f t="shared" si="3"/>
        <v>2.0145454545454546</v>
      </c>
      <c r="Z9" s="42">
        <f t="shared" si="3"/>
        <v>1.4513365187189378</v>
      </c>
      <c r="AA9" s="42">
        <f t="shared" si="3"/>
        <v>1.7762072560742237</v>
      </c>
      <c r="AB9" s="46">
        <f t="shared" si="3"/>
        <v>1.9274117743687087</v>
      </c>
      <c r="AC9" s="26"/>
      <c r="AD9" s="26"/>
      <c r="AE9" s="26"/>
      <c r="AF9" s="26"/>
      <c r="AG9" s="26"/>
      <c r="AI9" s="26"/>
      <c r="AN9"/>
    </row>
    <row r="10" spans="2:40" x14ac:dyDescent="0.3">
      <c r="B10" s="1" t="s">
        <v>6</v>
      </c>
      <c r="C10" s="14" t="s">
        <v>21</v>
      </c>
      <c r="D10" s="15"/>
      <c r="E10" s="15"/>
      <c r="F10" s="15"/>
      <c r="G10" s="9"/>
      <c r="H10" s="9"/>
      <c r="I10" s="9"/>
      <c r="J10" s="15"/>
      <c r="K10" s="15"/>
      <c r="L10" s="9"/>
      <c r="M10" s="9"/>
      <c r="N10" s="9"/>
      <c r="O10" s="9"/>
      <c r="P10" s="9"/>
      <c r="Q10" s="26"/>
      <c r="R10" s="26"/>
      <c r="S10" s="26"/>
      <c r="T10" s="26"/>
      <c r="U10" s="26"/>
      <c r="V10" s="26"/>
      <c r="W10" s="26"/>
      <c r="X10" s="26"/>
      <c r="Y10" s="25"/>
      <c r="Z10" s="25"/>
      <c r="AA10" s="25"/>
      <c r="AB10" s="47"/>
      <c r="AC10" s="9"/>
      <c r="AD10" s="9"/>
      <c r="AE10" s="26">
        <f t="shared" si="2"/>
        <v>0</v>
      </c>
      <c r="AF10" s="8"/>
      <c r="AG10" s="8"/>
      <c r="AI10" s="8"/>
    </row>
    <row r="11" spans="2:40" x14ac:dyDescent="0.3">
      <c r="B11" s="1" t="s">
        <v>7</v>
      </c>
      <c r="C11" s="14" t="s">
        <v>22</v>
      </c>
      <c r="D11" s="15"/>
      <c r="E11" s="15"/>
      <c r="F11" s="15"/>
      <c r="G11" s="9"/>
      <c r="H11" s="9"/>
      <c r="I11" s="9"/>
      <c r="J11" s="15"/>
      <c r="K11" s="15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15"/>
      <c r="Z11" s="15"/>
      <c r="AA11" s="15"/>
      <c r="AB11" s="48"/>
      <c r="AC11" s="9"/>
      <c r="AD11" s="9"/>
      <c r="AE11" s="26">
        <f t="shared" si="2"/>
        <v>0</v>
      </c>
      <c r="AF11" s="21"/>
      <c r="AG11" s="21"/>
      <c r="AI11" s="21"/>
      <c r="AN11" s="7"/>
    </row>
    <row r="12" spans="2:40" x14ac:dyDescent="0.3">
      <c r="B12" s="1" t="s">
        <v>24</v>
      </c>
      <c r="C12" s="15" t="s">
        <v>23</v>
      </c>
      <c r="D12" s="15"/>
      <c r="E12" s="15"/>
      <c r="F12" s="15"/>
      <c r="G12" s="9"/>
      <c r="H12" s="9"/>
      <c r="I12" s="9"/>
      <c r="J12" s="15"/>
      <c r="K12" s="15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5"/>
      <c r="Z12" s="15"/>
      <c r="AA12" s="15"/>
      <c r="AB12" s="48"/>
      <c r="AC12" s="9"/>
      <c r="AD12" s="9"/>
      <c r="AE12" s="26">
        <f t="shared" si="2"/>
        <v>0</v>
      </c>
      <c r="AF12" s="21"/>
      <c r="AG12" s="21"/>
      <c r="AI12" s="21"/>
    </row>
    <row r="13" spans="2:40" x14ac:dyDescent="0.3">
      <c r="B13" s="1" t="s">
        <v>25</v>
      </c>
      <c r="C13" s="14" t="s">
        <v>38</v>
      </c>
      <c r="D13" s="15"/>
      <c r="E13" s="15"/>
      <c r="F13" s="15"/>
      <c r="G13" s="9"/>
      <c r="H13" s="9"/>
      <c r="I13" s="9"/>
      <c r="J13" s="15"/>
      <c r="K13" s="15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15"/>
      <c r="Z13" s="15"/>
      <c r="AA13" s="15"/>
      <c r="AB13" s="48"/>
      <c r="AC13" s="9"/>
      <c r="AD13" s="9"/>
      <c r="AE13" s="26">
        <f t="shared" si="2"/>
        <v>0</v>
      </c>
      <c r="AF13" s="21"/>
      <c r="AG13" s="21"/>
      <c r="AI13" s="21"/>
    </row>
    <row r="14" spans="2:40" x14ac:dyDescent="0.3">
      <c r="B14" s="1" t="s">
        <v>32</v>
      </c>
      <c r="C14" s="14" t="s">
        <v>38</v>
      </c>
      <c r="D14" s="16"/>
      <c r="E14" s="16"/>
      <c r="F14" s="16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6"/>
      <c r="Z14" s="16"/>
      <c r="AA14" s="16"/>
      <c r="AB14" s="49"/>
      <c r="AC14" s="10"/>
      <c r="AD14" s="11"/>
      <c r="AE14" s="26">
        <f t="shared" si="2"/>
        <v>0</v>
      </c>
      <c r="AF14" s="21"/>
      <c r="AG14" s="21"/>
      <c r="AI14" s="21"/>
    </row>
    <row r="15" spans="2:40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40" x14ac:dyDescent="0.3">
      <c r="C16" s="24" t="s">
        <v>65</v>
      </c>
      <c r="D16" s="24"/>
      <c r="E16" s="24"/>
      <c r="F16" s="24"/>
      <c r="J16" s="24"/>
      <c r="K16" s="24"/>
      <c r="L16" s="31"/>
      <c r="O16" s="32"/>
      <c r="P16" s="32"/>
    </row>
    <row r="17" spans="3:16" x14ac:dyDescent="0.3">
      <c r="C17" s="50"/>
      <c r="D17" s="50"/>
      <c r="E17" s="50"/>
      <c r="F17" s="50"/>
      <c r="J17" s="50"/>
      <c r="K17" s="50"/>
      <c r="L17" s="31"/>
      <c r="O17" s="32"/>
      <c r="P17" s="32"/>
    </row>
    <row r="18" spans="3:16" x14ac:dyDescent="0.3">
      <c r="C18" s="317" t="s">
        <v>44</v>
      </c>
      <c r="D18" s="317"/>
      <c r="E18" s="317"/>
      <c r="F18" s="317"/>
      <c r="O18" s="32"/>
    </row>
    <row r="19" spans="3:16" x14ac:dyDescent="0.3">
      <c r="C19" s="20" t="s">
        <v>66</v>
      </c>
    </row>
  </sheetData>
  <mergeCells count="13">
    <mergeCell ref="AI4:AI5"/>
    <mergeCell ref="AC4:AC5"/>
    <mergeCell ref="AD4:AD5"/>
    <mergeCell ref="AE4:AE5"/>
    <mergeCell ref="AF4:AF5"/>
    <mergeCell ref="AG4:AG5"/>
    <mergeCell ref="C18:F18"/>
    <mergeCell ref="E4:P4"/>
    <mergeCell ref="Q4:AB4"/>
    <mergeCell ref="B2:AB2"/>
    <mergeCell ref="B4:B5"/>
    <mergeCell ref="C4:C5"/>
    <mergeCell ref="D4:D5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colBreaks count="1" manualBreakCount="1">
    <brk id="1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21"/>
  <sheetViews>
    <sheetView topLeftCell="B1" zoomScale="90" zoomScaleNormal="90" workbookViewId="0">
      <selection activeCell="E17" sqref="E17"/>
    </sheetView>
  </sheetViews>
  <sheetFormatPr defaultColWidth="8.88671875" defaultRowHeight="14.4" x14ac:dyDescent="0.3"/>
  <cols>
    <col min="1" max="1" width="4.88671875" style="98" hidden="1" customWidth="1"/>
    <col min="2" max="2" width="6.33203125" style="98" customWidth="1"/>
    <col min="3" max="3" width="32.6640625" style="98" customWidth="1"/>
    <col min="4" max="4" width="10" style="98" customWidth="1"/>
    <col min="5" max="28" width="9.6640625" style="98" customWidth="1"/>
    <col min="29" max="29" width="10.109375" customWidth="1"/>
    <col min="30" max="30" width="12.33203125" style="7" customWidth="1"/>
    <col min="31" max="31" width="13" customWidth="1"/>
    <col min="32" max="32" width="9.109375"/>
    <col min="33" max="33" width="11.33203125" hidden="1" customWidth="1"/>
    <col min="34" max="34" width="8.88671875" hidden="1" customWidth="1"/>
    <col min="35" max="35" width="13.109375" customWidth="1"/>
    <col min="36" max="36" width="10.33203125" customWidth="1"/>
    <col min="37" max="37" width="9.88671875" bestFit="1" customWidth="1"/>
    <col min="38" max="39" width="9.109375" customWidth="1"/>
    <col min="40" max="16384" width="8.88671875" style="98"/>
  </cols>
  <sheetData>
    <row r="2" spans="2:39" ht="17.399999999999999" x14ac:dyDescent="0.3">
      <c r="B2" s="326" t="s">
        <v>84</v>
      </c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74"/>
      <c r="AD2" s="74"/>
      <c r="AE2" s="74"/>
    </row>
    <row r="4" spans="2:39" ht="31.8" customHeight="1" x14ac:dyDescent="0.3">
      <c r="B4" s="327" t="s">
        <v>1</v>
      </c>
      <c r="C4" s="328" t="s">
        <v>49</v>
      </c>
      <c r="D4" s="328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40.200000000000003" x14ac:dyDescent="0.3">
      <c r="B5" s="327"/>
      <c r="C5" s="328"/>
      <c r="D5" s="328"/>
      <c r="E5" s="84" t="s">
        <v>26</v>
      </c>
      <c r="F5" s="84" t="s">
        <v>27</v>
      </c>
      <c r="G5" s="84" t="s">
        <v>28</v>
      </c>
      <c r="H5" s="84" t="s">
        <v>29</v>
      </c>
      <c r="I5" s="84" t="s">
        <v>33</v>
      </c>
      <c r="J5" s="84" t="s">
        <v>61</v>
      </c>
      <c r="K5" s="84" t="s">
        <v>60</v>
      </c>
      <c r="L5" s="84" t="s">
        <v>59</v>
      </c>
      <c r="M5" s="84" t="s">
        <v>58</v>
      </c>
      <c r="N5" s="84" t="s">
        <v>57</v>
      </c>
      <c r="O5" s="84" t="s">
        <v>56</v>
      </c>
      <c r="P5" s="84" t="s">
        <v>55</v>
      </c>
      <c r="Q5" s="84" t="s">
        <v>26</v>
      </c>
      <c r="R5" s="84" t="s">
        <v>27</v>
      </c>
      <c r="S5" s="84" t="s">
        <v>28</v>
      </c>
      <c r="T5" s="85" t="s">
        <v>29</v>
      </c>
      <c r="U5" s="84" t="s">
        <v>33</v>
      </c>
      <c r="V5" s="84" t="s">
        <v>61</v>
      </c>
      <c r="W5" s="84" t="s">
        <v>60</v>
      </c>
      <c r="X5" s="84" t="s">
        <v>59</v>
      </c>
      <c r="Y5" s="298" t="s">
        <v>58</v>
      </c>
      <c r="Z5" s="298" t="s">
        <v>57</v>
      </c>
      <c r="AA5" s="86" t="s">
        <v>56</v>
      </c>
      <c r="AB5" s="86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4.6" x14ac:dyDescent="0.3">
      <c r="B6" s="99" t="s">
        <v>10</v>
      </c>
      <c r="C6" s="99" t="s">
        <v>11</v>
      </c>
      <c r="D6" s="99" t="s">
        <v>12</v>
      </c>
      <c r="E6" s="84" t="s">
        <v>13</v>
      </c>
      <c r="F6" s="84" t="s">
        <v>14</v>
      </c>
      <c r="G6" s="84" t="s">
        <v>40</v>
      </c>
      <c r="H6" s="84" t="s">
        <v>15</v>
      </c>
      <c r="I6" s="84" t="s">
        <v>16</v>
      </c>
      <c r="J6" s="84" t="s">
        <v>13</v>
      </c>
      <c r="K6" s="84" t="s">
        <v>14</v>
      </c>
      <c r="L6" s="84" t="s">
        <v>40</v>
      </c>
      <c r="M6" s="84" t="s">
        <v>15</v>
      </c>
      <c r="N6" s="84" t="s">
        <v>16</v>
      </c>
      <c r="O6" s="84" t="s">
        <v>15</v>
      </c>
      <c r="P6" s="84" t="s">
        <v>16</v>
      </c>
      <c r="Q6" s="84" t="s">
        <v>30</v>
      </c>
      <c r="R6" s="84" t="s">
        <v>34</v>
      </c>
      <c r="S6" s="84" t="s">
        <v>17</v>
      </c>
      <c r="T6" s="84" t="s">
        <v>18</v>
      </c>
      <c r="U6" s="84" t="s">
        <v>31</v>
      </c>
      <c r="V6" s="84" t="s">
        <v>30</v>
      </c>
      <c r="W6" s="84" t="s">
        <v>34</v>
      </c>
      <c r="X6" s="84" t="s">
        <v>17</v>
      </c>
      <c r="Y6" s="298" t="s">
        <v>18</v>
      </c>
      <c r="Z6" s="298" t="s">
        <v>31</v>
      </c>
      <c r="AA6" s="86" t="s">
        <v>18</v>
      </c>
      <c r="AB6" s="86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x14ac:dyDescent="0.3">
      <c r="B7" s="87" t="s">
        <v>2</v>
      </c>
      <c r="C7" s="13" t="s">
        <v>46</v>
      </c>
      <c r="D7" s="88" t="s">
        <v>47</v>
      </c>
      <c r="E7" s="35">
        <f t="shared" ref="E7:P7" si="0">SUM(E8:E14)</f>
        <v>15047.57</v>
      </c>
      <c r="F7" s="35">
        <f t="shared" si="0"/>
        <v>17951.41</v>
      </c>
      <c r="G7" s="36">
        <f t="shared" si="0"/>
        <v>21962.13</v>
      </c>
      <c r="H7" s="36">
        <f t="shared" si="0"/>
        <v>13945.9</v>
      </c>
      <c r="I7" s="36">
        <f t="shared" si="0"/>
        <v>7340.94</v>
      </c>
      <c r="J7" s="35">
        <f t="shared" si="0"/>
        <v>2298.44</v>
      </c>
      <c r="K7" s="35">
        <f t="shared" si="0"/>
        <v>341.43</v>
      </c>
      <c r="L7" s="36">
        <f t="shared" si="0"/>
        <v>152.94</v>
      </c>
      <c r="M7" s="36">
        <f t="shared" si="0"/>
        <v>306.01</v>
      </c>
      <c r="N7" s="36">
        <f t="shared" si="0"/>
        <v>472.8</v>
      </c>
      <c r="O7" s="36">
        <f t="shared" si="0"/>
        <v>5265.62</v>
      </c>
      <c r="P7" s="36">
        <f t="shared" si="0"/>
        <v>11798.2</v>
      </c>
      <c r="Q7" s="36">
        <f>Q8</f>
        <v>26085.93</v>
      </c>
      <c r="R7" s="36">
        <f t="shared" ref="R7:AC7" si="1">R8</f>
        <v>20751.05</v>
      </c>
      <c r="S7" s="36">
        <f t="shared" si="1"/>
        <v>26845.27</v>
      </c>
      <c r="T7" s="36">
        <f t="shared" si="1"/>
        <v>25821.91</v>
      </c>
      <c r="U7" s="36">
        <f t="shared" si="1"/>
        <v>10351.4</v>
      </c>
      <c r="V7" s="36">
        <f t="shared" si="1"/>
        <v>2950.86</v>
      </c>
      <c r="W7" s="36">
        <f t="shared" si="1"/>
        <v>1855.7</v>
      </c>
      <c r="X7" s="36">
        <f t="shared" si="1"/>
        <v>1407.12</v>
      </c>
      <c r="Y7" s="35">
        <f t="shared" si="1"/>
        <v>1684.71</v>
      </c>
      <c r="Z7" s="35">
        <f t="shared" si="1"/>
        <v>2182.9</v>
      </c>
      <c r="AA7" s="89">
        <f t="shared" si="1"/>
        <v>9555.36</v>
      </c>
      <c r="AB7" s="89">
        <f t="shared" si="1"/>
        <v>28682.63</v>
      </c>
      <c r="AC7" s="29">
        <f t="shared" si="1"/>
        <v>0</v>
      </c>
      <c r="AD7" s="29">
        <f>SUM(AD8:AD14)</f>
        <v>0</v>
      </c>
      <c r="AE7" s="28">
        <f>SUM(AE8:AE14)</f>
        <v>61291.45</v>
      </c>
      <c r="AF7" s="29">
        <f>SUM(AF8:AF14)</f>
        <v>5107.6208333333334</v>
      </c>
      <c r="AG7" s="29">
        <f>SUM(AG8:AG14)</f>
        <v>40860.966666666667</v>
      </c>
      <c r="AI7" s="29"/>
      <c r="AJ7" s="55">
        <f>SUM(E7:P7)</f>
        <v>96883.389999999985</v>
      </c>
      <c r="AK7" s="55">
        <f>SUM(Q7:AC7)</f>
        <v>158174.84</v>
      </c>
      <c r="AL7" s="56">
        <f>AJ7-AK7</f>
        <v>-61291.450000000012</v>
      </c>
      <c r="AM7" s="57">
        <f>AK7/AJ7*100-100</f>
        <v>63.263114554517557</v>
      </c>
    </row>
    <row r="8" spans="2:39" ht="27" x14ac:dyDescent="0.3">
      <c r="B8" s="90" t="s">
        <v>5</v>
      </c>
      <c r="C8" s="34" t="s">
        <v>63</v>
      </c>
      <c r="D8" s="35"/>
      <c r="E8" s="35">
        <v>15047.57</v>
      </c>
      <c r="F8" s="35">
        <v>17951.41</v>
      </c>
      <c r="G8" s="36">
        <v>21962.13</v>
      </c>
      <c r="H8" s="36">
        <v>13945.9</v>
      </c>
      <c r="I8" s="36">
        <v>7340.94</v>
      </c>
      <c r="J8" s="36">
        <v>2298.44</v>
      </c>
      <c r="K8" s="36">
        <v>341.43</v>
      </c>
      <c r="L8" s="36">
        <v>152.94</v>
      </c>
      <c r="M8" s="36">
        <v>306.01</v>
      </c>
      <c r="N8" s="36">
        <v>472.8</v>
      </c>
      <c r="O8" s="36">
        <v>5265.62</v>
      </c>
      <c r="P8" s="36">
        <v>11798.2</v>
      </c>
      <c r="Q8" s="36">
        <v>26085.93</v>
      </c>
      <c r="R8" s="36">
        <v>20751.05</v>
      </c>
      <c r="S8" s="36">
        <v>26845.27</v>
      </c>
      <c r="T8" s="36">
        <v>25821.91</v>
      </c>
      <c r="U8" s="36">
        <v>10351.4</v>
      </c>
      <c r="V8" s="36">
        <v>2950.86</v>
      </c>
      <c r="W8" s="36">
        <v>1855.7</v>
      </c>
      <c r="X8" s="35">
        <v>1407.12</v>
      </c>
      <c r="Y8" s="35">
        <v>1684.71</v>
      </c>
      <c r="Z8" s="35">
        <v>2182.9</v>
      </c>
      <c r="AA8" s="45">
        <v>9555.36</v>
      </c>
      <c r="AB8" s="45">
        <v>28682.63</v>
      </c>
      <c r="AC8" s="26"/>
      <c r="AD8" s="26"/>
      <c r="AE8" s="26">
        <f t="shared" ref="AE8:AE14" si="2">ROUND(SUM(Q8:AB8)-SUM(E8:P8)+AC8,2)</f>
        <v>61291.45</v>
      </c>
      <c r="AF8" s="26">
        <f>AE8/12</f>
        <v>5107.6208333333334</v>
      </c>
      <c r="AG8" s="26">
        <f>AF8*8</f>
        <v>40860.966666666667</v>
      </c>
      <c r="AH8" s="59"/>
      <c r="AI8" s="58" t="s">
        <v>69</v>
      </c>
    </row>
    <row r="9" spans="2:39" x14ac:dyDescent="0.3">
      <c r="B9" s="90"/>
      <c r="C9" s="37" t="s">
        <v>62</v>
      </c>
      <c r="D9" s="38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3">Q8/E8</f>
        <v>1.7335642897823369</v>
      </c>
      <c r="R9" s="40">
        <f t="shared" si="3"/>
        <v>1.1559565516023531</v>
      </c>
      <c r="S9" s="40">
        <f t="shared" si="3"/>
        <v>1.2223436433533541</v>
      </c>
      <c r="T9" s="40">
        <f t="shared" si="3"/>
        <v>1.851577166048803</v>
      </c>
      <c r="U9" s="40">
        <f t="shared" si="3"/>
        <v>1.4100918955883035</v>
      </c>
      <c r="V9" s="40">
        <f t="shared" si="3"/>
        <v>1.2838533962165644</v>
      </c>
      <c r="W9" s="40">
        <f t="shared" si="3"/>
        <v>5.4350818615821694</v>
      </c>
      <c r="X9" s="42">
        <f t="shared" si="3"/>
        <v>9.200470772852098</v>
      </c>
      <c r="Y9" s="42">
        <f t="shared" si="3"/>
        <v>5.5054083199895434</v>
      </c>
      <c r="Z9" s="42">
        <f t="shared" si="3"/>
        <v>4.6169627749576989</v>
      </c>
      <c r="AA9" s="46">
        <f t="shared" si="3"/>
        <v>1.8146694976090187</v>
      </c>
      <c r="AB9" s="46">
        <f t="shared" si="3"/>
        <v>2.4311022020308184</v>
      </c>
      <c r="AC9" s="26"/>
      <c r="AD9" s="26"/>
      <c r="AE9" s="26"/>
      <c r="AF9" s="26"/>
      <c r="AG9" s="26"/>
      <c r="AH9" s="7"/>
      <c r="AI9" s="26"/>
      <c r="AJ9" s="7"/>
      <c r="AK9" s="7"/>
      <c r="AL9" s="7"/>
      <c r="AM9" s="7"/>
    </row>
    <row r="10" spans="2:39" x14ac:dyDescent="0.3">
      <c r="B10" s="90" t="s">
        <v>6</v>
      </c>
      <c r="C10" s="37" t="s">
        <v>21</v>
      </c>
      <c r="D10" s="91"/>
      <c r="E10" s="91"/>
      <c r="F10" s="91"/>
      <c r="G10" s="92"/>
      <c r="H10" s="92"/>
      <c r="I10" s="92"/>
      <c r="J10" s="91"/>
      <c r="K10" s="91"/>
      <c r="L10" s="92"/>
      <c r="M10" s="92"/>
      <c r="N10" s="92"/>
      <c r="O10" s="92"/>
      <c r="P10" s="92"/>
      <c r="Q10" s="39"/>
      <c r="R10" s="39"/>
      <c r="S10" s="39"/>
      <c r="T10" s="39"/>
      <c r="U10" s="39"/>
      <c r="V10" s="39"/>
      <c r="W10" s="39"/>
      <c r="X10" s="39"/>
      <c r="Y10" s="38"/>
      <c r="Z10" s="38"/>
      <c r="AA10" s="93"/>
      <c r="AB10" s="93"/>
      <c r="AC10" s="9"/>
      <c r="AD10" s="9"/>
      <c r="AE10" s="26">
        <f t="shared" si="2"/>
        <v>0</v>
      </c>
      <c r="AF10" s="8"/>
      <c r="AG10" s="8"/>
      <c r="AI10" s="8"/>
    </row>
    <row r="11" spans="2:39" x14ac:dyDescent="0.3">
      <c r="B11" s="90" t="s">
        <v>7</v>
      </c>
      <c r="C11" s="37" t="s">
        <v>22</v>
      </c>
      <c r="D11" s="91"/>
      <c r="E11" s="91"/>
      <c r="F11" s="91"/>
      <c r="G11" s="92"/>
      <c r="H11" s="92"/>
      <c r="I11" s="92"/>
      <c r="J11" s="91"/>
      <c r="K11" s="91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1"/>
      <c r="Z11" s="91"/>
      <c r="AA11" s="94"/>
      <c r="AB11" s="94"/>
      <c r="AC11" s="9"/>
      <c r="AD11" s="9"/>
      <c r="AE11" s="26">
        <f t="shared" si="2"/>
        <v>0</v>
      </c>
      <c r="AF11" s="21"/>
      <c r="AG11" s="21"/>
      <c r="AI11" s="21"/>
    </row>
    <row r="12" spans="2:39" x14ac:dyDescent="0.3">
      <c r="B12" s="90" t="s">
        <v>24</v>
      </c>
      <c r="C12" s="91" t="s">
        <v>23</v>
      </c>
      <c r="D12" s="91"/>
      <c r="E12" s="91"/>
      <c r="F12" s="91"/>
      <c r="G12" s="92"/>
      <c r="H12" s="92"/>
      <c r="I12" s="92"/>
      <c r="J12" s="91"/>
      <c r="K12" s="91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1"/>
      <c r="Z12" s="91"/>
      <c r="AA12" s="94"/>
      <c r="AB12" s="94"/>
      <c r="AC12" s="9"/>
      <c r="AD12" s="9"/>
      <c r="AE12" s="26">
        <f t="shared" si="2"/>
        <v>0</v>
      </c>
      <c r="AF12" s="21"/>
      <c r="AG12" s="21"/>
      <c r="AI12" s="21"/>
    </row>
    <row r="13" spans="2:39" x14ac:dyDescent="0.3">
      <c r="B13" s="90" t="s">
        <v>25</v>
      </c>
      <c r="C13" s="37" t="s">
        <v>38</v>
      </c>
      <c r="D13" s="91"/>
      <c r="E13" s="91"/>
      <c r="F13" s="91"/>
      <c r="G13" s="92"/>
      <c r="H13" s="92"/>
      <c r="I13" s="92"/>
      <c r="J13" s="91"/>
      <c r="K13" s="91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1"/>
      <c r="Z13" s="91"/>
      <c r="AA13" s="94"/>
      <c r="AB13" s="94"/>
      <c r="AC13" s="9"/>
      <c r="AD13" s="9"/>
      <c r="AE13" s="26">
        <f t="shared" si="2"/>
        <v>0</v>
      </c>
      <c r="AF13" s="21"/>
      <c r="AG13" s="21"/>
      <c r="AI13" s="21"/>
    </row>
    <row r="14" spans="2:39" x14ac:dyDescent="0.3">
      <c r="B14" s="90" t="s">
        <v>32</v>
      </c>
      <c r="C14" s="37" t="s">
        <v>38</v>
      </c>
      <c r="D14" s="91"/>
      <c r="E14" s="91"/>
      <c r="F14" s="91"/>
      <c r="G14" s="92"/>
      <c r="H14" s="92"/>
      <c r="I14" s="92"/>
      <c r="J14" s="91"/>
      <c r="K14" s="91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1"/>
      <c r="Z14" s="91"/>
      <c r="AA14" s="94"/>
      <c r="AB14" s="94"/>
      <c r="AC14" s="10"/>
      <c r="AD14" s="11"/>
      <c r="AE14" s="26">
        <f t="shared" si="2"/>
        <v>0</v>
      </c>
      <c r="AF14" s="21"/>
      <c r="AG14" s="21"/>
      <c r="AI14" s="21"/>
    </row>
    <row r="15" spans="2:39" x14ac:dyDescent="0.3">
      <c r="B15" s="95"/>
      <c r="C15" s="96"/>
      <c r="D15" s="100"/>
      <c r="E15" s="100"/>
      <c r="F15" s="100"/>
      <c r="G15" s="101"/>
      <c r="H15" s="101"/>
      <c r="I15" s="101"/>
      <c r="J15" s="100"/>
      <c r="K15" s="100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</row>
    <row r="16" spans="2:39" x14ac:dyDescent="0.3">
      <c r="B16" s="95"/>
      <c r="C16" s="96"/>
      <c r="D16" s="100"/>
      <c r="E16" s="100"/>
      <c r="F16" s="100"/>
      <c r="G16" s="101"/>
      <c r="H16" s="101"/>
      <c r="I16" s="102" t="s">
        <v>85</v>
      </c>
      <c r="J16" s="102"/>
      <c r="K16" s="102"/>
      <c r="L16" s="103" t="s">
        <v>86</v>
      </c>
      <c r="M16" s="103" t="s">
        <v>87</v>
      </c>
      <c r="N16" s="103"/>
      <c r="O16" s="103"/>
      <c r="P16" s="103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</row>
    <row r="17" spans="3:24" x14ac:dyDescent="0.3">
      <c r="C17" s="104"/>
      <c r="D17" s="104"/>
      <c r="E17" s="104"/>
      <c r="F17" s="104"/>
      <c r="I17" s="83"/>
      <c r="J17" s="83"/>
      <c r="K17" s="105"/>
      <c r="L17" s="105" t="s">
        <v>88</v>
      </c>
      <c r="M17" s="83" t="s">
        <v>89</v>
      </c>
      <c r="N17" s="83"/>
      <c r="O17" s="83"/>
      <c r="P17" s="83"/>
      <c r="X17" s="106"/>
    </row>
    <row r="18" spans="3:24" x14ac:dyDescent="0.3">
      <c r="C18" s="104"/>
      <c r="D18" s="104"/>
      <c r="E18" s="104"/>
      <c r="F18" s="104"/>
      <c r="I18" s="83"/>
      <c r="J18" s="83"/>
      <c r="K18" s="105"/>
      <c r="L18" s="105"/>
      <c r="M18" s="83"/>
      <c r="N18" s="83"/>
      <c r="O18" s="83"/>
      <c r="P18" s="83"/>
      <c r="X18" s="106"/>
    </row>
    <row r="19" spans="3:24" x14ac:dyDescent="0.3">
      <c r="C19" s="96" t="s">
        <v>43</v>
      </c>
      <c r="D19" s="96"/>
      <c r="E19" s="96"/>
      <c r="F19" s="96"/>
      <c r="I19" s="107" t="s">
        <v>90</v>
      </c>
      <c r="J19" s="97"/>
      <c r="K19" s="97"/>
      <c r="L19" s="108"/>
      <c r="O19" s="32"/>
      <c r="P19" s="32"/>
    </row>
    <row r="20" spans="3:24" x14ac:dyDescent="0.3">
      <c r="C20" s="329" t="s">
        <v>44</v>
      </c>
      <c r="D20" s="329"/>
      <c r="E20" s="329"/>
      <c r="F20" s="329"/>
      <c r="O20" s="32"/>
    </row>
    <row r="21" spans="3:24" x14ac:dyDescent="0.3">
      <c r="C21" s="20" t="s">
        <v>45</v>
      </c>
    </row>
  </sheetData>
  <mergeCells count="13">
    <mergeCell ref="AI4:AI5"/>
    <mergeCell ref="C20:F20"/>
    <mergeCell ref="AC4:AC5"/>
    <mergeCell ref="AD4:AD5"/>
    <mergeCell ref="AE4:AE5"/>
    <mergeCell ref="AF4:AF5"/>
    <mergeCell ref="AG4:AG5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18"/>
  <sheetViews>
    <sheetView topLeftCell="B1" zoomScale="80" zoomScaleNormal="80" workbookViewId="0">
      <selection activeCell="I22" sqref="I22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28" width="9.6640625" customWidth="1"/>
    <col min="29" max="29" width="10.109375" customWidth="1"/>
    <col min="30" max="30" width="14.109375" style="7" customWidth="1"/>
    <col min="31" max="31" width="13" customWidth="1"/>
    <col min="32" max="32" width="10.44140625" customWidth="1"/>
    <col min="33" max="33" width="11.33203125" customWidth="1"/>
    <col min="34" max="34" width="8.88671875" customWidth="1"/>
    <col min="35" max="35" width="13.109375" customWidth="1"/>
    <col min="36" max="36" width="11.109375" customWidth="1"/>
    <col min="37" max="37" width="12.33203125" customWidth="1"/>
  </cols>
  <sheetData>
    <row r="2" spans="2:39" ht="17.399999999999999" x14ac:dyDescent="0.3">
      <c r="B2" s="330" t="s">
        <v>122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153"/>
      <c r="AD2" s="153"/>
      <c r="AE2" s="153"/>
    </row>
    <row r="4" spans="2:39" ht="26.4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169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25" t="s">
        <v>42</v>
      </c>
      <c r="AD4" s="325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40.200000000000003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6" t="s">
        <v>58</v>
      </c>
      <c r="Z5" s="43" t="s">
        <v>57</v>
      </c>
      <c r="AA5" s="43" t="s">
        <v>56</v>
      </c>
      <c r="AB5" s="43" t="s">
        <v>55</v>
      </c>
      <c r="AC5" s="325"/>
      <c r="AD5" s="325"/>
      <c r="AE5" s="316"/>
      <c r="AF5" s="316" t="s">
        <v>51</v>
      </c>
      <c r="AG5" s="316" t="s">
        <v>51</v>
      </c>
      <c r="AI5" s="321" t="s">
        <v>51</v>
      </c>
    </row>
    <row r="6" spans="2:39" ht="24.6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136" t="s">
        <v>18</v>
      </c>
      <c r="Z6" s="44" t="s">
        <v>31</v>
      </c>
      <c r="AA6" s="44" t="s">
        <v>18</v>
      </c>
      <c r="AB6" s="44" t="s">
        <v>31</v>
      </c>
      <c r="AC6" s="156" t="s">
        <v>19</v>
      </c>
      <c r="AD6" s="156" t="s">
        <v>20</v>
      </c>
      <c r="AE6" s="3" t="s">
        <v>41</v>
      </c>
      <c r="AF6" s="21"/>
      <c r="AG6" s="21"/>
      <c r="AI6" s="21"/>
    </row>
    <row r="7" spans="2:39" x14ac:dyDescent="0.3">
      <c r="B7" s="12" t="s">
        <v>2</v>
      </c>
      <c r="C7" s="13" t="s">
        <v>46</v>
      </c>
      <c r="D7" s="19" t="s">
        <v>47</v>
      </c>
      <c r="E7" s="28">
        <f t="shared" ref="E7:P7" si="0">SUM(E8:E14)</f>
        <v>1472.72</v>
      </c>
      <c r="F7" s="28">
        <f t="shared" si="0"/>
        <v>1776.17</v>
      </c>
      <c r="G7" s="29">
        <f t="shared" si="0"/>
        <v>5838.95</v>
      </c>
      <c r="H7" s="29">
        <f t="shared" si="0"/>
        <v>1437.46</v>
      </c>
      <c r="I7" s="29">
        <f t="shared" si="0"/>
        <v>1053</v>
      </c>
      <c r="J7" s="28">
        <f t="shared" si="0"/>
        <v>718.4</v>
      </c>
      <c r="K7" s="28">
        <f t="shared" si="0"/>
        <v>516.84</v>
      </c>
      <c r="L7" s="29">
        <f t="shared" si="0"/>
        <v>446.33</v>
      </c>
      <c r="M7" s="29">
        <f t="shared" si="0"/>
        <v>592.69000000000005</v>
      </c>
      <c r="N7" s="29">
        <f t="shared" si="0"/>
        <v>788.54</v>
      </c>
      <c r="O7" s="29">
        <f t="shared" si="0"/>
        <v>1325.77</v>
      </c>
      <c r="P7" s="29">
        <f t="shared" si="0"/>
        <v>8341.52</v>
      </c>
      <c r="Q7" s="29">
        <f>Q8+Q13</f>
        <v>6896.07</v>
      </c>
      <c r="R7" s="29">
        <f t="shared" ref="R7:AC7" si="1">R8+R13</f>
        <v>2117.21</v>
      </c>
      <c r="S7" s="29">
        <f t="shared" si="1"/>
        <v>2833.49</v>
      </c>
      <c r="T7" s="29">
        <f t="shared" si="1"/>
        <v>2465.31</v>
      </c>
      <c r="U7" s="29">
        <f t="shared" si="1"/>
        <v>1654.34</v>
      </c>
      <c r="V7" s="29">
        <f t="shared" si="1"/>
        <v>1583.29</v>
      </c>
      <c r="W7" s="29">
        <f t="shared" si="1"/>
        <v>1468.02</v>
      </c>
      <c r="X7" s="29">
        <f t="shared" si="1"/>
        <v>1223.3</v>
      </c>
      <c r="Y7" s="29">
        <f t="shared" si="1"/>
        <v>1247.5600000000002</v>
      </c>
      <c r="Z7" s="70">
        <f t="shared" si="1"/>
        <v>2500</v>
      </c>
      <c r="AA7" s="70">
        <f t="shared" si="1"/>
        <v>23000</v>
      </c>
      <c r="AB7" s="70">
        <f t="shared" si="1"/>
        <v>7200</v>
      </c>
      <c r="AC7" s="135">
        <f t="shared" si="1"/>
        <v>0</v>
      </c>
      <c r="AD7" s="135">
        <f>SUM(AD8:AD14)</f>
        <v>0</v>
      </c>
      <c r="AE7" s="28">
        <f>SUM(AE8:AE14)</f>
        <v>29880.2</v>
      </c>
      <c r="AF7" s="29">
        <f>SUM(AF8:AF14)</f>
        <v>2490.0166666666669</v>
      </c>
      <c r="AG7" s="29">
        <f>SUM(AG8:AG14)</f>
        <v>19920.133333333335</v>
      </c>
      <c r="AI7" s="29"/>
      <c r="AJ7" s="55">
        <f>SUM(E7:P7)</f>
        <v>24308.39</v>
      </c>
      <c r="AK7" s="55">
        <f>SUM(Q7:AC7)</f>
        <v>54188.59</v>
      </c>
      <c r="AL7" s="56">
        <f>AJ7-AK7</f>
        <v>-29880.199999999997</v>
      </c>
      <c r="AM7" s="57">
        <f>AK7/AJ7*100-100</f>
        <v>122.92134526391916</v>
      </c>
    </row>
    <row r="8" spans="2:39" ht="27" x14ac:dyDescent="0.3">
      <c r="B8" s="1" t="s">
        <v>5</v>
      </c>
      <c r="C8" s="34" t="s">
        <v>63</v>
      </c>
      <c r="D8" s="109">
        <v>2221</v>
      </c>
      <c r="E8" s="35">
        <v>1472.72</v>
      </c>
      <c r="F8" s="35">
        <v>1776.17</v>
      </c>
      <c r="G8" s="36">
        <v>1337.75</v>
      </c>
      <c r="H8" s="36">
        <v>1437.46</v>
      </c>
      <c r="I8" s="36">
        <v>1053</v>
      </c>
      <c r="J8" s="36">
        <v>718.4</v>
      </c>
      <c r="K8" s="36">
        <v>516.84</v>
      </c>
      <c r="L8" s="36">
        <v>446.33</v>
      </c>
      <c r="M8" s="36">
        <v>592.69000000000005</v>
      </c>
      <c r="N8" s="36">
        <v>788.54</v>
      </c>
      <c r="O8" s="36">
        <v>1325.77</v>
      </c>
      <c r="P8" s="36">
        <v>1445.56</v>
      </c>
      <c r="Q8" s="36">
        <v>2055.0300000000002</v>
      </c>
      <c r="R8" s="36">
        <v>2117.21</v>
      </c>
      <c r="S8" s="36">
        <v>2833.49</v>
      </c>
      <c r="T8" s="36">
        <v>2465.31</v>
      </c>
      <c r="U8" s="36">
        <v>1654.34</v>
      </c>
      <c r="V8" s="36">
        <v>1583.29</v>
      </c>
      <c r="W8" s="36">
        <v>1468.02</v>
      </c>
      <c r="X8" s="35">
        <v>1223.3</v>
      </c>
      <c r="Y8" s="35">
        <f>1242.38+5.18</f>
        <v>1247.5600000000002</v>
      </c>
      <c r="Z8" s="70">
        <v>2500</v>
      </c>
      <c r="AA8" s="70">
        <v>3000</v>
      </c>
      <c r="AB8" s="70">
        <v>3000</v>
      </c>
      <c r="AC8" s="27"/>
      <c r="AD8" s="23"/>
      <c r="AE8" s="26">
        <f t="shared" ref="AE8:AE14" si="2">ROUND(SUM(Q8:AB8)-SUM(E8:P8)+AC8,2)</f>
        <v>12236.32</v>
      </c>
      <c r="AF8" s="26">
        <f>AE8/12</f>
        <v>1019.6933333333333</v>
      </c>
      <c r="AG8" s="26">
        <f>AF8*8</f>
        <v>8157.5466666666662</v>
      </c>
      <c r="AH8" s="59"/>
      <c r="AI8" s="58" t="s">
        <v>69</v>
      </c>
    </row>
    <row r="9" spans="2:39" s="7" customFormat="1" x14ac:dyDescent="0.3">
      <c r="B9" s="1"/>
      <c r="C9" s="37" t="s">
        <v>62</v>
      </c>
      <c r="D9" s="38"/>
      <c r="E9" s="35"/>
      <c r="F9" s="35"/>
      <c r="G9" s="36"/>
      <c r="H9" s="36"/>
      <c r="I9" s="36"/>
      <c r="J9" s="36"/>
      <c r="K9" s="36"/>
      <c r="L9" s="36"/>
      <c r="M9" s="36"/>
      <c r="N9" s="36"/>
      <c r="O9" s="36"/>
      <c r="P9" s="36"/>
      <c r="Q9" s="40">
        <f>Q8/E8</f>
        <v>1.3953976315932426</v>
      </c>
      <c r="R9" s="40">
        <f t="shared" ref="R9:AB9" si="3">R8/F8</f>
        <v>1.1920086478208729</v>
      </c>
      <c r="S9" s="40">
        <f t="shared" si="3"/>
        <v>2.1181012894786018</v>
      </c>
      <c r="T9" s="40">
        <f t="shared" si="3"/>
        <v>1.7150459838882472</v>
      </c>
      <c r="U9" s="40">
        <f t="shared" si="3"/>
        <v>1.5710731244064577</v>
      </c>
      <c r="V9" s="40">
        <f t="shared" si="3"/>
        <v>2.203911469933185</v>
      </c>
      <c r="W9" s="40">
        <f t="shared" si="3"/>
        <v>2.8403761318783376</v>
      </c>
      <c r="X9" s="42">
        <f t="shared" si="3"/>
        <v>2.7407971680146979</v>
      </c>
      <c r="Y9" s="42">
        <f t="shared" si="3"/>
        <v>2.1049115051713376</v>
      </c>
      <c r="Z9" s="71">
        <f t="shared" si="3"/>
        <v>3.170416212240343</v>
      </c>
      <c r="AA9" s="71">
        <f t="shared" si="3"/>
        <v>2.2628359368517916</v>
      </c>
      <c r="AB9" s="71">
        <f t="shared" si="3"/>
        <v>2.0753202910982598</v>
      </c>
      <c r="AC9" s="27"/>
      <c r="AD9" s="23"/>
      <c r="AE9" s="26"/>
      <c r="AF9" s="26">
        <f t="shared" ref="AF9:AF14" si="4">AE9/12</f>
        <v>0</v>
      </c>
      <c r="AG9" s="26">
        <f t="shared" ref="AG9:AG14" si="5">AF9*8</f>
        <v>0</v>
      </c>
      <c r="AI9" s="26"/>
    </row>
    <row r="10" spans="2:39" x14ac:dyDescent="0.3">
      <c r="B10" s="1" t="s">
        <v>6</v>
      </c>
      <c r="C10" s="14" t="s">
        <v>21</v>
      </c>
      <c r="D10" s="15"/>
      <c r="E10" s="15"/>
      <c r="F10" s="15"/>
      <c r="G10" s="9"/>
      <c r="H10" s="9"/>
      <c r="I10" s="9"/>
      <c r="J10" s="15"/>
      <c r="K10" s="15"/>
      <c r="L10" s="9"/>
      <c r="M10" s="9"/>
      <c r="N10" s="9"/>
      <c r="O10" s="9"/>
      <c r="P10" s="9"/>
      <c r="Q10" s="26"/>
      <c r="R10" s="26"/>
      <c r="S10" s="26"/>
      <c r="T10" s="26"/>
      <c r="U10" s="26"/>
      <c r="V10" s="26"/>
      <c r="W10" s="26"/>
      <c r="X10" s="26"/>
      <c r="Y10" s="26"/>
      <c r="Z10" s="72"/>
      <c r="AA10" s="72"/>
      <c r="AB10" s="72"/>
      <c r="AC10" s="27"/>
      <c r="AD10" s="23"/>
      <c r="AE10" s="26">
        <f t="shared" si="2"/>
        <v>0</v>
      </c>
      <c r="AF10" s="26">
        <f t="shared" si="4"/>
        <v>0</v>
      </c>
      <c r="AG10" s="26">
        <f t="shared" si="5"/>
        <v>0</v>
      </c>
      <c r="AI10" s="8"/>
    </row>
    <row r="11" spans="2:39" x14ac:dyDescent="0.3">
      <c r="B11" s="1" t="s">
        <v>7</v>
      </c>
      <c r="C11" s="14" t="s">
        <v>22</v>
      </c>
      <c r="D11" s="15"/>
      <c r="E11" s="15"/>
      <c r="F11" s="15"/>
      <c r="G11" s="9"/>
      <c r="H11" s="9"/>
      <c r="I11" s="9"/>
      <c r="J11" s="15"/>
      <c r="K11" s="15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73"/>
      <c r="AA11" s="73"/>
      <c r="AB11" s="73"/>
      <c r="AC11" s="27"/>
      <c r="AD11" s="23"/>
      <c r="AE11" s="26">
        <f t="shared" si="2"/>
        <v>0</v>
      </c>
      <c r="AF11" s="26">
        <f t="shared" si="4"/>
        <v>0</v>
      </c>
      <c r="AG11" s="26">
        <f t="shared" si="5"/>
        <v>0</v>
      </c>
      <c r="AI11" s="21"/>
    </row>
    <row r="12" spans="2:39" x14ac:dyDescent="0.3">
      <c r="B12" s="1" t="s">
        <v>24</v>
      </c>
      <c r="C12" s="15" t="s">
        <v>23</v>
      </c>
      <c r="D12" s="15"/>
      <c r="E12" s="15"/>
      <c r="F12" s="15"/>
      <c r="G12" s="9"/>
      <c r="H12" s="9"/>
      <c r="I12" s="9"/>
      <c r="J12" s="15"/>
      <c r="K12" s="15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73"/>
      <c r="AA12" s="73"/>
      <c r="AB12" s="73"/>
      <c r="AC12" s="27"/>
      <c r="AD12" s="23"/>
      <c r="AE12" s="26">
        <f t="shared" si="2"/>
        <v>0</v>
      </c>
      <c r="AF12" s="26">
        <f t="shared" si="4"/>
        <v>0</v>
      </c>
      <c r="AG12" s="26">
        <f t="shared" si="5"/>
        <v>0</v>
      </c>
      <c r="AI12" s="21"/>
    </row>
    <row r="13" spans="2:39" x14ac:dyDescent="0.3">
      <c r="B13" s="1" t="s">
        <v>25</v>
      </c>
      <c r="C13" s="14" t="s">
        <v>123</v>
      </c>
      <c r="D13" s="15">
        <v>2321</v>
      </c>
      <c r="E13" s="25"/>
      <c r="F13" s="25"/>
      <c r="G13" s="26">
        <f>3720+781.2</f>
        <v>4501.2</v>
      </c>
      <c r="H13" s="26"/>
      <c r="I13" s="26"/>
      <c r="J13" s="25"/>
      <c r="K13" s="25"/>
      <c r="L13" s="26"/>
      <c r="M13" s="26"/>
      <c r="N13" s="26"/>
      <c r="O13" s="26"/>
      <c r="P13" s="26">
        <v>6895.96</v>
      </c>
      <c r="Q13" s="26">
        <f>2804.04+2037</f>
        <v>4841.04</v>
      </c>
      <c r="R13" s="26"/>
      <c r="S13" s="26"/>
      <c r="T13" s="26"/>
      <c r="U13" s="26"/>
      <c r="V13" s="26"/>
      <c r="W13" s="26"/>
      <c r="X13" s="26"/>
      <c r="Y13" s="26"/>
      <c r="Z13" s="72"/>
      <c r="AA13" s="72">
        <v>20000</v>
      </c>
      <c r="AB13" s="72">
        <v>4200</v>
      </c>
      <c r="AC13" s="27"/>
      <c r="AD13" s="23"/>
      <c r="AE13" s="26">
        <f t="shared" si="2"/>
        <v>17643.88</v>
      </c>
      <c r="AF13" s="26">
        <f t="shared" si="4"/>
        <v>1470.3233333333335</v>
      </c>
      <c r="AG13" s="26">
        <f t="shared" si="5"/>
        <v>11762.586666666668</v>
      </c>
      <c r="AI13" s="21"/>
    </row>
    <row r="14" spans="2:39" x14ac:dyDescent="0.3">
      <c r="B14" s="1" t="s">
        <v>32</v>
      </c>
      <c r="C14" s="14" t="s">
        <v>38</v>
      </c>
      <c r="D14" s="16"/>
      <c r="E14" s="16"/>
      <c r="F14" s="16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49"/>
      <c r="AA14" s="49"/>
      <c r="AB14" s="49"/>
      <c r="AC14" s="27"/>
      <c r="AD14" s="23"/>
      <c r="AE14" s="154">
        <f t="shared" si="2"/>
        <v>0</v>
      </c>
      <c r="AF14" s="26">
        <f t="shared" si="4"/>
        <v>0</v>
      </c>
      <c r="AG14" s="26">
        <f t="shared" si="5"/>
        <v>0</v>
      </c>
      <c r="AH14" s="98"/>
      <c r="AI14" s="159"/>
      <c r="AJ14" s="98"/>
      <c r="AK14" s="98"/>
      <c r="AL14" s="98"/>
      <c r="AM14" s="98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  <c r="AE15" s="160"/>
      <c r="AF15" s="161"/>
      <c r="AG15" s="161"/>
      <c r="AH15" s="69"/>
      <c r="AI15" s="161"/>
    </row>
    <row r="16" spans="2:39" x14ac:dyDescent="0.3">
      <c r="C16" s="152" t="s">
        <v>124</v>
      </c>
      <c r="D16" s="152"/>
      <c r="E16" s="152"/>
      <c r="F16" s="152"/>
      <c r="J16" s="152"/>
      <c r="K16" s="152"/>
      <c r="L16" s="31"/>
      <c r="O16" s="32"/>
      <c r="P16" s="32"/>
    </row>
    <row r="17" spans="3:15" x14ac:dyDescent="0.3">
      <c r="C17" s="317" t="s">
        <v>125</v>
      </c>
      <c r="D17" s="317"/>
      <c r="E17" s="317"/>
      <c r="F17" s="317"/>
      <c r="O17" s="32"/>
    </row>
    <row r="18" spans="3:15" x14ac:dyDescent="0.3">
      <c r="C18" s="20" t="s">
        <v>45</v>
      </c>
    </row>
  </sheetData>
  <mergeCells count="13">
    <mergeCell ref="C17:F17"/>
    <mergeCell ref="AC4:AC5"/>
    <mergeCell ref="AD4:AD5"/>
    <mergeCell ref="AE4:AE5"/>
    <mergeCell ref="AF4:AF5"/>
    <mergeCell ref="AG4:AG5"/>
    <mergeCell ref="AI4:AI5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18"/>
  <sheetViews>
    <sheetView topLeftCell="B1" zoomScale="80" zoomScaleNormal="80" workbookViewId="0">
      <selection activeCell="E23" sqref="E23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28" width="9.6640625" customWidth="1"/>
    <col min="29" max="29" width="10.109375" customWidth="1"/>
    <col min="30" max="30" width="12.33203125" style="7" customWidth="1"/>
    <col min="31" max="31" width="13" customWidth="1"/>
    <col min="33" max="33" width="11.33203125" hidden="1" customWidth="1"/>
    <col min="34" max="34" width="8.88671875" hidden="1" customWidth="1"/>
    <col min="35" max="35" width="13.109375" customWidth="1"/>
    <col min="36" max="36" width="10.33203125" customWidth="1"/>
    <col min="37" max="37" width="9.88671875" bestFit="1" customWidth="1"/>
  </cols>
  <sheetData>
    <row r="2" spans="2:39" ht="17.399999999999999" x14ac:dyDescent="0.3">
      <c r="B2" s="310" t="s">
        <v>82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53"/>
      <c r="AD2" s="53"/>
      <c r="AE2" s="53"/>
    </row>
    <row r="4" spans="2:39" ht="31.2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40.200000000000003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295" t="s">
        <v>58</v>
      </c>
      <c r="Z5" s="295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4.6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296" t="s">
        <v>18</v>
      </c>
      <c r="Z6" s="296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x14ac:dyDescent="0.3">
      <c r="B7" s="12" t="s">
        <v>2</v>
      </c>
      <c r="C7" s="13" t="s">
        <v>46</v>
      </c>
      <c r="D7" s="19" t="s">
        <v>47</v>
      </c>
      <c r="E7" s="28">
        <f t="shared" ref="E7:P7" si="0">SUM(E8:E14)</f>
        <v>13422</v>
      </c>
      <c r="F7" s="28">
        <f t="shared" si="0"/>
        <v>16360</v>
      </c>
      <c r="G7" s="29">
        <f t="shared" si="0"/>
        <v>15235</v>
      </c>
      <c r="H7" s="29">
        <f t="shared" si="0"/>
        <v>12310</v>
      </c>
      <c r="I7" s="29">
        <f t="shared" si="0"/>
        <v>8266</v>
      </c>
      <c r="J7" s="28">
        <f t="shared" si="0"/>
        <v>3655</v>
      </c>
      <c r="K7" s="28">
        <f t="shared" si="0"/>
        <v>1942</v>
      </c>
      <c r="L7" s="29">
        <f t="shared" si="0"/>
        <v>1318</v>
      </c>
      <c r="M7" s="29">
        <f t="shared" si="0"/>
        <v>1457</v>
      </c>
      <c r="N7" s="29">
        <f t="shared" si="0"/>
        <v>2975</v>
      </c>
      <c r="O7" s="29">
        <f t="shared" si="0"/>
        <v>6851</v>
      </c>
      <c r="P7" s="29">
        <f t="shared" si="0"/>
        <v>15881</v>
      </c>
      <c r="Q7" s="29">
        <f>Q8</f>
        <v>24460</v>
      </c>
      <c r="R7" s="29">
        <f t="shared" ref="R7:AC7" si="1">R8</f>
        <v>21197</v>
      </c>
      <c r="S7" s="29">
        <f t="shared" si="1"/>
        <v>18159</v>
      </c>
      <c r="T7" s="29">
        <f t="shared" si="1"/>
        <v>21452</v>
      </c>
      <c r="U7" s="29">
        <f t="shared" si="1"/>
        <v>16726</v>
      </c>
      <c r="V7" s="29">
        <f t="shared" si="1"/>
        <v>4392</v>
      </c>
      <c r="W7" s="29">
        <f t="shared" si="1"/>
        <v>3422</v>
      </c>
      <c r="X7" s="29">
        <f t="shared" si="1"/>
        <v>3115</v>
      </c>
      <c r="Y7" s="28">
        <f t="shared" si="1"/>
        <v>3253</v>
      </c>
      <c r="Z7" s="28">
        <f t="shared" si="1"/>
        <v>3432</v>
      </c>
      <c r="AA7" s="70">
        <f t="shared" si="1"/>
        <v>17729</v>
      </c>
      <c r="AB7" s="70">
        <f t="shared" si="1"/>
        <v>32586</v>
      </c>
      <c r="AC7" s="29">
        <f t="shared" si="1"/>
        <v>0</v>
      </c>
      <c r="AD7" s="29">
        <f>SUM(AD8:AD14)</f>
        <v>0</v>
      </c>
      <c r="AE7" s="28">
        <f>SUM(AE8:AE14)</f>
        <v>70251</v>
      </c>
      <c r="AF7" s="29">
        <f>SUM(AF8:AF14)</f>
        <v>5854.25</v>
      </c>
      <c r="AG7" s="29">
        <f>SUM(AG8:AG14)</f>
        <v>46834</v>
      </c>
      <c r="AI7" s="29"/>
      <c r="AJ7" s="55">
        <f>SUM(E7:P7)</f>
        <v>99672</v>
      </c>
      <c r="AK7" s="55">
        <f>SUM(Q7:AC7)</f>
        <v>169923</v>
      </c>
      <c r="AL7" s="56">
        <f>AJ7-AK7</f>
        <v>-70251</v>
      </c>
      <c r="AM7" s="57">
        <f>AK7/AJ7*100-100</f>
        <v>70.482181555502052</v>
      </c>
    </row>
    <row r="8" spans="2:39" ht="27" x14ac:dyDescent="0.3">
      <c r="B8" s="1" t="s">
        <v>5</v>
      </c>
      <c r="C8" s="34" t="s">
        <v>63</v>
      </c>
      <c r="D8" s="75">
        <v>2221</v>
      </c>
      <c r="E8" s="35">
        <v>13422</v>
      </c>
      <c r="F8" s="35">
        <v>16360</v>
      </c>
      <c r="G8" s="36">
        <v>15235</v>
      </c>
      <c r="H8" s="36">
        <v>12310</v>
      </c>
      <c r="I8" s="36">
        <v>8266</v>
      </c>
      <c r="J8" s="36">
        <v>3655</v>
      </c>
      <c r="K8" s="36">
        <v>1942</v>
      </c>
      <c r="L8" s="36">
        <v>1318</v>
      </c>
      <c r="M8" s="36">
        <v>1457</v>
      </c>
      <c r="N8" s="36">
        <v>2975</v>
      </c>
      <c r="O8" s="36">
        <v>6851</v>
      </c>
      <c r="P8" s="36">
        <v>15881</v>
      </c>
      <c r="Q8" s="36">
        <v>24460</v>
      </c>
      <c r="R8" s="36">
        <v>21197</v>
      </c>
      <c r="S8" s="36">
        <v>18159</v>
      </c>
      <c r="T8" s="36">
        <v>21452</v>
      </c>
      <c r="U8" s="36">
        <v>16726</v>
      </c>
      <c r="V8" s="36">
        <v>4392</v>
      </c>
      <c r="W8" s="36">
        <v>3422</v>
      </c>
      <c r="X8" s="35">
        <v>3115</v>
      </c>
      <c r="Y8" s="28">
        <v>3253</v>
      </c>
      <c r="Z8" s="28">
        <v>3432</v>
      </c>
      <c r="AA8" s="70">
        <v>17729</v>
      </c>
      <c r="AB8" s="70">
        <v>32586</v>
      </c>
      <c r="AC8" s="26"/>
      <c r="AD8" s="26"/>
      <c r="AE8" s="26">
        <f>ROUND(SUM(Q8:AB8)-SUM(E8:P8)+AC8,2)</f>
        <v>70251</v>
      </c>
      <c r="AF8" s="26">
        <f>AE8/12</f>
        <v>5854.25</v>
      </c>
      <c r="AG8" s="26">
        <f>AF8*8</f>
        <v>46834</v>
      </c>
      <c r="AH8" s="59"/>
      <c r="AI8" s="58" t="s">
        <v>69</v>
      </c>
    </row>
    <row r="9" spans="2:39" s="7" customFormat="1" x14ac:dyDescent="0.3">
      <c r="B9" s="1"/>
      <c r="C9" s="37" t="s">
        <v>62</v>
      </c>
      <c r="D9" s="77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2">Q8/E8</f>
        <v>1.8223811652510804</v>
      </c>
      <c r="R9" s="40">
        <f t="shared" si="2"/>
        <v>1.2956601466992665</v>
      </c>
      <c r="S9" s="40">
        <f t="shared" si="2"/>
        <v>1.1919264850672793</v>
      </c>
      <c r="T9" s="40">
        <f t="shared" si="2"/>
        <v>1.7426482534524776</v>
      </c>
      <c r="U9" s="40">
        <f t="shared" si="2"/>
        <v>2.0234696346479555</v>
      </c>
      <c r="V9" s="40">
        <f t="shared" si="2"/>
        <v>1.2016415868673052</v>
      </c>
      <c r="W9" s="40">
        <f t="shared" si="2"/>
        <v>1.7621009268795056</v>
      </c>
      <c r="X9" s="42">
        <f t="shared" si="2"/>
        <v>2.3634294385432475</v>
      </c>
      <c r="Y9" s="42">
        <f t="shared" si="2"/>
        <v>2.2326698695950582</v>
      </c>
      <c r="Z9" s="42">
        <f t="shared" si="2"/>
        <v>1.1536134453781512</v>
      </c>
      <c r="AA9" s="46">
        <f t="shared" si="2"/>
        <v>2.5877974018391474</v>
      </c>
      <c r="AB9" s="46">
        <f t="shared" si="2"/>
        <v>2.0518859013916</v>
      </c>
      <c r="AC9" s="26"/>
      <c r="AD9" s="26"/>
      <c r="AE9" s="26"/>
      <c r="AF9" s="26"/>
      <c r="AG9" s="26"/>
      <c r="AI9" s="26"/>
    </row>
    <row r="10" spans="2:39" x14ac:dyDescent="0.3">
      <c r="B10" s="1" t="s">
        <v>6</v>
      </c>
      <c r="C10" s="14" t="s">
        <v>21</v>
      </c>
      <c r="D10" s="76"/>
      <c r="E10" s="15"/>
      <c r="F10" s="15"/>
      <c r="G10" s="9"/>
      <c r="H10" s="9"/>
      <c r="I10" s="9"/>
      <c r="J10" s="15"/>
      <c r="K10" s="15"/>
      <c r="L10" s="9"/>
      <c r="M10" s="9"/>
      <c r="N10" s="9"/>
      <c r="O10" s="9"/>
      <c r="P10" s="9"/>
      <c r="Q10" s="26"/>
      <c r="R10" s="26"/>
      <c r="S10" s="26"/>
      <c r="T10" s="26"/>
      <c r="U10" s="26"/>
      <c r="V10" s="26"/>
      <c r="W10" s="26"/>
      <c r="X10" s="26"/>
      <c r="Y10" s="25"/>
      <c r="Z10" s="25"/>
      <c r="AA10" s="47"/>
      <c r="AB10" s="47"/>
      <c r="AC10" s="9"/>
      <c r="AD10" s="9"/>
      <c r="AE10" s="26">
        <f t="shared" ref="AE10:AE14" si="3">ROUND(SUM(Q10:AB10)-SUM(E10:P10)+AC10,2)</f>
        <v>0</v>
      </c>
      <c r="AF10" s="8"/>
      <c r="AG10" s="8"/>
      <c r="AI10" s="8"/>
    </row>
    <row r="11" spans="2:39" x14ac:dyDescent="0.3">
      <c r="B11" s="1" t="s">
        <v>7</v>
      </c>
      <c r="C11" s="14" t="s">
        <v>22</v>
      </c>
      <c r="D11" s="76"/>
      <c r="E11" s="15"/>
      <c r="F11" s="15"/>
      <c r="G11" s="9"/>
      <c r="H11" s="9"/>
      <c r="I11" s="9"/>
      <c r="J11" s="15"/>
      <c r="K11" s="15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15"/>
      <c r="Z11" s="15"/>
      <c r="AA11" s="48"/>
      <c r="AB11" s="48"/>
      <c r="AC11" s="9"/>
      <c r="AD11" s="9"/>
      <c r="AE11" s="26">
        <f t="shared" si="3"/>
        <v>0</v>
      </c>
      <c r="AF11" s="21"/>
      <c r="AG11" s="21"/>
      <c r="AI11" s="21"/>
    </row>
    <row r="12" spans="2:39" x14ac:dyDescent="0.3">
      <c r="B12" s="1" t="s">
        <v>24</v>
      </c>
      <c r="C12" s="15" t="s">
        <v>23</v>
      </c>
      <c r="D12" s="76"/>
      <c r="E12" s="15"/>
      <c r="F12" s="15"/>
      <c r="G12" s="9"/>
      <c r="H12" s="9"/>
      <c r="I12" s="9"/>
      <c r="J12" s="15"/>
      <c r="K12" s="15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5"/>
      <c r="Z12" s="15"/>
      <c r="AA12" s="48"/>
      <c r="AB12" s="48"/>
      <c r="AC12" s="9"/>
      <c r="AD12" s="9"/>
      <c r="AE12" s="26">
        <f t="shared" si="3"/>
        <v>0</v>
      </c>
      <c r="AF12" s="21"/>
      <c r="AG12" s="21"/>
      <c r="AI12" s="21"/>
    </row>
    <row r="13" spans="2:39" x14ac:dyDescent="0.3">
      <c r="B13" s="1" t="s">
        <v>25</v>
      </c>
      <c r="C13" s="14" t="s">
        <v>38</v>
      </c>
      <c r="D13" s="76"/>
      <c r="E13" s="15"/>
      <c r="F13" s="15"/>
      <c r="G13" s="9"/>
      <c r="H13" s="9"/>
      <c r="I13" s="9"/>
      <c r="J13" s="15"/>
      <c r="K13" s="15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15"/>
      <c r="Z13" s="15"/>
      <c r="AA13" s="48"/>
      <c r="AB13" s="48"/>
      <c r="AC13" s="9"/>
      <c r="AD13" s="9"/>
      <c r="AE13" s="26">
        <f t="shared" si="3"/>
        <v>0</v>
      </c>
      <c r="AF13" s="21"/>
      <c r="AG13" s="21"/>
      <c r="AI13" s="21"/>
    </row>
    <row r="14" spans="2:39" x14ac:dyDescent="0.3">
      <c r="B14" s="1" t="s">
        <v>32</v>
      </c>
      <c r="C14" s="14" t="s">
        <v>38</v>
      </c>
      <c r="D14" s="78"/>
      <c r="E14" s="16"/>
      <c r="F14" s="16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6"/>
      <c r="Z14" s="16"/>
      <c r="AA14" s="49"/>
      <c r="AB14" s="49"/>
      <c r="AC14" s="10"/>
      <c r="AD14" s="11"/>
      <c r="AE14" s="26">
        <f t="shared" si="3"/>
        <v>0</v>
      </c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54" t="s">
        <v>80</v>
      </c>
      <c r="D16" s="54"/>
      <c r="E16" s="54"/>
      <c r="F16" s="54"/>
      <c r="J16" s="54"/>
      <c r="K16" s="54"/>
      <c r="L16" s="31"/>
      <c r="O16" s="32"/>
      <c r="P16" s="32"/>
      <c r="Y16" s="79"/>
      <c r="Z16" s="79"/>
      <c r="AA16" s="79"/>
      <c r="AB16" s="79"/>
    </row>
    <row r="17" spans="3:15" x14ac:dyDescent="0.3">
      <c r="C17" s="317" t="s">
        <v>44</v>
      </c>
      <c r="D17" s="317"/>
      <c r="E17" s="317"/>
      <c r="F17" s="317"/>
      <c r="O17" s="32"/>
    </row>
    <row r="18" spans="3:15" x14ac:dyDescent="0.3">
      <c r="C18" s="20" t="s">
        <v>83</v>
      </c>
    </row>
  </sheetData>
  <mergeCells count="13">
    <mergeCell ref="B2:AB2"/>
    <mergeCell ref="B4:B5"/>
    <mergeCell ref="C4:C5"/>
    <mergeCell ref="D4:D5"/>
    <mergeCell ref="E4:P4"/>
    <mergeCell ref="Q4:AB4"/>
    <mergeCell ref="AI4:AI5"/>
    <mergeCell ref="C17:F17"/>
    <mergeCell ref="AC4:AC5"/>
    <mergeCell ref="AD4:AD5"/>
    <mergeCell ref="AE4:AE5"/>
    <mergeCell ref="AF4:AF5"/>
    <mergeCell ref="AG4:AG5"/>
  </mergeCells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19"/>
  <sheetViews>
    <sheetView topLeftCell="B1" zoomScale="80" zoomScaleNormal="80" workbookViewId="0">
      <selection activeCell="I24" sqref="I24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28" width="9.6640625" customWidth="1"/>
    <col min="29" max="29" width="10.109375" customWidth="1"/>
    <col min="30" max="30" width="12.33203125" style="7" customWidth="1"/>
    <col min="31" max="31" width="13" customWidth="1"/>
    <col min="33" max="33" width="11.33203125" hidden="1" customWidth="1"/>
    <col min="34" max="34" width="8.88671875" hidden="1" customWidth="1"/>
    <col min="35" max="35" width="13.109375" customWidth="1"/>
    <col min="36" max="36" width="10.109375" customWidth="1"/>
    <col min="37" max="37" width="9.88671875" bestFit="1" customWidth="1"/>
  </cols>
  <sheetData>
    <row r="2" spans="2:39" ht="17.399999999999999" x14ac:dyDescent="0.3">
      <c r="B2" s="310" t="s">
        <v>73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52"/>
      <c r="AD2" s="52"/>
      <c r="AE2" s="52"/>
    </row>
    <row r="4" spans="2:39" ht="31.8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40.200000000000003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6" t="s">
        <v>58</v>
      </c>
      <c r="Z5" s="6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4.6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136" t="s">
        <v>18</v>
      </c>
      <c r="Z6" s="136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x14ac:dyDescent="0.3">
      <c r="B7" s="12" t="s">
        <v>2</v>
      </c>
      <c r="C7" s="13" t="s">
        <v>46</v>
      </c>
      <c r="D7" s="19" t="s">
        <v>47</v>
      </c>
      <c r="E7" s="28">
        <f>SUM(E8:E14)</f>
        <v>9523</v>
      </c>
      <c r="F7" s="28">
        <f>SUM(F8:F14)</f>
        <v>12627</v>
      </c>
      <c r="G7" s="29">
        <f>SUM(G8:G14)</f>
        <v>12843</v>
      </c>
      <c r="H7" s="29">
        <f>SUM(H8:H14)</f>
        <v>8417</v>
      </c>
      <c r="I7" s="29">
        <f>SUM(I8:I14)</f>
        <v>4165</v>
      </c>
      <c r="J7" s="29">
        <f>SUM(J8:J14)</f>
        <v>1019</v>
      </c>
      <c r="K7" s="28">
        <f t="shared" ref="K7:P7" si="0">SUM(K8:K14)</f>
        <v>270</v>
      </c>
      <c r="L7" s="29">
        <f t="shared" si="0"/>
        <v>204</v>
      </c>
      <c r="M7" s="29">
        <f t="shared" si="0"/>
        <v>311</v>
      </c>
      <c r="N7" s="29">
        <f t="shared" si="0"/>
        <v>367</v>
      </c>
      <c r="O7" s="29">
        <f t="shared" si="0"/>
        <v>1342</v>
      </c>
      <c r="P7" s="29">
        <f t="shared" si="0"/>
        <v>10824</v>
      </c>
      <c r="Q7" s="29">
        <f>Q8</f>
        <v>21136</v>
      </c>
      <c r="R7" s="29">
        <f t="shared" ref="R7:AC7" si="1">R8</f>
        <v>18012</v>
      </c>
      <c r="S7" s="29">
        <f t="shared" si="1"/>
        <v>14175</v>
      </c>
      <c r="T7" s="29">
        <f t="shared" si="1"/>
        <v>14076</v>
      </c>
      <c r="U7" s="29">
        <f t="shared" si="1"/>
        <v>8527</v>
      </c>
      <c r="V7" s="29">
        <f t="shared" si="1"/>
        <v>1952</v>
      </c>
      <c r="W7" s="29">
        <f t="shared" si="1"/>
        <v>539</v>
      </c>
      <c r="X7" s="29">
        <f t="shared" si="1"/>
        <v>398</v>
      </c>
      <c r="Y7" s="29">
        <f t="shared" si="1"/>
        <v>447</v>
      </c>
      <c r="Z7" s="29">
        <f t="shared" si="1"/>
        <v>800</v>
      </c>
      <c r="AA7" s="70">
        <f t="shared" si="1"/>
        <v>12260</v>
      </c>
      <c r="AB7" s="70">
        <f t="shared" si="1"/>
        <v>33654</v>
      </c>
      <c r="AC7" s="29">
        <f t="shared" si="1"/>
        <v>0</v>
      </c>
      <c r="AD7" s="29">
        <f>SUM(AD8:AD14)</f>
        <v>0</v>
      </c>
      <c r="AE7" s="28">
        <f>SUM(AE8:AE14)</f>
        <v>64064</v>
      </c>
      <c r="AF7" s="29">
        <f>SUM(AF8:AF14)</f>
        <v>5338.666666666667</v>
      </c>
      <c r="AG7" s="29">
        <f>SUM(AG8:AG14)</f>
        <v>42709.333333333336</v>
      </c>
      <c r="AI7" s="29"/>
      <c r="AJ7" s="55">
        <f>SUM(E7:P7)</f>
        <v>61912</v>
      </c>
      <c r="AK7" s="55">
        <f>SUM(Q7:AC7)</f>
        <v>125976</v>
      </c>
      <c r="AL7" s="56">
        <f>AJ7-AK7</f>
        <v>-64064</v>
      </c>
      <c r="AM7" s="57">
        <f>AK7/AJ7*100-100</f>
        <v>103.47590127923505</v>
      </c>
    </row>
    <row r="8" spans="2:39" ht="27" x14ac:dyDescent="0.3">
      <c r="B8" s="1" t="s">
        <v>5</v>
      </c>
      <c r="C8" s="34" t="s">
        <v>63</v>
      </c>
      <c r="D8" s="35"/>
      <c r="E8" s="61">
        <v>9523</v>
      </c>
      <c r="F8" s="61">
        <f>22150-E8</f>
        <v>12627</v>
      </c>
      <c r="G8" s="62">
        <f>34993-E8-F8</f>
        <v>12843</v>
      </c>
      <c r="H8" s="62">
        <f>43410-G8-F8-E8</f>
        <v>8417</v>
      </c>
      <c r="I8" s="62">
        <f>47575-H8-G8-F8-E8</f>
        <v>4165</v>
      </c>
      <c r="J8" s="62">
        <f t="shared" ref="J8" si="2">48594-I8-H8-G8-F8-E8</f>
        <v>1019</v>
      </c>
      <c r="K8" s="62">
        <f>48864-J8-I8-H8-G8-F8-E8</f>
        <v>270</v>
      </c>
      <c r="L8" s="62">
        <f>49068-K8-J8-I8-H8-G8-F8-E8</f>
        <v>204</v>
      </c>
      <c r="M8" s="62">
        <f>49379-L8-K8-J8-I8-H8-G8-F8-E8</f>
        <v>311</v>
      </c>
      <c r="N8" s="62">
        <f>49746-M8-L8-K8-J8-I8-H8-G8-F8-E8</f>
        <v>367</v>
      </c>
      <c r="O8" s="62">
        <f>51088-N8-M8-L8-K8-J8-I8-H8-G8-F8-E8</f>
        <v>1342</v>
      </c>
      <c r="P8" s="62">
        <f>61912-O8-N8-M8-L8-K8-J8-I8-H8-G8-F8-E8</f>
        <v>10824</v>
      </c>
      <c r="Q8" s="36">
        <v>21136</v>
      </c>
      <c r="R8" s="36">
        <f>39148-Q8</f>
        <v>18012</v>
      </c>
      <c r="S8" s="36">
        <f>53323-R8-Q8</f>
        <v>14175</v>
      </c>
      <c r="T8" s="36">
        <f>67399-S8-R8-Q8</f>
        <v>14076</v>
      </c>
      <c r="U8" s="36">
        <f>75926-T8-S8-R8-Q8</f>
        <v>8527</v>
      </c>
      <c r="V8" s="36">
        <f>77878-U8-T8-S8-R8-Q8</f>
        <v>1952</v>
      </c>
      <c r="W8" s="36">
        <f>78417-V8-U8-T8-S8-R8-Q8</f>
        <v>539</v>
      </c>
      <c r="X8" s="35">
        <f>78815-W8-V8-U8-T8-S8-R8-Q8</f>
        <v>398</v>
      </c>
      <c r="Y8" s="29">
        <v>447</v>
      </c>
      <c r="Z8" s="29">
        <v>800</v>
      </c>
      <c r="AA8" s="70">
        <v>12260</v>
      </c>
      <c r="AB8" s="70">
        <v>33654</v>
      </c>
      <c r="AC8" s="26"/>
      <c r="AD8" s="26"/>
      <c r="AE8" s="26">
        <f>ROUND(SUM(Q8:AB8)-SUM(E8:P8)+AC8,2)</f>
        <v>64064</v>
      </c>
      <c r="AF8" s="26">
        <f>AE8/12</f>
        <v>5338.666666666667</v>
      </c>
      <c r="AG8" s="26">
        <f>AF8*8</f>
        <v>42709.333333333336</v>
      </c>
      <c r="AH8" s="59"/>
      <c r="AI8" s="58" t="s">
        <v>69</v>
      </c>
    </row>
    <row r="9" spans="2:39" s="7" customFormat="1" x14ac:dyDescent="0.3">
      <c r="B9" s="1"/>
      <c r="C9" s="37" t="s">
        <v>62</v>
      </c>
      <c r="D9" s="38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3">Q8/E8</f>
        <v>2.2194686548356612</v>
      </c>
      <c r="R9" s="40">
        <f t="shared" si="3"/>
        <v>1.4264670943216917</v>
      </c>
      <c r="S9" s="40">
        <f t="shared" si="3"/>
        <v>1.1037140854940435</v>
      </c>
      <c r="T9" s="40">
        <f t="shared" si="3"/>
        <v>1.6723298087204468</v>
      </c>
      <c r="U9" s="40">
        <f t="shared" si="3"/>
        <v>2.0472989195678273</v>
      </c>
      <c r="V9" s="40">
        <f t="shared" si="3"/>
        <v>1.915603532875368</v>
      </c>
      <c r="W9" s="40">
        <f t="shared" si="3"/>
        <v>1.9962962962962962</v>
      </c>
      <c r="X9" s="42">
        <f t="shared" si="3"/>
        <v>1.9509803921568627</v>
      </c>
      <c r="Y9" s="80">
        <f t="shared" si="3"/>
        <v>1.437299035369775</v>
      </c>
      <c r="Z9" s="80">
        <f t="shared" si="3"/>
        <v>2.1798365122615806</v>
      </c>
      <c r="AA9" s="46">
        <f t="shared" si="3"/>
        <v>9.1356184798807742</v>
      </c>
      <c r="AB9" s="46">
        <f t="shared" si="3"/>
        <v>3.1092017738359203</v>
      </c>
      <c r="AC9" s="26"/>
      <c r="AD9" s="26"/>
      <c r="AE9" s="26"/>
      <c r="AF9" s="26"/>
      <c r="AG9" s="26"/>
      <c r="AI9" s="26"/>
    </row>
    <row r="10" spans="2:39" x14ac:dyDescent="0.3">
      <c r="B10" s="1" t="s">
        <v>6</v>
      </c>
      <c r="C10" s="14" t="s">
        <v>21</v>
      </c>
      <c r="D10" s="15"/>
      <c r="E10" s="15"/>
      <c r="F10" s="15"/>
      <c r="G10" s="9"/>
      <c r="H10" s="9"/>
      <c r="I10" s="9"/>
      <c r="J10" s="15"/>
      <c r="K10" s="15"/>
      <c r="L10" s="9"/>
      <c r="M10" s="9"/>
      <c r="N10" s="9"/>
      <c r="O10" s="9"/>
      <c r="P10" s="9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47"/>
      <c r="AB10" s="47"/>
      <c r="AC10" s="9"/>
      <c r="AD10" s="9"/>
      <c r="AE10" s="26">
        <f t="shared" ref="AE10:AE14" si="4">ROUND(SUM(Q10:AB10)-SUM(E10:P10)+AC10,2)</f>
        <v>0</v>
      </c>
      <c r="AF10" s="8"/>
      <c r="AG10" s="8"/>
      <c r="AI10" s="8"/>
    </row>
    <row r="11" spans="2:39" x14ac:dyDescent="0.3">
      <c r="B11" s="1" t="s">
        <v>7</v>
      </c>
      <c r="C11" s="14" t="s">
        <v>22</v>
      </c>
      <c r="D11" s="15"/>
      <c r="E11" s="15"/>
      <c r="F11" s="15"/>
      <c r="G11" s="9"/>
      <c r="H11" s="9"/>
      <c r="I11" s="9"/>
      <c r="J11" s="15"/>
      <c r="K11" s="15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48"/>
      <c r="AB11" s="48"/>
      <c r="AC11" s="9"/>
      <c r="AD11" s="9"/>
      <c r="AE11" s="26">
        <f t="shared" si="4"/>
        <v>0</v>
      </c>
      <c r="AF11" s="21"/>
      <c r="AG11" s="21"/>
      <c r="AI11" s="21"/>
    </row>
    <row r="12" spans="2:39" x14ac:dyDescent="0.3">
      <c r="B12" s="1" t="s">
        <v>24</v>
      </c>
      <c r="C12" s="15" t="s">
        <v>23</v>
      </c>
      <c r="D12" s="15"/>
      <c r="E12" s="15"/>
      <c r="F12" s="15"/>
      <c r="G12" s="9"/>
      <c r="H12" s="9"/>
      <c r="I12" s="9"/>
      <c r="J12" s="15"/>
      <c r="K12" s="15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48"/>
      <c r="AB12" s="48"/>
      <c r="AC12" s="9"/>
      <c r="AD12" s="9"/>
      <c r="AE12" s="26">
        <f t="shared" si="4"/>
        <v>0</v>
      </c>
      <c r="AF12" s="21"/>
      <c r="AG12" s="21"/>
      <c r="AI12" s="21"/>
    </row>
    <row r="13" spans="2:39" x14ac:dyDescent="0.3">
      <c r="B13" s="1" t="s">
        <v>25</v>
      </c>
      <c r="C13" s="14" t="s">
        <v>38</v>
      </c>
      <c r="D13" s="15"/>
      <c r="E13" s="15"/>
      <c r="F13" s="15"/>
      <c r="G13" s="9"/>
      <c r="H13" s="9"/>
      <c r="I13" s="9"/>
      <c r="J13" s="15"/>
      <c r="K13" s="15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48"/>
      <c r="AB13" s="48"/>
      <c r="AC13" s="9"/>
      <c r="AD13" s="9"/>
      <c r="AE13" s="26">
        <f t="shared" si="4"/>
        <v>0</v>
      </c>
      <c r="AF13" s="21"/>
      <c r="AG13" s="21"/>
      <c r="AI13" s="21"/>
    </row>
    <row r="14" spans="2:39" x14ac:dyDescent="0.3">
      <c r="B14" s="1" t="s">
        <v>32</v>
      </c>
      <c r="C14" s="14" t="s">
        <v>38</v>
      </c>
      <c r="D14" s="16"/>
      <c r="E14" s="16"/>
      <c r="F14" s="16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49"/>
      <c r="AB14" s="49"/>
      <c r="AC14" s="10"/>
      <c r="AD14" s="11"/>
      <c r="AE14" s="26">
        <f t="shared" si="4"/>
        <v>0</v>
      </c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51" t="s">
        <v>74</v>
      </c>
      <c r="D16" s="51"/>
      <c r="E16" s="51"/>
      <c r="F16" s="51"/>
      <c r="J16" s="51"/>
      <c r="K16" s="51"/>
      <c r="L16" s="31"/>
      <c r="O16" s="32"/>
      <c r="P16" s="32"/>
    </row>
    <row r="17" spans="3:15" x14ac:dyDescent="0.3">
      <c r="C17" s="317" t="s">
        <v>44</v>
      </c>
      <c r="D17" s="317"/>
      <c r="E17" s="317"/>
      <c r="F17" s="317"/>
      <c r="O17" s="32"/>
    </row>
    <row r="18" spans="3:15" x14ac:dyDescent="0.3">
      <c r="C18" s="20" t="s">
        <v>75</v>
      </c>
    </row>
    <row r="19" spans="3:15" x14ac:dyDescent="0.3">
      <c r="C19" s="63" t="s">
        <v>76</v>
      </c>
    </row>
  </sheetData>
  <mergeCells count="13">
    <mergeCell ref="AI4:AI5"/>
    <mergeCell ref="C17:F17"/>
    <mergeCell ref="AC4:AC5"/>
    <mergeCell ref="AD4:AD5"/>
    <mergeCell ref="AE4:AE5"/>
    <mergeCell ref="AF4:AF5"/>
    <mergeCell ref="AG4:AG5"/>
    <mergeCell ref="B2:AB2"/>
    <mergeCell ref="B4:B5"/>
    <mergeCell ref="C4:C5"/>
    <mergeCell ref="D4:D5"/>
    <mergeCell ref="E4:P4"/>
    <mergeCell ref="Q4:AB4"/>
  </mergeCells>
  <hyperlinks>
    <hyperlink ref="C19" r:id="rId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M18"/>
  <sheetViews>
    <sheetView topLeftCell="B1" zoomScale="80" zoomScaleNormal="80" workbookViewId="0">
      <selection activeCell="J17" sqref="J17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28" width="9.6640625" customWidth="1"/>
    <col min="29" max="29" width="10.109375" customWidth="1"/>
    <col min="30" max="30" width="12.33203125" style="7" customWidth="1"/>
    <col min="31" max="31" width="13" customWidth="1"/>
    <col min="33" max="33" width="11.33203125" hidden="1" customWidth="1"/>
    <col min="34" max="34" width="8.88671875" hidden="1" customWidth="1"/>
    <col min="35" max="35" width="13.109375" customWidth="1"/>
    <col min="37" max="37" width="9.88671875" bestFit="1" customWidth="1"/>
  </cols>
  <sheetData>
    <row r="2" spans="2:39" ht="17.399999999999999" x14ac:dyDescent="0.3">
      <c r="B2" s="310" t="s">
        <v>70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52"/>
      <c r="AD2" s="52"/>
      <c r="AE2" s="52"/>
    </row>
    <row r="4" spans="2:39" ht="27.6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40.200000000000003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295" t="s">
        <v>58</v>
      </c>
      <c r="Z5" s="295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4.6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296" t="s">
        <v>18</v>
      </c>
      <c r="Z6" s="296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x14ac:dyDescent="0.3">
      <c r="B7" s="12" t="s">
        <v>2</v>
      </c>
      <c r="C7" s="13" t="s">
        <v>46</v>
      </c>
      <c r="D7" s="19" t="s">
        <v>47</v>
      </c>
      <c r="E7" s="28">
        <f t="shared" ref="E7:P7" si="0">SUM(E8:E14)</f>
        <v>747.3</v>
      </c>
      <c r="F7" s="28">
        <f t="shared" si="0"/>
        <v>7788.39</v>
      </c>
      <c r="G7" s="29">
        <f t="shared" si="0"/>
        <v>7748.6</v>
      </c>
      <c r="H7" s="29">
        <f t="shared" si="0"/>
        <v>6297.31</v>
      </c>
      <c r="I7" s="29">
        <f t="shared" si="0"/>
        <v>4029.29</v>
      </c>
      <c r="J7" s="28">
        <f t="shared" si="0"/>
        <v>1606.64</v>
      </c>
      <c r="K7" s="28">
        <f t="shared" si="0"/>
        <v>71.510000000000005</v>
      </c>
      <c r="L7" s="29">
        <f t="shared" si="0"/>
        <v>3.46</v>
      </c>
      <c r="M7" s="29">
        <f t="shared" si="0"/>
        <v>15.8</v>
      </c>
      <c r="N7" s="29">
        <f t="shared" si="0"/>
        <v>657.88</v>
      </c>
      <c r="O7" s="29">
        <f t="shared" si="0"/>
        <v>2509.6999999999998</v>
      </c>
      <c r="P7" s="29">
        <f t="shared" si="0"/>
        <v>4835.5200000000004</v>
      </c>
      <c r="Q7" s="29">
        <f>Q8</f>
        <v>9372.2199999999993</v>
      </c>
      <c r="R7" s="29">
        <f t="shared" ref="R7:AC7" si="1">R8</f>
        <v>8495.3700000000008</v>
      </c>
      <c r="S7" s="29">
        <f t="shared" si="1"/>
        <v>7135.41</v>
      </c>
      <c r="T7" s="29">
        <f t="shared" si="1"/>
        <v>6860.97</v>
      </c>
      <c r="U7" s="29">
        <f t="shared" si="1"/>
        <v>4726.18</v>
      </c>
      <c r="V7" s="29">
        <f t="shared" si="1"/>
        <v>1405.04</v>
      </c>
      <c r="W7" s="29">
        <f t="shared" si="1"/>
        <v>171.05</v>
      </c>
      <c r="X7" s="29">
        <f t="shared" si="1"/>
        <v>122.68</v>
      </c>
      <c r="Y7" s="28">
        <f t="shared" si="1"/>
        <v>86.39</v>
      </c>
      <c r="Z7" s="28">
        <f t="shared" si="1"/>
        <v>142.41999999999999</v>
      </c>
      <c r="AA7" s="70">
        <f t="shared" si="1"/>
        <v>6016.81</v>
      </c>
      <c r="AB7" s="70">
        <f t="shared" si="1"/>
        <v>12033.62</v>
      </c>
      <c r="AC7" s="29">
        <f t="shared" si="1"/>
        <v>0</v>
      </c>
      <c r="AD7" s="29">
        <f>SUM(AD8:AD14)</f>
        <v>0</v>
      </c>
      <c r="AE7" s="28">
        <f>SUM(AE8:AE14)</f>
        <v>20256.759999999998</v>
      </c>
      <c r="AF7" s="29">
        <f>SUM(AF8:AF14)</f>
        <v>1688.0633333333333</v>
      </c>
      <c r="AG7" s="29">
        <f>SUM(AG8:AG14)</f>
        <v>13504.506666666666</v>
      </c>
      <c r="AI7" s="29"/>
      <c r="AJ7" s="55">
        <f>SUM(E7:P7)</f>
        <v>36311.4</v>
      </c>
      <c r="AK7" s="55">
        <f>SUM(Q7:AC7)</f>
        <v>56568.160000000003</v>
      </c>
      <c r="AL7" s="56">
        <f>AJ7-AK7</f>
        <v>-20256.760000000002</v>
      </c>
      <c r="AM7" s="57">
        <f>AK7/AJ7*100-100</f>
        <v>55.786226914963351</v>
      </c>
    </row>
    <row r="8" spans="2:39" ht="27" x14ac:dyDescent="0.3">
      <c r="B8" s="1" t="s">
        <v>5</v>
      </c>
      <c r="C8" s="34" t="s">
        <v>63</v>
      </c>
      <c r="D8" s="60">
        <v>2221</v>
      </c>
      <c r="E8" s="35">
        <v>747.3</v>
      </c>
      <c r="F8" s="35">
        <v>7788.39</v>
      </c>
      <c r="G8" s="36">
        <v>7748.6</v>
      </c>
      <c r="H8" s="36">
        <v>6297.31</v>
      </c>
      <c r="I8" s="36">
        <v>4029.29</v>
      </c>
      <c r="J8" s="36">
        <v>1606.64</v>
      </c>
      <c r="K8" s="36">
        <v>71.510000000000005</v>
      </c>
      <c r="L8" s="36">
        <v>3.46</v>
      </c>
      <c r="M8" s="36">
        <v>15.8</v>
      </c>
      <c r="N8" s="36">
        <v>657.88</v>
      </c>
      <c r="O8" s="36">
        <v>2509.6999999999998</v>
      </c>
      <c r="P8" s="36">
        <v>4835.5200000000004</v>
      </c>
      <c r="Q8" s="36">
        <v>9372.2199999999993</v>
      </c>
      <c r="R8" s="36">
        <v>8495.3700000000008</v>
      </c>
      <c r="S8" s="36">
        <v>7135.41</v>
      </c>
      <c r="T8" s="36">
        <v>6860.97</v>
      </c>
      <c r="U8" s="36">
        <v>4726.18</v>
      </c>
      <c r="V8" s="36">
        <v>1405.04</v>
      </c>
      <c r="W8" s="36">
        <v>171.05</v>
      </c>
      <c r="X8" s="35">
        <v>122.68</v>
      </c>
      <c r="Y8" s="28">
        <v>86.39</v>
      </c>
      <c r="Z8" s="28">
        <v>142.41999999999999</v>
      </c>
      <c r="AA8" s="70">
        <v>6016.81</v>
      </c>
      <c r="AB8" s="70">
        <v>12033.62</v>
      </c>
      <c r="AC8" s="26"/>
      <c r="AD8" s="26"/>
      <c r="AE8" s="26">
        <f>ROUND(SUM(Q8:AB8)-SUM(E8:P8)+AC8,2)</f>
        <v>20256.759999999998</v>
      </c>
      <c r="AF8" s="26">
        <f>AE8/12</f>
        <v>1688.0633333333333</v>
      </c>
      <c r="AG8" s="26">
        <f>AF8*8</f>
        <v>13504.506666666666</v>
      </c>
      <c r="AH8" s="59"/>
      <c r="AI8" s="58" t="s">
        <v>69</v>
      </c>
    </row>
    <row r="9" spans="2:39" s="7" customFormat="1" x14ac:dyDescent="0.3">
      <c r="B9" s="1"/>
      <c r="C9" s="37" t="s">
        <v>62</v>
      </c>
      <c r="D9" s="38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2">Q8/E8</f>
        <v>12.541442526428476</v>
      </c>
      <c r="R9" s="40">
        <f t="shared" si="2"/>
        <v>1.0907735745128326</v>
      </c>
      <c r="S9" s="40">
        <f t="shared" si="2"/>
        <v>0.92086441421676168</v>
      </c>
      <c r="T9" s="40">
        <f t="shared" si="2"/>
        <v>1.0895080597906091</v>
      </c>
      <c r="U9" s="40">
        <f t="shared" si="2"/>
        <v>1.1729560294741754</v>
      </c>
      <c r="V9" s="40">
        <f t="shared" si="2"/>
        <v>0.87452073893342619</v>
      </c>
      <c r="W9" s="40">
        <f t="shared" si="2"/>
        <v>2.3919731506083064</v>
      </c>
      <c r="X9" s="42">
        <f t="shared" si="2"/>
        <v>35.456647398843934</v>
      </c>
      <c r="Y9" s="42">
        <f t="shared" si="2"/>
        <v>5.4677215189873412</v>
      </c>
      <c r="Z9" s="42">
        <f t="shared" si="2"/>
        <v>0.21648324922478263</v>
      </c>
      <c r="AA9" s="46">
        <f t="shared" si="2"/>
        <v>2.3974220026297965</v>
      </c>
      <c r="AB9" s="46">
        <f t="shared" si="2"/>
        <v>2.4885886109456687</v>
      </c>
      <c r="AC9" s="26"/>
      <c r="AD9" s="26"/>
      <c r="AE9" s="26"/>
      <c r="AF9" s="26"/>
      <c r="AG9" s="26"/>
      <c r="AI9" s="26"/>
    </row>
    <row r="10" spans="2:39" x14ac:dyDescent="0.3">
      <c r="B10" s="1" t="s">
        <v>6</v>
      </c>
      <c r="C10" s="14" t="s">
        <v>21</v>
      </c>
      <c r="D10" s="15"/>
      <c r="E10" s="15"/>
      <c r="F10" s="15"/>
      <c r="G10" s="9"/>
      <c r="H10" s="9"/>
      <c r="I10" s="9"/>
      <c r="J10" s="15"/>
      <c r="K10" s="15"/>
      <c r="L10" s="9"/>
      <c r="M10" s="9"/>
      <c r="N10" s="9"/>
      <c r="O10" s="9"/>
      <c r="P10" s="9"/>
      <c r="Q10" s="26"/>
      <c r="R10" s="26"/>
      <c r="S10" s="26"/>
      <c r="T10" s="26"/>
      <c r="U10" s="26"/>
      <c r="V10" s="26"/>
      <c r="W10" s="26"/>
      <c r="X10" s="26"/>
      <c r="Y10" s="25"/>
      <c r="Z10" s="25"/>
      <c r="AA10" s="47"/>
      <c r="AB10" s="47"/>
      <c r="AC10" s="9"/>
      <c r="AD10" s="9"/>
      <c r="AE10" s="26">
        <f t="shared" ref="AE10:AE14" si="3">ROUND(SUM(Q10:AB10)-SUM(E10:P10)+AC10,2)</f>
        <v>0</v>
      </c>
      <c r="AF10" s="8"/>
      <c r="AG10" s="8"/>
      <c r="AI10" s="8"/>
    </row>
    <row r="11" spans="2:39" x14ac:dyDescent="0.3">
      <c r="B11" s="1" t="s">
        <v>7</v>
      </c>
      <c r="C11" s="14" t="s">
        <v>22</v>
      </c>
      <c r="D11" s="15"/>
      <c r="E11" s="15"/>
      <c r="F11" s="15"/>
      <c r="G11" s="9"/>
      <c r="H11" s="9"/>
      <c r="I11" s="9"/>
      <c r="J11" s="15"/>
      <c r="K11" s="15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15"/>
      <c r="Z11" s="15"/>
      <c r="AA11" s="48"/>
      <c r="AB11" s="48"/>
      <c r="AC11" s="9"/>
      <c r="AD11" s="9"/>
      <c r="AE11" s="26">
        <f t="shared" si="3"/>
        <v>0</v>
      </c>
      <c r="AF11" s="21"/>
      <c r="AG11" s="21"/>
      <c r="AI11" s="21"/>
    </row>
    <row r="12" spans="2:39" x14ac:dyDescent="0.3">
      <c r="B12" s="1" t="s">
        <v>24</v>
      </c>
      <c r="C12" s="15" t="s">
        <v>23</v>
      </c>
      <c r="D12" s="15"/>
      <c r="E12" s="15"/>
      <c r="F12" s="15"/>
      <c r="G12" s="9"/>
      <c r="H12" s="9"/>
      <c r="I12" s="9"/>
      <c r="J12" s="15"/>
      <c r="K12" s="15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5"/>
      <c r="Z12" s="15"/>
      <c r="AA12" s="48"/>
      <c r="AB12" s="48"/>
      <c r="AC12" s="9"/>
      <c r="AD12" s="9"/>
      <c r="AE12" s="26">
        <f t="shared" si="3"/>
        <v>0</v>
      </c>
      <c r="AF12" s="21"/>
      <c r="AG12" s="21"/>
      <c r="AI12" s="21"/>
    </row>
    <row r="13" spans="2:39" x14ac:dyDescent="0.3">
      <c r="B13" s="1" t="s">
        <v>25</v>
      </c>
      <c r="C13" s="14" t="s">
        <v>38</v>
      </c>
      <c r="D13" s="15"/>
      <c r="E13" s="15"/>
      <c r="F13" s="15"/>
      <c r="G13" s="9"/>
      <c r="H13" s="9"/>
      <c r="I13" s="9"/>
      <c r="J13" s="15"/>
      <c r="K13" s="15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15"/>
      <c r="Z13" s="15"/>
      <c r="AA13" s="48"/>
      <c r="AB13" s="48"/>
      <c r="AC13" s="9"/>
      <c r="AD13" s="9"/>
      <c r="AE13" s="26">
        <f t="shared" si="3"/>
        <v>0</v>
      </c>
      <c r="AF13" s="21"/>
      <c r="AG13" s="21"/>
      <c r="AI13" s="21"/>
    </row>
    <row r="14" spans="2:39" x14ac:dyDescent="0.3">
      <c r="B14" s="1" t="s">
        <v>32</v>
      </c>
      <c r="C14" s="14" t="s">
        <v>38</v>
      </c>
      <c r="D14" s="16"/>
      <c r="E14" s="16"/>
      <c r="F14" s="16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6"/>
      <c r="Z14" s="16"/>
      <c r="AA14" s="49"/>
      <c r="AB14" s="49"/>
      <c r="AC14" s="10"/>
      <c r="AD14" s="11"/>
      <c r="AE14" s="26">
        <f t="shared" si="3"/>
        <v>0</v>
      </c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51" t="s">
        <v>71</v>
      </c>
      <c r="D16" s="51"/>
      <c r="E16" s="51"/>
      <c r="F16" s="51"/>
      <c r="J16" s="51"/>
      <c r="K16" s="51"/>
      <c r="L16" s="31"/>
      <c r="O16" s="32"/>
      <c r="P16" s="32"/>
    </row>
    <row r="17" spans="3:15" x14ac:dyDescent="0.3">
      <c r="C17" s="317" t="s">
        <v>72</v>
      </c>
      <c r="D17" s="317"/>
      <c r="E17" s="317"/>
      <c r="F17" s="317"/>
      <c r="O17" s="32"/>
    </row>
    <row r="18" spans="3:15" x14ac:dyDescent="0.3">
      <c r="C18" s="20" t="s">
        <v>45</v>
      </c>
    </row>
  </sheetData>
  <mergeCells count="13">
    <mergeCell ref="AI4:AI5"/>
    <mergeCell ref="C17:F17"/>
    <mergeCell ref="AC4:AC5"/>
    <mergeCell ref="AD4:AD5"/>
    <mergeCell ref="AE4:AE5"/>
    <mergeCell ref="AF4:AF5"/>
    <mergeCell ref="AG4:AG5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25"/>
  <sheetViews>
    <sheetView topLeftCell="B1" zoomScale="80" zoomScaleNormal="80" workbookViewId="0">
      <selection activeCell="AB17" sqref="AB17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28" width="9.6640625" customWidth="1"/>
    <col min="29" max="29" width="10" customWidth="1"/>
    <col min="30" max="30" width="14.33203125" customWidth="1"/>
    <col min="31" max="31" width="13" customWidth="1"/>
    <col min="32" max="32" width="10.33203125" customWidth="1"/>
    <col min="33" max="33" width="11.33203125" hidden="1" customWidth="1"/>
    <col min="34" max="34" width="8.88671875" hidden="1" customWidth="1"/>
    <col min="35" max="35" width="13.109375" customWidth="1"/>
    <col min="36" max="36" width="10.33203125" customWidth="1"/>
    <col min="37" max="37" width="11.33203125" bestFit="1" customWidth="1"/>
  </cols>
  <sheetData>
    <row r="2" spans="2:39" ht="17.399999999999999" x14ac:dyDescent="0.3">
      <c r="B2" s="310" t="s">
        <v>139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E2" s="155"/>
    </row>
    <row r="3" spans="2:39" ht="15" thickBot="1" x14ac:dyDescent="0.35"/>
    <row r="4" spans="2:39" ht="30.6" customHeight="1" x14ac:dyDescent="0.3">
      <c r="B4" s="336" t="s">
        <v>1</v>
      </c>
      <c r="C4" s="338" t="s">
        <v>49</v>
      </c>
      <c r="D4" s="340" t="s">
        <v>0</v>
      </c>
      <c r="E4" s="342" t="s">
        <v>36</v>
      </c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4"/>
      <c r="Q4" s="322" t="s">
        <v>169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31" t="s">
        <v>42</v>
      </c>
      <c r="AD4" s="333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40.200000000000003" x14ac:dyDescent="0.3">
      <c r="B5" s="337"/>
      <c r="C5" s="339"/>
      <c r="D5" s="341"/>
      <c r="E5" s="116" t="s">
        <v>26</v>
      </c>
      <c r="F5" s="117" t="s">
        <v>27</v>
      </c>
      <c r="G5" s="117" t="s">
        <v>28</v>
      </c>
      <c r="H5" s="117" t="s">
        <v>29</v>
      </c>
      <c r="I5" s="117" t="s">
        <v>33</v>
      </c>
      <c r="J5" s="117" t="s">
        <v>61</v>
      </c>
      <c r="K5" s="117" t="s">
        <v>60</v>
      </c>
      <c r="L5" s="117" t="s">
        <v>59</v>
      </c>
      <c r="M5" s="117" t="s">
        <v>58</v>
      </c>
      <c r="N5" s="117" t="s">
        <v>57</v>
      </c>
      <c r="O5" s="117" t="s">
        <v>56</v>
      </c>
      <c r="P5" s="118" t="s">
        <v>55</v>
      </c>
      <c r="Q5" s="116" t="s">
        <v>26</v>
      </c>
      <c r="R5" s="117" t="s">
        <v>27</v>
      </c>
      <c r="S5" s="117" t="s">
        <v>28</v>
      </c>
      <c r="T5" s="117" t="s">
        <v>29</v>
      </c>
      <c r="U5" s="117" t="s">
        <v>33</v>
      </c>
      <c r="V5" s="117" t="s">
        <v>61</v>
      </c>
      <c r="W5" s="117" t="s">
        <v>60</v>
      </c>
      <c r="X5" s="117" t="s">
        <v>59</v>
      </c>
      <c r="Y5" s="117" t="s">
        <v>58</v>
      </c>
      <c r="Z5" s="117" t="s">
        <v>57</v>
      </c>
      <c r="AA5" s="117" t="s">
        <v>56</v>
      </c>
      <c r="AB5" s="118" t="s">
        <v>55</v>
      </c>
      <c r="AC5" s="332"/>
      <c r="AD5" s="334"/>
      <c r="AE5" s="316"/>
      <c r="AF5" s="316" t="s">
        <v>51</v>
      </c>
      <c r="AG5" s="316" t="s">
        <v>51</v>
      </c>
      <c r="AI5" s="321" t="s">
        <v>51</v>
      </c>
    </row>
    <row r="6" spans="2:39" ht="24.6" x14ac:dyDescent="0.3">
      <c r="B6" s="119" t="s">
        <v>10</v>
      </c>
      <c r="C6" s="120" t="s">
        <v>11</v>
      </c>
      <c r="D6" s="202" t="s">
        <v>12</v>
      </c>
      <c r="E6" s="121" t="s">
        <v>13</v>
      </c>
      <c r="F6" s="122" t="s">
        <v>14</v>
      </c>
      <c r="G6" s="122" t="s">
        <v>40</v>
      </c>
      <c r="H6" s="122" t="s">
        <v>15</v>
      </c>
      <c r="I6" s="122" t="s">
        <v>16</v>
      </c>
      <c r="J6" s="122" t="s">
        <v>13</v>
      </c>
      <c r="K6" s="122" t="s">
        <v>14</v>
      </c>
      <c r="L6" s="122" t="s">
        <v>40</v>
      </c>
      <c r="M6" s="122" t="s">
        <v>15</v>
      </c>
      <c r="N6" s="122" t="s">
        <v>16</v>
      </c>
      <c r="O6" s="122" t="s">
        <v>15</v>
      </c>
      <c r="P6" s="123" t="s">
        <v>16</v>
      </c>
      <c r="Q6" s="121" t="s">
        <v>30</v>
      </c>
      <c r="R6" s="122" t="s">
        <v>34</v>
      </c>
      <c r="S6" s="122" t="s">
        <v>17</v>
      </c>
      <c r="T6" s="122" t="s">
        <v>18</v>
      </c>
      <c r="U6" s="122" t="s">
        <v>31</v>
      </c>
      <c r="V6" s="122" t="s">
        <v>30</v>
      </c>
      <c r="W6" s="122" t="s">
        <v>34</v>
      </c>
      <c r="X6" s="122" t="s">
        <v>17</v>
      </c>
      <c r="Y6" s="122" t="s">
        <v>18</v>
      </c>
      <c r="Z6" s="122" t="s">
        <v>31</v>
      </c>
      <c r="AA6" s="122" t="s">
        <v>18</v>
      </c>
      <c r="AB6" s="123" t="s">
        <v>31</v>
      </c>
      <c r="AC6" s="282" t="s">
        <v>19</v>
      </c>
      <c r="AD6" s="283" t="s">
        <v>20</v>
      </c>
      <c r="AE6" s="3" t="s">
        <v>41</v>
      </c>
      <c r="AF6" s="21"/>
      <c r="AG6" s="21"/>
      <c r="AI6" s="21"/>
    </row>
    <row r="7" spans="2:39" x14ac:dyDescent="0.3">
      <c r="B7" s="203" t="s">
        <v>2</v>
      </c>
      <c r="C7" s="167" t="s">
        <v>46</v>
      </c>
      <c r="D7" s="204" t="s">
        <v>47</v>
      </c>
      <c r="E7" s="205">
        <f>SUM(E8,E10:E14)</f>
        <v>192520.71</v>
      </c>
      <c r="F7" s="169">
        <f t="shared" ref="F7:P7" si="0">SUM(F8,F10:F14)</f>
        <v>224982.56000000003</v>
      </c>
      <c r="G7" s="170">
        <f t="shared" si="0"/>
        <v>223492.63</v>
      </c>
      <c r="H7" s="170">
        <f t="shared" si="0"/>
        <v>171583.30999999997</v>
      </c>
      <c r="I7" s="170">
        <f t="shared" si="0"/>
        <v>107042.47999999998</v>
      </c>
      <c r="J7" s="169">
        <f t="shared" si="0"/>
        <v>38759.359999999993</v>
      </c>
      <c r="K7" s="169">
        <f t="shared" si="0"/>
        <v>11815.84</v>
      </c>
      <c r="L7" s="170">
        <f t="shared" si="0"/>
        <v>6665.4500000000007</v>
      </c>
      <c r="M7" s="170">
        <f t="shared" si="0"/>
        <v>8750.64</v>
      </c>
      <c r="N7" s="170">
        <f t="shared" si="0"/>
        <v>48591.080000000009</v>
      </c>
      <c r="O7" s="170">
        <f t="shared" si="0"/>
        <v>127730.94000000002</v>
      </c>
      <c r="P7" s="206">
        <f t="shared" si="0"/>
        <v>216843.25999999998</v>
      </c>
      <c r="Q7" s="172">
        <f>SUM(Q8,Q10:Q14)</f>
        <v>354908.74999999994</v>
      </c>
      <c r="R7" s="170">
        <f t="shared" ref="R7:AC7" si="1">SUM(R8,R10:R14)</f>
        <v>305365.88</v>
      </c>
      <c r="S7" s="170">
        <f t="shared" si="1"/>
        <v>241646.55000000002</v>
      </c>
      <c r="T7" s="170">
        <f t="shared" si="1"/>
        <v>247167.13000000003</v>
      </c>
      <c r="U7" s="170">
        <f t="shared" si="1"/>
        <v>184114.88</v>
      </c>
      <c r="V7" s="170">
        <f t="shared" si="1"/>
        <v>54508.180000000008</v>
      </c>
      <c r="W7" s="170">
        <f t="shared" si="1"/>
        <v>22175.74</v>
      </c>
      <c r="X7" s="170">
        <f t="shared" si="1"/>
        <v>12055.09</v>
      </c>
      <c r="Y7" s="28">
        <f t="shared" si="1"/>
        <v>22603.110000000004</v>
      </c>
      <c r="Z7" s="147">
        <f t="shared" si="1"/>
        <v>125843.34602975522</v>
      </c>
      <c r="AA7" s="147">
        <f t="shared" si="1"/>
        <v>362678.70537337242</v>
      </c>
      <c r="AB7" s="207">
        <f t="shared" si="1"/>
        <v>531255.28394474415</v>
      </c>
      <c r="AC7" s="284">
        <f t="shared" si="1"/>
        <v>0</v>
      </c>
      <c r="AD7" s="285"/>
      <c r="AE7" s="28">
        <f>SUM(AE8:AE14)</f>
        <v>1085544.3900000001</v>
      </c>
      <c r="AF7" s="29">
        <f>SUM(AF8:AF14)</f>
        <v>79791.33</v>
      </c>
      <c r="AG7" s="29">
        <f>SUM(AG8:AG14)</f>
        <v>638330.64</v>
      </c>
      <c r="AI7" s="29"/>
      <c r="AJ7" s="55">
        <f>SUM(E7:P7)</f>
        <v>1378778.2599999998</v>
      </c>
      <c r="AK7" s="55">
        <f>SUM(Q7:AC7)</f>
        <v>2464322.6453478718</v>
      </c>
      <c r="AL7" s="56">
        <f>AJ7-AK7</f>
        <v>-1085544.385347872</v>
      </c>
      <c r="AM7" s="57">
        <f>AK7/AJ7*100-100</f>
        <v>78.732339843237185</v>
      </c>
    </row>
    <row r="8" spans="2:39" ht="27" x14ac:dyDescent="0.3">
      <c r="B8" s="208" t="s">
        <v>5</v>
      </c>
      <c r="C8" s="180" t="s">
        <v>63</v>
      </c>
      <c r="D8" s="209"/>
      <c r="E8" s="210">
        <v>174533.15</v>
      </c>
      <c r="F8" s="182">
        <v>206114.64</v>
      </c>
      <c r="G8" s="183">
        <v>202018.06</v>
      </c>
      <c r="H8" s="183">
        <v>154398.36999999997</v>
      </c>
      <c r="I8" s="183">
        <v>95904.169999999984</v>
      </c>
      <c r="J8" s="183">
        <v>34025.109999999993</v>
      </c>
      <c r="K8" s="183">
        <v>7071.68</v>
      </c>
      <c r="L8" s="183">
        <v>4815.2300000000005</v>
      </c>
      <c r="M8" s="183">
        <v>6097.84</v>
      </c>
      <c r="N8" s="183">
        <v>38642.410000000011</v>
      </c>
      <c r="O8" s="183">
        <v>112609.40000000001</v>
      </c>
      <c r="P8" s="125">
        <v>190949.77999999997</v>
      </c>
      <c r="Q8" s="124">
        <v>316714.69999999995</v>
      </c>
      <c r="R8" s="183">
        <v>262845.82</v>
      </c>
      <c r="S8" s="183">
        <v>212643.20000000001</v>
      </c>
      <c r="T8" s="183">
        <v>216634.93000000002</v>
      </c>
      <c r="U8" s="183">
        <v>163153.44</v>
      </c>
      <c r="V8" s="183">
        <v>41651.810000000005</v>
      </c>
      <c r="W8" s="183">
        <v>12606.090000000002</v>
      </c>
      <c r="X8" s="182">
        <v>9119.8100000000013</v>
      </c>
      <c r="Y8" s="25">
        <v>13087.880000000003</v>
      </c>
      <c r="Z8" s="47">
        <v>107468.75724500002</v>
      </c>
      <c r="AA8" s="47">
        <v>334075.84149199992</v>
      </c>
      <c r="AB8" s="211">
        <v>494673.51859099988</v>
      </c>
      <c r="AC8" s="124">
        <v>0</v>
      </c>
      <c r="AD8" s="125"/>
      <c r="AE8" s="26">
        <f>ROUND(SUM(Q8:AB8)-SUM(E8:P8)+AC8,2)</f>
        <v>957495.96</v>
      </c>
      <c r="AF8" s="26">
        <f>AE8/12</f>
        <v>79791.33</v>
      </c>
      <c r="AG8" s="26">
        <f>AF8*8</f>
        <v>638330.64</v>
      </c>
      <c r="AH8" s="59"/>
      <c r="AI8" s="58" t="s">
        <v>69</v>
      </c>
    </row>
    <row r="9" spans="2:39" x14ac:dyDescent="0.3">
      <c r="B9" s="208"/>
      <c r="C9" s="180" t="s">
        <v>62</v>
      </c>
      <c r="D9" s="209"/>
      <c r="E9" s="210"/>
      <c r="F9" s="182"/>
      <c r="G9" s="183"/>
      <c r="H9" s="183"/>
      <c r="I9" s="183"/>
      <c r="J9" s="183"/>
      <c r="K9" s="183"/>
      <c r="L9" s="183"/>
      <c r="M9" s="183"/>
      <c r="N9" s="183"/>
      <c r="O9" s="183"/>
      <c r="P9" s="125"/>
      <c r="Q9" s="227">
        <f>Q8/E8</f>
        <v>1.8146392246974283</v>
      </c>
      <c r="R9" s="228">
        <f t="shared" ref="R9" si="2">R8/F8</f>
        <v>1.2752409047702773</v>
      </c>
      <c r="S9" s="228">
        <f t="shared" ref="S9" si="3">S8/G8</f>
        <v>1.0525950006647922</v>
      </c>
      <c r="T9" s="228">
        <f t="shared" ref="T9" si="4">T8/H8</f>
        <v>1.4030907839247271</v>
      </c>
      <c r="U9" s="228">
        <f t="shared" ref="U9" si="5">U8/I8</f>
        <v>1.7012132006355931</v>
      </c>
      <c r="V9" s="228">
        <f t="shared" ref="V9" si="6">V8/J8</f>
        <v>1.2241491651312815</v>
      </c>
      <c r="W9" s="228">
        <f t="shared" ref="W9" si="7">W8/K8</f>
        <v>1.782616012036744</v>
      </c>
      <c r="X9" s="229">
        <f t="shared" ref="X9" si="8">X8/L8</f>
        <v>1.8939510677579265</v>
      </c>
      <c r="Y9" s="286">
        <f t="shared" ref="Y9" si="9">Y8/M8</f>
        <v>2.1463141046665708</v>
      </c>
      <c r="Z9" s="71">
        <f t="shared" ref="Z9" si="10">Z8/N8</f>
        <v>2.7811090779534711</v>
      </c>
      <c r="AA9" s="71">
        <f t="shared" ref="AA9" si="11">AA8/O8</f>
        <v>2.9666781058419627</v>
      </c>
      <c r="AB9" s="128">
        <f t="shared" ref="AB9" si="12">AB8/P8</f>
        <v>2.5905948600254995</v>
      </c>
      <c r="AC9" s="124">
        <v>0</v>
      </c>
      <c r="AD9" s="125"/>
      <c r="AE9" s="26"/>
      <c r="AF9" s="26"/>
      <c r="AG9" s="26"/>
      <c r="AH9" s="7"/>
      <c r="AI9" s="26"/>
      <c r="AJ9" s="7"/>
      <c r="AK9" s="7"/>
      <c r="AL9" s="7"/>
      <c r="AM9" s="7"/>
    </row>
    <row r="10" spans="2:39" x14ac:dyDescent="0.3">
      <c r="B10" s="208" t="s">
        <v>6</v>
      </c>
      <c r="C10" s="180" t="s">
        <v>21</v>
      </c>
      <c r="D10" s="209"/>
      <c r="E10" s="210">
        <v>15045.960000000001</v>
      </c>
      <c r="F10" s="182">
        <v>17182.030000000002</v>
      </c>
      <c r="G10" s="183">
        <v>19154.64</v>
      </c>
      <c r="H10" s="183">
        <v>15088.49</v>
      </c>
      <c r="I10" s="183">
        <v>10638.310000000001</v>
      </c>
      <c r="J10" s="183">
        <v>4734.25</v>
      </c>
      <c r="K10" s="183">
        <v>1732.0100000000002</v>
      </c>
      <c r="L10" s="183">
        <v>1850.2199999999998</v>
      </c>
      <c r="M10" s="183">
        <v>2099</v>
      </c>
      <c r="N10" s="183">
        <v>5394.18</v>
      </c>
      <c r="O10" s="183">
        <v>13022.769999999999</v>
      </c>
      <c r="P10" s="125">
        <v>25215.97</v>
      </c>
      <c r="Q10" s="124">
        <v>35387.07</v>
      </c>
      <c r="R10" s="183">
        <v>36634.01</v>
      </c>
      <c r="S10" s="183">
        <v>26986.63</v>
      </c>
      <c r="T10" s="183">
        <v>26602.309999999998</v>
      </c>
      <c r="U10" s="183">
        <v>20212.629999999997</v>
      </c>
      <c r="V10" s="183">
        <v>7267.1399999999994</v>
      </c>
      <c r="W10" s="183">
        <v>3477.3999999999996</v>
      </c>
      <c r="X10" s="182">
        <v>2935.2799999999997</v>
      </c>
      <c r="Y10" s="25">
        <v>2774.53</v>
      </c>
      <c r="Z10" s="47">
        <v>10631.955784755201</v>
      </c>
      <c r="AA10" s="47">
        <v>25034.954881372483</v>
      </c>
      <c r="AB10" s="211">
        <v>35429.99835374426</v>
      </c>
      <c r="AC10" s="124">
        <v>0</v>
      </c>
      <c r="AD10" s="126"/>
      <c r="AE10" s="26">
        <f t="shared" ref="AE10:AE14" si="13">ROUND(SUM(Q10:AB10)-SUM(E10:P10)+AC10,2)</f>
        <v>102216.08</v>
      </c>
      <c r="AF10" s="8"/>
      <c r="AG10" s="8"/>
      <c r="AI10" s="8"/>
    </row>
    <row r="11" spans="2:39" x14ac:dyDescent="0.3">
      <c r="B11" s="208" t="s">
        <v>7</v>
      </c>
      <c r="C11" s="180" t="s">
        <v>22</v>
      </c>
      <c r="D11" s="209"/>
      <c r="E11" s="210">
        <v>0</v>
      </c>
      <c r="F11" s="182">
        <v>0</v>
      </c>
      <c r="G11" s="183">
        <v>0</v>
      </c>
      <c r="H11" s="183">
        <v>0</v>
      </c>
      <c r="I11" s="183">
        <v>0</v>
      </c>
      <c r="J11" s="183">
        <v>0</v>
      </c>
      <c r="K11" s="183">
        <v>0</v>
      </c>
      <c r="L11" s="183">
        <v>0</v>
      </c>
      <c r="M11" s="183">
        <v>0</v>
      </c>
      <c r="N11" s="183">
        <v>0</v>
      </c>
      <c r="O11" s="183">
        <v>0</v>
      </c>
      <c r="P11" s="125">
        <v>0</v>
      </c>
      <c r="Q11" s="124">
        <v>0</v>
      </c>
      <c r="R11" s="183">
        <v>0</v>
      </c>
      <c r="S11" s="183">
        <v>0</v>
      </c>
      <c r="T11" s="183">
        <v>0</v>
      </c>
      <c r="U11" s="183">
        <v>0</v>
      </c>
      <c r="V11" s="183">
        <v>0</v>
      </c>
      <c r="W11" s="183">
        <v>0</v>
      </c>
      <c r="X11" s="182">
        <v>0</v>
      </c>
      <c r="Y11" s="25">
        <v>0</v>
      </c>
      <c r="Z11" s="47">
        <v>0</v>
      </c>
      <c r="AA11" s="47">
        <v>0</v>
      </c>
      <c r="AB11" s="211">
        <v>0</v>
      </c>
      <c r="AC11" s="124">
        <v>0</v>
      </c>
      <c r="AD11" s="126"/>
      <c r="AE11" s="26">
        <f t="shared" si="13"/>
        <v>0</v>
      </c>
      <c r="AF11" s="21"/>
      <c r="AG11" s="21"/>
      <c r="AI11" s="21"/>
    </row>
    <row r="12" spans="2:39" x14ac:dyDescent="0.3">
      <c r="B12" s="208" t="s">
        <v>24</v>
      </c>
      <c r="C12" s="142" t="s">
        <v>23</v>
      </c>
      <c r="D12" s="209"/>
      <c r="E12" s="210">
        <v>2941.6000000000004</v>
      </c>
      <c r="F12" s="182">
        <v>1685.8899999999999</v>
      </c>
      <c r="G12" s="183">
        <v>2319.9299999999998</v>
      </c>
      <c r="H12" s="183">
        <v>2096.4500000000003</v>
      </c>
      <c r="I12" s="183">
        <v>500</v>
      </c>
      <c r="J12" s="183">
        <v>0</v>
      </c>
      <c r="K12" s="183">
        <v>3012.15</v>
      </c>
      <c r="L12" s="183">
        <v>0</v>
      </c>
      <c r="M12" s="183">
        <v>553.79999999999995</v>
      </c>
      <c r="N12" s="183">
        <v>4554.49</v>
      </c>
      <c r="O12" s="183">
        <v>2098.77</v>
      </c>
      <c r="P12" s="125">
        <v>677.51</v>
      </c>
      <c r="Q12" s="124">
        <v>2806.98</v>
      </c>
      <c r="R12" s="183">
        <v>5886.0499999999993</v>
      </c>
      <c r="S12" s="183">
        <v>2016.7199999999998</v>
      </c>
      <c r="T12" s="183">
        <v>3929.89</v>
      </c>
      <c r="U12" s="183">
        <v>748.81</v>
      </c>
      <c r="V12" s="183">
        <v>5589.23</v>
      </c>
      <c r="W12" s="183">
        <v>6092.25</v>
      </c>
      <c r="X12" s="182">
        <v>0</v>
      </c>
      <c r="Y12" s="25">
        <v>6740.7</v>
      </c>
      <c r="Z12" s="47">
        <v>7742.6329999999998</v>
      </c>
      <c r="AA12" s="47">
        <v>3567.9089999999997</v>
      </c>
      <c r="AB12" s="211">
        <v>1151.7670000000001</v>
      </c>
      <c r="AC12" s="124">
        <v>0</v>
      </c>
      <c r="AD12" s="126"/>
      <c r="AE12" s="26">
        <f t="shared" si="13"/>
        <v>25832.35</v>
      </c>
      <c r="AF12" s="21"/>
      <c r="AG12" s="21"/>
      <c r="AI12" s="21"/>
    </row>
    <row r="13" spans="2:39" x14ac:dyDescent="0.3">
      <c r="B13" s="208" t="s">
        <v>25</v>
      </c>
      <c r="C13" s="180" t="s">
        <v>38</v>
      </c>
      <c r="D13" s="209"/>
      <c r="E13" s="210">
        <v>0</v>
      </c>
      <c r="F13" s="182">
        <v>0</v>
      </c>
      <c r="G13" s="183">
        <v>0</v>
      </c>
      <c r="H13" s="183">
        <v>0</v>
      </c>
      <c r="I13" s="183">
        <v>0</v>
      </c>
      <c r="J13" s="183">
        <v>0</v>
      </c>
      <c r="K13" s="183">
        <v>0</v>
      </c>
      <c r="L13" s="183">
        <v>0</v>
      </c>
      <c r="M13" s="183">
        <v>0</v>
      </c>
      <c r="N13" s="183">
        <v>0</v>
      </c>
      <c r="O13" s="183">
        <v>0</v>
      </c>
      <c r="P13" s="125">
        <v>0</v>
      </c>
      <c r="Q13" s="124">
        <v>0</v>
      </c>
      <c r="R13" s="183">
        <v>0</v>
      </c>
      <c r="S13" s="183">
        <v>0</v>
      </c>
      <c r="T13" s="183">
        <v>0</v>
      </c>
      <c r="U13" s="183">
        <v>0</v>
      </c>
      <c r="V13" s="183">
        <v>0</v>
      </c>
      <c r="W13" s="183">
        <v>0</v>
      </c>
      <c r="X13" s="182">
        <v>0</v>
      </c>
      <c r="Y13" s="25">
        <v>0</v>
      </c>
      <c r="Z13" s="47">
        <v>0</v>
      </c>
      <c r="AA13" s="47">
        <v>0</v>
      </c>
      <c r="AB13" s="211">
        <v>0</v>
      </c>
      <c r="AC13" s="124">
        <v>0</v>
      </c>
      <c r="AD13" s="126"/>
      <c r="AE13" s="26">
        <f t="shared" si="13"/>
        <v>0</v>
      </c>
      <c r="AF13" s="21"/>
      <c r="AG13" s="21"/>
      <c r="AI13" s="21"/>
    </row>
    <row r="14" spans="2:39" ht="15" thickBot="1" x14ac:dyDescent="0.35">
      <c r="B14" s="212" t="s">
        <v>32</v>
      </c>
      <c r="C14" s="213" t="s">
        <v>38</v>
      </c>
      <c r="D14" s="214"/>
      <c r="E14" s="215">
        <v>0</v>
      </c>
      <c r="F14" s="216">
        <v>0</v>
      </c>
      <c r="G14" s="217">
        <v>0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8">
        <v>0</v>
      </c>
      <c r="Q14" s="219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6">
        <v>0</v>
      </c>
      <c r="Y14" s="287">
        <v>0</v>
      </c>
      <c r="Z14" s="220">
        <v>0</v>
      </c>
      <c r="AA14" s="220">
        <v>0</v>
      </c>
      <c r="AB14" s="221">
        <v>0</v>
      </c>
      <c r="AC14" s="222">
        <v>0</v>
      </c>
      <c r="AD14" s="127"/>
      <c r="AE14" s="26">
        <f t="shared" si="13"/>
        <v>0</v>
      </c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199" t="s">
        <v>95</v>
      </c>
      <c r="D16" s="223"/>
      <c r="E16" s="199"/>
      <c r="F16" s="199"/>
      <c r="J16" s="199"/>
      <c r="K16" s="199"/>
      <c r="L16" s="31"/>
      <c r="O16" s="32"/>
      <c r="P16" s="32"/>
    </row>
    <row r="17" spans="3:15" x14ac:dyDescent="0.3">
      <c r="C17" s="335" t="s">
        <v>96</v>
      </c>
      <c r="D17" s="335"/>
      <c r="E17" s="335"/>
      <c r="F17" s="335"/>
      <c r="O17" s="32"/>
    </row>
    <row r="18" spans="3:15" x14ac:dyDescent="0.3">
      <c r="C18" s="201" t="s">
        <v>45</v>
      </c>
      <c r="D18" s="224"/>
    </row>
    <row r="21" spans="3:15" x14ac:dyDescent="0.3">
      <c r="C21" s="225" t="s">
        <v>140</v>
      </c>
    </row>
    <row r="22" spans="3:15" x14ac:dyDescent="0.3">
      <c r="C22" s="226" t="s">
        <v>116</v>
      </c>
    </row>
    <row r="23" spans="3:15" x14ac:dyDescent="0.3">
      <c r="C23" s="226" t="s">
        <v>141</v>
      </c>
    </row>
    <row r="24" spans="3:15" x14ac:dyDescent="0.3">
      <c r="C24" s="226" t="s">
        <v>142</v>
      </c>
    </row>
    <row r="25" spans="3:15" x14ac:dyDescent="0.3">
      <c r="C25" s="226" t="s">
        <v>143</v>
      </c>
    </row>
  </sheetData>
  <mergeCells count="13">
    <mergeCell ref="C17:F17"/>
    <mergeCell ref="B2:AB2"/>
    <mergeCell ref="B4:B5"/>
    <mergeCell ref="C4:C5"/>
    <mergeCell ref="D4:D5"/>
    <mergeCell ref="E4:P4"/>
    <mergeCell ref="Q4:AB4"/>
    <mergeCell ref="AI4:AI5"/>
    <mergeCell ref="AE4:AE5"/>
    <mergeCell ref="AF4:AF5"/>
    <mergeCell ref="AG4:AG5"/>
    <mergeCell ref="AC4:AC5"/>
    <mergeCell ref="AD4:AD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24"/>
  <sheetViews>
    <sheetView topLeftCell="B1" zoomScale="80" zoomScaleNormal="80" workbookViewId="0">
      <selection activeCell="G23" sqref="G23"/>
    </sheetView>
  </sheetViews>
  <sheetFormatPr defaultRowHeight="14.4" x14ac:dyDescent="0.3"/>
  <cols>
    <col min="1" max="1" width="4.6640625" hidden="1" customWidth="1"/>
    <col min="2" max="2" width="6.33203125" customWidth="1"/>
    <col min="3" max="3" width="32.6640625" customWidth="1"/>
    <col min="4" max="4" width="10" customWidth="1"/>
    <col min="5" max="11" width="9.6640625" customWidth="1"/>
    <col min="12" max="12" width="9.44140625" customWidth="1"/>
    <col min="13" max="28" width="9.6640625" customWidth="1"/>
    <col min="30" max="30" width="16.33203125" bestFit="1" customWidth="1"/>
    <col min="31" max="31" width="13" customWidth="1"/>
    <col min="33" max="33" width="11.33203125" hidden="1" customWidth="1"/>
    <col min="34" max="34" width="8.88671875" hidden="1" customWidth="1"/>
    <col min="35" max="35" width="13.109375" customWidth="1"/>
    <col min="36" max="36" width="9.5546875" customWidth="1"/>
    <col min="37" max="37" width="9.88671875" bestFit="1" customWidth="1"/>
  </cols>
  <sheetData>
    <row r="2" spans="2:39" ht="17.399999999999999" x14ac:dyDescent="0.3">
      <c r="B2" s="310" t="s">
        <v>97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E2" s="81"/>
    </row>
    <row r="4" spans="2:39" ht="29.4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6" t="s">
        <v>42</v>
      </c>
      <c r="AD4" s="316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40.200000000000003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295" t="s">
        <v>58</v>
      </c>
      <c r="Z5" s="295" t="s">
        <v>57</v>
      </c>
      <c r="AA5" s="43" t="s">
        <v>56</v>
      </c>
      <c r="AB5" s="43" t="s">
        <v>55</v>
      </c>
      <c r="AC5" s="316"/>
      <c r="AD5" s="316"/>
      <c r="AE5" s="316"/>
      <c r="AF5" s="316" t="s">
        <v>51</v>
      </c>
      <c r="AG5" s="316" t="s">
        <v>51</v>
      </c>
      <c r="AI5" s="321" t="s">
        <v>51</v>
      </c>
    </row>
    <row r="6" spans="2:39" ht="24.6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296" t="s">
        <v>18</v>
      </c>
      <c r="Z6" s="296" t="s">
        <v>31</v>
      </c>
      <c r="AA6" s="44" t="s">
        <v>18</v>
      </c>
      <c r="AB6" s="44" t="s">
        <v>31</v>
      </c>
      <c r="AC6" s="136" t="s">
        <v>19</v>
      </c>
      <c r="AD6" s="136" t="s">
        <v>20</v>
      </c>
      <c r="AE6" s="3" t="s">
        <v>41</v>
      </c>
      <c r="AF6" s="21"/>
      <c r="AG6" s="21"/>
      <c r="AI6" s="21"/>
    </row>
    <row r="7" spans="2:39" x14ac:dyDescent="0.3">
      <c r="B7" s="12" t="s">
        <v>2</v>
      </c>
      <c r="C7" s="13" t="s">
        <v>46</v>
      </c>
      <c r="D7" s="19" t="s">
        <v>47</v>
      </c>
      <c r="E7" s="28">
        <f t="shared" ref="E7:P7" si="0">SUM(E8:E14)</f>
        <v>13202.64</v>
      </c>
      <c r="F7" s="28">
        <f t="shared" si="0"/>
        <v>9462.82</v>
      </c>
      <c r="G7" s="29">
        <f t="shared" si="0"/>
        <v>8004.14</v>
      </c>
      <c r="H7" s="29">
        <f t="shared" si="0"/>
        <v>5266.54</v>
      </c>
      <c r="I7" s="29">
        <f t="shared" si="0"/>
        <v>2896.97</v>
      </c>
      <c r="J7" s="28">
        <f t="shared" si="0"/>
        <v>1424.4</v>
      </c>
      <c r="K7" s="28">
        <f t="shared" si="0"/>
        <v>201.73</v>
      </c>
      <c r="L7" s="29">
        <f t="shared" si="0"/>
        <v>187.56</v>
      </c>
      <c r="M7" s="29">
        <f t="shared" si="0"/>
        <v>1110.58</v>
      </c>
      <c r="N7" s="29">
        <f t="shared" si="0"/>
        <v>2043.0099999999998</v>
      </c>
      <c r="O7" s="29">
        <f t="shared" si="0"/>
        <v>4761.5999999999995</v>
      </c>
      <c r="P7" s="29">
        <f t="shared" si="0"/>
        <v>5342.93</v>
      </c>
      <c r="Q7" s="29">
        <f>Q8+Q13+Q14</f>
        <v>9440.32</v>
      </c>
      <c r="R7" s="29">
        <f t="shared" ref="R7:AC7" si="1">R8+R13+R14</f>
        <v>10593.48</v>
      </c>
      <c r="S7" s="29">
        <f t="shared" si="1"/>
        <v>6574.32</v>
      </c>
      <c r="T7" s="29">
        <f t="shared" si="1"/>
        <v>6112.3600000000006</v>
      </c>
      <c r="U7" s="29">
        <f t="shared" si="1"/>
        <v>994.19</v>
      </c>
      <c r="V7" s="29">
        <f t="shared" si="1"/>
        <v>3423.15</v>
      </c>
      <c r="W7" s="29">
        <f t="shared" si="1"/>
        <v>1652.36</v>
      </c>
      <c r="X7" s="29">
        <f t="shared" si="1"/>
        <v>1201.82</v>
      </c>
      <c r="Y7" s="28">
        <f t="shared" si="1"/>
        <v>992.21011304202045</v>
      </c>
      <c r="Z7" s="28">
        <f t="shared" si="1"/>
        <v>1035.8</v>
      </c>
      <c r="AA7" s="70">
        <f t="shared" si="1"/>
        <v>15023.163092301875</v>
      </c>
      <c r="AB7" s="70">
        <f t="shared" si="1"/>
        <v>14862.553291436569</v>
      </c>
      <c r="AC7" s="135">
        <f t="shared" si="1"/>
        <v>5292.29</v>
      </c>
      <c r="AD7" s="135"/>
      <c r="AE7" s="28">
        <f>SUM(AE8:AE14)</f>
        <v>23293.1</v>
      </c>
      <c r="AF7" s="29">
        <f>SUM(AF8:AF14)</f>
        <v>1469.3208333333332</v>
      </c>
      <c r="AG7" s="29">
        <f>SUM(AG8:AG14)</f>
        <v>11754.566666666666</v>
      </c>
      <c r="AI7" s="29"/>
      <c r="AJ7" s="55">
        <f>SUM(E7:P7)</f>
        <v>53904.920000000006</v>
      </c>
      <c r="AK7" s="55">
        <f>SUM(Q7:AC7)</f>
        <v>77198.016496780459</v>
      </c>
      <c r="AL7" s="56">
        <f>AJ7-AK7</f>
        <v>-23293.096496780454</v>
      </c>
      <c r="AM7" s="57">
        <f>AK7/AJ7*100-100</f>
        <v>43.211448039957105</v>
      </c>
    </row>
    <row r="8" spans="2:39" ht="52.8" x14ac:dyDescent="0.3">
      <c r="B8" s="1" t="s">
        <v>5</v>
      </c>
      <c r="C8" s="34" t="s">
        <v>63</v>
      </c>
      <c r="D8" s="129">
        <v>2221</v>
      </c>
      <c r="E8" s="35">
        <v>9845.42</v>
      </c>
      <c r="F8" s="35">
        <v>6531.86</v>
      </c>
      <c r="G8" s="36">
        <v>5574.12</v>
      </c>
      <c r="H8" s="36">
        <v>3838.4</v>
      </c>
      <c r="I8" s="36">
        <v>2880.74</v>
      </c>
      <c r="J8" s="36">
        <v>1424.4</v>
      </c>
      <c r="K8" s="36">
        <v>201.73</v>
      </c>
      <c r="L8" s="36">
        <v>187.56</v>
      </c>
      <c r="M8" s="36">
        <v>182.21</v>
      </c>
      <c r="N8" s="36">
        <v>790.66</v>
      </c>
      <c r="O8" s="36">
        <v>2831.35</v>
      </c>
      <c r="P8" s="36">
        <v>2734.78</v>
      </c>
      <c r="Q8" s="36">
        <v>6257.72</v>
      </c>
      <c r="R8" s="36">
        <v>8112.74</v>
      </c>
      <c r="S8" s="36">
        <v>4368.01</v>
      </c>
      <c r="T8" s="36">
        <v>4883.97</v>
      </c>
      <c r="U8" s="36">
        <v>994.19</v>
      </c>
      <c r="V8" s="36">
        <v>3423.15</v>
      </c>
      <c r="W8" s="36">
        <v>1652.36</v>
      </c>
      <c r="X8" s="35">
        <v>1201.82</v>
      </c>
      <c r="Y8" s="28">
        <v>992.21011304202045</v>
      </c>
      <c r="Z8" s="28">
        <v>1035.8</v>
      </c>
      <c r="AA8" s="70">
        <v>9672.1220123018738</v>
      </c>
      <c r="AB8" s="70">
        <v>6768.6977314365677</v>
      </c>
      <c r="AC8" s="27">
        <v>5292.29</v>
      </c>
      <c r="AD8" s="23" t="s">
        <v>98</v>
      </c>
      <c r="AE8" s="26">
        <f>ROUND(SUM(Q8:AB8)-SUM(E8:P8)+AC8,2)</f>
        <v>17631.849999999999</v>
      </c>
      <c r="AF8" s="26">
        <f>AE8/12</f>
        <v>1469.3208333333332</v>
      </c>
      <c r="AG8" s="26">
        <f>AF8*8</f>
        <v>11754.566666666666</v>
      </c>
      <c r="AH8" s="59"/>
      <c r="AI8" s="58" t="s">
        <v>69</v>
      </c>
    </row>
    <row r="9" spans="2:39" s="7" customFormat="1" x14ac:dyDescent="0.3">
      <c r="B9" s="1"/>
      <c r="C9" s="37" t="s">
        <v>62</v>
      </c>
      <c r="D9" s="38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2">Q8/E8</f>
        <v>0.63559705934332922</v>
      </c>
      <c r="R9" s="40">
        <f t="shared" si="2"/>
        <v>1.2420260079058645</v>
      </c>
      <c r="S9" s="40">
        <f t="shared" si="2"/>
        <v>0.78362324456595844</v>
      </c>
      <c r="T9" s="40">
        <f t="shared" si="2"/>
        <v>1.2723973530637767</v>
      </c>
      <c r="U9" s="40">
        <f t="shared" si="2"/>
        <v>0.34511618542457845</v>
      </c>
      <c r="V9" s="40">
        <f t="shared" si="2"/>
        <v>2.4032224094355517</v>
      </c>
      <c r="W9" s="40">
        <f t="shared" si="2"/>
        <v>8.1909482972289691</v>
      </c>
      <c r="X9" s="42">
        <f t="shared" si="2"/>
        <v>6.4076562166773297</v>
      </c>
      <c r="Y9" s="286">
        <f t="shared" si="2"/>
        <v>5.4454207400363339</v>
      </c>
      <c r="Z9" s="286">
        <f t="shared" si="2"/>
        <v>1.3100447727215239</v>
      </c>
      <c r="AA9" s="71">
        <f t="shared" si="2"/>
        <v>3.4160813789541646</v>
      </c>
      <c r="AB9" s="71">
        <f t="shared" si="2"/>
        <v>2.4750428668618927</v>
      </c>
      <c r="AC9" s="26"/>
      <c r="AD9" s="26"/>
      <c r="AE9" s="26"/>
      <c r="AF9" s="26"/>
      <c r="AG9" s="26"/>
      <c r="AI9" s="26"/>
    </row>
    <row r="10" spans="2:39" x14ac:dyDescent="0.3">
      <c r="B10" s="1" t="s">
        <v>6</v>
      </c>
      <c r="C10" s="14" t="s">
        <v>21</v>
      </c>
      <c r="D10" s="15"/>
      <c r="E10" s="15"/>
      <c r="F10" s="15"/>
      <c r="G10" s="9"/>
      <c r="H10" s="9"/>
      <c r="I10" s="9"/>
      <c r="J10" s="15"/>
      <c r="K10" s="15"/>
      <c r="L10" s="9"/>
      <c r="M10" s="9"/>
      <c r="N10" s="9"/>
      <c r="O10" s="9"/>
      <c r="P10" s="9"/>
      <c r="Q10" s="26"/>
      <c r="R10" s="26"/>
      <c r="S10" s="26"/>
      <c r="T10" s="26"/>
      <c r="U10" s="26"/>
      <c r="V10" s="26"/>
      <c r="W10" s="26"/>
      <c r="X10" s="26"/>
      <c r="Y10" s="25"/>
      <c r="Z10" s="25"/>
      <c r="AA10" s="72"/>
      <c r="AB10" s="72"/>
      <c r="AC10" s="9"/>
      <c r="AD10" s="9"/>
      <c r="AE10" s="26">
        <f t="shared" ref="AE10:AE14" si="3">ROUND(SUM(Q10:AB10)-SUM(E10:P10)+AC10,2)</f>
        <v>0</v>
      </c>
      <c r="AF10" s="8"/>
      <c r="AG10" s="8"/>
      <c r="AI10" s="8"/>
    </row>
    <row r="11" spans="2:39" x14ac:dyDescent="0.3">
      <c r="B11" s="1" t="s">
        <v>7</v>
      </c>
      <c r="C11" s="14" t="s">
        <v>22</v>
      </c>
      <c r="D11" s="15"/>
      <c r="E11" s="15"/>
      <c r="F11" s="15"/>
      <c r="G11" s="9"/>
      <c r="H11" s="9"/>
      <c r="I11" s="9"/>
      <c r="J11" s="15"/>
      <c r="K11" s="15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15"/>
      <c r="Z11" s="15"/>
      <c r="AA11" s="73"/>
      <c r="AB11" s="73"/>
      <c r="AC11" s="9"/>
      <c r="AD11" s="9"/>
      <c r="AE11" s="26">
        <f t="shared" si="3"/>
        <v>0</v>
      </c>
      <c r="AF11" s="21"/>
      <c r="AG11" s="21"/>
      <c r="AI11" s="21"/>
    </row>
    <row r="12" spans="2:39" x14ac:dyDescent="0.3">
      <c r="B12" s="1" t="s">
        <v>24</v>
      </c>
      <c r="C12" s="15" t="s">
        <v>23</v>
      </c>
      <c r="D12" s="15"/>
      <c r="E12" s="15"/>
      <c r="F12" s="15"/>
      <c r="G12" s="9"/>
      <c r="H12" s="9"/>
      <c r="I12" s="9"/>
      <c r="J12" s="15"/>
      <c r="K12" s="15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5"/>
      <c r="Z12" s="15"/>
      <c r="AA12" s="73"/>
      <c r="AB12" s="73"/>
      <c r="AC12" s="9"/>
      <c r="AD12" s="9"/>
      <c r="AE12" s="26">
        <f t="shared" si="3"/>
        <v>0</v>
      </c>
      <c r="AF12" s="21"/>
      <c r="AG12" s="21"/>
      <c r="AI12" s="21"/>
    </row>
    <row r="13" spans="2:39" x14ac:dyDescent="0.3">
      <c r="B13" s="1" t="s">
        <v>25</v>
      </c>
      <c r="C13" s="14" t="s">
        <v>99</v>
      </c>
      <c r="D13" s="15">
        <v>2321</v>
      </c>
      <c r="E13" s="15">
        <v>3005.64</v>
      </c>
      <c r="F13" s="15">
        <v>2755.17</v>
      </c>
      <c r="G13" s="9">
        <v>2254.23</v>
      </c>
      <c r="H13" s="9">
        <v>1252.3499999999999</v>
      </c>
      <c r="I13" s="9"/>
      <c r="J13" s="15"/>
      <c r="K13" s="15"/>
      <c r="L13" s="9"/>
      <c r="M13" s="9">
        <v>751.41</v>
      </c>
      <c r="N13" s="9">
        <v>1252.3499999999999</v>
      </c>
      <c r="O13" s="9">
        <v>1753.29</v>
      </c>
      <c r="P13" s="9">
        <v>2254.23</v>
      </c>
      <c r="Q13" s="9">
        <v>3005.64</v>
      </c>
      <c r="R13" s="9">
        <v>2254.23</v>
      </c>
      <c r="S13" s="9">
        <v>1753.29</v>
      </c>
      <c r="T13" s="9">
        <v>1001.88</v>
      </c>
      <c r="U13" s="9"/>
      <c r="V13" s="9"/>
      <c r="W13" s="9"/>
      <c r="X13" s="9"/>
      <c r="Y13" s="64">
        <v>0</v>
      </c>
      <c r="Z13" s="64">
        <v>0</v>
      </c>
      <c r="AA13" s="133">
        <v>5351.04108</v>
      </c>
      <c r="AB13" s="133">
        <v>6879.90996</v>
      </c>
      <c r="AC13" s="9"/>
      <c r="AD13" s="9"/>
      <c r="AE13" s="26">
        <f t="shared" si="3"/>
        <v>4967.32</v>
      </c>
      <c r="AF13" s="21"/>
      <c r="AG13" s="21"/>
      <c r="AI13" s="21"/>
    </row>
    <row r="14" spans="2:39" x14ac:dyDescent="0.3">
      <c r="B14" s="1" t="s">
        <v>32</v>
      </c>
      <c r="C14" s="14" t="s">
        <v>100</v>
      </c>
      <c r="D14" s="15">
        <v>2321</v>
      </c>
      <c r="E14" s="130">
        <v>351.58</v>
      </c>
      <c r="F14" s="130">
        <v>175.79</v>
      </c>
      <c r="G14" s="131">
        <v>175.79</v>
      </c>
      <c r="H14" s="131">
        <v>175.79</v>
      </c>
      <c r="I14" s="131">
        <v>16.23</v>
      </c>
      <c r="J14" s="130"/>
      <c r="K14" s="130"/>
      <c r="L14" s="131"/>
      <c r="M14" s="131">
        <v>176.96</v>
      </c>
      <c r="N14" s="131"/>
      <c r="O14" s="131">
        <v>176.96</v>
      </c>
      <c r="P14" s="131">
        <v>353.92</v>
      </c>
      <c r="Q14" s="131">
        <v>176.96</v>
      </c>
      <c r="R14" s="131">
        <v>226.51</v>
      </c>
      <c r="S14" s="131">
        <v>453.02</v>
      </c>
      <c r="T14" s="131">
        <v>226.51</v>
      </c>
      <c r="U14" s="131"/>
      <c r="V14" s="131"/>
      <c r="W14" s="131"/>
      <c r="X14" s="10"/>
      <c r="Y14" s="64">
        <v>0</v>
      </c>
      <c r="Z14" s="64">
        <v>0</v>
      </c>
      <c r="AA14" s="133">
        <v>0</v>
      </c>
      <c r="AB14" s="133">
        <v>1213.9456</v>
      </c>
      <c r="AC14" s="10"/>
      <c r="AD14" s="11"/>
      <c r="AE14" s="26">
        <f t="shared" si="3"/>
        <v>693.93</v>
      </c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82" t="s">
        <v>43</v>
      </c>
      <c r="D16" s="82"/>
      <c r="E16" s="82"/>
      <c r="F16" s="82"/>
      <c r="J16" s="82"/>
      <c r="K16" s="82"/>
      <c r="L16" s="31"/>
      <c r="O16" s="32"/>
      <c r="P16" s="32"/>
    </row>
    <row r="17" spans="3:20" x14ac:dyDescent="0.3">
      <c r="C17" s="317" t="s">
        <v>44</v>
      </c>
      <c r="D17" s="317"/>
      <c r="E17" s="317"/>
      <c r="F17" s="317"/>
      <c r="M17" s="132"/>
      <c r="N17" s="132"/>
      <c r="O17" s="132"/>
      <c r="P17" s="132"/>
      <c r="Q17" s="132"/>
      <c r="R17" s="132"/>
      <c r="S17" s="132"/>
      <c r="T17" s="132"/>
    </row>
    <row r="18" spans="3:20" x14ac:dyDescent="0.3">
      <c r="C18" s="20" t="s">
        <v>45</v>
      </c>
      <c r="M18" s="132"/>
      <c r="N18" s="132"/>
      <c r="O18" s="132"/>
      <c r="P18" s="132"/>
      <c r="Q18" s="132"/>
      <c r="R18" s="132"/>
      <c r="S18" s="132"/>
      <c r="T18" s="132"/>
    </row>
    <row r="23" spans="3:20" x14ac:dyDescent="0.3">
      <c r="M23" s="132"/>
      <c r="N23" s="132"/>
      <c r="O23" s="132"/>
      <c r="P23" s="132"/>
      <c r="Q23" s="132"/>
    </row>
    <row r="24" spans="3:20" x14ac:dyDescent="0.3">
      <c r="M24" s="132"/>
      <c r="N24" s="132"/>
      <c r="O24" s="132"/>
      <c r="P24" s="132"/>
      <c r="Q24" s="132"/>
    </row>
  </sheetData>
  <mergeCells count="13">
    <mergeCell ref="B2:AB2"/>
    <mergeCell ref="B4:B5"/>
    <mergeCell ref="C4:C5"/>
    <mergeCell ref="D4:D5"/>
    <mergeCell ref="E4:P4"/>
    <mergeCell ref="Q4:AB4"/>
    <mergeCell ref="AI4:AI5"/>
    <mergeCell ref="AC4:AC5"/>
    <mergeCell ref="AD4:AD5"/>
    <mergeCell ref="C17:F17"/>
    <mergeCell ref="AE4:AE5"/>
    <mergeCell ref="AF4:AF5"/>
    <mergeCell ref="AG4:AG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18"/>
  <sheetViews>
    <sheetView topLeftCell="B1" zoomScale="80" zoomScaleNormal="80" workbookViewId="0">
      <selection activeCell="Q4" sqref="Q4:AB4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5" width="11.6640625" customWidth="1"/>
    <col min="6" max="6" width="11.5546875" bestFit="1" customWidth="1"/>
    <col min="7" max="8" width="10.88671875" bestFit="1" customWidth="1"/>
    <col min="9" max="27" width="9.6640625" customWidth="1"/>
    <col min="28" max="28" width="11.6640625" customWidth="1"/>
    <col min="29" max="29" width="10.109375" customWidth="1"/>
    <col min="30" max="30" width="12.33203125" style="7" customWidth="1"/>
    <col min="31" max="31" width="13" customWidth="1"/>
    <col min="32" max="32" width="9.88671875" customWidth="1"/>
    <col min="33" max="33" width="11.33203125" hidden="1" customWidth="1"/>
    <col min="34" max="34" width="8.88671875" hidden="1" customWidth="1"/>
    <col min="35" max="35" width="13.109375" customWidth="1"/>
    <col min="36" max="36" width="9.6640625" customWidth="1"/>
    <col min="37" max="37" width="9.88671875" bestFit="1" customWidth="1"/>
  </cols>
  <sheetData>
    <row r="2" spans="2:39" ht="17.399999999999999" x14ac:dyDescent="0.3">
      <c r="B2" s="330" t="s">
        <v>77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52"/>
      <c r="AD2" s="52"/>
      <c r="AE2" s="52"/>
    </row>
    <row r="4" spans="2:39" ht="29.4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40.200000000000003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295" t="s">
        <v>58</v>
      </c>
      <c r="Z5" s="295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4.6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296" t="s">
        <v>18</v>
      </c>
      <c r="Z6" s="296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x14ac:dyDescent="0.3">
      <c r="B7" s="12" t="s">
        <v>2</v>
      </c>
      <c r="C7" s="13" t="s">
        <v>46</v>
      </c>
      <c r="D7" s="19" t="s">
        <v>47</v>
      </c>
      <c r="E7" s="28">
        <f t="shared" ref="E7:P7" si="0">SUM(E8:E14)</f>
        <v>152437.27537719999</v>
      </c>
      <c r="F7" s="28">
        <f t="shared" si="0"/>
        <v>162150.481161</v>
      </c>
      <c r="G7" s="29">
        <f t="shared" si="0"/>
        <v>160101.31660200001</v>
      </c>
      <c r="H7" s="29">
        <f t="shared" si="0"/>
        <v>119453.11820199998</v>
      </c>
      <c r="I7" s="29">
        <f t="shared" si="0"/>
        <v>72016.135450000002</v>
      </c>
      <c r="J7" s="28">
        <f t="shared" si="0"/>
        <v>34503.932013999998</v>
      </c>
      <c r="K7" s="28">
        <f t="shared" si="0"/>
        <v>13956.216369999998</v>
      </c>
      <c r="L7" s="29">
        <f t="shared" si="0"/>
        <v>9389.1358999999993</v>
      </c>
      <c r="M7" s="29">
        <f t="shared" si="0"/>
        <v>12089.423398999998</v>
      </c>
      <c r="N7" s="29">
        <f t="shared" si="0"/>
        <v>32961.649265999993</v>
      </c>
      <c r="O7" s="29">
        <f t="shared" si="0"/>
        <v>84696.431128000011</v>
      </c>
      <c r="P7" s="29">
        <f t="shared" si="0"/>
        <v>266037.55164100003</v>
      </c>
      <c r="Q7" s="29">
        <f>Q8+Q10</f>
        <v>453614.73647699994</v>
      </c>
      <c r="R7" s="29">
        <f t="shared" ref="R7:AC7" si="1">R8+R10</f>
        <v>350660.94050500001</v>
      </c>
      <c r="S7" s="29">
        <f t="shared" si="1"/>
        <v>294257.88610100001</v>
      </c>
      <c r="T7" s="29">
        <f t="shared" si="1"/>
        <v>336859.39933899994</v>
      </c>
      <c r="U7" s="29">
        <f t="shared" si="1"/>
        <v>244834.90940800001</v>
      </c>
      <c r="V7" s="29">
        <f t="shared" si="1"/>
        <v>131296.67765</v>
      </c>
      <c r="W7" s="29">
        <f t="shared" si="1"/>
        <v>57988.741911999998</v>
      </c>
      <c r="X7" s="29">
        <f t="shared" si="1"/>
        <v>31047.762871999996</v>
      </c>
      <c r="Y7" s="35">
        <f t="shared" si="1"/>
        <v>35646.04</v>
      </c>
      <c r="Z7" s="35">
        <f t="shared" si="1"/>
        <v>63088.259999999995</v>
      </c>
      <c r="AA7" s="45">
        <f t="shared" si="1"/>
        <v>466596.13317999995</v>
      </c>
      <c r="AB7" s="45">
        <f t="shared" si="1"/>
        <v>627183.79405899998</v>
      </c>
      <c r="AC7" s="29">
        <f t="shared" si="1"/>
        <v>0</v>
      </c>
      <c r="AD7" s="29">
        <f>SUM(AD8:AD14)</f>
        <v>0</v>
      </c>
      <c r="AE7" s="28">
        <f>SUM(AE8:AE14)</f>
        <v>1973282.6099999999</v>
      </c>
      <c r="AF7" s="29">
        <f>SUM(AF8:AF14)</f>
        <v>162735.20499999999</v>
      </c>
      <c r="AG7" s="29">
        <f>SUM(AG8:AG14)</f>
        <v>1301881.6399999999</v>
      </c>
      <c r="AI7" s="29"/>
      <c r="AJ7" s="55">
        <f>SUM(E7:P7)</f>
        <v>1119792.6665101999</v>
      </c>
      <c r="AK7" s="55">
        <f>SUM(Q7:AC7)</f>
        <v>3093075.2815029998</v>
      </c>
      <c r="AL7" s="56">
        <f>AJ7-AK7</f>
        <v>-1973282.6149927999</v>
      </c>
      <c r="AM7" s="57">
        <f>AK7/AJ7*100-100</f>
        <v>176.21856920553654</v>
      </c>
    </row>
    <row r="8" spans="2:39" ht="27" x14ac:dyDescent="0.3">
      <c r="B8" s="1" t="s">
        <v>5</v>
      </c>
      <c r="C8" s="34" t="s">
        <v>63</v>
      </c>
      <c r="D8" s="35"/>
      <c r="E8" s="35">
        <v>151772.53767719999</v>
      </c>
      <c r="F8" s="35">
        <v>161607.324261</v>
      </c>
      <c r="G8" s="36">
        <v>159422.93010200001</v>
      </c>
      <c r="H8" s="36">
        <v>118823.20430199998</v>
      </c>
      <c r="I8" s="36">
        <v>71617.876050000006</v>
      </c>
      <c r="J8" s="36">
        <v>34200.790713999995</v>
      </c>
      <c r="K8" s="36">
        <v>13796.508469999999</v>
      </c>
      <c r="L8" s="36">
        <v>9264.4938000000002</v>
      </c>
      <c r="M8" s="36">
        <v>11668.549098999998</v>
      </c>
      <c r="N8" s="36">
        <v>32367.515065999996</v>
      </c>
      <c r="O8" s="36">
        <v>83440.184928000017</v>
      </c>
      <c r="P8" s="36">
        <v>263318.633241</v>
      </c>
      <c r="Q8" s="36">
        <v>451091.60817699996</v>
      </c>
      <c r="R8" s="36">
        <v>346688.45000499999</v>
      </c>
      <c r="S8" s="36">
        <v>291583.79820100003</v>
      </c>
      <c r="T8" s="36">
        <v>334127.27983899997</v>
      </c>
      <c r="U8" s="36">
        <v>242581.623208</v>
      </c>
      <c r="V8" s="36">
        <v>129429.88965000001</v>
      </c>
      <c r="W8" s="36">
        <v>57409.502811999999</v>
      </c>
      <c r="X8" s="35">
        <v>30254.849871999995</v>
      </c>
      <c r="Y8" s="35">
        <v>34522.230000000003</v>
      </c>
      <c r="Z8" s="35">
        <v>59835.85</v>
      </c>
      <c r="AA8" s="45">
        <v>463394.13317999995</v>
      </c>
      <c r="AB8" s="45">
        <v>623203.79405899998</v>
      </c>
      <c r="AC8" s="26"/>
      <c r="AD8" s="26"/>
      <c r="AE8" s="26">
        <f>ROUND(SUM(Q8:AB8)-SUM(E8:P8)+AC8,2)</f>
        <v>1952822.46</v>
      </c>
      <c r="AF8" s="26">
        <f>AE8/12</f>
        <v>162735.20499999999</v>
      </c>
      <c r="AG8" s="26">
        <f>AF8*8</f>
        <v>1301881.6399999999</v>
      </c>
      <c r="AH8" s="59"/>
      <c r="AI8" s="58" t="s">
        <v>69</v>
      </c>
    </row>
    <row r="9" spans="2:39" s="7" customFormat="1" x14ac:dyDescent="0.3">
      <c r="B9" s="1"/>
      <c r="C9" s="37" t="s">
        <v>62</v>
      </c>
      <c r="D9" s="38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2">Q8/E8</f>
        <v>2.9721556684807617</v>
      </c>
      <c r="R9" s="40">
        <f t="shared" si="2"/>
        <v>2.1452520892251714</v>
      </c>
      <c r="S9" s="40">
        <f t="shared" si="2"/>
        <v>1.8289953522648372</v>
      </c>
      <c r="T9" s="40">
        <f t="shared" si="2"/>
        <v>2.8119699498238164</v>
      </c>
      <c r="U9" s="40">
        <f t="shared" si="2"/>
        <v>3.3871658388562333</v>
      </c>
      <c r="V9" s="40">
        <f t="shared" si="2"/>
        <v>3.7844122006517895</v>
      </c>
      <c r="W9" s="40">
        <f t="shared" si="2"/>
        <v>4.1611617125329108</v>
      </c>
      <c r="X9" s="42">
        <f t="shared" si="2"/>
        <v>3.2656775993524865</v>
      </c>
      <c r="Y9" s="42">
        <f t="shared" si="2"/>
        <v>2.9585709163239997</v>
      </c>
      <c r="Z9" s="42">
        <f t="shared" si="2"/>
        <v>1.848638978864761</v>
      </c>
      <c r="AA9" s="46">
        <f t="shared" si="2"/>
        <v>5.5536086548688699</v>
      </c>
      <c r="AB9" s="46">
        <f t="shared" si="2"/>
        <v>2.3667288045226118</v>
      </c>
      <c r="AC9" s="26"/>
      <c r="AD9" s="26"/>
      <c r="AE9" s="26"/>
      <c r="AF9" s="26"/>
      <c r="AG9" s="26"/>
      <c r="AI9" s="26"/>
    </row>
    <row r="10" spans="2:39" x14ac:dyDescent="0.3">
      <c r="B10" s="1" t="s">
        <v>6</v>
      </c>
      <c r="C10" s="14" t="s">
        <v>21</v>
      </c>
      <c r="D10" s="64"/>
      <c r="E10" s="64">
        <v>664.73770000000002</v>
      </c>
      <c r="F10" s="64">
        <v>543.15689999999995</v>
      </c>
      <c r="G10" s="65">
        <v>678.38650000000007</v>
      </c>
      <c r="H10" s="65">
        <v>629.91390000000001</v>
      </c>
      <c r="I10" s="65">
        <v>398.25940000000003</v>
      </c>
      <c r="J10" s="64">
        <v>303.1413</v>
      </c>
      <c r="K10" s="64">
        <v>159.7079</v>
      </c>
      <c r="L10" s="65">
        <v>124.6421</v>
      </c>
      <c r="M10" s="65">
        <v>420.87429999999995</v>
      </c>
      <c r="N10" s="65">
        <v>594.13419999999996</v>
      </c>
      <c r="O10" s="65">
        <v>1256.2461999999998</v>
      </c>
      <c r="P10" s="65">
        <v>2718.9184</v>
      </c>
      <c r="Q10" s="65">
        <v>2523.1282999999994</v>
      </c>
      <c r="R10" s="65">
        <v>3972.4904999999999</v>
      </c>
      <c r="S10" s="65">
        <v>2674.0878999999995</v>
      </c>
      <c r="T10" s="65">
        <v>2732.1194999999998</v>
      </c>
      <c r="U10" s="65">
        <v>2253.2862000000005</v>
      </c>
      <c r="V10" s="65">
        <v>1866.7879999999998</v>
      </c>
      <c r="W10" s="65">
        <v>579.23910000000001</v>
      </c>
      <c r="X10" s="65">
        <v>792.91300000000001</v>
      </c>
      <c r="Y10" s="38">
        <v>1123.81</v>
      </c>
      <c r="Z10" s="38">
        <v>3252.41</v>
      </c>
      <c r="AA10" s="66">
        <v>3202</v>
      </c>
      <c r="AB10" s="66">
        <v>3980</v>
      </c>
      <c r="AC10" s="9"/>
      <c r="AD10" s="9"/>
      <c r="AE10" s="26">
        <f t="shared" ref="AE10:AE14" si="3">ROUND(SUM(Q10:AB10)-SUM(E10:P10)+AC10,2)</f>
        <v>20460.150000000001</v>
      </c>
      <c r="AF10" s="8"/>
      <c r="AG10" s="8"/>
      <c r="AI10" s="8"/>
    </row>
    <row r="11" spans="2:39" x14ac:dyDescent="0.3">
      <c r="B11" s="1" t="s">
        <v>7</v>
      </c>
      <c r="C11" s="14" t="s">
        <v>22</v>
      </c>
      <c r="D11" s="64"/>
      <c r="E11" s="64"/>
      <c r="F11" s="64"/>
      <c r="G11" s="65"/>
      <c r="H11" s="65"/>
      <c r="I11" s="65"/>
      <c r="J11" s="64"/>
      <c r="K11" s="64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15"/>
      <c r="Z11" s="15"/>
      <c r="AA11" s="48"/>
      <c r="AB11" s="48"/>
      <c r="AC11" s="9"/>
      <c r="AD11" s="9"/>
      <c r="AE11" s="26">
        <f t="shared" si="3"/>
        <v>0</v>
      </c>
      <c r="AF11" s="21"/>
      <c r="AG11" s="21"/>
      <c r="AI11" s="21"/>
    </row>
    <row r="12" spans="2:39" x14ac:dyDescent="0.3">
      <c r="B12" s="1" t="s">
        <v>24</v>
      </c>
      <c r="C12" s="15" t="s">
        <v>23</v>
      </c>
      <c r="D12" s="64"/>
      <c r="E12" s="64"/>
      <c r="F12" s="64"/>
      <c r="G12" s="65"/>
      <c r="H12" s="65"/>
      <c r="I12" s="65"/>
      <c r="J12" s="64"/>
      <c r="K12" s="64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15"/>
      <c r="Z12" s="15"/>
      <c r="AA12" s="48"/>
      <c r="AB12" s="48"/>
      <c r="AC12" s="9"/>
      <c r="AD12" s="9"/>
      <c r="AE12" s="26">
        <f t="shared" si="3"/>
        <v>0</v>
      </c>
      <c r="AF12" s="21"/>
      <c r="AG12" s="21"/>
      <c r="AI12" s="21"/>
    </row>
    <row r="13" spans="2:39" x14ac:dyDescent="0.3">
      <c r="B13" s="1" t="s">
        <v>25</v>
      </c>
      <c r="C13" s="14" t="s">
        <v>38</v>
      </c>
      <c r="D13" s="64"/>
      <c r="E13" s="64"/>
      <c r="F13" s="64"/>
      <c r="G13" s="65"/>
      <c r="H13" s="65"/>
      <c r="I13" s="65"/>
      <c r="J13" s="64"/>
      <c r="K13" s="64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15"/>
      <c r="Z13" s="15"/>
      <c r="AA13" s="48"/>
      <c r="AB13" s="48"/>
      <c r="AC13" s="9"/>
      <c r="AD13" s="9"/>
      <c r="AE13" s="26">
        <f t="shared" si="3"/>
        <v>0</v>
      </c>
      <c r="AF13" s="21"/>
      <c r="AG13" s="21"/>
      <c r="AI13" s="21"/>
    </row>
    <row r="14" spans="2:39" x14ac:dyDescent="0.3">
      <c r="B14" s="1" t="s">
        <v>32</v>
      </c>
      <c r="C14" s="14" t="s">
        <v>38</v>
      </c>
      <c r="D14" s="67"/>
      <c r="E14" s="67"/>
      <c r="F14" s="67"/>
      <c r="G14" s="68"/>
      <c r="H14" s="68"/>
      <c r="I14" s="68"/>
      <c r="J14" s="67"/>
      <c r="K14" s="67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16"/>
      <c r="Z14" s="16"/>
      <c r="AA14" s="49"/>
      <c r="AB14" s="49"/>
      <c r="AC14" s="10"/>
      <c r="AD14" s="11"/>
      <c r="AE14" s="26">
        <f t="shared" si="3"/>
        <v>0</v>
      </c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51" t="s">
        <v>71</v>
      </c>
      <c r="D16" s="51"/>
      <c r="E16" s="51"/>
      <c r="F16" s="51"/>
      <c r="J16" s="51"/>
      <c r="K16" s="51"/>
      <c r="L16" s="31"/>
      <c r="O16" s="32"/>
      <c r="P16" s="32"/>
      <c r="X16" s="69"/>
    </row>
    <row r="17" spans="3:15" x14ac:dyDescent="0.3">
      <c r="C17" s="317" t="s">
        <v>78</v>
      </c>
      <c r="D17" s="317"/>
      <c r="E17" s="317"/>
      <c r="F17" s="317"/>
      <c r="O17" s="32"/>
    </row>
    <row r="18" spans="3:15" x14ac:dyDescent="0.3">
      <c r="C18" s="20"/>
    </row>
  </sheetData>
  <mergeCells count="13">
    <mergeCell ref="AI4:AI5"/>
    <mergeCell ref="C17:F17"/>
    <mergeCell ref="AC4:AC5"/>
    <mergeCell ref="AD4:AD5"/>
    <mergeCell ref="AE4:AE5"/>
    <mergeCell ref="AF4:AF5"/>
    <mergeCell ref="AG4:AG5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18"/>
  <sheetViews>
    <sheetView topLeftCell="B1" zoomScale="80" zoomScaleNormal="80" workbookViewId="0">
      <selection activeCell="J22" sqref="J22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28" width="9.6640625" customWidth="1"/>
    <col min="29" max="29" width="10.109375" customWidth="1"/>
    <col min="30" max="30" width="14.109375" style="7" customWidth="1"/>
    <col min="31" max="31" width="13" customWidth="1"/>
    <col min="33" max="33" width="11.33203125" hidden="1" customWidth="1"/>
    <col min="34" max="34" width="8.88671875" hidden="1" customWidth="1"/>
    <col min="35" max="35" width="13.109375" customWidth="1"/>
    <col min="36" max="36" width="9.6640625" customWidth="1"/>
    <col min="37" max="37" width="9.88671875" bestFit="1" customWidth="1"/>
  </cols>
  <sheetData>
    <row r="2" spans="2:40" ht="17.399999999999999" x14ac:dyDescent="0.3">
      <c r="B2" s="310" t="s">
        <v>91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81"/>
      <c r="AD2" s="81"/>
      <c r="AE2" s="81"/>
    </row>
    <row r="4" spans="2:40" ht="37.799999999999997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6" t="s">
        <v>42</v>
      </c>
      <c r="AD4" s="316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40" ht="40.200000000000003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6" t="s">
        <v>58</v>
      </c>
      <c r="Z5" s="6" t="s">
        <v>57</v>
      </c>
      <c r="AA5" s="43" t="s">
        <v>56</v>
      </c>
      <c r="AB5" s="43" t="s">
        <v>55</v>
      </c>
      <c r="AC5" s="316"/>
      <c r="AD5" s="316"/>
      <c r="AE5" s="316"/>
      <c r="AF5" s="316" t="s">
        <v>51</v>
      </c>
      <c r="AG5" s="316" t="s">
        <v>51</v>
      </c>
      <c r="AI5" s="321" t="s">
        <v>51</v>
      </c>
    </row>
    <row r="6" spans="2:40" ht="24.6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136" t="s">
        <v>18</v>
      </c>
      <c r="Z6" s="136" t="s">
        <v>31</v>
      </c>
      <c r="AA6" s="44" t="s">
        <v>18</v>
      </c>
      <c r="AB6" s="44" t="s">
        <v>31</v>
      </c>
      <c r="AC6" s="136" t="s">
        <v>19</v>
      </c>
      <c r="AD6" s="136" t="s">
        <v>20</v>
      </c>
      <c r="AE6" s="3" t="s">
        <v>41</v>
      </c>
      <c r="AF6" s="21"/>
      <c r="AG6" s="21"/>
      <c r="AI6" s="21"/>
    </row>
    <row r="7" spans="2:40" x14ac:dyDescent="0.3">
      <c r="B7" s="12" t="s">
        <v>2</v>
      </c>
      <c r="C7" s="13" t="s">
        <v>46</v>
      </c>
      <c r="D7" s="19" t="s">
        <v>47</v>
      </c>
      <c r="E7" s="28">
        <f t="shared" ref="E7:P7" si="0">SUM(E8:E14)</f>
        <v>10529.67</v>
      </c>
      <c r="F7" s="28">
        <f t="shared" si="0"/>
        <v>8494.27</v>
      </c>
      <c r="G7" s="29">
        <f t="shared" si="0"/>
        <v>10469.200000000001</v>
      </c>
      <c r="H7" s="29">
        <f t="shared" si="0"/>
        <v>9374.4500000000007</v>
      </c>
      <c r="I7" s="29">
        <f t="shared" si="0"/>
        <v>3886.76</v>
      </c>
      <c r="J7" s="28">
        <f t="shared" si="0"/>
        <v>1579.03</v>
      </c>
      <c r="K7" s="28">
        <f t="shared" si="0"/>
        <v>893.46</v>
      </c>
      <c r="L7" s="29">
        <f t="shared" si="0"/>
        <v>330.15</v>
      </c>
      <c r="M7" s="29">
        <f t="shared" si="0"/>
        <v>7615.21</v>
      </c>
      <c r="N7" s="29">
        <f t="shared" si="0"/>
        <v>781.21</v>
      </c>
      <c r="O7" s="29">
        <f t="shared" si="0"/>
        <v>4355.1000000000004</v>
      </c>
      <c r="P7" s="29">
        <f t="shared" si="0"/>
        <v>4713.6900000000005</v>
      </c>
      <c r="Q7" s="29">
        <f>Q8+Q13</f>
        <v>12369.869999999999</v>
      </c>
      <c r="R7" s="29">
        <f t="shared" ref="R7:AC7" si="1">R8+R13</f>
        <v>1138.5899999999999</v>
      </c>
      <c r="S7" s="29">
        <f t="shared" si="1"/>
        <v>0</v>
      </c>
      <c r="T7" s="29">
        <f t="shared" si="1"/>
        <v>16002.74</v>
      </c>
      <c r="U7" s="29">
        <f t="shared" si="1"/>
        <v>14672.16</v>
      </c>
      <c r="V7" s="29">
        <f t="shared" si="1"/>
        <v>0</v>
      </c>
      <c r="W7" s="29">
        <f t="shared" si="1"/>
        <v>4941.67</v>
      </c>
      <c r="X7" s="29">
        <f t="shared" si="1"/>
        <v>1190.4100000000001</v>
      </c>
      <c r="Y7" s="29">
        <f t="shared" si="1"/>
        <v>12998.060000000001</v>
      </c>
      <c r="Z7" s="29">
        <f t="shared" si="1"/>
        <v>1643.46</v>
      </c>
      <c r="AA7" s="70">
        <f t="shared" si="1"/>
        <v>4180.3900000000003</v>
      </c>
      <c r="AB7" s="70">
        <f t="shared" si="1"/>
        <v>7000</v>
      </c>
      <c r="AC7" s="135">
        <f t="shared" si="1"/>
        <v>0</v>
      </c>
      <c r="AD7" s="135">
        <f>SUM(AD8:AD14)</f>
        <v>0</v>
      </c>
      <c r="AE7" s="28">
        <f>SUM(AE8:AE14)</f>
        <v>13115.15</v>
      </c>
      <c r="AF7" s="29">
        <f>SUM(AF8:AF14)</f>
        <v>1092.9291666666666</v>
      </c>
      <c r="AG7" s="29">
        <f>SUM(AG8:AG14)</f>
        <v>5599.0466666666662</v>
      </c>
      <c r="AI7" s="29"/>
      <c r="AJ7" s="55">
        <f>SUM(E7:P7)</f>
        <v>63022.200000000004</v>
      </c>
      <c r="AK7" s="55">
        <f>SUM(Q7:AC7)</f>
        <v>76137.350000000006</v>
      </c>
      <c r="AL7" s="56">
        <f>AJ7-AK7</f>
        <v>-13115.150000000001</v>
      </c>
      <c r="AM7" s="57">
        <f>AK7/AJ7*100-100</f>
        <v>20.810365236377024</v>
      </c>
    </row>
    <row r="8" spans="2:40" ht="27" x14ac:dyDescent="0.3">
      <c r="B8" s="1" t="s">
        <v>5</v>
      </c>
      <c r="C8" s="34" t="s">
        <v>63</v>
      </c>
      <c r="D8" s="109">
        <v>2221</v>
      </c>
      <c r="E8" s="35">
        <v>10529.67</v>
      </c>
      <c r="F8" s="35">
        <v>8494.27</v>
      </c>
      <c r="G8" s="36">
        <v>10469.200000000001</v>
      </c>
      <c r="H8" s="36">
        <v>9374.4500000000007</v>
      </c>
      <c r="I8" s="36">
        <v>3886.76</v>
      </c>
      <c r="J8" s="36">
        <v>1579.03</v>
      </c>
      <c r="K8" s="36">
        <v>893.46</v>
      </c>
      <c r="L8" s="36">
        <v>330.15</v>
      </c>
      <c r="M8" s="36">
        <v>461.69</v>
      </c>
      <c r="N8" s="36">
        <v>781.21</v>
      </c>
      <c r="O8" s="36">
        <f>1333.27+3021.83</f>
        <v>4355.1000000000004</v>
      </c>
      <c r="P8" s="36">
        <f>154.78+691.2+3867.71</f>
        <v>4713.6900000000005</v>
      </c>
      <c r="Q8" s="36">
        <f>1828.23+10541.64</f>
        <v>12369.869999999999</v>
      </c>
      <c r="R8" s="36">
        <f>1138.59</f>
        <v>1138.5899999999999</v>
      </c>
      <c r="S8" s="36"/>
      <c r="T8" s="36">
        <f>7762.22+1485.36+6755.16</f>
        <v>16002.74</v>
      </c>
      <c r="U8" s="36">
        <f>8623.14+6049.02</f>
        <v>14672.16</v>
      </c>
      <c r="V8" s="36"/>
      <c r="W8" s="36">
        <f>3749.26+1192.41</f>
        <v>4941.67</v>
      </c>
      <c r="X8" s="35">
        <v>1190.4100000000001</v>
      </c>
      <c r="Y8" s="29">
        <v>1127.96</v>
      </c>
      <c r="Z8" s="29">
        <v>1643.46</v>
      </c>
      <c r="AA8" s="70">
        <v>4180.3900000000003</v>
      </c>
      <c r="AB8" s="70">
        <v>7000</v>
      </c>
      <c r="AC8" s="26"/>
      <c r="AD8" s="26" t="s">
        <v>92</v>
      </c>
      <c r="AE8" s="26">
        <f>ROUND(SUM(Q8:AB8)-SUM(E8:P8)+AC8,2)</f>
        <v>8398.57</v>
      </c>
      <c r="AF8" s="26">
        <f>AE8/12</f>
        <v>699.88083333333327</v>
      </c>
      <c r="AG8" s="26">
        <f>AF8*8</f>
        <v>5599.0466666666662</v>
      </c>
      <c r="AH8" s="59"/>
      <c r="AI8" s="58" t="s">
        <v>69</v>
      </c>
    </row>
    <row r="9" spans="2:40" s="7" customFormat="1" x14ac:dyDescent="0.3">
      <c r="B9" s="1"/>
      <c r="C9" s="37" t="s">
        <v>62</v>
      </c>
      <c r="D9" s="111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2">Q8/E8</f>
        <v>1.1747633116707361</v>
      </c>
      <c r="R9" s="40">
        <f t="shared" si="2"/>
        <v>0.13404212486770492</v>
      </c>
      <c r="S9" s="40">
        <f t="shared" si="2"/>
        <v>0</v>
      </c>
      <c r="T9" s="40">
        <f t="shared" si="2"/>
        <v>1.7070590807994068</v>
      </c>
      <c r="U9" s="40">
        <f t="shared" si="2"/>
        <v>3.7749076351511284</v>
      </c>
      <c r="V9" s="40">
        <f t="shared" si="2"/>
        <v>0</v>
      </c>
      <c r="W9" s="40">
        <f t="shared" si="2"/>
        <v>5.5309359120721684</v>
      </c>
      <c r="X9" s="42">
        <f t="shared" si="2"/>
        <v>3.6056640920793583</v>
      </c>
      <c r="Y9" s="80">
        <f t="shared" si="2"/>
        <v>2.4431111784963937</v>
      </c>
      <c r="Z9" s="80">
        <f t="shared" si="2"/>
        <v>2.1037365113093789</v>
      </c>
      <c r="AA9" s="71">
        <f t="shared" si="2"/>
        <v>0.95988381437854464</v>
      </c>
      <c r="AB9" s="71">
        <f t="shared" si="2"/>
        <v>1.4850361394151925</v>
      </c>
      <c r="AC9" s="26"/>
      <c r="AD9" s="26"/>
      <c r="AE9" s="26"/>
      <c r="AF9" s="26"/>
      <c r="AG9" s="26"/>
      <c r="AI9" s="26"/>
      <c r="AN9"/>
    </row>
    <row r="10" spans="2:40" x14ac:dyDescent="0.3">
      <c r="B10" s="1" t="s">
        <v>6</v>
      </c>
      <c r="C10" s="14" t="s">
        <v>21</v>
      </c>
      <c r="D10" s="110"/>
      <c r="E10" s="15"/>
      <c r="F10" s="15"/>
      <c r="G10" s="9"/>
      <c r="H10" s="9"/>
      <c r="I10" s="9"/>
      <c r="J10" s="15"/>
      <c r="K10" s="15"/>
      <c r="L10" s="9"/>
      <c r="M10" s="9"/>
      <c r="N10" s="9"/>
      <c r="O10" s="9"/>
      <c r="P10" s="9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72"/>
      <c r="AB10" s="72"/>
      <c r="AC10" s="9"/>
      <c r="AD10" s="9"/>
      <c r="AE10" s="26">
        <f t="shared" ref="AE10:AE14" si="3">ROUND(SUM(Q10:AB10)-SUM(E10:P10)+AC10,2)</f>
        <v>0</v>
      </c>
      <c r="AF10" s="26">
        <f t="shared" ref="AF10:AF14" si="4">AE10/12</f>
        <v>0</v>
      </c>
      <c r="AG10" s="8"/>
      <c r="AI10" s="8"/>
    </row>
    <row r="11" spans="2:40" x14ac:dyDescent="0.3">
      <c r="B11" s="1" t="s">
        <v>7</v>
      </c>
      <c r="C11" s="14" t="s">
        <v>22</v>
      </c>
      <c r="D11" s="110"/>
      <c r="E11" s="15"/>
      <c r="F11" s="15"/>
      <c r="G11" s="9"/>
      <c r="H11" s="9"/>
      <c r="I11" s="9"/>
      <c r="J11" s="15"/>
      <c r="K11" s="15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73"/>
      <c r="AB11" s="73"/>
      <c r="AC11" s="9"/>
      <c r="AD11" s="9"/>
      <c r="AE11" s="26">
        <f t="shared" si="3"/>
        <v>0</v>
      </c>
      <c r="AF11" s="26">
        <f t="shared" si="4"/>
        <v>0</v>
      </c>
      <c r="AG11" s="21"/>
      <c r="AI11" s="21"/>
      <c r="AN11" s="7"/>
    </row>
    <row r="12" spans="2:40" x14ac:dyDescent="0.3">
      <c r="B12" s="1" t="s">
        <v>24</v>
      </c>
      <c r="C12" s="15" t="s">
        <v>23</v>
      </c>
      <c r="D12" s="110"/>
      <c r="E12" s="15"/>
      <c r="F12" s="15"/>
      <c r="G12" s="9"/>
      <c r="H12" s="9"/>
      <c r="I12" s="9"/>
      <c r="J12" s="15"/>
      <c r="K12" s="15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3"/>
      <c r="AB12" s="73"/>
      <c r="AC12" s="9"/>
      <c r="AD12" s="9"/>
      <c r="AE12" s="26">
        <f t="shared" si="3"/>
        <v>0</v>
      </c>
      <c r="AF12" s="26">
        <f t="shared" si="4"/>
        <v>0</v>
      </c>
      <c r="AG12" s="21"/>
      <c r="AI12" s="21"/>
    </row>
    <row r="13" spans="2:40" x14ac:dyDescent="0.3">
      <c r="B13" s="1" t="s">
        <v>25</v>
      </c>
      <c r="C13" s="14" t="s">
        <v>93</v>
      </c>
      <c r="D13" s="112">
        <v>2321</v>
      </c>
      <c r="E13" s="113"/>
      <c r="F13" s="113"/>
      <c r="G13" s="8"/>
      <c r="H13" s="8"/>
      <c r="I13" s="8"/>
      <c r="J13" s="113"/>
      <c r="K13" s="113"/>
      <c r="L13" s="8"/>
      <c r="M13" s="8">
        <v>7153.52</v>
      </c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>
        <v>11870.1</v>
      </c>
      <c r="Z13" s="8"/>
      <c r="AA13" s="115"/>
      <c r="AB13" s="115"/>
      <c r="AC13" s="9"/>
      <c r="AD13" s="9" t="s">
        <v>94</v>
      </c>
      <c r="AE13" s="26">
        <f t="shared" si="3"/>
        <v>4716.58</v>
      </c>
      <c r="AF13" s="26">
        <f t="shared" si="4"/>
        <v>393.04833333333335</v>
      </c>
      <c r="AG13" s="21"/>
      <c r="AI13" s="21"/>
    </row>
    <row r="14" spans="2:40" x14ac:dyDescent="0.3">
      <c r="B14" s="1" t="s">
        <v>32</v>
      </c>
      <c r="C14" s="14" t="s">
        <v>38</v>
      </c>
      <c r="D14" s="114"/>
      <c r="E14" s="16"/>
      <c r="F14" s="16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1"/>
      <c r="Z14" s="11"/>
      <c r="AA14" s="49"/>
      <c r="AB14" s="49"/>
      <c r="AC14" s="10"/>
      <c r="AD14" s="11"/>
      <c r="AE14" s="26">
        <f t="shared" si="3"/>
        <v>0</v>
      </c>
      <c r="AF14" s="26">
        <f t="shared" si="4"/>
        <v>0</v>
      </c>
      <c r="AG14" s="21"/>
      <c r="AI14" s="21"/>
    </row>
    <row r="15" spans="2:40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40" x14ac:dyDescent="0.3">
      <c r="C16" s="82" t="s">
        <v>43</v>
      </c>
      <c r="D16" s="82"/>
      <c r="E16" s="82"/>
      <c r="F16" s="82"/>
      <c r="J16" s="82"/>
      <c r="K16" s="82"/>
      <c r="L16" s="31"/>
      <c r="O16" s="32"/>
      <c r="P16" s="32"/>
    </row>
    <row r="17" spans="3:15" x14ac:dyDescent="0.3">
      <c r="C17" s="317" t="s">
        <v>44</v>
      </c>
      <c r="D17" s="317"/>
      <c r="E17" s="317"/>
      <c r="F17" s="317"/>
      <c r="O17" s="32"/>
    </row>
    <row r="18" spans="3:15" x14ac:dyDescent="0.3">
      <c r="C18" s="20" t="s">
        <v>45</v>
      </c>
    </row>
  </sheetData>
  <mergeCells count="13">
    <mergeCell ref="B2:AB2"/>
    <mergeCell ref="B4:B5"/>
    <mergeCell ref="C4:C5"/>
    <mergeCell ref="D4:D5"/>
    <mergeCell ref="E4:P4"/>
    <mergeCell ref="Q4:AB4"/>
    <mergeCell ref="AI4:AI5"/>
    <mergeCell ref="AC4:AC5"/>
    <mergeCell ref="AD4:AD5"/>
    <mergeCell ref="C17:F17"/>
    <mergeCell ref="AE4:AE5"/>
    <mergeCell ref="AF4:AF5"/>
    <mergeCell ref="AG4:AG5"/>
  </mergeCells>
  <pageMargins left="0.7" right="0.7" top="0.75" bottom="0.75" header="0.3" footer="0.3"/>
  <pageSetup paperSize="9" orientation="portrait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18"/>
  <sheetViews>
    <sheetView topLeftCell="B1" zoomScale="90" zoomScaleNormal="90" workbookViewId="0">
      <selection activeCell="M21" sqref="M21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28" width="9.6640625" customWidth="1"/>
    <col min="29" max="29" width="10.109375" customWidth="1"/>
    <col min="30" max="30" width="12.33203125" style="7" customWidth="1"/>
    <col min="31" max="31" width="13" customWidth="1"/>
    <col min="33" max="33" width="11.33203125" hidden="1" customWidth="1"/>
    <col min="34" max="34" width="8.88671875" hidden="1" customWidth="1"/>
    <col min="35" max="35" width="13.109375" customWidth="1"/>
    <col min="37" max="37" width="9.88671875" bestFit="1" customWidth="1"/>
  </cols>
  <sheetData>
    <row r="2" spans="2:39" ht="18" x14ac:dyDescent="0.35">
      <c r="B2" s="310" t="s">
        <v>79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52"/>
      <c r="AD2" s="52"/>
      <c r="AE2" s="52"/>
    </row>
    <row r="4" spans="2:39" ht="27.6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40.200000000000003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295" t="s">
        <v>58</v>
      </c>
      <c r="Z5" s="295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4.6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296" t="s">
        <v>18</v>
      </c>
      <c r="Z6" s="296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x14ac:dyDescent="0.3">
      <c r="B7" s="12" t="s">
        <v>2</v>
      </c>
      <c r="C7" s="13" t="s">
        <v>46</v>
      </c>
      <c r="D7" s="19" t="s">
        <v>47</v>
      </c>
      <c r="E7" s="28">
        <f t="shared" ref="E7:P7" si="0">SUM(E8:E14)</f>
        <v>7539.14</v>
      </c>
      <c r="F7" s="28">
        <f t="shared" si="0"/>
        <v>10476.189999999999</v>
      </c>
      <c r="G7" s="29">
        <f t="shared" si="0"/>
        <v>10303.710000000003</v>
      </c>
      <c r="H7" s="29">
        <f t="shared" si="0"/>
        <v>6718.4799999999959</v>
      </c>
      <c r="I7" s="29">
        <f t="shared" si="0"/>
        <v>3995.0400000000009</v>
      </c>
      <c r="J7" s="28">
        <f t="shared" si="0"/>
        <v>1738.820000000007</v>
      </c>
      <c r="K7" s="28">
        <f t="shared" si="0"/>
        <v>647.22999999999593</v>
      </c>
      <c r="L7" s="29">
        <f t="shared" si="0"/>
        <v>566.18999999999505</v>
      </c>
      <c r="M7" s="29">
        <f t="shared" si="0"/>
        <v>712.36000000000058</v>
      </c>
      <c r="N7" s="29">
        <f t="shared" si="0"/>
        <v>1934.8199999999997</v>
      </c>
      <c r="O7" s="29">
        <f t="shared" si="0"/>
        <v>4171.5599999999977</v>
      </c>
      <c r="P7" s="29">
        <f t="shared" si="0"/>
        <v>6291.6400000000067</v>
      </c>
      <c r="Q7" s="29">
        <f>Q8</f>
        <v>11900.42</v>
      </c>
      <c r="R7" s="29">
        <f t="shared" ref="R7:AC7" si="1">R8</f>
        <v>10955.01</v>
      </c>
      <c r="S7" s="29">
        <f t="shared" si="1"/>
        <v>9012.869999999999</v>
      </c>
      <c r="T7" s="29">
        <f t="shared" si="1"/>
        <v>8238.869999999999</v>
      </c>
      <c r="U7" s="29">
        <f t="shared" si="1"/>
        <v>5991.8699999999953</v>
      </c>
      <c r="V7" s="29">
        <f t="shared" si="1"/>
        <v>1351.8100000000049</v>
      </c>
      <c r="W7" s="29">
        <f t="shared" si="1"/>
        <v>1127.5899999999999</v>
      </c>
      <c r="X7" s="29">
        <f t="shared" si="1"/>
        <v>1210.9100000000001</v>
      </c>
      <c r="Y7" s="28">
        <f t="shared" si="1"/>
        <v>1221.68</v>
      </c>
      <c r="Z7" s="28">
        <f t="shared" si="1"/>
        <v>1418.67</v>
      </c>
      <c r="AA7" s="70">
        <f t="shared" si="1"/>
        <v>13440</v>
      </c>
      <c r="AB7" s="70">
        <f t="shared" si="1"/>
        <v>21120</v>
      </c>
      <c r="AC7" s="29">
        <f t="shared" si="1"/>
        <v>0</v>
      </c>
      <c r="AD7" s="29">
        <f>SUM(AD8:AD14)</f>
        <v>0</v>
      </c>
      <c r="AE7" s="28">
        <f>SUM(AE8:AE14)</f>
        <v>31894.52</v>
      </c>
      <c r="AF7" s="29">
        <f>SUM(AF8:AF14)</f>
        <v>2657.8766666666666</v>
      </c>
      <c r="AG7" s="29">
        <f>SUM(AG8:AG14)</f>
        <v>21263.013333333332</v>
      </c>
      <c r="AI7" s="29"/>
      <c r="AJ7" s="55">
        <f>SUM(E7:P7)</f>
        <v>55095.18</v>
      </c>
      <c r="AK7" s="55">
        <f>SUM(Q7:AC7)</f>
        <v>86989.7</v>
      </c>
      <c r="AL7" s="56">
        <f>AJ7-AK7</f>
        <v>-31894.519999999997</v>
      </c>
      <c r="AM7" s="57">
        <f>AK7/AJ7*100-100</f>
        <v>57.889855337617547</v>
      </c>
    </row>
    <row r="8" spans="2:39" ht="27" x14ac:dyDescent="0.3">
      <c r="B8" s="1" t="s">
        <v>5</v>
      </c>
      <c r="C8" s="34" t="s">
        <v>63</v>
      </c>
      <c r="D8" s="35"/>
      <c r="E8" s="35">
        <v>7539.14</v>
      </c>
      <c r="F8" s="35">
        <v>10476.189999999999</v>
      </c>
      <c r="G8" s="36">
        <v>10303.710000000003</v>
      </c>
      <c r="H8" s="36">
        <v>6718.4799999999959</v>
      </c>
      <c r="I8" s="36">
        <v>3995.0400000000009</v>
      </c>
      <c r="J8" s="36">
        <v>1738.820000000007</v>
      </c>
      <c r="K8" s="36">
        <v>647.22999999999593</v>
      </c>
      <c r="L8" s="36">
        <v>566.18999999999505</v>
      </c>
      <c r="M8" s="36">
        <v>712.36000000000058</v>
      </c>
      <c r="N8" s="36">
        <v>1934.8199999999997</v>
      </c>
      <c r="O8" s="36">
        <v>4171.5599999999977</v>
      </c>
      <c r="P8" s="36">
        <v>6291.6400000000067</v>
      </c>
      <c r="Q8" s="36">
        <v>11900.42</v>
      </c>
      <c r="R8" s="36">
        <v>10955.01</v>
      </c>
      <c r="S8" s="36">
        <v>9012.869999999999</v>
      </c>
      <c r="T8" s="36">
        <v>8238.869999999999</v>
      </c>
      <c r="U8" s="36">
        <v>5991.8699999999953</v>
      </c>
      <c r="V8" s="36">
        <v>1351.8100000000049</v>
      </c>
      <c r="W8" s="36">
        <v>1127.5899999999999</v>
      </c>
      <c r="X8" s="35">
        <v>1210.9100000000001</v>
      </c>
      <c r="Y8" s="28">
        <v>1221.68</v>
      </c>
      <c r="Z8" s="28">
        <v>1418.67</v>
      </c>
      <c r="AA8" s="70">
        <v>13440</v>
      </c>
      <c r="AB8" s="70">
        <v>21120</v>
      </c>
      <c r="AC8" s="26"/>
      <c r="AD8" s="26"/>
      <c r="AE8" s="26">
        <f>ROUND(SUM(Q8:AB8)-SUM(E8:P8)+AC8,2)</f>
        <v>31894.52</v>
      </c>
      <c r="AF8" s="26">
        <f>AE8/12</f>
        <v>2657.8766666666666</v>
      </c>
      <c r="AG8" s="26">
        <f>AF8*8</f>
        <v>21263.013333333332</v>
      </c>
      <c r="AH8" s="59"/>
      <c r="AI8" s="58" t="s">
        <v>69</v>
      </c>
    </row>
    <row r="9" spans="2:39" s="7" customFormat="1" x14ac:dyDescent="0.3">
      <c r="B9" s="1"/>
      <c r="C9" s="37" t="s">
        <v>62</v>
      </c>
      <c r="D9" s="38"/>
      <c r="E9" s="38"/>
      <c r="F9" s="38"/>
      <c r="G9" s="39"/>
      <c r="H9" s="39"/>
      <c r="I9" s="39"/>
      <c r="J9" s="39"/>
      <c r="K9" s="39"/>
      <c r="L9" s="39"/>
      <c r="M9" s="39"/>
      <c r="N9" s="39"/>
      <c r="O9" s="39"/>
      <c r="P9" s="39"/>
      <c r="Q9" s="40">
        <f t="shared" ref="Q9:AB9" si="2">Q8/E8</f>
        <v>1.5784850792000149</v>
      </c>
      <c r="R9" s="40">
        <f t="shared" si="2"/>
        <v>1.0457055475320705</v>
      </c>
      <c r="S9" s="40">
        <f t="shared" si="2"/>
        <v>0.87472085297431668</v>
      </c>
      <c r="T9" s="40">
        <f t="shared" si="2"/>
        <v>1.2262996987413826</v>
      </c>
      <c r="U9" s="40">
        <f t="shared" si="2"/>
        <v>1.4998272858344333</v>
      </c>
      <c r="V9" s="40">
        <f t="shared" si="2"/>
        <v>0.77742952116952846</v>
      </c>
      <c r="W9" s="40">
        <f t="shared" si="2"/>
        <v>1.7421782055838064</v>
      </c>
      <c r="X9" s="42">
        <f t="shared" si="2"/>
        <v>2.1386990232960854</v>
      </c>
      <c r="Y9" s="286">
        <f t="shared" si="2"/>
        <v>1.7149755741479014</v>
      </c>
      <c r="Z9" s="286">
        <f t="shared" si="2"/>
        <v>0.7332309982323939</v>
      </c>
      <c r="AA9" s="71">
        <f t="shared" si="2"/>
        <v>3.2218162989385286</v>
      </c>
      <c r="AB9" s="71">
        <f t="shared" si="2"/>
        <v>3.3568354196997885</v>
      </c>
      <c r="AC9" s="26"/>
      <c r="AD9" s="26"/>
      <c r="AE9" s="26"/>
      <c r="AF9" s="26"/>
      <c r="AG9" s="26"/>
      <c r="AI9" s="26"/>
    </row>
    <row r="10" spans="2:39" x14ac:dyDescent="0.3">
      <c r="B10" s="1" t="s">
        <v>6</v>
      </c>
      <c r="C10" s="14" t="s">
        <v>21</v>
      </c>
      <c r="D10" s="15"/>
      <c r="E10" s="15"/>
      <c r="F10" s="15"/>
      <c r="G10" s="9"/>
      <c r="H10" s="9"/>
      <c r="I10" s="9"/>
      <c r="J10" s="15"/>
      <c r="K10" s="15"/>
      <c r="L10" s="9"/>
      <c r="M10" s="9"/>
      <c r="N10" s="9"/>
      <c r="O10" s="9"/>
      <c r="P10" s="9"/>
      <c r="Q10" s="26"/>
      <c r="R10" s="26"/>
      <c r="S10" s="26"/>
      <c r="T10" s="26"/>
      <c r="U10" s="26"/>
      <c r="V10" s="26"/>
      <c r="W10" s="26"/>
      <c r="X10" s="26"/>
      <c r="Y10" s="25"/>
      <c r="Z10" s="25"/>
      <c r="AA10" s="72"/>
      <c r="AB10" s="72"/>
      <c r="AC10" s="9"/>
      <c r="AD10" s="9"/>
      <c r="AE10" s="26">
        <f t="shared" ref="AE10:AE14" si="3">ROUND(SUM(Q10:AB10)-SUM(E10:P10)+AC10,2)</f>
        <v>0</v>
      </c>
      <c r="AF10" s="8"/>
      <c r="AG10" s="8"/>
      <c r="AI10" s="8"/>
    </row>
    <row r="11" spans="2:39" x14ac:dyDescent="0.3">
      <c r="B11" s="1" t="s">
        <v>7</v>
      </c>
      <c r="C11" s="14" t="s">
        <v>22</v>
      </c>
      <c r="D11" s="15"/>
      <c r="E11" s="15"/>
      <c r="F11" s="15"/>
      <c r="G11" s="9"/>
      <c r="H11" s="9"/>
      <c r="I11" s="9"/>
      <c r="J11" s="15"/>
      <c r="K11" s="15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15"/>
      <c r="Z11" s="15"/>
      <c r="AA11" s="73"/>
      <c r="AB11" s="73"/>
      <c r="AC11" s="9"/>
      <c r="AD11" s="9"/>
      <c r="AE11" s="26">
        <f t="shared" si="3"/>
        <v>0</v>
      </c>
      <c r="AF11" s="21"/>
      <c r="AG11" s="21"/>
      <c r="AI11" s="21"/>
    </row>
    <row r="12" spans="2:39" x14ac:dyDescent="0.3">
      <c r="B12" s="1" t="s">
        <v>24</v>
      </c>
      <c r="C12" s="15" t="s">
        <v>23</v>
      </c>
      <c r="D12" s="15"/>
      <c r="E12" s="15"/>
      <c r="F12" s="15"/>
      <c r="G12" s="9"/>
      <c r="H12" s="9"/>
      <c r="I12" s="9"/>
      <c r="J12" s="15"/>
      <c r="K12" s="15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5"/>
      <c r="Z12" s="15"/>
      <c r="AA12" s="48"/>
      <c r="AB12" s="48"/>
      <c r="AC12" s="9"/>
      <c r="AD12" s="9"/>
      <c r="AE12" s="26">
        <f t="shared" si="3"/>
        <v>0</v>
      </c>
      <c r="AF12" s="21"/>
      <c r="AG12" s="21"/>
      <c r="AI12" s="21"/>
    </row>
    <row r="13" spans="2:39" x14ac:dyDescent="0.3">
      <c r="B13" s="1" t="s">
        <v>25</v>
      </c>
      <c r="C13" s="14" t="s">
        <v>38</v>
      </c>
      <c r="D13" s="15"/>
      <c r="E13" s="15"/>
      <c r="F13" s="15"/>
      <c r="G13" s="9"/>
      <c r="H13" s="9"/>
      <c r="I13" s="9"/>
      <c r="J13" s="15"/>
      <c r="K13" s="15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15"/>
      <c r="Z13" s="15"/>
      <c r="AA13" s="48"/>
      <c r="AB13" s="48"/>
      <c r="AC13" s="9"/>
      <c r="AD13" s="9"/>
      <c r="AE13" s="26">
        <f t="shared" si="3"/>
        <v>0</v>
      </c>
      <c r="AF13" s="21"/>
      <c r="AG13" s="21"/>
      <c r="AI13" s="21"/>
    </row>
    <row r="14" spans="2:39" x14ac:dyDescent="0.3">
      <c r="B14" s="1" t="s">
        <v>32</v>
      </c>
      <c r="C14" s="14" t="s">
        <v>38</v>
      </c>
      <c r="D14" s="16"/>
      <c r="E14" s="16"/>
      <c r="F14" s="16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6"/>
      <c r="Z14" s="16"/>
      <c r="AA14" s="49"/>
      <c r="AB14" s="49"/>
      <c r="AC14" s="10"/>
      <c r="AD14" s="11"/>
      <c r="AE14" s="26">
        <f t="shared" si="3"/>
        <v>0</v>
      </c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51" t="s">
        <v>80</v>
      </c>
      <c r="D16" s="51"/>
      <c r="E16" s="51"/>
      <c r="F16" s="51"/>
      <c r="J16" s="51"/>
      <c r="K16" s="51"/>
      <c r="L16" s="31"/>
      <c r="O16" s="32"/>
      <c r="P16" s="32"/>
    </row>
    <row r="17" spans="3:15" x14ac:dyDescent="0.3">
      <c r="C17" s="317" t="s">
        <v>81</v>
      </c>
      <c r="D17" s="317"/>
      <c r="E17" s="317"/>
      <c r="F17" s="317"/>
      <c r="O17" s="32"/>
    </row>
    <row r="18" spans="3:15" x14ac:dyDescent="0.3">
      <c r="C18" s="20" t="s">
        <v>45</v>
      </c>
    </row>
  </sheetData>
  <mergeCells count="13">
    <mergeCell ref="AI4:AI5"/>
    <mergeCell ref="C17:F17"/>
    <mergeCell ref="AC4:AC5"/>
    <mergeCell ref="AD4:AD5"/>
    <mergeCell ref="AE4:AE5"/>
    <mergeCell ref="AF4:AF5"/>
    <mergeCell ref="AG4:AG5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35"/>
  <sheetViews>
    <sheetView topLeftCell="B1" zoomScale="80" zoomScaleNormal="80" workbookViewId="0">
      <selection activeCell="L24" sqref="L24"/>
    </sheetView>
  </sheetViews>
  <sheetFormatPr defaultRowHeight="14.4" x14ac:dyDescent="0.3"/>
  <cols>
    <col min="1" max="1" width="4.88671875" hidden="1" customWidth="1"/>
    <col min="2" max="2" width="6.33203125" customWidth="1"/>
    <col min="3" max="3" width="32.6640625" customWidth="1"/>
    <col min="4" max="4" width="10" customWidth="1"/>
    <col min="5" max="5" width="9.6640625" customWidth="1"/>
    <col min="6" max="6" width="10.33203125" customWidth="1"/>
    <col min="7" max="9" width="9.6640625" customWidth="1"/>
    <col min="10" max="10" width="9.5546875" customWidth="1"/>
    <col min="11" max="28" width="9.6640625" customWidth="1"/>
    <col min="29" max="29" width="10.109375" customWidth="1"/>
    <col min="30" max="30" width="14.109375" style="7" customWidth="1"/>
    <col min="31" max="31" width="13" customWidth="1"/>
    <col min="32" max="32" width="10.33203125" customWidth="1"/>
    <col min="33" max="33" width="11.33203125" hidden="1" customWidth="1"/>
    <col min="34" max="34" width="8.88671875" hidden="1" customWidth="1"/>
    <col min="35" max="35" width="13.109375" customWidth="1"/>
    <col min="36" max="36" width="11.33203125" customWidth="1"/>
    <col min="37" max="37" width="11.44140625" customWidth="1"/>
    <col min="41" max="41" width="13.109375" customWidth="1"/>
  </cols>
  <sheetData>
    <row r="2" spans="2:41" ht="17.399999999999999" x14ac:dyDescent="0.3">
      <c r="B2" s="310" t="s">
        <v>101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139"/>
      <c r="AD2" s="139"/>
      <c r="AE2" s="139"/>
    </row>
    <row r="4" spans="2:41" ht="31.2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41" ht="40.200000000000003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6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6" t="s">
        <v>58</v>
      </c>
      <c r="Z5" s="6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41" ht="24.6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136" t="s">
        <v>18</v>
      </c>
      <c r="Z6" s="136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41" x14ac:dyDescent="0.3">
      <c r="B7" s="12" t="s">
        <v>2</v>
      </c>
      <c r="C7" s="13" t="s">
        <v>46</v>
      </c>
      <c r="D7" s="19" t="s">
        <v>47</v>
      </c>
      <c r="E7" s="28">
        <f t="shared" ref="E7:P7" si="0">SUM(E8:E13)</f>
        <v>32766.074000000001</v>
      </c>
      <c r="F7" s="28">
        <f t="shared" si="0"/>
        <v>87279.974100000007</v>
      </c>
      <c r="G7" s="28">
        <f t="shared" si="0"/>
        <v>84646.651100000003</v>
      </c>
      <c r="H7" s="28">
        <f t="shared" si="0"/>
        <v>66563.781899999987</v>
      </c>
      <c r="I7" s="28">
        <f t="shared" si="0"/>
        <v>46293.958700000003</v>
      </c>
      <c r="J7" s="28">
        <f t="shared" si="0"/>
        <v>19890.693899999998</v>
      </c>
      <c r="K7" s="28">
        <f t="shared" si="0"/>
        <v>6502.8666999999996</v>
      </c>
      <c r="L7" s="28">
        <f t="shared" si="0"/>
        <v>8433.34</v>
      </c>
      <c r="M7" s="28">
        <f t="shared" si="0"/>
        <v>5938.8749999999991</v>
      </c>
      <c r="N7" s="28">
        <f t="shared" si="0"/>
        <v>26994.355</v>
      </c>
      <c r="O7" s="28">
        <f t="shared" si="0"/>
        <v>60617.285000000003</v>
      </c>
      <c r="P7" s="28">
        <f t="shared" si="0"/>
        <v>160639.1</v>
      </c>
      <c r="Q7" s="29">
        <f>SUM(Q8+Q10+Q13)</f>
        <v>101598.5575</v>
      </c>
      <c r="R7" s="29">
        <f t="shared" ref="R7:AC7" si="1">SUM(R8+R10+R13)</f>
        <v>135539.0091</v>
      </c>
      <c r="S7" s="29">
        <f t="shared" si="1"/>
        <v>113775.68289999999</v>
      </c>
      <c r="T7" s="29">
        <f t="shared" si="1"/>
        <v>120357.9014</v>
      </c>
      <c r="U7" s="29">
        <f t="shared" si="1"/>
        <v>91544.498100000012</v>
      </c>
      <c r="V7" s="29">
        <f t="shared" si="1"/>
        <v>42411.976199999997</v>
      </c>
      <c r="W7" s="29">
        <f t="shared" si="1"/>
        <v>9891.7016000000003</v>
      </c>
      <c r="X7" s="29">
        <f t="shared" si="1"/>
        <v>6994.75</v>
      </c>
      <c r="Y7" s="29">
        <f t="shared" si="1"/>
        <v>7719.39</v>
      </c>
      <c r="Z7" s="29">
        <f t="shared" si="1"/>
        <v>23518.140000000003</v>
      </c>
      <c r="AA7" s="303">
        <f t="shared" si="1"/>
        <v>207278.03305006921</v>
      </c>
      <c r="AB7" s="303">
        <f t="shared" si="1"/>
        <v>293926.59637777519</v>
      </c>
      <c r="AC7" s="29">
        <f t="shared" si="1"/>
        <v>0</v>
      </c>
      <c r="AD7" s="29">
        <f>SUM(AD8:AD13)</f>
        <v>0</v>
      </c>
      <c r="AE7" s="28">
        <f>SUM(AE8:AE13)</f>
        <v>547989.27999999991</v>
      </c>
      <c r="AF7" s="28">
        <f>SUM(AF8:AF13)</f>
        <v>45665.773333333324</v>
      </c>
      <c r="AG7" s="29">
        <f>SUM(AG8:AG13)</f>
        <v>301309.8133333333</v>
      </c>
      <c r="AI7" s="29"/>
      <c r="AJ7" s="55">
        <f>SUM(E7:P7)</f>
        <v>606566.95540000009</v>
      </c>
      <c r="AK7" s="55">
        <f>SUM(Q7:AC7)</f>
        <v>1154556.2362278444</v>
      </c>
      <c r="AL7" s="56">
        <f>AJ7-AK7</f>
        <v>-547989.28082784428</v>
      </c>
      <c r="AM7" s="57">
        <f>AK7/AJ7*100-100</f>
        <v>90.342752098401604</v>
      </c>
      <c r="AO7" s="140"/>
    </row>
    <row r="8" spans="2:41" ht="27" x14ac:dyDescent="0.3">
      <c r="B8" s="1" t="s">
        <v>5</v>
      </c>
      <c r="C8" s="34" t="s">
        <v>63</v>
      </c>
      <c r="D8" s="141">
        <v>2221</v>
      </c>
      <c r="E8" s="64">
        <v>25455.592799999999</v>
      </c>
      <c r="F8" s="64">
        <v>78654.476999999999</v>
      </c>
      <c r="G8" s="65">
        <v>76788.778000000006</v>
      </c>
      <c r="H8" s="65">
        <v>60065.222799999996</v>
      </c>
      <c r="I8" s="65">
        <v>41082.500800000002</v>
      </c>
      <c r="J8" s="64">
        <v>18628.518699999997</v>
      </c>
      <c r="K8" s="64">
        <v>5487.8218999999999</v>
      </c>
      <c r="L8" s="65">
        <v>8077.41</v>
      </c>
      <c r="M8" s="65">
        <v>4485.57</v>
      </c>
      <c r="N8" s="65">
        <v>24214.28</v>
      </c>
      <c r="O8" s="65">
        <v>52512.68</v>
      </c>
      <c r="P8" s="65">
        <v>140361.73000000001</v>
      </c>
      <c r="Q8" s="26">
        <v>78037.921499999997</v>
      </c>
      <c r="R8" s="26">
        <v>116083.0319</v>
      </c>
      <c r="S8" s="26">
        <v>97397.945699999997</v>
      </c>
      <c r="T8" s="26">
        <v>103562.8836</v>
      </c>
      <c r="U8" s="26">
        <v>78454.560800000007</v>
      </c>
      <c r="V8" s="26">
        <v>35747.356699999997</v>
      </c>
      <c r="W8" s="26">
        <v>8583.4254000000001</v>
      </c>
      <c r="X8" s="26">
        <v>6177.49</v>
      </c>
      <c r="Y8" s="35">
        <v>6796.0300000000007</v>
      </c>
      <c r="Z8" s="35">
        <v>19465.170000000002</v>
      </c>
      <c r="AA8" s="70">
        <v>184911.94360087643</v>
      </c>
      <c r="AB8" s="70">
        <v>252561.54508938966</v>
      </c>
      <c r="AC8" s="26"/>
      <c r="AD8" s="26"/>
      <c r="AE8" s="26">
        <f>ROUND(SUM(Q8:AB8)-SUM(E8:P8)+AC8,2)</f>
        <v>451964.72</v>
      </c>
      <c r="AF8" s="26">
        <f>AE8/12</f>
        <v>37663.726666666662</v>
      </c>
      <c r="AG8" s="26">
        <f>AF8*8</f>
        <v>301309.8133333333</v>
      </c>
      <c r="AH8" s="59"/>
      <c r="AI8" s="58" t="s">
        <v>69</v>
      </c>
      <c r="AO8" s="140"/>
    </row>
    <row r="9" spans="2:41" s="7" customFormat="1" x14ac:dyDescent="0.3">
      <c r="B9" s="1"/>
      <c r="C9" s="37" t="s">
        <v>62</v>
      </c>
      <c r="D9" s="38"/>
      <c r="E9" s="25"/>
      <c r="F9" s="25"/>
      <c r="G9" s="26"/>
      <c r="H9" s="26"/>
      <c r="I9" s="26"/>
      <c r="J9" s="26"/>
      <c r="K9" s="26"/>
      <c r="L9" s="26"/>
      <c r="M9" s="26"/>
      <c r="N9" s="26"/>
      <c r="O9" s="26"/>
      <c r="P9" s="26"/>
      <c r="Q9" s="80">
        <f>Q8/E8</f>
        <v>3.0656493491677792</v>
      </c>
      <c r="R9" s="80">
        <f t="shared" ref="R9:AB9" si="2">R8/F8</f>
        <v>1.4758604510204805</v>
      </c>
      <c r="S9" s="80">
        <f t="shared" si="2"/>
        <v>1.2683877545231934</v>
      </c>
      <c r="T9" s="80">
        <f t="shared" si="2"/>
        <v>1.7241738026151134</v>
      </c>
      <c r="U9" s="80">
        <f t="shared" si="2"/>
        <v>1.909683180727888</v>
      </c>
      <c r="V9" s="80">
        <f t="shared" si="2"/>
        <v>1.9189586287394931</v>
      </c>
      <c r="W9" s="80">
        <f t="shared" si="2"/>
        <v>1.5640859992194718</v>
      </c>
      <c r="X9" s="80">
        <f t="shared" si="2"/>
        <v>0.76478598956843835</v>
      </c>
      <c r="Y9" s="80">
        <f t="shared" si="2"/>
        <v>1.5150872687306187</v>
      </c>
      <c r="Z9" s="80">
        <f t="shared" si="2"/>
        <v>0.80387151713782123</v>
      </c>
      <c r="AA9" s="71">
        <f t="shared" si="2"/>
        <v>3.5212817856730303</v>
      </c>
      <c r="AB9" s="71">
        <f t="shared" si="2"/>
        <v>1.7993618708560348</v>
      </c>
      <c r="AC9" s="26"/>
      <c r="AD9" s="26"/>
      <c r="AE9" s="26"/>
      <c r="AF9" s="154"/>
      <c r="AG9" s="154"/>
      <c r="AI9" s="154"/>
      <c r="AO9" s="140"/>
    </row>
    <row r="10" spans="2:41" x14ac:dyDescent="0.3">
      <c r="B10" s="1" t="s">
        <v>6</v>
      </c>
      <c r="C10" s="14" t="s">
        <v>21</v>
      </c>
      <c r="D10" s="141">
        <v>2329</v>
      </c>
      <c r="E10" s="64">
        <v>5234.3148000000001</v>
      </c>
      <c r="F10" s="64">
        <v>6549.3306999999995</v>
      </c>
      <c r="G10" s="65">
        <v>5781.7067000000006</v>
      </c>
      <c r="H10" s="65">
        <v>5460.4758999999995</v>
      </c>
      <c r="I10" s="65">
        <v>4149.6828999999998</v>
      </c>
      <c r="J10" s="64">
        <v>1262.1751999999999</v>
      </c>
      <c r="K10" s="64">
        <v>1015.0448</v>
      </c>
      <c r="L10" s="9">
        <v>355.92999999999995</v>
      </c>
      <c r="M10" s="9">
        <v>391.53000000000003</v>
      </c>
      <c r="N10" s="9">
        <v>1718.3</v>
      </c>
      <c r="O10" s="9">
        <v>7042.83</v>
      </c>
      <c r="P10" s="9">
        <v>18153.82</v>
      </c>
      <c r="Q10" s="26">
        <v>21437.085999999999</v>
      </c>
      <c r="R10" s="26">
        <v>17332.427199999998</v>
      </c>
      <c r="S10" s="26">
        <v>15315.9622</v>
      </c>
      <c r="T10" s="26">
        <v>15668.350499999999</v>
      </c>
      <c r="U10" s="26">
        <v>11963.27</v>
      </c>
      <c r="V10" s="26">
        <v>5537.9521999999997</v>
      </c>
      <c r="W10" s="26">
        <v>1308.2762</v>
      </c>
      <c r="X10" s="26">
        <v>817.25999999999988</v>
      </c>
      <c r="Y10" s="25">
        <v>923.36</v>
      </c>
      <c r="Z10" s="25">
        <v>4052.97</v>
      </c>
      <c r="AA10" s="72">
        <v>20461.428899999999</v>
      </c>
      <c r="AB10" s="72">
        <v>37555.730189999995</v>
      </c>
      <c r="AC10" s="9"/>
      <c r="AD10" s="9"/>
      <c r="AE10" s="26">
        <f t="shared" ref="AE10:AE14" si="3">ROUND(SUM(Q10:AB10)-SUM(E10:P10)+AC10,2)</f>
        <v>95258.93</v>
      </c>
      <c r="AF10" s="26">
        <f t="shared" ref="AF10:AF14" si="4">AE10/12</f>
        <v>7938.2441666666664</v>
      </c>
      <c r="AG10" s="8"/>
      <c r="AH10" s="21"/>
      <c r="AI10" s="8"/>
      <c r="AO10" s="140"/>
    </row>
    <row r="11" spans="2:41" x14ac:dyDescent="0.3">
      <c r="B11" s="1" t="s">
        <v>7</v>
      </c>
      <c r="C11" s="14" t="s">
        <v>22</v>
      </c>
      <c r="D11" s="15"/>
      <c r="E11" s="15"/>
      <c r="F11" s="15"/>
      <c r="G11" s="9"/>
      <c r="H11" s="9"/>
      <c r="I11" s="9"/>
      <c r="J11" s="15"/>
      <c r="K11" s="15"/>
      <c r="L11" s="9"/>
      <c r="M11" s="9"/>
      <c r="N11" s="9"/>
      <c r="O11" s="9"/>
      <c r="P11" s="9"/>
      <c r="Q11" s="26"/>
      <c r="R11" s="26"/>
      <c r="S11" s="26"/>
      <c r="T11" s="26"/>
      <c r="U11" s="26"/>
      <c r="V11" s="26"/>
      <c r="W11" s="26"/>
      <c r="X11" s="26"/>
      <c r="Y11" s="15"/>
      <c r="Z11" s="15"/>
      <c r="AA11" s="304"/>
      <c r="AB11" s="304"/>
      <c r="AC11" s="9"/>
      <c r="AD11" s="9"/>
      <c r="AE11" s="26">
        <f t="shared" si="3"/>
        <v>0</v>
      </c>
      <c r="AF11" s="26">
        <f t="shared" si="4"/>
        <v>0</v>
      </c>
      <c r="AG11" s="21"/>
      <c r="AH11" s="21"/>
      <c r="AI11" s="21"/>
      <c r="AO11" s="140"/>
    </row>
    <row r="12" spans="2:41" x14ac:dyDescent="0.3">
      <c r="B12" s="1" t="s">
        <v>24</v>
      </c>
      <c r="C12" s="15" t="s">
        <v>23</v>
      </c>
      <c r="D12" s="15"/>
      <c r="E12" s="15"/>
      <c r="F12" s="15"/>
      <c r="G12" s="9"/>
      <c r="H12" s="9"/>
      <c r="I12" s="9"/>
      <c r="J12" s="15"/>
      <c r="K12" s="15"/>
      <c r="L12" s="9"/>
      <c r="M12" s="9"/>
      <c r="N12" s="9"/>
      <c r="O12" s="9"/>
      <c r="P12" s="9"/>
      <c r="Q12" s="26"/>
      <c r="R12" s="26"/>
      <c r="S12" s="26"/>
      <c r="T12" s="26"/>
      <c r="U12" s="26"/>
      <c r="V12" s="26"/>
      <c r="W12" s="26"/>
      <c r="X12" s="26"/>
      <c r="Y12" s="15"/>
      <c r="Z12" s="15"/>
      <c r="AA12" s="304"/>
      <c r="AB12" s="304"/>
      <c r="AC12" s="9"/>
      <c r="AD12" s="9"/>
      <c r="AE12" s="26">
        <f t="shared" si="3"/>
        <v>0</v>
      </c>
      <c r="AF12" s="26">
        <f t="shared" si="4"/>
        <v>0</v>
      </c>
      <c r="AG12" s="21"/>
      <c r="AH12" s="21"/>
      <c r="AI12" s="21"/>
      <c r="AO12" s="140"/>
    </row>
    <row r="13" spans="2:41" x14ac:dyDescent="0.3">
      <c r="B13" s="1" t="s">
        <v>25</v>
      </c>
      <c r="C13" s="142" t="s">
        <v>102</v>
      </c>
      <c r="D13" s="141">
        <v>2321</v>
      </c>
      <c r="E13" s="64">
        <v>2076.1664000000001</v>
      </c>
      <c r="F13" s="64">
        <v>2076.1664000000001</v>
      </c>
      <c r="G13" s="65">
        <v>2076.1664000000001</v>
      </c>
      <c r="H13" s="65">
        <v>1038.0832</v>
      </c>
      <c r="I13" s="65">
        <v>1061.7749999999999</v>
      </c>
      <c r="J13" s="15">
        <v>0</v>
      </c>
      <c r="K13" s="15">
        <v>0</v>
      </c>
      <c r="L13" s="9">
        <v>0</v>
      </c>
      <c r="M13" s="9">
        <v>1061.7749999999999</v>
      </c>
      <c r="N13" s="9">
        <v>1061.7749999999999</v>
      </c>
      <c r="O13" s="9">
        <v>1061.7749999999999</v>
      </c>
      <c r="P13" s="9">
        <v>2123.5499999999997</v>
      </c>
      <c r="Q13" s="26">
        <v>2123.5499999999997</v>
      </c>
      <c r="R13" s="26">
        <v>2123.5499999999997</v>
      </c>
      <c r="S13" s="26">
        <v>1061.7749999999999</v>
      </c>
      <c r="T13" s="26">
        <v>1126.6673000000001</v>
      </c>
      <c r="U13" s="26">
        <v>1126.6673000000001</v>
      </c>
      <c r="V13" s="26">
        <v>1126.6673000000001</v>
      </c>
      <c r="W13" s="26">
        <v>0</v>
      </c>
      <c r="X13" s="26">
        <v>0</v>
      </c>
      <c r="Y13" s="26">
        <v>0</v>
      </c>
      <c r="Z13" s="26">
        <v>0</v>
      </c>
      <c r="AA13" s="305">
        <v>1904.6605491927685</v>
      </c>
      <c r="AB13" s="305">
        <v>3809.321098385537</v>
      </c>
      <c r="AC13" s="9"/>
      <c r="AD13" s="9"/>
      <c r="AE13" s="26">
        <f t="shared" si="3"/>
        <v>765.63</v>
      </c>
      <c r="AF13" s="26">
        <f t="shared" si="4"/>
        <v>63.802500000000002</v>
      </c>
      <c r="AG13" s="21"/>
      <c r="AH13" s="21"/>
      <c r="AI13" s="21"/>
      <c r="AO13" s="140"/>
    </row>
    <row r="14" spans="2:41" x14ac:dyDescent="0.3">
      <c r="B14" s="1" t="s">
        <v>32</v>
      </c>
      <c r="C14" s="14" t="s">
        <v>38</v>
      </c>
      <c r="D14" s="16"/>
      <c r="E14" s="16"/>
      <c r="F14" s="16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49"/>
      <c r="AB14" s="49"/>
      <c r="AC14" s="10"/>
      <c r="AD14" s="11"/>
      <c r="AE14" s="21">
        <f t="shared" si="3"/>
        <v>0</v>
      </c>
      <c r="AF14" s="26">
        <f t="shared" si="4"/>
        <v>0</v>
      </c>
      <c r="AG14" s="21"/>
      <c r="AH14" s="21"/>
      <c r="AI14" s="21"/>
    </row>
    <row r="15" spans="2:41" x14ac:dyDescent="0.3">
      <c r="C15" s="138" t="s">
        <v>43</v>
      </c>
      <c r="D15" s="138"/>
      <c r="E15" s="138"/>
      <c r="F15" s="138"/>
      <c r="J15" s="138"/>
      <c r="K15" s="138"/>
      <c r="L15" s="31"/>
      <c r="O15" s="32"/>
      <c r="P15" s="32"/>
    </row>
    <row r="16" spans="2:41" x14ac:dyDescent="0.3">
      <c r="C16" s="317" t="s">
        <v>44</v>
      </c>
      <c r="D16" s="317"/>
      <c r="E16" s="317"/>
      <c r="F16" s="317"/>
      <c r="O16" s="32"/>
    </row>
    <row r="17" spans="3:30" x14ac:dyDescent="0.3">
      <c r="C17" s="20" t="s">
        <v>45</v>
      </c>
      <c r="E17" s="132"/>
      <c r="AD17" s="31"/>
    </row>
    <row r="18" spans="3:30" x14ac:dyDescent="0.3">
      <c r="J18" s="143"/>
      <c r="AC18" s="132"/>
      <c r="AD18" s="144"/>
    </row>
    <row r="19" spans="3:30" x14ac:dyDescent="0.3">
      <c r="O19" t="s">
        <v>103</v>
      </c>
      <c r="R19">
        <v>22449.919999999998</v>
      </c>
      <c r="S19">
        <v>22782.25</v>
      </c>
      <c r="T19">
        <v>23541.25</v>
      </c>
      <c r="U19">
        <v>22030</v>
      </c>
      <c r="Y19" s="31"/>
      <c r="AD19" s="31"/>
    </row>
    <row r="20" spans="3:30" x14ac:dyDescent="0.3">
      <c r="C20" s="31"/>
      <c r="Y20" s="31"/>
      <c r="AC20" s="132"/>
      <c r="AD20" s="145"/>
    </row>
    <row r="21" spans="3:30" x14ac:dyDescent="0.3">
      <c r="C21" s="31"/>
      <c r="X21" s="31"/>
      <c r="Y21" s="31"/>
      <c r="AD21" s="145"/>
    </row>
    <row r="23" spans="3:30" x14ac:dyDescent="0.3">
      <c r="AD23" s="145"/>
    </row>
    <row r="24" spans="3:30" x14ac:dyDescent="0.3">
      <c r="C24" s="31"/>
    </row>
    <row r="25" spans="3:30" x14ac:dyDescent="0.3">
      <c r="C25" s="31"/>
      <c r="F25" s="31"/>
      <c r="Q25" s="146"/>
      <c r="R25" s="146"/>
      <c r="S25" s="146"/>
      <c r="T25" s="146"/>
      <c r="U25" s="146"/>
      <c r="V25" s="146"/>
      <c r="W25" s="146"/>
      <c r="X25" s="146"/>
      <c r="AD25" s="145"/>
    </row>
    <row r="26" spans="3:30" x14ac:dyDescent="0.3">
      <c r="C26" s="31"/>
      <c r="Q26" s="146"/>
      <c r="R26" s="146"/>
      <c r="S26" s="146"/>
      <c r="T26" s="146"/>
      <c r="U26" s="146"/>
      <c r="V26" s="146"/>
      <c r="W26" s="146"/>
      <c r="X26" s="146"/>
    </row>
    <row r="27" spans="3:30" x14ac:dyDescent="0.3">
      <c r="Q27" s="146"/>
      <c r="R27" s="146"/>
      <c r="S27" s="146"/>
      <c r="T27" s="146"/>
      <c r="U27" s="146"/>
      <c r="V27" s="146"/>
      <c r="W27" s="146"/>
      <c r="X27" s="146"/>
    </row>
    <row r="28" spans="3:30" x14ac:dyDescent="0.3">
      <c r="Q28" s="146"/>
      <c r="R28" s="146"/>
      <c r="S28" s="146"/>
      <c r="T28" s="146"/>
      <c r="U28" s="146"/>
      <c r="V28" s="146"/>
      <c r="W28" s="146"/>
      <c r="X28" s="146"/>
    </row>
    <row r="29" spans="3:30" x14ac:dyDescent="0.3">
      <c r="C29" s="31"/>
      <c r="Q29" s="146"/>
      <c r="R29" s="146"/>
      <c r="S29" s="146"/>
      <c r="T29" s="146"/>
      <c r="U29" s="146"/>
      <c r="V29" s="146"/>
      <c r="W29" s="146"/>
      <c r="X29" s="146"/>
    </row>
    <row r="30" spans="3:30" x14ac:dyDescent="0.3">
      <c r="C30" s="31"/>
      <c r="Q30" s="146"/>
      <c r="R30" s="146"/>
      <c r="S30" s="146"/>
      <c r="T30" s="146"/>
      <c r="U30" s="146"/>
      <c r="V30" s="146"/>
      <c r="W30" s="146"/>
      <c r="X30" s="146"/>
    </row>
    <row r="31" spans="3:30" x14ac:dyDescent="0.3">
      <c r="Q31" s="146"/>
      <c r="R31" s="146"/>
      <c r="S31" s="146"/>
      <c r="T31" s="146"/>
      <c r="U31" s="146"/>
      <c r="V31" s="146"/>
      <c r="W31" s="146"/>
      <c r="X31" s="146"/>
    </row>
    <row r="32" spans="3:30" x14ac:dyDescent="0.3">
      <c r="Q32" s="146"/>
      <c r="R32" s="146"/>
      <c r="S32" s="146"/>
      <c r="T32" s="146"/>
      <c r="U32" s="146"/>
      <c r="V32" s="146"/>
      <c r="W32" s="146"/>
      <c r="X32" s="146"/>
    </row>
    <row r="33" spans="3:24" x14ac:dyDescent="0.3">
      <c r="Q33" s="146"/>
      <c r="R33" s="146"/>
      <c r="S33" s="146"/>
      <c r="T33" s="146"/>
      <c r="U33" s="146"/>
      <c r="V33" s="146"/>
      <c r="W33" s="146"/>
      <c r="X33" s="146"/>
    </row>
    <row r="34" spans="3:24" x14ac:dyDescent="0.3">
      <c r="Q34" s="146"/>
      <c r="R34" s="146"/>
      <c r="S34" s="146"/>
      <c r="T34" s="146"/>
      <c r="U34" s="146"/>
      <c r="V34" s="146"/>
      <c r="W34" s="146"/>
      <c r="X34" s="146"/>
    </row>
    <row r="35" spans="3:24" x14ac:dyDescent="0.3">
      <c r="C35" s="31"/>
      <c r="Q35" s="146"/>
      <c r="R35" s="146"/>
      <c r="S35" s="146"/>
      <c r="T35" s="146"/>
      <c r="U35" s="146"/>
      <c r="V35" s="146"/>
      <c r="W35" s="146"/>
      <c r="X35" s="146"/>
    </row>
  </sheetData>
  <mergeCells count="13">
    <mergeCell ref="AF4:AF5"/>
    <mergeCell ref="AG4:AG5"/>
    <mergeCell ref="AI4:AI5"/>
    <mergeCell ref="AC4:AC5"/>
    <mergeCell ref="AD4:AD5"/>
    <mergeCell ref="C16:F16"/>
    <mergeCell ref="AE4:AE5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18"/>
  <sheetViews>
    <sheetView topLeftCell="B1" zoomScale="80" zoomScaleNormal="80" workbookViewId="0">
      <selection activeCell="N19" sqref="N19"/>
    </sheetView>
  </sheetViews>
  <sheetFormatPr defaultColWidth="9.109375" defaultRowHeight="13.8" x14ac:dyDescent="0.25"/>
  <cols>
    <col min="1" max="1" width="4.6640625" style="232" hidden="1" customWidth="1"/>
    <col min="2" max="2" width="6.33203125" style="232" customWidth="1"/>
    <col min="3" max="3" width="33.6640625" style="232" customWidth="1"/>
    <col min="4" max="4" width="12.109375" style="232" customWidth="1"/>
    <col min="5" max="5" width="11.5546875" style="232" customWidth="1"/>
    <col min="6" max="6" width="9.6640625" style="232" customWidth="1"/>
    <col min="7" max="7" width="14" style="232" customWidth="1"/>
    <col min="8" max="28" width="9.6640625" style="232" customWidth="1"/>
    <col min="29" max="29" width="10.33203125" style="232" customWidth="1"/>
    <col min="30" max="33" width="14.33203125" style="232" customWidth="1"/>
    <col min="34" max="34" width="0.109375" style="232" customWidth="1"/>
    <col min="35" max="35" width="11.33203125" style="232" bestFit="1" customWidth="1"/>
    <col min="36" max="36" width="13.44140625" style="232" customWidth="1"/>
    <col min="37" max="38" width="12" style="232" customWidth="1"/>
    <col min="39" max="16384" width="9.109375" style="232"/>
  </cols>
  <sheetData>
    <row r="2" spans="2:39" ht="18" x14ac:dyDescent="0.35">
      <c r="B2" s="347" t="s">
        <v>105</v>
      </c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231"/>
      <c r="AD2" s="231"/>
      <c r="AE2" s="231"/>
      <c r="AF2" s="231"/>
      <c r="AG2" s="231"/>
      <c r="AH2" s="231"/>
    </row>
    <row r="4" spans="2:39" ht="37.950000000000003" customHeight="1" x14ac:dyDescent="0.3">
      <c r="B4" s="348" t="s">
        <v>1</v>
      </c>
      <c r="C4" s="349" t="s">
        <v>49</v>
      </c>
      <c r="D4" s="349" t="s">
        <v>0</v>
      </c>
      <c r="E4" s="350" t="s">
        <v>36</v>
      </c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2"/>
      <c r="Q4" s="322" t="s">
        <v>170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46" t="s">
        <v>42</v>
      </c>
      <c r="AD4" s="346" t="s">
        <v>9</v>
      </c>
      <c r="AE4" s="312" t="s">
        <v>67</v>
      </c>
      <c r="AF4" s="312" t="s">
        <v>52</v>
      </c>
      <c r="AG4" s="312" t="s">
        <v>53</v>
      </c>
      <c r="AH4"/>
      <c r="AI4" s="345" t="s">
        <v>68</v>
      </c>
    </row>
    <row r="5" spans="2:39" ht="70.95" customHeight="1" x14ac:dyDescent="0.3">
      <c r="B5" s="348"/>
      <c r="C5" s="349"/>
      <c r="D5" s="349"/>
      <c r="E5" s="233" t="s">
        <v>26</v>
      </c>
      <c r="F5" s="233" t="s">
        <v>27</v>
      </c>
      <c r="G5" s="233" t="s">
        <v>28</v>
      </c>
      <c r="H5" s="233" t="s">
        <v>29</v>
      </c>
      <c r="I5" s="233" t="s">
        <v>33</v>
      </c>
      <c r="J5" s="233" t="s">
        <v>61</v>
      </c>
      <c r="K5" s="233" t="s">
        <v>60</v>
      </c>
      <c r="L5" s="233" t="s">
        <v>59</v>
      </c>
      <c r="M5" s="233" t="s">
        <v>58</v>
      </c>
      <c r="N5" s="233" t="s">
        <v>57</v>
      </c>
      <c r="O5" s="233" t="s">
        <v>56</v>
      </c>
      <c r="P5" s="233" t="s">
        <v>55</v>
      </c>
      <c r="Q5" s="233" t="s">
        <v>26</v>
      </c>
      <c r="R5" s="233" t="s">
        <v>27</v>
      </c>
      <c r="S5" s="233" t="s">
        <v>28</v>
      </c>
      <c r="T5" s="234" t="s">
        <v>29</v>
      </c>
      <c r="U5" s="233" t="s">
        <v>33</v>
      </c>
      <c r="V5" s="233" t="s">
        <v>61</v>
      </c>
      <c r="W5" s="233" t="s">
        <v>60</v>
      </c>
      <c r="X5" s="233" t="s">
        <v>59</v>
      </c>
      <c r="Y5" s="234" t="s">
        <v>58</v>
      </c>
      <c r="Z5" s="234" t="s">
        <v>57</v>
      </c>
      <c r="AA5" s="235" t="s">
        <v>56</v>
      </c>
      <c r="AB5" s="235" t="s">
        <v>55</v>
      </c>
      <c r="AC5" s="346"/>
      <c r="AD5" s="346"/>
      <c r="AE5" s="312"/>
      <c r="AF5" s="312" t="s">
        <v>51</v>
      </c>
      <c r="AG5" s="312" t="s">
        <v>51</v>
      </c>
      <c r="AH5"/>
      <c r="AI5" s="345" t="s">
        <v>51</v>
      </c>
    </row>
    <row r="6" spans="2:39" ht="27" customHeight="1" x14ac:dyDescent="0.3">
      <c r="B6" s="236" t="s">
        <v>10</v>
      </c>
      <c r="C6" s="236" t="s">
        <v>11</v>
      </c>
      <c r="D6" s="236" t="s">
        <v>12</v>
      </c>
      <c r="E6" s="237" t="s">
        <v>13</v>
      </c>
      <c r="F6" s="237" t="s">
        <v>14</v>
      </c>
      <c r="G6" s="237" t="s">
        <v>40</v>
      </c>
      <c r="H6" s="237" t="s">
        <v>15</v>
      </c>
      <c r="I6" s="237" t="s">
        <v>16</v>
      </c>
      <c r="J6" s="237" t="s">
        <v>13</v>
      </c>
      <c r="K6" s="237" t="s">
        <v>14</v>
      </c>
      <c r="L6" s="237" t="s">
        <v>40</v>
      </c>
      <c r="M6" s="237" t="s">
        <v>15</v>
      </c>
      <c r="N6" s="237" t="s">
        <v>16</v>
      </c>
      <c r="O6" s="237" t="s">
        <v>15</v>
      </c>
      <c r="P6" s="237" t="s">
        <v>16</v>
      </c>
      <c r="Q6" s="237" t="s">
        <v>30</v>
      </c>
      <c r="R6" s="237" t="s">
        <v>34</v>
      </c>
      <c r="S6" s="237" t="s">
        <v>17</v>
      </c>
      <c r="T6" s="237" t="s">
        <v>18</v>
      </c>
      <c r="U6" s="237" t="s">
        <v>31</v>
      </c>
      <c r="V6" s="237" t="s">
        <v>30</v>
      </c>
      <c r="W6" s="237" t="s">
        <v>34</v>
      </c>
      <c r="X6" s="237" t="s">
        <v>17</v>
      </c>
      <c r="Y6" s="299" t="s">
        <v>18</v>
      </c>
      <c r="Z6" s="299" t="s">
        <v>31</v>
      </c>
      <c r="AA6" s="238" t="s">
        <v>18</v>
      </c>
      <c r="AB6" s="238" t="s">
        <v>31</v>
      </c>
      <c r="AC6" s="267" t="s">
        <v>19</v>
      </c>
      <c r="AD6" s="267" t="s">
        <v>20</v>
      </c>
      <c r="AE6" s="239" t="s">
        <v>41</v>
      </c>
      <c r="AF6" s="21"/>
      <c r="AG6" s="21"/>
      <c r="AH6"/>
      <c r="AI6" s="21"/>
    </row>
    <row r="7" spans="2:39" ht="25.95" customHeight="1" x14ac:dyDescent="0.3">
      <c r="B7" s="240" t="s">
        <v>2</v>
      </c>
      <c r="C7" s="307" t="s">
        <v>46</v>
      </c>
      <c r="D7" s="241" t="s">
        <v>47</v>
      </c>
      <c r="E7" s="242">
        <f>E8+E10+E12</f>
        <v>57257.822</v>
      </c>
      <c r="F7" s="242">
        <f t="shared" ref="F7:AC7" si="0">F8+F10+F12</f>
        <v>114463.07</v>
      </c>
      <c r="G7" s="242">
        <f t="shared" si="0"/>
        <v>122159.5197</v>
      </c>
      <c r="H7" s="242">
        <f t="shared" si="0"/>
        <v>87030.000799999994</v>
      </c>
      <c r="I7" s="242">
        <f t="shared" si="0"/>
        <v>37089.221200000007</v>
      </c>
      <c r="J7" s="242">
        <f t="shared" si="0"/>
        <v>9524.4</v>
      </c>
      <c r="K7" s="242">
        <f t="shared" si="0"/>
        <v>5538.63</v>
      </c>
      <c r="L7" s="242">
        <f t="shared" si="0"/>
        <v>2745</v>
      </c>
      <c r="M7" s="242">
        <f t="shared" si="0"/>
        <v>5503.79</v>
      </c>
      <c r="N7" s="242">
        <f t="shared" si="0"/>
        <v>38930.701999999997</v>
      </c>
      <c r="O7" s="242">
        <f t="shared" si="0"/>
        <v>125749.03569999999</v>
      </c>
      <c r="P7" s="242">
        <f t="shared" si="0"/>
        <v>254111.24559999999</v>
      </c>
      <c r="Q7" s="242">
        <f t="shared" si="0"/>
        <v>408919.85959999997</v>
      </c>
      <c r="R7" s="242">
        <f t="shared" si="0"/>
        <v>301527.48409999994</v>
      </c>
      <c r="S7" s="242">
        <f t="shared" si="0"/>
        <v>278111.43650000001</v>
      </c>
      <c r="T7" s="242">
        <f t="shared" si="0"/>
        <v>199574.57880000002</v>
      </c>
      <c r="U7" s="242">
        <f t="shared" si="0"/>
        <v>172270.48439999999</v>
      </c>
      <c r="V7" s="242">
        <f t="shared" si="0"/>
        <v>36107.269999999997</v>
      </c>
      <c r="W7" s="242">
        <f t="shared" si="0"/>
        <v>18277.05</v>
      </c>
      <c r="X7" s="242">
        <f t="shared" si="0"/>
        <v>8698.42</v>
      </c>
      <c r="Y7" s="242">
        <f t="shared" si="0"/>
        <v>15996.53</v>
      </c>
      <c r="Z7" s="242">
        <f t="shared" si="0"/>
        <v>67132.17</v>
      </c>
      <c r="AA7" s="301">
        <f t="shared" si="0"/>
        <v>282603.516</v>
      </c>
      <c r="AB7" s="301">
        <f t="shared" si="0"/>
        <v>438644.66800000001</v>
      </c>
      <c r="AC7" s="268">
        <f t="shared" si="0"/>
        <v>0</v>
      </c>
      <c r="AD7" s="268">
        <f>SUM(AD8:AD14)</f>
        <v>0</v>
      </c>
      <c r="AE7" s="169">
        <f>SUM(AE8:AE14)</f>
        <v>1367761.03</v>
      </c>
      <c r="AF7" s="170">
        <f>SUM(AF8:AF14)</f>
        <v>113980.08583333335</v>
      </c>
      <c r="AG7" s="170">
        <f>SUM(AG8:AG14)</f>
        <v>911840.68666666676</v>
      </c>
      <c r="AH7"/>
      <c r="AI7" s="170"/>
      <c r="AJ7" s="55">
        <f>SUM(E7:P7)</f>
        <v>860102.43700000003</v>
      </c>
      <c r="AK7" s="55">
        <f>SUM(Q7:AC7)</f>
        <v>2227863.4674</v>
      </c>
      <c r="AL7" s="200">
        <f>AJ7-AK7</f>
        <v>-1367761.0304</v>
      </c>
      <c r="AM7" s="243">
        <f>AK7/AJ7*100-100</f>
        <v>159.02303860115677</v>
      </c>
    </row>
    <row r="8" spans="2:39" ht="40.200000000000003" x14ac:dyDescent="0.3">
      <c r="B8" s="245" t="s">
        <v>5</v>
      </c>
      <c r="C8" s="308" t="s">
        <v>106</v>
      </c>
      <c r="D8" s="250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301"/>
      <c r="AB8" s="301"/>
      <c r="AC8" s="268"/>
      <c r="AD8" s="266"/>
      <c r="AE8" s="183">
        <f t="shared" ref="AE8:AE14" si="1">ROUND(SUM(Q8:AB8)-SUM(E8:P8)+AC8,2)</f>
        <v>0</v>
      </c>
      <c r="AF8" s="183">
        <f>AE8/12</f>
        <v>0</v>
      </c>
      <c r="AG8" s="183">
        <f>AF8*8</f>
        <v>0</v>
      </c>
      <c r="AH8" s="59"/>
      <c r="AI8" s="244" t="s">
        <v>69</v>
      </c>
    </row>
    <row r="9" spans="2:39" ht="15" customHeight="1" x14ac:dyDescent="0.3">
      <c r="B9" s="245"/>
      <c r="C9" s="251" t="s">
        <v>62</v>
      </c>
      <c r="D9" s="246"/>
      <c r="E9" s="247"/>
      <c r="F9" s="247"/>
      <c r="G9" s="248"/>
      <c r="H9" s="248"/>
      <c r="I9" s="248"/>
      <c r="J9" s="248"/>
      <c r="K9" s="248"/>
      <c r="L9" s="248"/>
      <c r="M9" s="248"/>
      <c r="N9" s="248"/>
      <c r="O9" s="248"/>
      <c r="P9" s="248"/>
      <c r="Q9" s="252"/>
      <c r="R9" s="252"/>
      <c r="S9" s="252"/>
      <c r="T9" s="252"/>
      <c r="U9" s="252"/>
      <c r="V9" s="252"/>
      <c r="W9" s="252"/>
      <c r="X9" s="253"/>
      <c r="Y9" s="300"/>
      <c r="Z9" s="300"/>
      <c r="AA9" s="254"/>
      <c r="AB9" s="254"/>
      <c r="AC9" s="249"/>
      <c r="AD9" s="266"/>
      <c r="AE9" s="183"/>
      <c r="AF9" s="183"/>
      <c r="AG9" s="183"/>
      <c r="AH9"/>
      <c r="AI9" s="183"/>
    </row>
    <row r="10" spans="2:39" ht="14.4" x14ac:dyDescent="0.3">
      <c r="B10" s="245" t="s">
        <v>6</v>
      </c>
      <c r="C10" s="251" t="s">
        <v>21</v>
      </c>
      <c r="D10" s="246" t="s">
        <v>107</v>
      </c>
      <c r="E10" s="255">
        <v>34841.119999999995</v>
      </c>
      <c r="F10" s="255">
        <v>95600.340000000011</v>
      </c>
      <c r="G10" s="255">
        <v>104910.56</v>
      </c>
      <c r="H10" s="255">
        <v>76612.95</v>
      </c>
      <c r="I10" s="255">
        <v>34589.740000000005</v>
      </c>
      <c r="J10" s="255">
        <v>9524.4</v>
      </c>
      <c r="K10" s="255">
        <v>5538.63</v>
      </c>
      <c r="L10" s="255">
        <v>2745</v>
      </c>
      <c r="M10" s="255">
        <v>5503.79</v>
      </c>
      <c r="N10" s="255">
        <v>32726.79</v>
      </c>
      <c r="O10" s="255">
        <v>113227.79</v>
      </c>
      <c r="P10" s="255">
        <v>233456.65</v>
      </c>
      <c r="Q10" s="255">
        <v>382116.3</v>
      </c>
      <c r="R10" s="255">
        <v>277538.83999999997</v>
      </c>
      <c r="S10" s="255">
        <v>254117.56</v>
      </c>
      <c r="T10" s="255">
        <v>181899.85</v>
      </c>
      <c r="U10" s="255">
        <v>169395.31</v>
      </c>
      <c r="V10" s="255">
        <v>36107.269999999997</v>
      </c>
      <c r="W10" s="255">
        <v>18277.05</v>
      </c>
      <c r="X10" s="255">
        <v>8698.42</v>
      </c>
      <c r="Y10" s="247">
        <v>15996.53</v>
      </c>
      <c r="Z10" s="247">
        <v>27492.57</v>
      </c>
      <c r="AA10" s="302">
        <v>100832.38</v>
      </c>
      <c r="AB10" s="302">
        <v>139073.93</v>
      </c>
      <c r="AC10" s="269"/>
      <c r="AD10" s="266"/>
      <c r="AE10" s="183">
        <f t="shared" si="1"/>
        <v>862268.25</v>
      </c>
      <c r="AF10" s="183">
        <f t="shared" ref="AF10:AF14" si="2">AE10/12</f>
        <v>71855.6875</v>
      </c>
      <c r="AG10" s="183">
        <f t="shared" ref="AG10:AG14" si="3">AF10*8</f>
        <v>574845.5</v>
      </c>
      <c r="AH10"/>
      <c r="AI10" s="256"/>
    </row>
    <row r="11" spans="2:39" ht="14.4" x14ac:dyDescent="0.3">
      <c r="B11" s="245" t="s">
        <v>7</v>
      </c>
      <c r="C11" s="251" t="s">
        <v>22</v>
      </c>
      <c r="D11" s="246"/>
      <c r="E11" s="255">
        <v>0</v>
      </c>
      <c r="F11" s="255">
        <v>0</v>
      </c>
      <c r="G11" s="255">
        <v>0</v>
      </c>
      <c r="H11" s="255">
        <v>0</v>
      </c>
      <c r="I11" s="255">
        <v>0</v>
      </c>
      <c r="J11" s="255">
        <v>0</v>
      </c>
      <c r="K11" s="255">
        <v>0</v>
      </c>
      <c r="L11" s="255">
        <v>0</v>
      </c>
      <c r="M11" s="255">
        <v>0</v>
      </c>
      <c r="N11" s="255">
        <v>0</v>
      </c>
      <c r="O11" s="255">
        <v>0</v>
      </c>
      <c r="P11" s="255">
        <v>0</v>
      </c>
      <c r="Q11" s="255">
        <v>0</v>
      </c>
      <c r="R11" s="255">
        <v>0</v>
      </c>
      <c r="S11" s="255">
        <v>0</v>
      </c>
      <c r="T11" s="255">
        <v>0</v>
      </c>
      <c r="U11" s="255">
        <v>0</v>
      </c>
      <c r="V11" s="255">
        <v>0</v>
      </c>
      <c r="W11" s="255">
        <v>0</v>
      </c>
      <c r="X11" s="255">
        <v>0</v>
      </c>
      <c r="Y11" s="247">
        <v>0</v>
      </c>
      <c r="Z11" s="247">
        <v>0</v>
      </c>
      <c r="AA11" s="302">
        <v>0</v>
      </c>
      <c r="AB11" s="302">
        <v>0</v>
      </c>
      <c r="AC11" s="269"/>
      <c r="AD11" s="266"/>
      <c r="AE11" s="183">
        <f t="shared" si="1"/>
        <v>0</v>
      </c>
      <c r="AF11" s="183">
        <f t="shared" si="2"/>
        <v>0</v>
      </c>
      <c r="AG11" s="183">
        <f t="shared" si="3"/>
        <v>0</v>
      </c>
      <c r="AH11"/>
      <c r="AI11" s="21"/>
    </row>
    <row r="12" spans="2:39" ht="14.4" x14ac:dyDescent="0.3">
      <c r="B12" s="245" t="s">
        <v>24</v>
      </c>
      <c r="C12" s="257" t="s">
        <v>109</v>
      </c>
      <c r="D12" s="246"/>
      <c r="E12" s="255">
        <v>22416.702000000001</v>
      </c>
      <c r="F12" s="255">
        <v>18862.73</v>
      </c>
      <c r="G12" s="255">
        <v>17248.959699999999</v>
      </c>
      <c r="H12" s="255">
        <v>10417.050799999999</v>
      </c>
      <c r="I12" s="255">
        <v>2499.4812000000002</v>
      </c>
      <c r="J12" s="255">
        <v>0</v>
      </c>
      <c r="K12" s="255">
        <v>0</v>
      </c>
      <c r="L12" s="255">
        <v>0</v>
      </c>
      <c r="M12" s="255">
        <v>0</v>
      </c>
      <c r="N12" s="255">
        <v>6203.9119999999994</v>
      </c>
      <c r="O12" s="255">
        <v>12521.245699999999</v>
      </c>
      <c r="P12" s="255">
        <v>20654.595599999997</v>
      </c>
      <c r="Q12" s="255">
        <v>26803.559600000001</v>
      </c>
      <c r="R12" s="255">
        <v>23988.644099999998</v>
      </c>
      <c r="S12" s="255">
        <v>23993.876499999998</v>
      </c>
      <c r="T12" s="255">
        <v>17674.728800000001</v>
      </c>
      <c r="U12" s="255">
        <v>2875.1743999999999</v>
      </c>
      <c r="V12" s="255">
        <v>0</v>
      </c>
      <c r="W12" s="255">
        <v>0</v>
      </c>
      <c r="X12" s="255">
        <v>0</v>
      </c>
      <c r="Y12" s="247">
        <v>0</v>
      </c>
      <c r="Z12" s="247">
        <v>39639.599999999999</v>
      </c>
      <c r="AA12" s="302">
        <v>181771.136</v>
      </c>
      <c r="AB12" s="302">
        <v>299570.73800000001</v>
      </c>
      <c r="AC12" s="269"/>
      <c r="AD12" s="266"/>
      <c r="AE12" s="183">
        <f t="shared" si="1"/>
        <v>505492.78</v>
      </c>
      <c r="AF12" s="183">
        <f t="shared" si="2"/>
        <v>42124.398333333338</v>
      </c>
      <c r="AG12" s="183">
        <f t="shared" si="3"/>
        <v>336995.1866666667</v>
      </c>
      <c r="AH12"/>
      <c r="AI12" s="21"/>
    </row>
    <row r="13" spans="2:39" ht="14.4" x14ac:dyDescent="0.3">
      <c r="B13" s="245" t="s">
        <v>25</v>
      </c>
      <c r="C13" s="251" t="s">
        <v>38</v>
      </c>
      <c r="D13" s="246"/>
      <c r="E13" s="255">
        <v>0</v>
      </c>
      <c r="F13" s="255">
        <v>0</v>
      </c>
      <c r="G13" s="255">
        <v>0</v>
      </c>
      <c r="H13" s="255">
        <v>0</v>
      </c>
      <c r="I13" s="255">
        <v>0</v>
      </c>
      <c r="J13" s="255">
        <v>0</v>
      </c>
      <c r="K13" s="255">
        <v>0</v>
      </c>
      <c r="L13" s="255">
        <v>0</v>
      </c>
      <c r="M13" s="255">
        <v>0</v>
      </c>
      <c r="N13" s="255">
        <v>0</v>
      </c>
      <c r="O13" s="255">
        <v>0</v>
      </c>
      <c r="P13" s="255">
        <v>0</v>
      </c>
      <c r="Q13" s="255">
        <v>0</v>
      </c>
      <c r="R13" s="255">
        <v>0</v>
      </c>
      <c r="S13" s="255">
        <v>0</v>
      </c>
      <c r="T13" s="255">
        <v>0</v>
      </c>
      <c r="U13" s="255">
        <v>0</v>
      </c>
      <c r="V13" s="255">
        <v>0</v>
      </c>
      <c r="W13" s="255">
        <v>0</v>
      </c>
      <c r="X13" s="255">
        <v>0</v>
      </c>
      <c r="Y13" s="247">
        <v>0</v>
      </c>
      <c r="Z13" s="247">
        <v>0</v>
      </c>
      <c r="AA13" s="302">
        <v>0</v>
      </c>
      <c r="AB13" s="302">
        <v>0</v>
      </c>
      <c r="AC13" s="269"/>
      <c r="AD13" s="266"/>
      <c r="AE13" s="183">
        <f t="shared" si="1"/>
        <v>0</v>
      </c>
      <c r="AF13" s="183">
        <f t="shared" si="2"/>
        <v>0</v>
      </c>
      <c r="AG13" s="183">
        <f t="shared" si="3"/>
        <v>0</v>
      </c>
      <c r="AH13"/>
      <c r="AI13" s="21"/>
    </row>
    <row r="14" spans="2:39" ht="14.4" x14ac:dyDescent="0.3">
      <c r="B14" s="245" t="s">
        <v>32</v>
      </c>
      <c r="C14" s="251" t="s">
        <v>38</v>
      </c>
      <c r="D14" s="258"/>
      <c r="E14" s="255">
        <v>0</v>
      </c>
      <c r="F14" s="255">
        <v>0</v>
      </c>
      <c r="G14" s="255">
        <v>0</v>
      </c>
      <c r="H14" s="255">
        <v>0</v>
      </c>
      <c r="I14" s="255">
        <v>0</v>
      </c>
      <c r="J14" s="255">
        <v>0</v>
      </c>
      <c r="K14" s="255">
        <v>0</v>
      </c>
      <c r="L14" s="255">
        <v>0</v>
      </c>
      <c r="M14" s="255">
        <v>0</v>
      </c>
      <c r="N14" s="255">
        <v>0</v>
      </c>
      <c r="O14" s="255">
        <v>0</v>
      </c>
      <c r="P14" s="255">
        <v>0</v>
      </c>
      <c r="Q14" s="255">
        <v>0</v>
      </c>
      <c r="R14" s="255">
        <v>0</v>
      </c>
      <c r="S14" s="255">
        <v>0</v>
      </c>
      <c r="T14" s="255">
        <v>0</v>
      </c>
      <c r="U14" s="255">
        <v>0</v>
      </c>
      <c r="V14" s="255">
        <v>0</v>
      </c>
      <c r="W14" s="255">
        <v>0</v>
      </c>
      <c r="X14" s="255">
        <v>0</v>
      </c>
      <c r="Y14" s="247">
        <v>0</v>
      </c>
      <c r="Z14" s="247">
        <v>0</v>
      </c>
      <c r="AA14" s="302">
        <v>0</v>
      </c>
      <c r="AB14" s="302">
        <v>0</v>
      </c>
      <c r="AC14" s="270"/>
      <c r="AD14" s="266"/>
      <c r="AE14" s="183">
        <f t="shared" si="1"/>
        <v>0</v>
      </c>
      <c r="AF14" s="183">
        <f t="shared" si="2"/>
        <v>0</v>
      </c>
      <c r="AG14" s="183">
        <f t="shared" si="3"/>
        <v>0</v>
      </c>
      <c r="AH14"/>
      <c r="AI14" s="21"/>
    </row>
    <row r="15" spans="2:39" s="260" customFormat="1" ht="14.4" x14ac:dyDescent="0.3">
      <c r="C15" s="259"/>
      <c r="D15" s="259"/>
      <c r="E15" s="259"/>
      <c r="F15" s="259"/>
      <c r="J15" s="259"/>
      <c r="K15" s="261"/>
      <c r="L15" s="262"/>
      <c r="O15" s="263"/>
      <c r="P15" s="263"/>
      <c r="X15" s="264"/>
      <c r="AD15" s="265" t="s">
        <v>108</v>
      </c>
    </row>
    <row r="16" spans="2:39" s="260" customFormat="1" x14ac:dyDescent="0.25">
      <c r="C16" s="230" t="s">
        <v>43</v>
      </c>
      <c r="D16" s="230"/>
      <c r="E16" s="230"/>
      <c r="F16" s="230"/>
      <c r="G16" s="262"/>
    </row>
    <row r="17" spans="3:6" s="260" customFormat="1" x14ac:dyDescent="0.25">
      <c r="C17" s="317" t="s">
        <v>44</v>
      </c>
      <c r="D17" s="317"/>
      <c r="E17" s="317"/>
      <c r="F17" s="317"/>
    </row>
    <row r="18" spans="3:6" s="260" customFormat="1" ht="14.4" x14ac:dyDescent="0.3">
      <c r="C18" s="20" t="s">
        <v>45</v>
      </c>
      <c r="D18"/>
      <c r="E18"/>
      <c r="F18"/>
    </row>
  </sheetData>
  <mergeCells count="13">
    <mergeCell ref="B2:AB2"/>
    <mergeCell ref="B4:B5"/>
    <mergeCell ref="C4:C5"/>
    <mergeCell ref="D4:D5"/>
    <mergeCell ref="E4:P4"/>
    <mergeCell ref="Q4:AB4"/>
    <mergeCell ref="C17:F17"/>
    <mergeCell ref="AE4:AE5"/>
    <mergeCell ref="AF4:AF5"/>
    <mergeCell ref="AG4:AG5"/>
    <mergeCell ref="AI4:AI5"/>
    <mergeCell ref="AC4:AC5"/>
    <mergeCell ref="AD4:AD5"/>
  </mergeCells>
  <pageMargins left="0.7" right="0.7" top="0.75" bottom="0.75" header="0.3" footer="0.3"/>
  <pageSetup paperSize="9" orientation="portrait" horizontalDpi="360" verticalDpi="36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M18"/>
  <sheetViews>
    <sheetView zoomScale="80" zoomScaleNormal="80" workbookViewId="0">
      <selection activeCell="Q20" sqref="Q20"/>
    </sheetView>
  </sheetViews>
  <sheetFormatPr defaultRowHeight="14.4" x14ac:dyDescent="0.3"/>
  <cols>
    <col min="1" max="1" width="1" customWidth="1"/>
    <col min="18" max="18" width="10.44140625" customWidth="1"/>
    <col min="31" max="31" width="13" customWidth="1"/>
    <col min="32" max="32" width="10.88671875" customWidth="1"/>
    <col min="33" max="33" width="11.33203125" hidden="1" customWidth="1"/>
    <col min="34" max="34" width="8.88671875" hidden="1" customWidth="1"/>
    <col min="35" max="35" width="13.109375" customWidth="1"/>
    <col min="36" max="36" width="11.33203125" customWidth="1"/>
    <col min="37" max="37" width="11.44140625" customWidth="1"/>
  </cols>
  <sheetData>
    <row r="2" spans="2:39" ht="17.399999999999999" x14ac:dyDescent="0.3">
      <c r="B2" s="310" t="s">
        <v>126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155"/>
      <c r="AD2" s="155"/>
      <c r="AE2" s="155"/>
    </row>
    <row r="4" spans="2:39" ht="37.950000000000003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2" t="s">
        <v>169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70.95" customHeight="1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162" t="s">
        <v>55</v>
      </c>
      <c r="Q5" s="163" t="s">
        <v>26</v>
      </c>
      <c r="R5" s="2" t="s">
        <v>27</v>
      </c>
      <c r="S5" s="2" t="s">
        <v>28</v>
      </c>
      <c r="T5" s="2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6" t="s">
        <v>58</v>
      </c>
      <c r="Z5" s="43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7" customHeight="1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164" t="s">
        <v>16</v>
      </c>
      <c r="Q6" s="16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136" t="s">
        <v>18</v>
      </c>
      <c r="Z6" s="44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ht="25.95" customHeight="1" x14ac:dyDescent="0.3">
      <c r="B7" s="166" t="s">
        <v>2</v>
      </c>
      <c r="C7" s="167" t="s">
        <v>46</v>
      </c>
      <c r="D7" s="168" t="s">
        <v>47</v>
      </c>
      <c r="E7" s="169">
        <f t="shared" ref="E7:P7" si="0">SUM(E8:E14)</f>
        <v>8082.5599999999995</v>
      </c>
      <c r="F7" s="169">
        <f t="shared" si="0"/>
        <v>9686.08</v>
      </c>
      <c r="G7" s="170">
        <f t="shared" si="0"/>
        <v>9548.42</v>
      </c>
      <c r="H7" s="170">
        <f t="shared" si="0"/>
        <v>7356.89</v>
      </c>
      <c r="I7" s="170">
        <f t="shared" si="0"/>
        <v>5489.78</v>
      </c>
      <c r="J7" s="169">
        <f t="shared" si="0"/>
        <v>1844.7</v>
      </c>
      <c r="K7" s="169">
        <f t="shared" si="0"/>
        <v>139.29</v>
      </c>
      <c r="L7" s="170">
        <f t="shared" si="0"/>
        <v>100.85</v>
      </c>
      <c r="M7" s="170">
        <f t="shared" si="0"/>
        <v>120.52</v>
      </c>
      <c r="N7" s="170">
        <f t="shared" si="0"/>
        <v>3800.81</v>
      </c>
      <c r="O7" s="170">
        <f t="shared" si="0"/>
        <v>5872.83</v>
      </c>
      <c r="P7" s="171">
        <f t="shared" si="0"/>
        <v>8723.4</v>
      </c>
      <c r="Q7" s="172">
        <f>Q8</f>
        <v>14202.68</v>
      </c>
      <c r="R7" s="170">
        <f t="shared" ref="R7:AC7" si="1">R8</f>
        <v>12145.2</v>
      </c>
      <c r="S7" s="170">
        <f t="shared" si="1"/>
        <v>10176.6</v>
      </c>
      <c r="T7" s="170">
        <f t="shared" si="1"/>
        <v>10845.92</v>
      </c>
      <c r="U7" s="170">
        <f t="shared" si="1"/>
        <v>9177.01</v>
      </c>
      <c r="V7" s="170">
        <f t="shared" si="1"/>
        <v>2025.79</v>
      </c>
      <c r="W7" s="170">
        <f t="shared" si="1"/>
        <v>296.70999999999998</v>
      </c>
      <c r="X7" s="170">
        <f t="shared" si="1"/>
        <v>223.2</v>
      </c>
      <c r="Y7" s="29">
        <f t="shared" si="1"/>
        <v>186.14</v>
      </c>
      <c r="Z7" s="70">
        <f t="shared" si="1"/>
        <v>1915.9</v>
      </c>
      <c r="AA7" s="70">
        <f t="shared" si="1"/>
        <v>15239</v>
      </c>
      <c r="AB7" s="70">
        <f t="shared" si="1"/>
        <v>20698</v>
      </c>
      <c r="AC7" s="170">
        <f t="shared" si="1"/>
        <v>0</v>
      </c>
      <c r="AD7" s="170">
        <f>SUM(AD8:AD14)</f>
        <v>0</v>
      </c>
      <c r="AE7" s="28">
        <f>SUM(AE8:AE14)</f>
        <v>36366.019999999997</v>
      </c>
      <c r="AF7" s="29">
        <f>SUM(AF8:AF14)</f>
        <v>3030.5016666666666</v>
      </c>
      <c r="AG7" s="29">
        <f>SUM(AG8:AG14)</f>
        <v>24244.013333333332</v>
      </c>
      <c r="AI7" s="29"/>
      <c r="AJ7" s="55">
        <f>SUM(E7:P7)</f>
        <v>60766.12999999999</v>
      </c>
      <c r="AK7" s="55">
        <f>SUM(Q7:AC7)</f>
        <v>97132.15</v>
      </c>
      <c r="AL7" s="56">
        <f>AJ7-AK7</f>
        <v>-36366.020000000004</v>
      </c>
      <c r="AM7" s="57">
        <f>AK7/AJ7*100-100</f>
        <v>59.845871376044528</v>
      </c>
    </row>
    <row r="8" spans="2:39" ht="27" x14ac:dyDescent="0.3">
      <c r="B8" s="179" t="s">
        <v>5</v>
      </c>
      <c r="C8" s="173" t="s">
        <v>63</v>
      </c>
      <c r="D8" s="174">
        <v>2221</v>
      </c>
      <c r="E8" s="175">
        <f>2667.14+5415.42</f>
        <v>8082.5599999999995</v>
      </c>
      <c r="F8" s="175">
        <v>9686.08</v>
      </c>
      <c r="G8" s="176">
        <v>9548.42</v>
      </c>
      <c r="H8" s="176">
        <v>7356.89</v>
      </c>
      <c r="I8" s="176">
        <v>5489.78</v>
      </c>
      <c r="J8" s="176">
        <v>1844.7</v>
      </c>
      <c r="K8" s="176">
        <v>139.29</v>
      </c>
      <c r="L8" s="176">
        <v>100.85</v>
      </c>
      <c r="M8" s="176">
        <v>120.52</v>
      </c>
      <c r="N8" s="176">
        <v>3800.81</v>
      </c>
      <c r="O8" s="176">
        <v>5872.83</v>
      </c>
      <c r="P8" s="177">
        <v>8723.4</v>
      </c>
      <c r="Q8" s="178">
        <v>14202.68</v>
      </c>
      <c r="R8" s="184">
        <v>12145.2</v>
      </c>
      <c r="S8" s="184">
        <v>10176.6</v>
      </c>
      <c r="T8" s="184">
        <v>10845.92</v>
      </c>
      <c r="U8" s="184">
        <v>9177.01</v>
      </c>
      <c r="V8" s="185">
        <f>1357.1+668.69</f>
        <v>2025.79</v>
      </c>
      <c r="W8" s="184">
        <f>97.71+199</f>
        <v>296.70999999999998</v>
      </c>
      <c r="X8" s="184">
        <f>149.69+73.51</f>
        <v>223.2</v>
      </c>
      <c r="Y8" s="35">
        <f>62.04+124.1</f>
        <v>186.14</v>
      </c>
      <c r="Z8" s="70">
        <v>1915.9</v>
      </c>
      <c r="AA8" s="70">
        <v>15239</v>
      </c>
      <c r="AB8" s="70">
        <v>20698</v>
      </c>
      <c r="AC8" s="183"/>
      <c r="AD8" s="183"/>
      <c r="AE8" s="26">
        <f t="shared" ref="AE8" si="2">ROUND(SUM(Q8:AB8)-SUM(E8:P8)+AC8,2)</f>
        <v>36366.019999999997</v>
      </c>
      <c r="AF8" s="26">
        <f>AE8/12</f>
        <v>3030.5016666666666</v>
      </c>
      <c r="AG8" s="26">
        <f>AF8*8</f>
        <v>24244.013333333332</v>
      </c>
      <c r="AH8" s="59"/>
      <c r="AI8" s="58" t="s">
        <v>69</v>
      </c>
    </row>
    <row r="9" spans="2:39" x14ac:dyDescent="0.3">
      <c r="B9" s="179"/>
      <c r="C9" s="186" t="s">
        <v>62</v>
      </c>
      <c r="D9" s="187"/>
      <c r="E9" s="188"/>
      <c r="F9" s="188"/>
      <c r="G9" s="189"/>
      <c r="H9" s="189"/>
      <c r="I9" s="189"/>
      <c r="J9" s="189"/>
      <c r="K9" s="189"/>
      <c r="L9" s="189"/>
      <c r="M9" s="189"/>
      <c r="N9" s="189"/>
      <c r="O9" s="189"/>
      <c r="P9" s="190"/>
      <c r="Q9" s="191">
        <f t="shared" ref="Q9:AB9" si="3">Q8/E8</f>
        <v>1.7572006888906486</v>
      </c>
      <c r="R9" s="192">
        <f t="shared" si="3"/>
        <v>1.2538818593280254</v>
      </c>
      <c r="S9" s="192">
        <f t="shared" si="3"/>
        <v>1.0657888949166459</v>
      </c>
      <c r="T9" s="192">
        <f t="shared" si="3"/>
        <v>1.4742533869610663</v>
      </c>
      <c r="U9" s="192">
        <f t="shared" si="3"/>
        <v>1.6716535088837805</v>
      </c>
      <c r="V9" s="192">
        <f t="shared" si="3"/>
        <v>1.098167723749119</v>
      </c>
      <c r="W9" s="192">
        <f t="shared" si="3"/>
        <v>2.1301600976380213</v>
      </c>
      <c r="X9" s="193">
        <f t="shared" si="3"/>
        <v>2.2131879028259793</v>
      </c>
      <c r="Y9" s="42">
        <f t="shared" si="3"/>
        <v>1.5444739462329904</v>
      </c>
      <c r="Z9" s="46">
        <f t="shared" si="3"/>
        <v>0.50407676258481748</v>
      </c>
      <c r="AA9" s="46">
        <f t="shared" si="3"/>
        <v>2.5948307715360399</v>
      </c>
      <c r="AB9" s="46">
        <f t="shared" si="3"/>
        <v>2.3726987183896187</v>
      </c>
      <c r="AC9" s="183"/>
      <c r="AD9" s="183"/>
      <c r="AE9" s="26"/>
      <c r="AF9" s="26"/>
      <c r="AG9" s="26"/>
      <c r="AH9" s="7"/>
      <c r="AI9" s="26"/>
      <c r="AJ9" s="7"/>
      <c r="AK9" s="7"/>
      <c r="AL9" s="7"/>
      <c r="AM9" s="7"/>
    </row>
    <row r="10" spans="2:39" x14ac:dyDescent="0.3">
      <c r="B10" s="179" t="s">
        <v>6</v>
      </c>
      <c r="C10" s="180" t="s">
        <v>21</v>
      </c>
      <c r="D10" s="181"/>
      <c r="E10" s="142"/>
      <c r="F10" s="142"/>
      <c r="G10" s="141"/>
      <c r="H10" s="141"/>
      <c r="I10" s="141"/>
      <c r="J10" s="142"/>
      <c r="K10" s="142"/>
      <c r="L10" s="141"/>
      <c r="M10" s="141"/>
      <c r="N10" s="141"/>
      <c r="O10" s="141"/>
      <c r="P10" s="194"/>
      <c r="Q10" s="124"/>
      <c r="R10" s="183"/>
      <c r="S10" s="183"/>
      <c r="T10" s="183"/>
      <c r="U10" s="183"/>
      <c r="V10" s="183"/>
      <c r="W10" s="183"/>
      <c r="X10" s="183"/>
      <c r="Y10" s="26"/>
      <c r="Z10" s="47"/>
      <c r="AA10" s="47"/>
      <c r="AB10" s="47"/>
      <c r="AC10" s="141"/>
      <c r="AD10" s="141"/>
      <c r="AE10" s="26"/>
      <c r="AF10" s="8"/>
      <c r="AG10" s="8"/>
      <c r="AI10" s="8"/>
    </row>
    <row r="11" spans="2:39" x14ac:dyDescent="0.3">
      <c r="B11" s="179" t="s">
        <v>7</v>
      </c>
      <c r="C11" s="180" t="s">
        <v>22</v>
      </c>
      <c r="D11" s="181"/>
      <c r="E11" s="142"/>
      <c r="F11" s="142"/>
      <c r="G11" s="141"/>
      <c r="H11" s="141"/>
      <c r="I11" s="141"/>
      <c r="J11" s="142"/>
      <c r="K11" s="142"/>
      <c r="L11" s="141"/>
      <c r="M11" s="141"/>
      <c r="N11" s="141"/>
      <c r="O11" s="141"/>
      <c r="P11" s="194"/>
      <c r="Q11" s="134"/>
      <c r="R11" s="141"/>
      <c r="S11" s="141"/>
      <c r="T11" s="141"/>
      <c r="U11" s="141"/>
      <c r="V11" s="141"/>
      <c r="W11" s="141"/>
      <c r="X11" s="141"/>
      <c r="Y11" s="9"/>
      <c r="Z11" s="48"/>
      <c r="AA11" s="48"/>
      <c r="AB11" s="48"/>
      <c r="AC11" s="141"/>
      <c r="AD11" s="141"/>
      <c r="AE11" s="26"/>
      <c r="AF11" s="21"/>
      <c r="AG11" s="21"/>
      <c r="AI11" s="21"/>
    </row>
    <row r="12" spans="2:39" x14ac:dyDescent="0.3">
      <c r="B12" s="179" t="s">
        <v>24</v>
      </c>
      <c r="C12" s="142" t="s">
        <v>23</v>
      </c>
      <c r="D12" s="181"/>
      <c r="E12" s="142"/>
      <c r="F12" s="142"/>
      <c r="G12" s="141"/>
      <c r="H12" s="141"/>
      <c r="I12" s="141"/>
      <c r="J12" s="142"/>
      <c r="K12" s="142"/>
      <c r="L12" s="141"/>
      <c r="M12" s="141"/>
      <c r="N12" s="141"/>
      <c r="O12" s="141"/>
      <c r="P12" s="194"/>
      <c r="Q12" s="134"/>
      <c r="R12" s="141"/>
      <c r="S12" s="141"/>
      <c r="T12" s="141"/>
      <c r="U12" s="141"/>
      <c r="V12" s="141"/>
      <c r="W12" s="141"/>
      <c r="X12" s="141"/>
      <c r="Y12" s="9"/>
      <c r="Z12" s="48"/>
      <c r="AA12" s="48"/>
      <c r="AB12" s="48"/>
      <c r="AC12" s="141"/>
      <c r="AD12" s="141"/>
      <c r="AE12" s="26"/>
      <c r="AF12" s="21"/>
      <c r="AG12" s="21"/>
      <c r="AI12" s="21"/>
    </row>
    <row r="13" spans="2:39" x14ac:dyDescent="0.3">
      <c r="B13" s="179" t="s">
        <v>25</v>
      </c>
      <c r="C13" s="180" t="s">
        <v>38</v>
      </c>
      <c r="D13" s="181"/>
      <c r="E13" s="142"/>
      <c r="F13" s="142"/>
      <c r="G13" s="141"/>
      <c r="H13" s="141"/>
      <c r="I13" s="141"/>
      <c r="J13" s="142"/>
      <c r="K13" s="142"/>
      <c r="L13" s="141"/>
      <c r="M13" s="141"/>
      <c r="N13" s="141"/>
      <c r="O13" s="141"/>
      <c r="P13" s="194"/>
      <c r="Q13" s="134"/>
      <c r="R13" s="141"/>
      <c r="S13" s="141"/>
      <c r="T13" s="141"/>
      <c r="U13" s="141"/>
      <c r="V13" s="141"/>
      <c r="W13" s="141"/>
      <c r="X13" s="141"/>
      <c r="Y13" s="9"/>
      <c r="Z13" s="48"/>
      <c r="AA13" s="48"/>
      <c r="AB13" s="48"/>
      <c r="AC13" s="141"/>
      <c r="AD13" s="141"/>
      <c r="AE13" s="26"/>
      <c r="AF13" s="21"/>
      <c r="AG13" s="21"/>
      <c r="AI13" s="21"/>
    </row>
    <row r="14" spans="2:39" x14ac:dyDescent="0.3">
      <c r="B14" s="179" t="s">
        <v>32</v>
      </c>
      <c r="C14" s="180" t="s">
        <v>38</v>
      </c>
      <c r="D14" s="195"/>
      <c r="E14" s="196"/>
      <c r="F14" s="196"/>
      <c r="G14" s="21"/>
      <c r="H14" s="21"/>
      <c r="I14" s="21"/>
      <c r="J14" s="196"/>
      <c r="K14" s="196"/>
      <c r="L14" s="21"/>
      <c r="M14" s="21"/>
      <c r="N14" s="21"/>
      <c r="O14" s="21"/>
      <c r="P14" s="197"/>
      <c r="Q14" s="198"/>
      <c r="R14" s="21"/>
      <c r="S14" s="21"/>
      <c r="T14" s="21"/>
      <c r="U14" s="21"/>
      <c r="V14" s="21"/>
      <c r="W14" s="21"/>
      <c r="X14" s="21"/>
      <c r="Y14" s="10"/>
      <c r="Z14" s="49"/>
      <c r="AA14" s="49"/>
      <c r="AB14" s="49"/>
      <c r="AC14" s="21"/>
      <c r="AD14" s="21"/>
      <c r="AE14" s="26"/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199" t="s">
        <v>127</v>
      </c>
      <c r="D16" s="199"/>
      <c r="E16" s="199"/>
      <c r="F16" s="199"/>
      <c r="J16" s="199"/>
      <c r="K16" s="199"/>
      <c r="L16" s="31"/>
      <c r="O16" s="32"/>
      <c r="P16" s="200"/>
      <c r="Q16" s="31"/>
    </row>
    <row r="17" spans="3:18" x14ac:dyDescent="0.3">
      <c r="C17" s="335" t="s">
        <v>44</v>
      </c>
      <c r="D17" s="335"/>
      <c r="E17" s="335"/>
      <c r="F17" s="335"/>
      <c r="O17" s="32"/>
      <c r="Q17" s="31"/>
    </row>
    <row r="18" spans="3:18" x14ac:dyDescent="0.3">
      <c r="C18" s="201" t="s">
        <v>128</v>
      </c>
      <c r="Q18" s="31"/>
      <c r="R18" s="31"/>
    </row>
  </sheetData>
  <mergeCells count="13">
    <mergeCell ref="B2:AB2"/>
    <mergeCell ref="B4:B5"/>
    <mergeCell ref="C4:C5"/>
    <mergeCell ref="D4:D5"/>
    <mergeCell ref="E4:P4"/>
    <mergeCell ref="Q4:AB4"/>
    <mergeCell ref="AI4:AI5"/>
    <mergeCell ref="AC4:AC5"/>
    <mergeCell ref="AD4:AD5"/>
    <mergeCell ref="C17:F17"/>
    <mergeCell ref="AE4:AE5"/>
    <mergeCell ref="AF4:AF5"/>
    <mergeCell ref="AG4:AG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M18"/>
  <sheetViews>
    <sheetView zoomScale="80" zoomScaleNormal="80" workbookViewId="0">
      <selection activeCell="Q4" sqref="Q4:AB4"/>
    </sheetView>
  </sheetViews>
  <sheetFormatPr defaultRowHeight="14.4" x14ac:dyDescent="0.3"/>
  <cols>
    <col min="1" max="1" width="0.88671875" customWidth="1"/>
    <col min="3" max="3" width="11.44140625" customWidth="1"/>
    <col min="31" max="31" width="13" customWidth="1"/>
    <col min="32" max="32" width="10.88671875" customWidth="1"/>
    <col min="33" max="33" width="11.33203125" hidden="1" customWidth="1"/>
    <col min="34" max="34" width="8.88671875" hidden="1" customWidth="1"/>
    <col min="35" max="35" width="13.109375" customWidth="1"/>
    <col min="36" max="36" width="11.33203125" customWidth="1"/>
    <col min="37" max="37" width="11.44140625" customWidth="1"/>
  </cols>
  <sheetData>
    <row r="2" spans="2:39" ht="17.399999999999999" x14ac:dyDescent="0.3">
      <c r="B2" s="310" t="s">
        <v>129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155"/>
      <c r="AD2" s="155"/>
      <c r="AE2" s="155"/>
    </row>
    <row r="4" spans="2:39" ht="37.950000000000003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169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70.95" customHeight="1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2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295" t="s">
        <v>58</v>
      </c>
      <c r="Z5" s="43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7" customHeight="1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296" t="s">
        <v>18</v>
      </c>
      <c r="Z6" s="44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ht="25.95" customHeight="1" x14ac:dyDescent="0.3">
      <c r="B7" s="166" t="s">
        <v>2</v>
      </c>
      <c r="C7" s="167" t="s">
        <v>46</v>
      </c>
      <c r="D7" s="168" t="s">
        <v>47</v>
      </c>
      <c r="E7" s="169">
        <f t="shared" ref="E7:P7" si="0">SUM(E8:E14)</f>
        <v>11774.4</v>
      </c>
      <c r="F7" s="169">
        <f t="shared" si="0"/>
        <v>12626</v>
      </c>
      <c r="G7" s="170">
        <f t="shared" si="0"/>
        <v>11663.14</v>
      </c>
      <c r="H7" s="170">
        <f t="shared" si="0"/>
        <v>9526.43</v>
      </c>
      <c r="I7" s="170">
        <f t="shared" si="0"/>
        <v>6959.49</v>
      </c>
      <c r="J7" s="169">
        <f t="shared" si="0"/>
        <v>2573.8000000000002</v>
      </c>
      <c r="K7" s="169">
        <f t="shared" si="0"/>
        <v>226.73000000000002</v>
      </c>
      <c r="L7" s="170">
        <f t="shared" si="0"/>
        <v>150.27000000000001</v>
      </c>
      <c r="M7" s="170">
        <f t="shared" si="0"/>
        <v>404.18</v>
      </c>
      <c r="N7" s="170">
        <f t="shared" si="0"/>
        <v>4604.5200000000004</v>
      </c>
      <c r="O7" s="170">
        <f t="shared" si="0"/>
        <v>8900.0800000000017</v>
      </c>
      <c r="P7" s="170">
        <f t="shared" si="0"/>
        <v>12954.77</v>
      </c>
      <c r="Q7" s="170">
        <f>Q8+Q10</f>
        <v>19261.29</v>
      </c>
      <c r="R7" s="170">
        <f t="shared" ref="R7:AC7" si="1">R8+R10</f>
        <v>19261.259999999998</v>
      </c>
      <c r="S7" s="170">
        <f t="shared" si="1"/>
        <v>29803.7</v>
      </c>
      <c r="T7" s="170">
        <f t="shared" si="1"/>
        <v>30005.27</v>
      </c>
      <c r="U7" s="170">
        <f t="shared" si="1"/>
        <v>32575.27</v>
      </c>
      <c r="V7" s="170">
        <f t="shared" si="1"/>
        <v>3890.87</v>
      </c>
      <c r="W7" s="170">
        <f t="shared" si="1"/>
        <v>1264.33</v>
      </c>
      <c r="X7" s="170">
        <f t="shared" si="1"/>
        <v>420.90999999999997</v>
      </c>
      <c r="Y7" s="28">
        <f t="shared" si="1"/>
        <v>367.22</v>
      </c>
      <c r="Z7" s="70">
        <f t="shared" si="1"/>
        <v>721.91000000000008</v>
      </c>
      <c r="AA7" s="70">
        <f t="shared" si="1"/>
        <v>23837.53</v>
      </c>
      <c r="AB7" s="70">
        <f t="shared" si="1"/>
        <v>28245</v>
      </c>
      <c r="AC7" s="170">
        <f t="shared" si="1"/>
        <v>0</v>
      </c>
      <c r="AD7" s="170">
        <f>SUM(AD8:AD14)</f>
        <v>0</v>
      </c>
      <c r="AE7" s="28">
        <f>SUM(AE8:AE14)</f>
        <v>107290.75</v>
      </c>
      <c r="AF7" s="29">
        <f>SUM(AF8:AF14)</f>
        <v>8940.8958333333339</v>
      </c>
      <c r="AG7" s="29">
        <f>SUM(AG8:AG14)</f>
        <v>62976.46</v>
      </c>
      <c r="AI7" s="29"/>
      <c r="AJ7" s="55">
        <f>SUM(E7:P7)</f>
        <v>82363.810000000012</v>
      </c>
      <c r="AK7" s="55">
        <f>SUM(Q7:AC7)</f>
        <v>189654.56</v>
      </c>
      <c r="AL7" s="56">
        <f>AJ7-AK7</f>
        <v>-107290.74999999999</v>
      </c>
      <c r="AM7" s="57">
        <f>AK7/AJ7*100-100</f>
        <v>130.26443288623969</v>
      </c>
    </row>
    <row r="8" spans="2:39" ht="27" x14ac:dyDescent="0.3">
      <c r="B8" s="179" t="s">
        <v>5</v>
      </c>
      <c r="C8" s="173" t="s">
        <v>63</v>
      </c>
      <c r="D8" s="175"/>
      <c r="E8" s="175">
        <v>11060</v>
      </c>
      <c r="F8" s="175">
        <v>11853.08</v>
      </c>
      <c r="G8" s="176">
        <v>10685.01</v>
      </c>
      <c r="H8" s="176">
        <v>8766.68</v>
      </c>
      <c r="I8" s="176">
        <v>6463.08</v>
      </c>
      <c r="J8" s="176">
        <v>2216.09</v>
      </c>
      <c r="K8" s="176">
        <v>176.62</v>
      </c>
      <c r="L8" s="176">
        <v>114.73</v>
      </c>
      <c r="M8" s="176">
        <v>172.55</v>
      </c>
      <c r="N8" s="176">
        <v>4561.5200000000004</v>
      </c>
      <c r="O8" s="176">
        <v>8657.0400000000009</v>
      </c>
      <c r="P8" s="176">
        <v>11561.99</v>
      </c>
      <c r="Q8" s="176">
        <v>17069.53</v>
      </c>
      <c r="R8" s="176">
        <v>17069.53</v>
      </c>
      <c r="S8" s="176">
        <v>26868.91</v>
      </c>
      <c r="T8" s="176">
        <v>27854.43</v>
      </c>
      <c r="U8" s="176">
        <v>30541.11</v>
      </c>
      <c r="V8" s="176">
        <v>1880.96</v>
      </c>
      <c r="W8" s="176">
        <v>732.33</v>
      </c>
      <c r="X8" s="175">
        <v>320.01</v>
      </c>
      <c r="Y8" s="35">
        <v>226.06</v>
      </c>
      <c r="Z8" s="70">
        <v>374.29</v>
      </c>
      <c r="AA8" s="70">
        <v>23328.92</v>
      </c>
      <c r="AB8" s="70">
        <v>24487</v>
      </c>
      <c r="AC8" s="183"/>
      <c r="AD8" s="183"/>
      <c r="AE8" s="26">
        <f t="shared" ref="AE8:AE10" si="2">ROUND(SUM(Q8:AB8)-SUM(E8:P8)+AC8,2)</f>
        <v>94464.69</v>
      </c>
      <c r="AF8" s="26">
        <f>AE8/12</f>
        <v>7872.0574999999999</v>
      </c>
      <c r="AG8" s="26">
        <f>AF8*8</f>
        <v>62976.46</v>
      </c>
      <c r="AH8" s="59"/>
      <c r="AI8" s="58" t="s">
        <v>69</v>
      </c>
    </row>
    <row r="9" spans="2:39" x14ac:dyDescent="0.3">
      <c r="B9" s="179"/>
      <c r="C9" s="186" t="s">
        <v>62</v>
      </c>
      <c r="D9" s="188"/>
      <c r="E9" s="188"/>
      <c r="F9" s="188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92">
        <f t="shared" ref="Q9:AB9" si="3">Q8/E8</f>
        <v>1.5433571428571426</v>
      </c>
      <c r="R9" s="192">
        <f t="shared" si="3"/>
        <v>1.440092364178762</v>
      </c>
      <c r="S9" s="192">
        <f t="shared" si="3"/>
        <v>2.5146359245335286</v>
      </c>
      <c r="T9" s="192">
        <f t="shared" si="3"/>
        <v>3.1773065744386702</v>
      </c>
      <c r="U9" s="192">
        <f t="shared" si="3"/>
        <v>4.7254729942999312</v>
      </c>
      <c r="V9" s="192">
        <f t="shared" si="3"/>
        <v>0.8487741923838833</v>
      </c>
      <c r="W9" s="192">
        <f t="shared" si="3"/>
        <v>4.1463594156947119</v>
      </c>
      <c r="X9" s="193">
        <f t="shared" si="3"/>
        <v>2.7892443127342452</v>
      </c>
      <c r="Y9" s="42">
        <f t="shared" si="3"/>
        <v>1.31011301072153</v>
      </c>
      <c r="Z9" s="71">
        <f t="shared" si="3"/>
        <v>8.2053789087847911E-2</v>
      </c>
      <c r="AA9" s="71">
        <f t="shared" si="3"/>
        <v>2.694791753301359</v>
      </c>
      <c r="AB9" s="71">
        <f t="shared" si="3"/>
        <v>2.1178880106279281</v>
      </c>
      <c r="AC9" s="183"/>
      <c r="AD9" s="183"/>
      <c r="AE9" s="26"/>
      <c r="AF9" s="26"/>
      <c r="AG9" s="26"/>
      <c r="AH9" s="7"/>
      <c r="AI9" s="26"/>
      <c r="AJ9" s="7"/>
      <c r="AK9" s="7"/>
      <c r="AL9" s="7"/>
      <c r="AM9" s="7"/>
    </row>
    <row r="10" spans="2:39" x14ac:dyDescent="0.3">
      <c r="B10" s="179" t="s">
        <v>6</v>
      </c>
      <c r="C10" s="180" t="s">
        <v>21</v>
      </c>
      <c r="D10" s="142"/>
      <c r="E10" s="142">
        <v>714.4</v>
      </c>
      <c r="F10" s="142">
        <v>772.92</v>
      </c>
      <c r="G10" s="141">
        <v>978.13</v>
      </c>
      <c r="H10" s="141">
        <v>759.75</v>
      </c>
      <c r="I10" s="141">
        <v>496.41</v>
      </c>
      <c r="J10" s="142">
        <v>357.71</v>
      </c>
      <c r="K10" s="142">
        <v>50.11</v>
      </c>
      <c r="L10" s="141">
        <v>35.54</v>
      </c>
      <c r="M10" s="141">
        <v>231.63</v>
      </c>
      <c r="N10" s="141">
        <v>43</v>
      </c>
      <c r="O10" s="141">
        <v>243.04</v>
      </c>
      <c r="P10" s="141">
        <v>1392.78</v>
      </c>
      <c r="Q10" s="183">
        <v>2191.7600000000002</v>
      </c>
      <c r="R10" s="183">
        <v>2191.73</v>
      </c>
      <c r="S10" s="183">
        <v>2934.79</v>
      </c>
      <c r="T10" s="183">
        <v>2150.84</v>
      </c>
      <c r="U10" s="183">
        <v>2034.16</v>
      </c>
      <c r="V10" s="183">
        <v>2009.91</v>
      </c>
      <c r="W10" s="183">
        <v>532</v>
      </c>
      <c r="X10" s="183">
        <v>100.9</v>
      </c>
      <c r="Y10" s="25">
        <v>141.16</v>
      </c>
      <c r="Z10" s="72">
        <v>347.62</v>
      </c>
      <c r="AA10" s="72">
        <v>508.61</v>
      </c>
      <c r="AB10" s="72">
        <v>3758</v>
      </c>
      <c r="AC10" s="141"/>
      <c r="AD10" s="141"/>
      <c r="AE10" s="26">
        <f t="shared" si="2"/>
        <v>12826.06</v>
      </c>
      <c r="AF10" s="26">
        <f t="shared" ref="AF10" si="4">AE10/12</f>
        <v>1068.8383333333334</v>
      </c>
      <c r="AG10" s="8"/>
      <c r="AI10" s="8"/>
    </row>
    <row r="11" spans="2:39" x14ac:dyDescent="0.3">
      <c r="B11" s="179" t="s">
        <v>7</v>
      </c>
      <c r="C11" s="180" t="s">
        <v>22</v>
      </c>
      <c r="D11" s="142"/>
      <c r="E11" s="142"/>
      <c r="F11" s="142"/>
      <c r="G11" s="141"/>
      <c r="H11" s="141"/>
      <c r="I11" s="141"/>
      <c r="J11" s="142"/>
      <c r="K11" s="142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5"/>
      <c r="Z11" s="73"/>
      <c r="AA11" s="73"/>
      <c r="AB11" s="73"/>
      <c r="AC11" s="141"/>
      <c r="AD11" s="141"/>
      <c r="AE11" s="26"/>
      <c r="AF11" s="21"/>
      <c r="AG11" s="21"/>
      <c r="AI11" s="21"/>
    </row>
    <row r="12" spans="2:39" x14ac:dyDescent="0.3">
      <c r="B12" s="179" t="s">
        <v>24</v>
      </c>
      <c r="C12" s="142" t="s">
        <v>23</v>
      </c>
      <c r="D12" s="142"/>
      <c r="E12" s="142"/>
      <c r="F12" s="142"/>
      <c r="G12" s="141"/>
      <c r="H12" s="141"/>
      <c r="I12" s="141"/>
      <c r="J12" s="142"/>
      <c r="K12" s="142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5"/>
      <c r="Z12" s="48"/>
      <c r="AA12" s="48"/>
      <c r="AB12" s="48"/>
      <c r="AC12" s="141"/>
      <c r="AD12" s="141"/>
      <c r="AE12" s="26"/>
      <c r="AF12" s="21"/>
      <c r="AG12" s="21"/>
      <c r="AI12" s="21"/>
    </row>
    <row r="13" spans="2:39" x14ac:dyDescent="0.3">
      <c r="B13" s="179" t="s">
        <v>25</v>
      </c>
      <c r="C13" s="180" t="s">
        <v>38</v>
      </c>
      <c r="D13" s="142"/>
      <c r="E13" s="142"/>
      <c r="F13" s="142"/>
      <c r="G13" s="141"/>
      <c r="H13" s="141"/>
      <c r="I13" s="141"/>
      <c r="J13" s="142"/>
      <c r="K13" s="142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5"/>
      <c r="Z13" s="48"/>
      <c r="AA13" s="48"/>
      <c r="AB13" s="48"/>
      <c r="AC13" s="141"/>
      <c r="AD13" s="141"/>
      <c r="AE13" s="26"/>
      <c r="AF13" s="21"/>
      <c r="AG13" s="21"/>
      <c r="AI13" s="21"/>
    </row>
    <row r="14" spans="2:39" x14ac:dyDescent="0.3">
      <c r="B14" s="179" t="s">
        <v>32</v>
      </c>
      <c r="C14" s="180" t="s">
        <v>38</v>
      </c>
      <c r="D14" s="196"/>
      <c r="E14" s="196"/>
      <c r="F14" s="196"/>
      <c r="G14" s="21"/>
      <c r="H14" s="21"/>
      <c r="I14" s="21"/>
      <c r="J14" s="196"/>
      <c r="K14" s="196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16"/>
      <c r="Z14" s="49"/>
      <c r="AA14" s="49"/>
      <c r="AB14" s="49"/>
      <c r="AC14" s="21"/>
      <c r="AD14" s="21"/>
      <c r="AE14" s="26"/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199" t="s">
        <v>110</v>
      </c>
      <c r="D16" s="199"/>
      <c r="E16" s="199"/>
      <c r="F16" s="199"/>
      <c r="J16" s="199"/>
      <c r="K16" s="199"/>
      <c r="L16" s="31"/>
      <c r="O16" s="32"/>
      <c r="P16" s="32"/>
    </row>
    <row r="17" spans="3:15" x14ac:dyDescent="0.3">
      <c r="C17" s="335" t="s">
        <v>130</v>
      </c>
      <c r="D17" s="335"/>
      <c r="E17" s="335"/>
      <c r="F17" s="335"/>
      <c r="O17" s="32"/>
    </row>
    <row r="18" spans="3:15" x14ac:dyDescent="0.3">
      <c r="C18" s="201" t="s">
        <v>45</v>
      </c>
    </row>
  </sheetData>
  <mergeCells count="13">
    <mergeCell ref="B2:AB2"/>
    <mergeCell ref="B4:B5"/>
    <mergeCell ref="C4:C5"/>
    <mergeCell ref="D4:D5"/>
    <mergeCell ref="E4:P4"/>
    <mergeCell ref="Q4:AB4"/>
    <mergeCell ref="AI4:AI5"/>
    <mergeCell ref="AC4:AC5"/>
    <mergeCell ref="AD4:AD5"/>
    <mergeCell ref="C17:F17"/>
    <mergeCell ref="AE4:AE5"/>
    <mergeCell ref="AF4:AF5"/>
    <mergeCell ref="AG4:AG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M18"/>
  <sheetViews>
    <sheetView zoomScale="80" zoomScaleNormal="80" workbookViewId="0">
      <selection activeCell="Q4" sqref="Q4:AB4"/>
    </sheetView>
  </sheetViews>
  <sheetFormatPr defaultRowHeight="14.4" x14ac:dyDescent="0.3"/>
  <cols>
    <col min="1" max="1" width="0.6640625" customWidth="1"/>
    <col min="31" max="31" width="13" customWidth="1"/>
    <col min="32" max="32" width="10.88671875" customWidth="1"/>
    <col min="33" max="33" width="11.33203125" hidden="1" customWidth="1"/>
    <col min="34" max="34" width="8.88671875" hidden="1" customWidth="1"/>
    <col min="35" max="35" width="13.109375" customWidth="1"/>
    <col min="36" max="36" width="11.33203125" customWidth="1"/>
    <col min="37" max="37" width="11.44140625" customWidth="1"/>
  </cols>
  <sheetData>
    <row r="2" spans="2:39" ht="17.399999999999999" x14ac:dyDescent="0.3">
      <c r="B2" s="310" t="s">
        <v>131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155"/>
      <c r="AD2" s="155"/>
      <c r="AE2" s="155"/>
    </row>
    <row r="4" spans="2:39" ht="37.950000000000003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169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70.95" customHeight="1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2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295" t="s">
        <v>58</v>
      </c>
      <c r="Z5" s="43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7" customHeight="1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296" t="s">
        <v>18</v>
      </c>
      <c r="Z6" s="44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ht="25.95" customHeight="1" x14ac:dyDescent="0.3">
      <c r="B7" s="166" t="s">
        <v>2</v>
      </c>
      <c r="C7" s="167" t="s">
        <v>46</v>
      </c>
      <c r="D7" s="168" t="s">
        <v>47</v>
      </c>
      <c r="E7" s="169">
        <f t="shared" ref="E7:P7" si="0">SUM(E8:E14)</f>
        <v>5259.2800000000007</v>
      </c>
      <c r="F7" s="169">
        <f t="shared" si="0"/>
        <v>5524.18</v>
      </c>
      <c r="G7" s="170">
        <f t="shared" si="0"/>
        <v>3705.08</v>
      </c>
      <c r="H7" s="170">
        <f t="shared" si="0"/>
        <v>2969.66</v>
      </c>
      <c r="I7" s="170">
        <f t="shared" si="0"/>
        <v>1181.27</v>
      </c>
      <c r="J7" s="169">
        <f t="shared" si="0"/>
        <v>195.34</v>
      </c>
      <c r="K7" s="169">
        <f t="shared" si="0"/>
        <v>42.16</v>
      </c>
      <c r="L7" s="170">
        <f t="shared" si="0"/>
        <v>42.41</v>
      </c>
      <c r="M7" s="170">
        <f t="shared" si="0"/>
        <v>650.85</v>
      </c>
      <c r="N7" s="170">
        <f t="shared" si="0"/>
        <v>3280.74</v>
      </c>
      <c r="O7" s="170">
        <f t="shared" si="0"/>
        <v>5811.66</v>
      </c>
      <c r="P7" s="170">
        <f t="shared" si="0"/>
        <v>9268.41</v>
      </c>
      <c r="Q7" s="170">
        <f>Q8+Q10</f>
        <v>9586.7000000000007</v>
      </c>
      <c r="R7" s="170">
        <f t="shared" ref="R7:AC7" si="1">R8+R10</f>
        <v>8247.18</v>
      </c>
      <c r="S7" s="170">
        <f t="shared" si="1"/>
        <v>7478.09</v>
      </c>
      <c r="T7" s="170">
        <f t="shared" si="1"/>
        <v>5205.25</v>
      </c>
      <c r="U7" s="170">
        <f t="shared" si="1"/>
        <v>3416.48</v>
      </c>
      <c r="V7" s="170">
        <f t="shared" si="1"/>
        <v>196.04</v>
      </c>
      <c r="W7" s="170">
        <f t="shared" si="1"/>
        <v>118.61</v>
      </c>
      <c r="X7" s="170">
        <f t="shared" si="1"/>
        <v>103.35</v>
      </c>
      <c r="Y7" s="28">
        <f t="shared" si="1"/>
        <v>177.3</v>
      </c>
      <c r="Z7" s="70">
        <f t="shared" si="1"/>
        <v>5966.9143194958742</v>
      </c>
      <c r="AA7" s="70">
        <f t="shared" si="1"/>
        <v>22193.990862380142</v>
      </c>
      <c r="AB7" s="70">
        <f t="shared" si="1"/>
        <v>22193.990862380142</v>
      </c>
      <c r="AC7" s="170">
        <f t="shared" si="1"/>
        <v>0</v>
      </c>
      <c r="AD7" s="170">
        <f>SUM(AD8:AD14)</f>
        <v>0</v>
      </c>
      <c r="AE7" s="28">
        <f>SUM(AE8:AE14)</f>
        <v>46952.85</v>
      </c>
      <c r="AF7" s="29">
        <f>SUM(AF8:AF14)</f>
        <v>1218.1375</v>
      </c>
      <c r="AG7" s="29">
        <f>SUM(AG8:AG14)</f>
        <v>9745.1</v>
      </c>
      <c r="AI7" s="29"/>
      <c r="AJ7" s="55">
        <f>SUM(E7:P7)</f>
        <v>37931.040000000001</v>
      </c>
      <c r="AK7" s="55">
        <f>SUM(Q7:AC7)</f>
        <v>84883.896044256166</v>
      </c>
      <c r="AL7" s="56">
        <f>AJ7-AK7</f>
        <v>-46952.856044256165</v>
      </c>
      <c r="AM7" s="57">
        <f>AK7/AJ7*100-100</f>
        <v>123.784784293434</v>
      </c>
    </row>
    <row r="8" spans="2:39" ht="27" x14ac:dyDescent="0.3">
      <c r="B8" s="179" t="s">
        <v>5</v>
      </c>
      <c r="C8" s="173" t="s">
        <v>63</v>
      </c>
      <c r="D8" s="175"/>
      <c r="E8" s="175">
        <v>2037.7600000000002</v>
      </c>
      <c r="F8" s="175">
        <v>2430.17</v>
      </c>
      <c r="G8" s="176">
        <v>1971.69</v>
      </c>
      <c r="H8" s="176">
        <v>1951.67</v>
      </c>
      <c r="I8" s="176">
        <v>915.78</v>
      </c>
      <c r="J8" s="176">
        <v>166.28</v>
      </c>
      <c r="K8" s="176">
        <v>9.61</v>
      </c>
      <c r="L8" s="176">
        <v>9.86</v>
      </c>
      <c r="M8" s="176">
        <v>427.86</v>
      </c>
      <c r="N8" s="176">
        <v>951.06999999999994</v>
      </c>
      <c r="O8" s="176">
        <v>2006.36</v>
      </c>
      <c r="P8" s="176">
        <v>3483.21</v>
      </c>
      <c r="Q8" s="176">
        <v>3801.5</v>
      </c>
      <c r="R8" s="176">
        <v>3190.71</v>
      </c>
      <c r="S8" s="176">
        <v>3128.16</v>
      </c>
      <c r="T8" s="176">
        <v>2011.71</v>
      </c>
      <c r="U8" s="176">
        <v>636.41999999999996</v>
      </c>
      <c r="V8" s="176">
        <v>105.77</v>
      </c>
      <c r="W8" s="176">
        <v>86.06</v>
      </c>
      <c r="X8" s="175">
        <v>70.8</v>
      </c>
      <c r="Y8" s="35">
        <v>144.75</v>
      </c>
      <c r="Z8" s="70">
        <v>5934.364319495874</v>
      </c>
      <c r="AA8" s="70">
        <v>5934.364319495874</v>
      </c>
      <c r="AB8" s="70">
        <v>5934.364319495874</v>
      </c>
      <c r="AC8" s="183"/>
      <c r="AD8" s="183"/>
      <c r="AE8" s="26">
        <f t="shared" ref="AE8:AE14" si="2">ROUND(SUM(Q8:AB8)-SUM(E8:P8)+AC8,2)</f>
        <v>14617.65</v>
      </c>
      <c r="AF8" s="26">
        <f>AE8/12</f>
        <v>1218.1375</v>
      </c>
      <c r="AG8" s="26">
        <f>AF8*8</f>
        <v>9745.1</v>
      </c>
      <c r="AH8" s="59"/>
      <c r="AI8" s="58" t="s">
        <v>69</v>
      </c>
    </row>
    <row r="9" spans="2:39" x14ac:dyDescent="0.3">
      <c r="B9" s="179"/>
      <c r="C9" s="186" t="s">
        <v>62</v>
      </c>
      <c r="D9" s="188"/>
      <c r="E9" s="188"/>
      <c r="F9" s="188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92">
        <f t="shared" ref="Q9:AB9" si="3">Q8/E8</f>
        <v>1.8655288159547736</v>
      </c>
      <c r="R9" s="192">
        <f t="shared" si="3"/>
        <v>1.312957529720143</v>
      </c>
      <c r="S9" s="192">
        <f t="shared" si="3"/>
        <v>1.586537437426776</v>
      </c>
      <c r="T9" s="192">
        <f t="shared" si="3"/>
        <v>1.0307633975006021</v>
      </c>
      <c r="U9" s="192">
        <f t="shared" si="3"/>
        <v>0.69494856843346653</v>
      </c>
      <c r="V9" s="192">
        <f t="shared" si="3"/>
        <v>0.63609574212172237</v>
      </c>
      <c r="W9" s="192">
        <f t="shared" si="3"/>
        <v>8.9552549427679509</v>
      </c>
      <c r="X9" s="193">
        <f t="shared" si="3"/>
        <v>7.1805273833671404</v>
      </c>
      <c r="Y9" s="42">
        <f t="shared" si="3"/>
        <v>0.33831159725143739</v>
      </c>
      <c r="Z9" s="71">
        <f t="shared" si="3"/>
        <v>6.2396714432122495</v>
      </c>
      <c r="AA9" s="71">
        <f t="shared" si="3"/>
        <v>2.9577764306983165</v>
      </c>
      <c r="AB9" s="71">
        <f t="shared" si="3"/>
        <v>1.703705581775395</v>
      </c>
      <c r="AC9" s="183"/>
      <c r="AD9" s="183"/>
      <c r="AE9" s="26"/>
      <c r="AF9" s="26"/>
      <c r="AG9" s="26"/>
      <c r="AH9" s="7"/>
      <c r="AI9" s="26"/>
      <c r="AJ9" s="7"/>
      <c r="AK9" s="7"/>
      <c r="AL9" s="7"/>
      <c r="AM9" s="7"/>
    </row>
    <row r="10" spans="2:39" x14ac:dyDescent="0.3">
      <c r="B10" s="179" t="s">
        <v>6</v>
      </c>
      <c r="C10" s="180" t="s">
        <v>21</v>
      </c>
      <c r="D10" s="142"/>
      <c r="E10" s="142">
        <v>3221.52</v>
      </c>
      <c r="F10" s="142">
        <v>3094.01</v>
      </c>
      <c r="G10" s="141">
        <v>1733.39</v>
      </c>
      <c r="H10" s="141">
        <v>1017.99</v>
      </c>
      <c r="I10" s="141">
        <v>265.49</v>
      </c>
      <c r="J10" s="142">
        <v>29.06</v>
      </c>
      <c r="K10" s="142">
        <v>32.549999999999997</v>
      </c>
      <c r="L10" s="141">
        <v>32.549999999999997</v>
      </c>
      <c r="M10" s="141">
        <v>222.99</v>
      </c>
      <c r="N10" s="141">
        <v>2329.67</v>
      </c>
      <c r="O10" s="141">
        <v>3805.3</v>
      </c>
      <c r="P10" s="141">
        <v>5785.2</v>
      </c>
      <c r="Q10" s="183">
        <v>5785.2</v>
      </c>
      <c r="R10" s="183">
        <v>5056.47</v>
      </c>
      <c r="S10" s="183">
        <v>4349.93</v>
      </c>
      <c r="T10" s="183">
        <v>3193.54</v>
      </c>
      <c r="U10" s="183">
        <v>2780.06</v>
      </c>
      <c r="V10" s="183">
        <v>90.27</v>
      </c>
      <c r="W10" s="183">
        <v>32.549999999999997</v>
      </c>
      <c r="X10" s="183">
        <v>32.549999999999997</v>
      </c>
      <c r="Y10" s="25">
        <v>32.549999999999997</v>
      </c>
      <c r="Z10" s="72">
        <v>32.549999999999997</v>
      </c>
      <c r="AA10" s="72">
        <v>16259.626542884269</v>
      </c>
      <c r="AB10" s="72">
        <v>16259.626542884269</v>
      </c>
      <c r="AC10" s="141"/>
      <c r="AD10" s="141"/>
      <c r="AE10" s="26">
        <f t="shared" si="2"/>
        <v>32335.200000000001</v>
      </c>
      <c r="AF10" s="8"/>
      <c r="AG10" s="8"/>
      <c r="AI10" s="8"/>
    </row>
    <row r="11" spans="2:39" x14ac:dyDescent="0.3">
      <c r="B11" s="179" t="s">
        <v>7</v>
      </c>
      <c r="C11" s="180" t="s">
        <v>22</v>
      </c>
      <c r="D11" s="142"/>
      <c r="E11" s="142"/>
      <c r="F11" s="142"/>
      <c r="G11" s="141"/>
      <c r="H11" s="141"/>
      <c r="I11" s="141"/>
      <c r="J11" s="142"/>
      <c r="K11" s="142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5"/>
      <c r="Z11" s="73"/>
      <c r="AA11" s="73"/>
      <c r="AB11" s="73"/>
      <c r="AC11" s="141"/>
      <c r="AD11" s="141"/>
      <c r="AE11" s="26">
        <f t="shared" si="2"/>
        <v>0</v>
      </c>
      <c r="AF11" s="21"/>
      <c r="AG11" s="21"/>
      <c r="AI11" s="21"/>
    </row>
    <row r="12" spans="2:39" x14ac:dyDescent="0.3">
      <c r="B12" s="179" t="s">
        <v>24</v>
      </c>
      <c r="C12" s="142" t="s">
        <v>23</v>
      </c>
      <c r="D12" s="142"/>
      <c r="E12" s="142"/>
      <c r="F12" s="142"/>
      <c r="G12" s="141"/>
      <c r="H12" s="141"/>
      <c r="I12" s="141"/>
      <c r="J12" s="142"/>
      <c r="K12" s="142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5"/>
      <c r="Z12" s="48"/>
      <c r="AA12" s="48"/>
      <c r="AB12" s="48"/>
      <c r="AC12" s="141"/>
      <c r="AD12" s="141"/>
      <c r="AE12" s="26">
        <f t="shared" si="2"/>
        <v>0</v>
      </c>
      <c r="AF12" s="21"/>
      <c r="AG12" s="21"/>
      <c r="AI12" s="21"/>
    </row>
    <row r="13" spans="2:39" x14ac:dyDescent="0.3">
      <c r="B13" s="179" t="s">
        <v>25</v>
      </c>
      <c r="C13" s="180" t="s">
        <v>38</v>
      </c>
      <c r="D13" s="142"/>
      <c r="E13" s="142"/>
      <c r="F13" s="142"/>
      <c r="G13" s="141"/>
      <c r="H13" s="141"/>
      <c r="I13" s="141"/>
      <c r="J13" s="142"/>
      <c r="K13" s="142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5"/>
      <c r="Z13" s="48"/>
      <c r="AA13" s="48"/>
      <c r="AB13" s="48"/>
      <c r="AC13" s="141"/>
      <c r="AD13" s="141"/>
      <c r="AE13" s="26">
        <f t="shared" si="2"/>
        <v>0</v>
      </c>
      <c r="AF13" s="21"/>
      <c r="AG13" s="21"/>
      <c r="AI13" s="21"/>
    </row>
    <row r="14" spans="2:39" x14ac:dyDescent="0.3">
      <c r="B14" s="179" t="s">
        <v>32</v>
      </c>
      <c r="C14" s="180" t="s">
        <v>38</v>
      </c>
      <c r="D14" s="196"/>
      <c r="E14" s="196"/>
      <c r="F14" s="196"/>
      <c r="G14" s="21"/>
      <c r="H14" s="21"/>
      <c r="I14" s="21"/>
      <c r="J14" s="196"/>
      <c r="K14" s="196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16"/>
      <c r="Z14" s="49"/>
      <c r="AA14" s="49"/>
      <c r="AB14" s="49"/>
      <c r="AC14" s="21"/>
      <c r="AD14" s="21"/>
      <c r="AE14" s="26">
        <f t="shared" si="2"/>
        <v>0</v>
      </c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</row>
    <row r="16" spans="2:39" x14ac:dyDescent="0.3">
      <c r="C16" s="199" t="s">
        <v>132</v>
      </c>
      <c r="D16" s="199"/>
      <c r="E16" s="199"/>
      <c r="F16" s="199"/>
      <c r="J16" s="199"/>
      <c r="K16" s="199"/>
      <c r="L16" s="31"/>
      <c r="O16" s="32"/>
      <c r="P16" s="32"/>
    </row>
    <row r="17" spans="3:15" x14ac:dyDescent="0.3">
      <c r="C17" s="335" t="s">
        <v>44</v>
      </c>
      <c r="D17" s="335"/>
      <c r="E17" s="335"/>
      <c r="F17" s="335"/>
      <c r="O17" s="32"/>
    </row>
    <row r="18" spans="3:15" x14ac:dyDescent="0.3">
      <c r="C18" s="201" t="s">
        <v>133</v>
      </c>
    </row>
  </sheetData>
  <mergeCells count="13">
    <mergeCell ref="B2:AB2"/>
    <mergeCell ref="B4:B5"/>
    <mergeCell ref="C4:C5"/>
    <mergeCell ref="D4:D5"/>
    <mergeCell ref="E4:P4"/>
    <mergeCell ref="Q4:AB4"/>
    <mergeCell ref="AI4:AI5"/>
    <mergeCell ref="AC4:AC5"/>
    <mergeCell ref="AD4:AD5"/>
    <mergeCell ref="C17:F17"/>
    <mergeCell ref="AE4:AE5"/>
    <mergeCell ref="AF4:AF5"/>
    <mergeCell ref="AG4:AG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M18"/>
  <sheetViews>
    <sheetView zoomScale="80" zoomScaleNormal="80" workbookViewId="0">
      <selection activeCell="R22" sqref="R22"/>
    </sheetView>
  </sheetViews>
  <sheetFormatPr defaultRowHeight="14.4" x14ac:dyDescent="0.3"/>
  <cols>
    <col min="1" max="1" width="1.33203125" customWidth="1"/>
    <col min="31" max="31" width="13" customWidth="1"/>
    <col min="32" max="32" width="10.88671875" customWidth="1"/>
    <col min="33" max="33" width="11.33203125" hidden="1" customWidth="1"/>
    <col min="34" max="34" width="8.88671875" hidden="1" customWidth="1"/>
    <col min="35" max="35" width="13.109375" customWidth="1"/>
    <col min="36" max="36" width="11.33203125" customWidth="1"/>
    <col min="37" max="37" width="11.44140625" customWidth="1"/>
  </cols>
  <sheetData>
    <row r="2" spans="2:39" ht="17.399999999999999" x14ac:dyDescent="0.3">
      <c r="B2" s="310" t="s">
        <v>134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155"/>
      <c r="AD2" s="155"/>
      <c r="AE2" s="155"/>
    </row>
    <row r="4" spans="2:39" ht="37.950000000000003" customHeight="1" x14ac:dyDescent="0.3">
      <c r="B4" s="311" t="s">
        <v>1</v>
      </c>
      <c r="C4" s="312" t="s">
        <v>49</v>
      </c>
      <c r="D4" s="312" t="s">
        <v>0</v>
      </c>
      <c r="E4" s="322" t="s">
        <v>36</v>
      </c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4"/>
      <c r="Q4" s="322" t="s">
        <v>169</v>
      </c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4"/>
      <c r="AC4" s="312" t="s">
        <v>42</v>
      </c>
      <c r="AD4" s="312" t="s">
        <v>9</v>
      </c>
      <c r="AE4" s="316" t="s">
        <v>67</v>
      </c>
      <c r="AF4" s="316" t="s">
        <v>52</v>
      </c>
      <c r="AG4" s="316" t="s">
        <v>53</v>
      </c>
      <c r="AI4" s="321" t="s">
        <v>68</v>
      </c>
    </row>
    <row r="5" spans="2:39" ht="70.95" customHeight="1" x14ac:dyDescent="0.3">
      <c r="B5" s="311"/>
      <c r="C5" s="312"/>
      <c r="D5" s="312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61</v>
      </c>
      <c r="K5" s="2" t="s">
        <v>60</v>
      </c>
      <c r="L5" s="2" t="s">
        <v>59</v>
      </c>
      <c r="M5" s="2" t="s">
        <v>58</v>
      </c>
      <c r="N5" s="2" t="s">
        <v>57</v>
      </c>
      <c r="O5" s="2" t="s">
        <v>56</v>
      </c>
      <c r="P5" s="2" t="s">
        <v>55</v>
      </c>
      <c r="Q5" s="2" t="s">
        <v>26</v>
      </c>
      <c r="R5" s="2" t="s">
        <v>27</v>
      </c>
      <c r="S5" s="2" t="s">
        <v>28</v>
      </c>
      <c r="T5" s="2" t="s">
        <v>29</v>
      </c>
      <c r="U5" s="2" t="s">
        <v>33</v>
      </c>
      <c r="V5" s="2" t="s">
        <v>61</v>
      </c>
      <c r="W5" s="2" t="s">
        <v>60</v>
      </c>
      <c r="X5" s="2" t="s">
        <v>59</v>
      </c>
      <c r="Y5" s="6" t="s">
        <v>58</v>
      </c>
      <c r="Z5" s="43" t="s">
        <v>57</v>
      </c>
      <c r="AA5" s="43" t="s">
        <v>56</v>
      </c>
      <c r="AB5" s="43" t="s">
        <v>55</v>
      </c>
      <c r="AC5" s="312"/>
      <c r="AD5" s="312"/>
      <c r="AE5" s="316"/>
      <c r="AF5" s="316" t="s">
        <v>51</v>
      </c>
      <c r="AG5" s="316" t="s">
        <v>51</v>
      </c>
      <c r="AI5" s="321" t="s">
        <v>51</v>
      </c>
    </row>
    <row r="6" spans="2:39" ht="27" customHeight="1" x14ac:dyDescent="0.3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40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30</v>
      </c>
      <c r="R6" s="5" t="s">
        <v>34</v>
      </c>
      <c r="S6" s="5" t="s">
        <v>17</v>
      </c>
      <c r="T6" s="5" t="s">
        <v>18</v>
      </c>
      <c r="U6" s="5" t="s">
        <v>31</v>
      </c>
      <c r="V6" s="5" t="s">
        <v>30</v>
      </c>
      <c r="W6" s="5" t="s">
        <v>34</v>
      </c>
      <c r="X6" s="5" t="s">
        <v>17</v>
      </c>
      <c r="Y6" s="136" t="s">
        <v>18</v>
      </c>
      <c r="Z6" s="44" t="s">
        <v>31</v>
      </c>
      <c r="AA6" s="44" t="s">
        <v>18</v>
      </c>
      <c r="AB6" s="44" t="s">
        <v>31</v>
      </c>
      <c r="AC6" s="5" t="s">
        <v>19</v>
      </c>
      <c r="AD6" s="5" t="s">
        <v>20</v>
      </c>
      <c r="AE6" s="3" t="s">
        <v>41</v>
      </c>
      <c r="AF6" s="21"/>
      <c r="AG6" s="21"/>
      <c r="AI6" s="21"/>
    </row>
    <row r="7" spans="2:39" ht="25.95" customHeight="1" x14ac:dyDescent="0.3">
      <c r="B7" s="166" t="s">
        <v>2</v>
      </c>
      <c r="C7" s="167" t="s">
        <v>46</v>
      </c>
      <c r="D7" s="168" t="s">
        <v>47</v>
      </c>
      <c r="E7" s="169">
        <f t="shared" ref="E7:P7" si="0">SUM(E8:E14)</f>
        <v>2749.16</v>
      </c>
      <c r="F7" s="169">
        <f t="shared" si="0"/>
        <v>2463.15</v>
      </c>
      <c r="G7" s="170">
        <f t="shared" si="0"/>
        <v>1315.89</v>
      </c>
      <c r="H7" s="170">
        <f t="shared" si="0"/>
        <v>414.62</v>
      </c>
      <c r="I7" s="170">
        <f t="shared" si="0"/>
        <v>0</v>
      </c>
      <c r="J7" s="169">
        <f t="shared" si="0"/>
        <v>0</v>
      </c>
      <c r="K7" s="169">
        <f t="shared" si="0"/>
        <v>0</v>
      </c>
      <c r="L7" s="170">
        <f t="shared" si="0"/>
        <v>0</v>
      </c>
      <c r="M7" s="170">
        <f t="shared" si="0"/>
        <v>0</v>
      </c>
      <c r="N7" s="170">
        <f t="shared" si="0"/>
        <v>664.33</v>
      </c>
      <c r="O7" s="170">
        <f t="shared" si="0"/>
        <v>1996.06</v>
      </c>
      <c r="P7" s="170">
        <f t="shared" si="0"/>
        <v>3946.89</v>
      </c>
      <c r="Q7" s="170">
        <f>Q8</f>
        <v>2960.57</v>
      </c>
      <c r="R7" s="170">
        <f t="shared" ref="R7:AC7" si="1">R8</f>
        <v>2553.44</v>
      </c>
      <c r="S7" s="170">
        <f t="shared" si="1"/>
        <v>2173.89</v>
      </c>
      <c r="T7" s="170">
        <f t="shared" si="1"/>
        <v>1345.45</v>
      </c>
      <c r="U7" s="170">
        <f t="shared" si="1"/>
        <v>25.99</v>
      </c>
      <c r="V7" s="170">
        <f t="shared" si="1"/>
        <v>0</v>
      </c>
      <c r="W7" s="170">
        <f t="shared" si="1"/>
        <v>0</v>
      </c>
      <c r="X7" s="170">
        <f t="shared" si="1"/>
        <v>0</v>
      </c>
      <c r="Y7" s="28">
        <f t="shared" si="1"/>
        <v>0</v>
      </c>
      <c r="Z7" s="70">
        <f t="shared" si="1"/>
        <v>2640.66</v>
      </c>
      <c r="AA7" s="70">
        <f t="shared" si="1"/>
        <v>2700</v>
      </c>
      <c r="AB7" s="70">
        <f t="shared" si="1"/>
        <v>2600</v>
      </c>
      <c r="AC7" s="170">
        <f t="shared" si="1"/>
        <v>0</v>
      </c>
      <c r="AD7" s="170">
        <f>SUM(AD8:AD14)</f>
        <v>0</v>
      </c>
      <c r="AE7" s="28">
        <f>SUM(AE8:AE14)</f>
        <v>3449.9</v>
      </c>
      <c r="AF7" s="29">
        <f>SUM(AF8:AF14)</f>
        <v>287.49166666666667</v>
      </c>
      <c r="AG7" s="29">
        <f>SUM(AG8:AG14)</f>
        <v>2299.9333333333334</v>
      </c>
      <c r="AI7" s="29"/>
      <c r="AJ7" s="55">
        <f>SUM(E7:P7)</f>
        <v>13550.099999999999</v>
      </c>
      <c r="AK7" s="55">
        <f>SUM(Q7:AC7)</f>
        <v>17000</v>
      </c>
      <c r="AL7" s="56">
        <f>AJ7-AK7</f>
        <v>-3449.9000000000015</v>
      </c>
      <c r="AM7" s="57">
        <f>AK7/AJ7*100-100</f>
        <v>25.460328706061233</v>
      </c>
    </row>
    <row r="8" spans="2:39" ht="27" x14ac:dyDescent="0.3">
      <c r="B8" s="179" t="s">
        <v>5</v>
      </c>
      <c r="C8" s="173" t="s">
        <v>63</v>
      </c>
      <c r="D8" s="175"/>
      <c r="E8" s="175">
        <v>2749.16</v>
      </c>
      <c r="F8" s="175">
        <v>2463.15</v>
      </c>
      <c r="G8" s="176">
        <v>1315.89</v>
      </c>
      <c r="H8" s="176">
        <v>414.62</v>
      </c>
      <c r="I8" s="176"/>
      <c r="J8" s="176"/>
      <c r="K8" s="176"/>
      <c r="L8" s="176"/>
      <c r="M8" s="176"/>
      <c r="N8" s="176">
        <v>664.33</v>
      </c>
      <c r="O8" s="176">
        <v>1996.06</v>
      </c>
      <c r="P8" s="176">
        <v>3946.89</v>
      </c>
      <c r="Q8" s="176">
        <v>2960.57</v>
      </c>
      <c r="R8" s="176">
        <v>2553.44</v>
      </c>
      <c r="S8" s="176">
        <v>2173.89</v>
      </c>
      <c r="T8" s="176">
        <v>1345.45</v>
      </c>
      <c r="U8" s="176">
        <v>25.99</v>
      </c>
      <c r="V8" s="176"/>
      <c r="W8" s="176"/>
      <c r="X8" s="175"/>
      <c r="Y8" s="293"/>
      <c r="Z8" s="70">
        <v>2640.66</v>
      </c>
      <c r="AA8" s="70">
        <v>2700</v>
      </c>
      <c r="AB8" s="70">
        <v>2600</v>
      </c>
      <c r="AC8" s="183"/>
      <c r="AD8" s="183"/>
      <c r="AE8" s="26">
        <f t="shared" ref="AE8" si="2">ROUND(SUM(Q8:AB8)-SUM(E8:P8)+AC8,2)</f>
        <v>3449.9</v>
      </c>
      <c r="AF8" s="26">
        <f>AE8/12</f>
        <v>287.49166666666667</v>
      </c>
      <c r="AG8" s="26">
        <f>AF8*8</f>
        <v>2299.9333333333334</v>
      </c>
      <c r="AH8" s="59"/>
      <c r="AI8" s="58" t="s">
        <v>69</v>
      </c>
    </row>
    <row r="9" spans="2:39" x14ac:dyDescent="0.3">
      <c r="B9" s="179"/>
      <c r="C9" s="186" t="s">
        <v>62</v>
      </c>
      <c r="D9" s="188"/>
      <c r="E9" s="188"/>
      <c r="F9" s="188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92">
        <f t="shared" ref="Q9:AB9" si="3">Q8/E8</f>
        <v>1.0768998530460214</v>
      </c>
      <c r="R9" s="192">
        <f t="shared" si="3"/>
        <v>1.0366563140693827</v>
      </c>
      <c r="S9" s="192">
        <f t="shared" si="3"/>
        <v>1.6520301848938739</v>
      </c>
      <c r="T9" s="192">
        <f t="shared" si="3"/>
        <v>3.2450195359606386</v>
      </c>
      <c r="U9" s="192"/>
      <c r="V9" s="192"/>
      <c r="W9" s="192"/>
      <c r="X9" s="193"/>
      <c r="Y9" s="294"/>
      <c r="Z9" s="71">
        <f t="shared" si="3"/>
        <v>3.9749221019673953</v>
      </c>
      <c r="AA9" s="71">
        <f t="shared" si="3"/>
        <v>1.3526647495566266</v>
      </c>
      <c r="AB9" s="71">
        <f t="shared" si="3"/>
        <v>0.65874650674328394</v>
      </c>
      <c r="AC9" s="183"/>
      <c r="AD9" s="183"/>
      <c r="AE9" s="26"/>
      <c r="AF9" s="26"/>
      <c r="AG9" s="26"/>
      <c r="AH9" s="7"/>
      <c r="AI9" s="26"/>
      <c r="AJ9" s="7"/>
      <c r="AK9" s="7"/>
      <c r="AL9" s="7"/>
      <c r="AM9" s="7"/>
    </row>
    <row r="10" spans="2:39" x14ac:dyDescent="0.3">
      <c r="B10" s="179" t="s">
        <v>6</v>
      </c>
      <c r="C10" s="180" t="s">
        <v>21</v>
      </c>
      <c r="D10" s="142"/>
      <c r="E10" s="142"/>
      <c r="F10" s="142"/>
      <c r="G10" s="141"/>
      <c r="H10" s="141"/>
      <c r="I10" s="141"/>
      <c r="J10" s="142"/>
      <c r="K10" s="142"/>
      <c r="L10" s="141"/>
      <c r="M10" s="141"/>
      <c r="N10" s="141"/>
      <c r="O10" s="141"/>
      <c r="P10" s="141"/>
      <c r="Q10" s="183"/>
      <c r="R10" s="183"/>
      <c r="S10" s="183"/>
      <c r="T10" s="183"/>
      <c r="U10" s="183"/>
      <c r="V10" s="183"/>
      <c r="W10" s="183"/>
      <c r="X10" s="183"/>
      <c r="Y10" s="26"/>
      <c r="Z10" s="72"/>
      <c r="AA10" s="72"/>
      <c r="AB10" s="72"/>
      <c r="AC10" s="141"/>
      <c r="AD10" s="141"/>
      <c r="AE10" s="26"/>
      <c r="AF10" s="8"/>
      <c r="AG10" s="8"/>
      <c r="AI10" s="8"/>
    </row>
    <row r="11" spans="2:39" x14ac:dyDescent="0.3">
      <c r="B11" s="179" t="s">
        <v>7</v>
      </c>
      <c r="C11" s="180" t="s">
        <v>22</v>
      </c>
      <c r="D11" s="142"/>
      <c r="E11" s="142"/>
      <c r="F11" s="142"/>
      <c r="G11" s="141"/>
      <c r="H11" s="141"/>
      <c r="I11" s="141"/>
      <c r="J11" s="142"/>
      <c r="K11" s="142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9"/>
      <c r="Z11" s="73"/>
      <c r="AA11" s="73"/>
      <c r="AB11" s="73"/>
      <c r="AC11" s="141"/>
      <c r="AD11" s="141"/>
      <c r="AE11" s="26"/>
      <c r="AF11" s="21"/>
      <c r="AG11" s="21"/>
      <c r="AI11" s="21"/>
    </row>
    <row r="12" spans="2:39" x14ac:dyDescent="0.3">
      <c r="B12" s="179" t="s">
        <v>24</v>
      </c>
      <c r="C12" s="142" t="s">
        <v>23</v>
      </c>
      <c r="D12" s="142"/>
      <c r="E12" s="142"/>
      <c r="F12" s="142"/>
      <c r="G12" s="141"/>
      <c r="H12" s="141"/>
      <c r="I12" s="141"/>
      <c r="J12" s="142"/>
      <c r="K12" s="142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9"/>
      <c r="Z12" s="73"/>
      <c r="AA12" s="73"/>
      <c r="AB12" s="73"/>
      <c r="AC12" s="141"/>
      <c r="AD12" s="141"/>
      <c r="AE12" s="26"/>
      <c r="AF12" s="21"/>
      <c r="AG12" s="21"/>
      <c r="AI12" s="21"/>
    </row>
    <row r="13" spans="2:39" x14ac:dyDescent="0.3">
      <c r="B13" s="179" t="s">
        <v>25</v>
      </c>
      <c r="C13" s="180" t="s">
        <v>38</v>
      </c>
      <c r="D13" s="142"/>
      <c r="E13" s="142"/>
      <c r="F13" s="142"/>
      <c r="G13" s="141"/>
      <c r="H13" s="141"/>
      <c r="I13" s="141"/>
      <c r="J13" s="142"/>
      <c r="K13" s="142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9"/>
      <c r="Z13" s="48"/>
      <c r="AA13" s="48"/>
      <c r="AB13" s="48"/>
      <c r="AC13" s="141"/>
      <c r="AD13" s="141"/>
      <c r="AE13" s="26"/>
      <c r="AF13" s="21"/>
      <c r="AG13" s="21"/>
      <c r="AI13" s="21"/>
    </row>
    <row r="14" spans="2:39" x14ac:dyDescent="0.3">
      <c r="B14" s="179" t="s">
        <v>32</v>
      </c>
      <c r="C14" s="180" t="s">
        <v>38</v>
      </c>
      <c r="D14" s="196"/>
      <c r="E14" s="196"/>
      <c r="F14" s="196"/>
      <c r="G14" s="21"/>
      <c r="H14" s="21"/>
      <c r="I14" s="21"/>
      <c r="J14" s="196"/>
      <c r="K14" s="196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10"/>
      <c r="Z14" s="49"/>
      <c r="AA14" s="49"/>
      <c r="AB14" s="49"/>
      <c r="AC14" s="21"/>
      <c r="AD14" s="21"/>
      <c r="AE14" s="26"/>
      <c r="AF14" s="21"/>
      <c r="AG14" s="21"/>
      <c r="AI14" s="21"/>
    </row>
    <row r="15" spans="2:39" x14ac:dyDescent="0.3">
      <c r="C15" s="17"/>
      <c r="D15" s="17"/>
      <c r="E15" s="17"/>
      <c r="F15" s="17"/>
      <c r="J15" s="17"/>
      <c r="K15" s="30"/>
      <c r="L15" s="31"/>
      <c r="O15" s="32"/>
      <c r="P15" s="32"/>
      <c r="X15" s="33"/>
      <c r="Y15" s="297"/>
    </row>
    <row r="16" spans="2:39" x14ac:dyDescent="0.3">
      <c r="C16" s="199" t="s">
        <v>135</v>
      </c>
      <c r="D16" s="199"/>
      <c r="E16" s="199"/>
      <c r="F16" s="199"/>
      <c r="J16" s="199"/>
      <c r="K16" s="199"/>
      <c r="L16" s="31"/>
      <c r="O16" s="32"/>
      <c r="P16" s="32"/>
      <c r="AB16" s="31"/>
    </row>
    <row r="17" spans="3:28" x14ac:dyDescent="0.3">
      <c r="C17" s="335" t="s">
        <v>44</v>
      </c>
      <c r="D17" s="335"/>
      <c r="E17" s="335"/>
      <c r="F17" s="335"/>
      <c r="O17" s="32"/>
      <c r="AB17" s="31"/>
    </row>
    <row r="18" spans="3:28" x14ac:dyDescent="0.3">
      <c r="C18" s="201" t="s">
        <v>136</v>
      </c>
    </row>
  </sheetData>
  <mergeCells count="13">
    <mergeCell ref="B2:AB2"/>
    <mergeCell ref="B4:B5"/>
    <mergeCell ref="C4:C5"/>
    <mergeCell ref="D4:D5"/>
    <mergeCell ref="E4:P4"/>
    <mergeCell ref="Q4:AB4"/>
    <mergeCell ref="AI4:AI5"/>
    <mergeCell ref="AC4:AC5"/>
    <mergeCell ref="AD4:AD5"/>
    <mergeCell ref="C17:F17"/>
    <mergeCell ref="AE4:AE5"/>
    <mergeCell ref="AF4:AF5"/>
    <mergeCell ref="AG4:A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IZM</vt:lpstr>
      <vt:lpstr>Savilkums</vt:lpstr>
      <vt:lpstr>Visas_AI</vt:lpstr>
      <vt:lpstr>BA</vt:lpstr>
      <vt:lpstr>DU</vt:lpstr>
      <vt:lpstr>DU_DMK</vt:lpstr>
      <vt:lpstr>LJA</vt:lpstr>
      <vt:lpstr>LSPA</vt:lpstr>
      <vt:lpstr>LiepU</vt:lpstr>
      <vt:lpstr>LU</vt:lpstr>
      <vt:lpstr>RTA</vt:lpstr>
      <vt:lpstr>RTU</vt:lpstr>
      <vt:lpstr>VeA</vt:lpstr>
      <vt:lpstr>ViA</vt:lpstr>
      <vt:lpstr>RSU</vt:lpstr>
      <vt:lpstr>LBTU</vt:lpstr>
      <vt:lpstr>JVLMA</vt:lpstr>
      <vt:lpstr>LMA</vt:lpstr>
      <vt:lpstr>LKA</vt:lpstr>
      <vt:lpstr>LKA_LKK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 Strazdiņa</dc:creator>
  <cp:lastModifiedBy>Ineta Valmane</cp:lastModifiedBy>
  <cp:lastPrinted>2022-04-08T20:12:27Z</cp:lastPrinted>
  <dcterms:created xsi:type="dcterms:W3CDTF">2022-03-03T14:02:27Z</dcterms:created>
  <dcterms:modified xsi:type="dcterms:W3CDTF">2022-11-29T10:14:24Z</dcterms:modified>
</cp:coreProperties>
</file>