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vide-my.sharepoint.com/personal/ramona_uzulniece_varam_gov_lv/Documents/Desktop/DRN/"/>
    </mc:Choice>
  </mc:AlternateContent>
  <xr:revisionPtr revIDLastSave="1" documentId="8_{E0566217-8A80-4F93-B03C-47C80E226701}" xr6:coauthVersionLast="47" xr6:coauthVersionMax="47" xr10:uidLastSave="{5D4FF479-C832-4E5C-B648-63D354D9BABD}"/>
  <bookViews>
    <workbookView xWindow="-110" yWindow="-110" windowWidth="19420" windowHeight="10420" xr2:uid="{00000000-000D-0000-FFFF-FFFF00000000}"/>
  </bookViews>
  <sheets>
    <sheet name="DRN_aprēķins" sheetId="6" r:id="rId1"/>
  </sheets>
  <definedNames>
    <definedName name="_xlnm.Print_Titles" localSheetId="0">DRN_aprēķins!$5:$7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2" i="6" l="1"/>
  <c r="F14" i="6"/>
  <c r="E13" i="6"/>
  <c r="G86" i="6"/>
  <c r="E22" i="6"/>
  <c r="E21" i="6"/>
  <c r="K36" i="6" l="1"/>
  <c r="K80" i="6" l="1"/>
  <c r="F79" i="6"/>
  <c r="E63" i="6"/>
  <c r="H180" i="6"/>
  <c r="I180" i="6" s="1"/>
  <c r="K44" i="6"/>
  <c r="K54" i="6"/>
  <c r="E8" i="6"/>
  <c r="F10" i="6"/>
  <c r="F9" i="6"/>
  <c r="F8" i="6"/>
  <c r="E9" i="6"/>
  <c r="E10" i="6"/>
  <c r="E211" i="6"/>
  <c r="E200" i="6"/>
  <c r="F199" i="6"/>
  <c r="K200" i="6" s="1"/>
  <c r="E199" i="6"/>
  <c r="G199" i="6" s="1"/>
  <c r="E198" i="6"/>
  <c r="G198" i="6" s="1"/>
  <c r="E197" i="6"/>
  <c r="G197" i="6" s="1"/>
  <c r="E196" i="6"/>
  <c r="E195" i="6"/>
  <c r="F195" i="6" s="1"/>
  <c r="E192" i="6"/>
  <c r="E191" i="6"/>
  <c r="G191" i="6" s="1"/>
  <c r="E190" i="6"/>
  <c r="G190" i="6" s="1"/>
  <c r="E189" i="6"/>
  <c r="G189" i="6" s="1"/>
  <c r="E188" i="6"/>
  <c r="E187" i="6"/>
  <c r="F187" i="6" s="1"/>
  <c r="E184" i="6"/>
  <c r="E183" i="6"/>
  <c r="F183" i="6" s="1"/>
  <c r="E182" i="6"/>
  <c r="G182" i="6" s="1"/>
  <c r="E181" i="6"/>
  <c r="G181" i="6" s="1"/>
  <c r="E180" i="6"/>
  <c r="E179" i="6"/>
  <c r="F179" i="6" s="1"/>
  <c r="E176" i="6"/>
  <c r="F176" i="6" s="1"/>
  <c r="E175" i="6"/>
  <c r="G175" i="6" s="1"/>
  <c r="E174" i="6"/>
  <c r="G174" i="6" s="1"/>
  <c r="E173" i="6"/>
  <c r="F173" i="6" s="1"/>
  <c r="E172" i="6"/>
  <c r="F172" i="6" s="1"/>
  <c r="E171" i="6"/>
  <c r="G171" i="6" s="1"/>
  <c r="E168" i="6"/>
  <c r="E167" i="6"/>
  <c r="G167" i="6" s="1"/>
  <c r="E166" i="6"/>
  <c r="G166" i="6" s="1"/>
  <c r="E165" i="6"/>
  <c r="G165" i="6" s="1"/>
  <c r="E164" i="6"/>
  <c r="E163" i="6"/>
  <c r="G163" i="6" s="1"/>
  <c r="E160" i="6"/>
  <c r="E159" i="6"/>
  <c r="G159" i="6" s="1"/>
  <c r="E158" i="6"/>
  <c r="G158" i="6" s="1"/>
  <c r="E157" i="6"/>
  <c r="G157" i="6" s="1"/>
  <c r="E156" i="6"/>
  <c r="F156" i="6" s="1"/>
  <c r="E155" i="6"/>
  <c r="G155" i="6" s="1"/>
  <c r="E152" i="6"/>
  <c r="G152" i="6" s="1"/>
  <c r="E151" i="6"/>
  <c r="G151" i="6" s="1"/>
  <c r="E150" i="6"/>
  <c r="G150" i="6" s="1"/>
  <c r="E149" i="6"/>
  <c r="G149" i="6" s="1"/>
  <c r="E148" i="6"/>
  <c r="E147" i="6"/>
  <c r="G147" i="6" s="1"/>
  <c r="E144" i="6"/>
  <c r="E143" i="6"/>
  <c r="G143" i="6" s="1"/>
  <c r="E142" i="6"/>
  <c r="G142" i="6" s="1"/>
  <c r="E141" i="6"/>
  <c r="G141" i="6" s="1"/>
  <c r="E140" i="6"/>
  <c r="E139" i="6"/>
  <c r="G139" i="6" s="1"/>
  <c r="E136" i="6"/>
  <c r="F136" i="6" s="1"/>
  <c r="E135" i="6"/>
  <c r="F135" i="6" s="1"/>
  <c r="E134" i="6"/>
  <c r="G134" i="6" s="1"/>
  <c r="E133" i="6"/>
  <c r="G133" i="6" s="1"/>
  <c r="E132" i="6"/>
  <c r="E131" i="6"/>
  <c r="G131" i="6" s="1"/>
  <c r="E128" i="6"/>
  <c r="E127" i="6"/>
  <c r="G127" i="6" s="1"/>
  <c r="E126" i="6"/>
  <c r="G126" i="6" s="1"/>
  <c r="E125" i="6"/>
  <c r="G125" i="6" s="1"/>
  <c r="E124" i="6"/>
  <c r="E123" i="6"/>
  <c r="G123" i="6" s="1"/>
  <c r="E120" i="6"/>
  <c r="E119" i="6"/>
  <c r="G119" i="6" s="1"/>
  <c r="E118" i="6"/>
  <c r="G118" i="6" s="1"/>
  <c r="E117" i="6"/>
  <c r="F117" i="6" s="1"/>
  <c r="E116" i="6"/>
  <c r="E115" i="6"/>
  <c r="G115" i="6" s="1"/>
  <c r="G195" i="6" l="1"/>
  <c r="H196" i="6"/>
  <c r="J196" i="6" s="1"/>
  <c r="L198" i="6"/>
  <c r="F198" i="6"/>
  <c r="L200" i="6"/>
  <c r="K196" i="6"/>
  <c r="H198" i="6"/>
  <c r="L196" i="6"/>
  <c r="F200" i="6"/>
  <c r="F196" i="6"/>
  <c r="F197" i="6"/>
  <c r="K198" i="6" s="1"/>
  <c r="H200" i="6"/>
  <c r="G196" i="6"/>
  <c r="G200" i="6"/>
  <c r="G187" i="6"/>
  <c r="K188" i="6"/>
  <c r="H190" i="6"/>
  <c r="J190" i="6" s="1"/>
  <c r="L188" i="6"/>
  <c r="L192" i="6"/>
  <c r="G192" i="6"/>
  <c r="F188" i="6"/>
  <c r="F189" i="6"/>
  <c r="K190" i="6" s="1"/>
  <c r="H192" i="6"/>
  <c r="F192" i="6"/>
  <c r="G188" i="6"/>
  <c r="L190" i="6"/>
  <c r="H188" i="6"/>
  <c r="F190" i="6"/>
  <c r="F191" i="6"/>
  <c r="K192" i="6"/>
  <c r="K184" i="6"/>
  <c r="H184" i="6"/>
  <c r="J184" i="6" s="1"/>
  <c r="H148" i="6"/>
  <c r="J148" i="6" s="1"/>
  <c r="G183" i="6"/>
  <c r="G184" i="6"/>
  <c r="L184" i="6"/>
  <c r="F184" i="6"/>
  <c r="F182" i="6"/>
  <c r="J180" i="6"/>
  <c r="G179" i="6"/>
  <c r="L180" i="6" s="1"/>
  <c r="L182" i="6"/>
  <c r="K180" i="6"/>
  <c r="H182" i="6"/>
  <c r="F180" i="6"/>
  <c r="F181" i="6"/>
  <c r="K182" i="6" s="1"/>
  <c r="G180" i="6"/>
  <c r="L172" i="6"/>
  <c r="H172" i="6"/>
  <c r="J172" i="6" s="1"/>
  <c r="G172" i="6"/>
  <c r="G173" i="6"/>
  <c r="L174" i="6" s="1"/>
  <c r="F171" i="6"/>
  <c r="K172" i="6" s="1"/>
  <c r="L176" i="6"/>
  <c r="H174" i="6"/>
  <c r="G176" i="6"/>
  <c r="K174" i="6"/>
  <c r="H176" i="6"/>
  <c r="F174" i="6"/>
  <c r="F175" i="6"/>
  <c r="K176" i="6" s="1"/>
  <c r="F163" i="6"/>
  <c r="K164" i="6" s="1"/>
  <c r="H164" i="6"/>
  <c r="J164" i="6" s="1"/>
  <c r="F166" i="6"/>
  <c r="F167" i="6"/>
  <c r="K168" i="6" s="1"/>
  <c r="H166" i="6"/>
  <c r="I166" i="6" s="1"/>
  <c r="L168" i="6"/>
  <c r="G168" i="6"/>
  <c r="F164" i="6"/>
  <c r="F165" i="6"/>
  <c r="K166" i="6" s="1"/>
  <c r="H168" i="6"/>
  <c r="G164" i="6"/>
  <c r="L166" i="6"/>
  <c r="L164" i="6"/>
  <c r="F168" i="6"/>
  <c r="H132" i="6"/>
  <c r="L156" i="6"/>
  <c r="F155" i="6"/>
  <c r="K156" i="6" s="1"/>
  <c r="H156" i="6"/>
  <c r="J156" i="6" s="1"/>
  <c r="H158" i="6"/>
  <c r="J158" i="6" s="1"/>
  <c r="F157" i="6"/>
  <c r="K158" i="6" s="1"/>
  <c r="L160" i="6"/>
  <c r="F160" i="6"/>
  <c r="G160" i="6"/>
  <c r="H160" i="6"/>
  <c r="G156" i="6"/>
  <c r="L158" i="6"/>
  <c r="F158" i="6"/>
  <c r="F159" i="6"/>
  <c r="K160" i="6" s="1"/>
  <c r="F147" i="6"/>
  <c r="K148" i="6" s="1"/>
  <c r="L134" i="6"/>
  <c r="H152" i="6"/>
  <c r="J152" i="6" s="1"/>
  <c r="F151" i="6"/>
  <c r="K152" i="6" s="1"/>
  <c r="F150" i="6"/>
  <c r="F152" i="6"/>
  <c r="L152" i="6"/>
  <c r="H150" i="6"/>
  <c r="F148" i="6"/>
  <c r="F149" i="6"/>
  <c r="K150" i="6" s="1"/>
  <c r="G148" i="6"/>
  <c r="L150" i="6"/>
  <c r="L148" i="6"/>
  <c r="H142" i="6"/>
  <c r="I142" i="6" s="1"/>
  <c r="L140" i="6"/>
  <c r="H140" i="6"/>
  <c r="J140" i="6" s="1"/>
  <c r="F140" i="6"/>
  <c r="F139" i="6"/>
  <c r="K140" i="6" s="1"/>
  <c r="F141" i="6"/>
  <c r="K142" i="6" s="1"/>
  <c r="L144" i="6"/>
  <c r="F144" i="6"/>
  <c r="G144" i="6"/>
  <c r="H144" i="6"/>
  <c r="G140" i="6"/>
  <c r="L142" i="6"/>
  <c r="F142" i="6"/>
  <c r="F143" i="6"/>
  <c r="K144" i="6" s="1"/>
  <c r="L126" i="6"/>
  <c r="F134" i="6"/>
  <c r="K136" i="6"/>
  <c r="G136" i="6"/>
  <c r="H136" i="6"/>
  <c r="J136" i="6" s="1"/>
  <c r="G135" i="6"/>
  <c r="L136" i="6" s="1"/>
  <c r="H134" i="6"/>
  <c r="J134" i="6" s="1"/>
  <c r="J132" i="6"/>
  <c r="I132" i="6"/>
  <c r="F131" i="6"/>
  <c r="K132" i="6" s="1"/>
  <c r="L132" i="6"/>
  <c r="F132" i="6"/>
  <c r="F133" i="6"/>
  <c r="K134" i="6" s="1"/>
  <c r="G132" i="6"/>
  <c r="F123" i="6"/>
  <c r="K124" i="6" s="1"/>
  <c r="H126" i="6"/>
  <c r="J126" i="6" s="1"/>
  <c r="L128" i="6"/>
  <c r="L124" i="6"/>
  <c r="F128" i="6"/>
  <c r="G128" i="6"/>
  <c r="F124" i="6"/>
  <c r="F125" i="6"/>
  <c r="H128" i="6"/>
  <c r="H124" i="6"/>
  <c r="G124" i="6"/>
  <c r="F126" i="6"/>
  <c r="F127" i="6"/>
  <c r="K128" i="6" s="1"/>
  <c r="K118" i="6"/>
  <c r="F115" i="6"/>
  <c r="K116" i="6" s="1"/>
  <c r="H116" i="6"/>
  <c r="J116" i="6" s="1"/>
  <c r="L120" i="6"/>
  <c r="F120" i="6"/>
  <c r="L116" i="6"/>
  <c r="H120" i="6"/>
  <c r="F116" i="6"/>
  <c r="G116" i="6"/>
  <c r="G117" i="6"/>
  <c r="L118" i="6" s="1"/>
  <c r="H118" i="6"/>
  <c r="G120" i="6"/>
  <c r="F118" i="6"/>
  <c r="F119" i="6"/>
  <c r="K120" i="6" s="1"/>
  <c r="I196" i="6" l="1"/>
  <c r="I148" i="6"/>
  <c r="K126" i="6"/>
  <c r="J198" i="6"/>
  <c r="I198" i="6"/>
  <c r="J200" i="6"/>
  <c r="I200" i="6"/>
  <c r="I190" i="6"/>
  <c r="J192" i="6"/>
  <c r="I192" i="6"/>
  <c r="J188" i="6"/>
  <c r="I188" i="6"/>
  <c r="I184" i="6"/>
  <c r="I182" i="6"/>
  <c r="J182" i="6"/>
  <c r="I164" i="6"/>
  <c r="I172" i="6"/>
  <c r="I174" i="6"/>
  <c r="J174" i="6"/>
  <c r="J176" i="6"/>
  <c r="I176" i="6"/>
  <c r="J166" i="6"/>
  <c r="J168" i="6"/>
  <c r="I168" i="6"/>
  <c r="I158" i="6"/>
  <c r="I156" i="6"/>
  <c r="J160" i="6"/>
  <c r="I160" i="6"/>
  <c r="I152" i="6"/>
  <c r="J150" i="6"/>
  <c r="I150" i="6"/>
  <c r="J142" i="6"/>
  <c r="I140" i="6"/>
  <c r="J144" i="6"/>
  <c r="I144" i="6"/>
  <c r="I136" i="6"/>
  <c r="I134" i="6"/>
  <c r="I126" i="6"/>
  <c r="J128" i="6"/>
  <c r="I128" i="6"/>
  <c r="J124" i="6"/>
  <c r="I124" i="6"/>
  <c r="I116" i="6"/>
  <c r="J118" i="6"/>
  <c r="I118" i="6"/>
  <c r="J120" i="6"/>
  <c r="I120" i="6"/>
  <c r="E112" i="6" l="1"/>
  <c r="F112" i="6" s="1"/>
  <c r="E111" i="6"/>
  <c r="F111" i="6" s="1"/>
  <c r="E110" i="6"/>
  <c r="F110" i="6" s="1"/>
  <c r="E109" i="6"/>
  <c r="G109" i="6" s="1"/>
  <c r="E108" i="6"/>
  <c r="G108" i="6" s="1"/>
  <c r="E107" i="6"/>
  <c r="G107" i="6" s="1"/>
  <c r="G111" i="6" l="1"/>
  <c r="L112" i="6" s="1"/>
  <c r="H112" i="6"/>
  <c r="J112" i="6" s="1"/>
  <c r="G110" i="6"/>
  <c r="F108" i="6"/>
  <c r="F109" i="6"/>
  <c r="K110" i="6" s="1"/>
  <c r="L108" i="6"/>
  <c r="K112" i="6"/>
  <c r="F107" i="6"/>
  <c r="K108" i="6" s="1"/>
  <c r="H110" i="6"/>
  <c r="G112" i="6"/>
  <c r="L110" i="6"/>
  <c r="H108" i="6"/>
  <c r="E204" i="6"/>
  <c r="I112" i="6" l="1"/>
  <c r="I108" i="6"/>
  <c r="J108" i="6"/>
  <c r="I110" i="6"/>
  <c r="J110" i="6"/>
  <c r="F204" i="6"/>
  <c r="H204" i="6" s="1"/>
  <c r="E206" i="6"/>
  <c r="H206" i="6" s="1"/>
  <c r="L64" i="6"/>
  <c r="L63" i="6"/>
  <c r="E20" i="6"/>
  <c r="G20" i="6" s="1"/>
  <c r="E47" i="6"/>
  <c r="E44" i="6"/>
  <c r="G44" i="6" s="1"/>
  <c r="E43" i="6"/>
  <c r="E50" i="6"/>
  <c r="G50" i="6" s="1"/>
  <c r="E39" i="6"/>
  <c r="E35" i="6"/>
  <c r="G35" i="6" s="1"/>
  <c r="E36" i="6"/>
  <c r="E37" i="6"/>
  <c r="H63" i="6"/>
  <c r="E100" i="6"/>
  <c r="E92" i="6"/>
  <c r="E84" i="6"/>
  <c r="E68" i="6"/>
  <c r="E207" i="6"/>
  <c r="C208" i="6"/>
  <c r="E208" i="6" s="1"/>
  <c r="E205" i="6"/>
  <c r="F205" i="6" s="1"/>
  <c r="E203" i="6"/>
  <c r="F203" i="6" s="1"/>
  <c r="E104" i="6"/>
  <c r="F104" i="6" s="1"/>
  <c r="E103" i="6"/>
  <c r="E102" i="6"/>
  <c r="E101" i="6"/>
  <c r="E99" i="6"/>
  <c r="E96" i="6"/>
  <c r="E95" i="6"/>
  <c r="F95" i="6" s="1"/>
  <c r="E94" i="6"/>
  <c r="E93" i="6"/>
  <c r="F93" i="6" s="1"/>
  <c r="E91" i="6"/>
  <c r="G91" i="6" s="1"/>
  <c r="E88" i="6"/>
  <c r="E87" i="6"/>
  <c r="E86" i="6"/>
  <c r="E85" i="6"/>
  <c r="F85" i="6" s="1"/>
  <c r="E83" i="6"/>
  <c r="E80" i="6"/>
  <c r="F80" i="6" s="1"/>
  <c r="E79" i="6"/>
  <c r="G79" i="6" s="1"/>
  <c r="E78" i="6"/>
  <c r="E77" i="6"/>
  <c r="E76" i="6"/>
  <c r="E75" i="6"/>
  <c r="F75" i="6" s="1"/>
  <c r="E72" i="6"/>
  <c r="E71" i="6"/>
  <c r="G71" i="6" s="1"/>
  <c r="E70" i="6"/>
  <c r="E69" i="6"/>
  <c r="E67" i="6"/>
  <c r="G67" i="6" s="1"/>
  <c r="E64" i="6"/>
  <c r="H64" i="6" s="1"/>
  <c r="E62" i="6"/>
  <c r="C59" i="6"/>
  <c r="C60" i="6" s="1"/>
  <c r="C54" i="6"/>
  <c r="C55" i="6" s="1"/>
  <c r="C56" i="6" s="1"/>
  <c r="E56" i="6" s="1"/>
  <c r="E52" i="6"/>
  <c r="F52" i="6" s="1"/>
  <c r="E51" i="6"/>
  <c r="C46" i="6"/>
  <c r="C48" i="6" s="1"/>
  <c r="E48" i="6" s="1"/>
  <c r="E45" i="6"/>
  <c r="G45" i="6" s="1"/>
  <c r="E38" i="6"/>
  <c r="E31" i="6"/>
  <c r="E32" i="6"/>
  <c r="E28" i="6"/>
  <c r="F28" i="6" s="1"/>
  <c r="J28" i="6" s="1"/>
  <c r="E26" i="6"/>
  <c r="F26" i="6" s="1"/>
  <c r="E25" i="6"/>
  <c r="G22" i="6"/>
  <c r="H21" i="6"/>
  <c r="C17" i="6"/>
  <c r="C18" i="6" s="1"/>
  <c r="E40" i="6"/>
  <c r="E14" i="6" l="1"/>
  <c r="E12" i="6"/>
  <c r="K86" i="6"/>
  <c r="G85" i="6"/>
  <c r="G52" i="6"/>
  <c r="F99" i="6"/>
  <c r="G99" i="6"/>
  <c r="F62" i="6"/>
  <c r="F44" i="6"/>
  <c r="H62" i="6"/>
  <c r="I62" i="6" s="1"/>
  <c r="G38" i="6"/>
  <c r="L36" i="6"/>
  <c r="G68" i="6"/>
  <c r="L68" i="6"/>
  <c r="K56" i="6"/>
  <c r="L72" i="6"/>
  <c r="K96" i="6"/>
  <c r="L92" i="6"/>
  <c r="G93" i="6"/>
  <c r="F91" i="6"/>
  <c r="K94" i="6"/>
  <c r="L80" i="6"/>
  <c r="H76" i="6"/>
  <c r="J76" i="6" s="1"/>
  <c r="K76" i="6"/>
  <c r="F88" i="6"/>
  <c r="G39" i="6"/>
  <c r="L40" i="6" s="1"/>
  <c r="F78" i="6"/>
  <c r="I28" i="6"/>
  <c r="G104" i="6"/>
  <c r="G80" i="6"/>
  <c r="F39" i="6"/>
  <c r="H104" i="6"/>
  <c r="I104" i="6" s="1"/>
  <c r="F96" i="6"/>
  <c r="G70" i="6"/>
  <c r="G13" i="6" s="1"/>
  <c r="F94" i="6"/>
  <c r="G103" i="6"/>
  <c r="F86" i="6"/>
  <c r="F100" i="6"/>
  <c r="G36" i="6"/>
  <c r="G69" i="6"/>
  <c r="H40" i="6"/>
  <c r="F38" i="6"/>
  <c r="F87" i="6"/>
  <c r="H44" i="6"/>
  <c r="J44" i="6" s="1"/>
  <c r="L21" i="6"/>
  <c r="K21" i="6"/>
  <c r="G47" i="6"/>
  <c r="F101" i="6"/>
  <c r="F63" i="6"/>
  <c r="F47" i="6"/>
  <c r="G101" i="6"/>
  <c r="H94" i="6"/>
  <c r="G94" i="6"/>
  <c r="H86" i="6"/>
  <c r="H102" i="6"/>
  <c r="I102" i="6" s="1"/>
  <c r="F76" i="6"/>
  <c r="G77" i="6"/>
  <c r="E54" i="6"/>
  <c r="F69" i="6"/>
  <c r="H22" i="6"/>
  <c r="I22" i="6" s="1"/>
  <c r="G96" i="6"/>
  <c r="F206" i="6"/>
  <c r="G92" i="6"/>
  <c r="G88" i="6"/>
  <c r="H88" i="6"/>
  <c r="J88" i="6" s="1"/>
  <c r="F43" i="6"/>
  <c r="H84" i="6"/>
  <c r="G43" i="6"/>
  <c r="L44" i="6" s="1"/>
  <c r="G21" i="6"/>
  <c r="F67" i="6"/>
  <c r="H72" i="6"/>
  <c r="G95" i="6"/>
  <c r="F22" i="6"/>
  <c r="I204" i="6"/>
  <c r="I63" i="6"/>
  <c r="I205" i="6"/>
  <c r="F40" i="6"/>
  <c r="G76" i="6"/>
  <c r="F35" i="6"/>
  <c r="F37" i="6"/>
  <c r="K38" i="6" s="1"/>
  <c r="F72" i="6"/>
  <c r="F51" i="6"/>
  <c r="H26" i="6"/>
  <c r="F50" i="6"/>
  <c r="H100" i="6"/>
  <c r="F71" i="6"/>
  <c r="G78" i="6"/>
  <c r="G51" i="6"/>
  <c r="F77" i="6"/>
  <c r="G84" i="6"/>
  <c r="F45" i="6"/>
  <c r="F207" i="6"/>
  <c r="F68" i="6"/>
  <c r="H20" i="6"/>
  <c r="F36" i="6"/>
  <c r="H70" i="6"/>
  <c r="G72" i="6"/>
  <c r="I206" i="6"/>
  <c r="H68" i="6"/>
  <c r="E29" i="6"/>
  <c r="H92" i="6"/>
  <c r="J92" i="6" s="1"/>
  <c r="H38" i="6"/>
  <c r="J38" i="6" s="1"/>
  <c r="F20" i="6"/>
  <c r="E46" i="6"/>
  <c r="G75" i="6"/>
  <c r="L76" i="6" s="1"/>
  <c r="G102" i="6"/>
  <c r="G100" i="6"/>
  <c r="J205" i="6"/>
  <c r="I203" i="6"/>
  <c r="J203" i="6"/>
  <c r="E55" i="6"/>
  <c r="H56" i="6"/>
  <c r="F56" i="6"/>
  <c r="G56" i="6"/>
  <c r="G48" i="6"/>
  <c r="H48" i="6"/>
  <c r="F48" i="6"/>
  <c r="I64" i="6"/>
  <c r="H208" i="6"/>
  <c r="F208" i="6"/>
  <c r="H32" i="6"/>
  <c r="F32" i="6"/>
  <c r="J21" i="6"/>
  <c r="I21" i="6"/>
  <c r="J204" i="6"/>
  <c r="F21" i="6"/>
  <c r="H36" i="6"/>
  <c r="F64" i="6"/>
  <c r="G83" i="6"/>
  <c r="L84" i="6" s="1"/>
  <c r="G37" i="6"/>
  <c r="L38" i="6" s="1"/>
  <c r="G40" i="6"/>
  <c r="H78" i="6"/>
  <c r="F31" i="6"/>
  <c r="F102" i="6"/>
  <c r="F83" i="6"/>
  <c r="F103" i="6"/>
  <c r="K104" i="6" s="1"/>
  <c r="F84" i="6"/>
  <c r="H80" i="6"/>
  <c r="F70" i="6"/>
  <c r="F25" i="6"/>
  <c r="G87" i="6"/>
  <c r="F92" i="6"/>
  <c r="H96" i="6"/>
  <c r="F13" i="6" l="1"/>
  <c r="G14" i="6"/>
  <c r="F12" i="6"/>
  <c r="G12" i="6"/>
  <c r="J72" i="6"/>
  <c r="H14" i="6"/>
  <c r="J70" i="6"/>
  <c r="H13" i="6"/>
  <c r="L86" i="6"/>
  <c r="L56" i="6"/>
  <c r="K100" i="6"/>
  <c r="E213" i="6"/>
  <c r="G211" i="6"/>
  <c r="G8" i="6" s="1"/>
  <c r="F211" i="6"/>
  <c r="E212" i="6"/>
  <c r="F29" i="6"/>
  <c r="L88" i="6"/>
  <c r="L94" i="6"/>
  <c r="K40" i="6"/>
  <c r="K72" i="6"/>
  <c r="K48" i="6"/>
  <c r="K68" i="6"/>
  <c r="L48" i="6"/>
  <c r="K84" i="6"/>
  <c r="K70" i="6"/>
  <c r="L46" i="6"/>
  <c r="K46" i="6"/>
  <c r="J84" i="6"/>
  <c r="L22" i="6"/>
  <c r="K22" i="6"/>
  <c r="L70" i="6"/>
  <c r="L55" i="6"/>
  <c r="K55" i="6"/>
  <c r="L20" i="6"/>
  <c r="K20" i="6"/>
  <c r="L54" i="6"/>
  <c r="L100" i="6"/>
  <c r="L12" i="6" s="1"/>
  <c r="K88" i="6"/>
  <c r="J104" i="6"/>
  <c r="L104" i="6"/>
  <c r="K102" i="6"/>
  <c r="L96" i="6"/>
  <c r="K92" i="6"/>
  <c r="I40" i="6"/>
  <c r="J40" i="6"/>
  <c r="I44" i="6"/>
  <c r="L102" i="6"/>
  <c r="G55" i="6"/>
  <c r="K78" i="6"/>
  <c r="L78" i="6"/>
  <c r="I100" i="6"/>
  <c r="G46" i="6"/>
  <c r="I88" i="6"/>
  <c r="J102" i="6"/>
  <c r="J100" i="6"/>
  <c r="H29" i="6"/>
  <c r="I26" i="6"/>
  <c r="K26" i="6" s="1"/>
  <c r="J26" i="6"/>
  <c r="I84" i="6"/>
  <c r="I94" i="6"/>
  <c r="J94" i="6"/>
  <c r="I86" i="6"/>
  <c r="G54" i="6"/>
  <c r="H54" i="6"/>
  <c r="I72" i="6"/>
  <c r="J86" i="6"/>
  <c r="F54" i="6"/>
  <c r="J22" i="6"/>
  <c r="F55" i="6"/>
  <c r="I38" i="6"/>
  <c r="I20" i="6"/>
  <c r="J206" i="6"/>
  <c r="L206" i="6" s="1"/>
  <c r="I70" i="6"/>
  <c r="I92" i="6"/>
  <c r="K64" i="6"/>
  <c r="J20" i="6"/>
  <c r="I76" i="6"/>
  <c r="J207" i="6"/>
  <c r="I207" i="6"/>
  <c r="K63" i="6"/>
  <c r="J68" i="6"/>
  <c r="I68" i="6"/>
  <c r="K204" i="6"/>
  <c r="L204" i="6"/>
  <c r="H46" i="6"/>
  <c r="F46" i="6"/>
  <c r="K206" i="6"/>
  <c r="H55" i="6"/>
  <c r="J96" i="6"/>
  <c r="I96" i="6"/>
  <c r="I25" i="6"/>
  <c r="J25" i="6"/>
  <c r="I48" i="6"/>
  <c r="J48" i="6"/>
  <c r="I36" i="6"/>
  <c r="J36" i="6"/>
  <c r="J208" i="6"/>
  <c r="I208" i="6"/>
  <c r="I56" i="6"/>
  <c r="J56" i="6"/>
  <c r="J80" i="6"/>
  <c r="I80" i="6"/>
  <c r="I32" i="6"/>
  <c r="J32" i="6"/>
  <c r="J78" i="6"/>
  <c r="I78" i="6"/>
  <c r="I31" i="6"/>
  <c r="J31" i="6"/>
  <c r="K14" i="6" l="1"/>
  <c r="L14" i="6"/>
  <c r="I13" i="6"/>
  <c r="K12" i="6"/>
  <c r="J12" i="6"/>
  <c r="I12" i="6"/>
  <c r="J14" i="6"/>
  <c r="I14" i="6"/>
  <c r="J13" i="6"/>
  <c r="K13" i="6"/>
  <c r="L13" i="6"/>
  <c r="F213" i="6"/>
  <c r="E214" i="6"/>
  <c r="G213" i="6"/>
  <c r="G9" i="6" s="1"/>
  <c r="L212" i="6"/>
  <c r="K212" i="6"/>
  <c r="G212" i="6"/>
  <c r="F212" i="6"/>
  <c r="H212" i="6"/>
  <c r="J29" i="6"/>
  <c r="I29" i="6"/>
  <c r="J54" i="6"/>
  <c r="I54" i="6"/>
  <c r="J46" i="6"/>
  <c r="I46" i="6"/>
  <c r="K208" i="6"/>
  <c r="L208" i="6"/>
  <c r="K32" i="6"/>
  <c r="J55" i="6"/>
  <c r="I55" i="6"/>
  <c r="J212" i="6" l="1"/>
  <c r="I212" i="6"/>
  <c r="F214" i="6"/>
  <c r="E215" i="6"/>
  <c r="G214" i="6"/>
  <c r="H214" i="6"/>
  <c r="K214" i="6"/>
  <c r="L214" i="6"/>
  <c r="K29" i="6"/>
  <c r="G215" i="6" l="1"/>
  <c r="G10" i="6" s="1"/>
  <c r="F215" i="6"/>
  <c r="E216" i="6"/>
  <c r="J214" i="6"/>
  <c r="I214" i="6"/>
  <c r="G216" i="6" l="1"/>
  <c r="F216" i="6"/>
  <c r="H216" i="6"/>
  <c r="K216" i="6"/>
  <c r="L216" i="6"/>
  <c r="J216" i="6" l="1"/>
  <c r="I216" i="6"/>
</calcChain>
</file>

<file path=xl/sharedStrings.xml><?xml version="1.0" encoding="utf-8"?>
<sst xmlns="http://schemas.openxmlformats.org/spreadsheetml/2006/main" count="201" uniqueCount="58">
  <si>
    <t>DRN ieņēmumi, euro</t>
  </si>
  <si>
    <t>Palielinājums pret bāzi, euro</t>
  </si>
  <si>
    <t>Palielinājums valsts pamatbudžetā, euro</t>
  </si>
  <si>
    <t>Palielinājums pašvaldības budžetā, euro</t>
  </si>
  <si>
    <t>3=1x2</t>
  </si>
  <si>
    <t>Kopsavilkums</t>
  </si>
  <si>
    <t>valsts</t>
  </si>
  <si>
    <t>pašvaldības</t>
  </si>
  <si>
    <t>Prognozētais bāzes pieaugums</t>
  </si>
  <si>
    <t>Bāze 2023</t>
  </si>
  <si>
    <t xml:space="preserve">Valsts un pašvaldību budžeta DRN sadalījums </t>
  </si>
  <si>
    <t>VB</t>
  </si>
  <si>
    <t>PB</t>
  </si>
  <si>
    <t>Ieņēmumi</t>
  </si>
  <si>
    <t>Daudzums</t>
  </si>
  <si>
    <t>Likme</t>
  </si>
  <si>
    <t>Palielinājums</t>
  </si>
  <si>
    <t>VB - valsts budžets</t>
  </si>
  <si>
    <t>PB - pašvaldību budžets</t>
  </si>
  <si>
    <t>Bāze 2024</t>
  </si>
  <si>
    <t>Nodokli par transportlīdzekli nodokļu maksātājs maksā pirms transportlīdzekļa pirmās pastāvīgās reģistrācijas Latvijā, tāpēc nav paredzama ceturkšņa ietekme</t>
  </si>
  <si>
    <t>Daudzums, t; kg, vienības</t>
  </si>
  <si>
    <r>
      <t>DRN likme, euro/t (m</t>
    </r>
    <r>
      <rPr>
        <b/>
        <vertAlign val="superscript"/>
        <sz val="11"/>
        <color indexed="8"/>
        <rFont val="Calibri"/>
        <family val="2"/>
        <charset val="186"/>
      </rPr>
      <t>3</t>
    </r>
    <r>
      <rPr>
        <b/>
        <sz val="11"/>
        <color indexed="8"/>
        <rFont val="Calibri"/>
        <family val="2"/>
        <charset val="186"/>
      </rPr>
      <t>), %</t>
    </r>
  </si>
  <si>
    <t xml:space="preserve">Likumprojekta "Grozījumi Dabas resursu nodokļa likumā" sākotnējās ietekmes novērtējuma ziņojuma (anotācijas)  1. pielikums </t>
  </si>
  <si>
    <t xml:space="preserve"> </t>
  </si>
  <si>
    <t>Ogļūdeņražu ieguves apjoms ir ierobežotas pieejamības informācija</t>
  </si>
  <si>
    <t>Bāze 2025</t>
  </si>
  <si>
    <t>1. Ogļūdeņražu ieguve (jauns)</t>
  </si>
  <si>
    <t>2. Transportlīdzekļi (nodokļa palielinājums)</t>
  </si>
  <si>
    <t>3. Sadzīves atkritumu apglabāšana (nodokļa palielinājums)</t>
  </si>
  <si>
    <t>4. Bīstamo atkritumu apglabāšana (nodokļa palielinājums)</t>
  </si>
  <si>
    <r>
      <t>5. No PM</t>
    </r>
    <r>
      <rPr>
        <b/>
        <vertAlign val="subscript"/>
        <sz val="11"/>
        <color indexed="8"/>
        <rFont val="Calibri"/>
        <family val="2"/>
        <charset val="186"/>
      </rPr>
      <t>10</t>
    </r>
    <r>
      <rPr>
        <b/>
        <sz val="11"/>
        <color indexed="8"/>
        <rFont val="Calibri"/>
        <family val="2"/>
        <charset val="186"/>
      </rPr>
      <t xml:space="preserve"> uz PM (nodokļa objekta izmaiņas)</t>
    </r>
  </si>
  <si>
    <t>6. Plastmasas un kompozīta iepakojums, kas nav pārstrādāts vai reģenerēts ziņošanas periodā (jauns)</t>
  </si>
  <si>
    <t>7. Augsne (nodokļa palielinājums)</t>
  </si>
  <si>
    <t>8. Smilšmāls un mālsmilts, aleirīts (nodokļa palielinājums)</t>
  </si>
  <si>
    <t>9. Smilts un smilts-grants (nodokļa palielinājums)</t>
  </si>
  <si>
    <t>10. Māls (nodokļa palielinājums)</t>
  </si>
  <si>
    <t>11. Kvarca smilts (nodokļa palielinājums)</t>
  </si>
  <si>
    <t>Ietekme pamatsummas sadalījumu maiņai starp valsts un pašvaldību budžetiem</t>
  </si>
  <si>
    <t>Bāze 2026</t>
  </si>
  <si>
    <t>Par 2024. gadā nepārstrādāto iepakojumu tiks veikts nodokļa maksājums 2025. gadā</t>
  </si>
  <si>
    <t>Paredzama 3 mēnešu ietekme</t>
  </si>
  <si>
    <t>0,4 (0,5) (0,6)</t>
  </si>
  <si>
    <t>0,6 (0,5,) (0,4)</t>
  </si>
  <si>
    <t>12. Dekoratīvais (apdares) dolomīts (nodokļa palielinājums)</t>
  </si>
  <si>
    <t>13. Dolomīts (nodokļa palielinājums)</t>
  </si>
  <si>
    <t>14. Kaļķakmens (nodokļa palielinājums)</t>
  </si>
  <si>
    <t>14. Saldūdens kaļķieži (nodokļa palielinājums)</t>
  </si>
  <si>
    <t>15. Šūnakmens (nodokļa palielinājums)</t>
  </si>
  <si>
    <t>16. Ģipšakmens (nodokļa palielinājums)</t>
  </si>
  <si>
    <t>17. Laukakmeņi (nodokļa palielinājums)</t>
  </si>
  <si>
    <t>18. Krāsu zeme (nodokļa palielinājums)</t>
  </si>
  <si>
    <t>19. Kūdra(mitrums - 40%) (nodokļa palielinājums)</t>
  </si>
  <si>
    <t>20. Sapropelis organogēns (aļģu un zoogēns-aļģu) un organogēns kaļķis ar pelnainību &lt; 30% (mitrums - 60%) (nodokļa palielinājums)</t>
  </si>
  <si>
    <t>21. Pārējais sapropelis(mitrums - 60%) (nodokļa palielinājums)</t>
  </si>
  <si>
    <t>22. Visu veidu dziednieciskās dūņas (nodokļa palielinājums)</t>
  </si>
  <si>
    <t>23. Nepārstrādājamais plastmasas/kas nesatur pārstrādātu plastmasu iepakojums (atcelts atbrīvojums)</t>
  </si>
  <si>
    <t>24. Dabas resursu ieguve un vides piesārņošana (ūdeņu ieguve u.c., kas nav norādīti  7.-22.  punktos)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</si>
</sst>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%"/>
    <numFmt numFmtId="165" formatCode="0.0"/>
    <numFmt numFmtId="166" formatCode="#,##0.0"/>
  </numFmts>
  <fonts count="11" x14ac:knownFonts="1">
    <font>
      <sz val="11"/>
      <color theme="1"/>
      <name val="Calibri"/>
      <family val="2"/>
      <charset val="186"/>
      <scheme val="minor"/>
    </font>
    <font>
      <b/>
      <sz val="11"/>
      <color indexed="8"/>
      <name val="Calibri"/>
      <family val="2"/>
      <charset val="186"/>
    </font>
    <font>
      <b/>
      <vertAlign val="superscript"/>
      <sz val="11"/>
      <color indexed="8"/>
      <name val="Calibri"/>
      <family val="2"/>
      <charset val="186"/>
    </font>
    <font>
      <sz val="8"/>
      <name val="Calibri"/>
      <family val="2"/>
      <charset val="186"/>
    </font>
    <font>
      <sz val="10"/>
      <name val="Times New Roman"/>
      <family val="1"/>
      <charset val="186"/>
    </font>
    <font>
      <b/>
      <vertAlign val="subscript"/>
      <sz val="11"/>
      <color indexed="8"/>
      <name val="Calibri"/>
      <family val="2"/>
      <charset val="186"/>
    </font>
    <font>
      <b/>
      <sz val="11"/>
      <color theme="1"/>
      <name val="Calibri"/>
      <family val="2"/>
      <charset val="186"/>
      <scheme val="minor"/>
    </font>
    <font>
      <sz val="11"/>
      <color rgb="FFFF0000"/>
      <name val="Calibri"/>
      <family val="2"/>
      <charset val="186"/>
      <scheme val="minor"/>
    </font>
    <font>
      <b/>
      <sz val="11"/>
      <name val="Calibri"/>
      <family val="2"/>
      <charset val="186"/>
      <scheme val="minor"/>
    </font>
    <font>
      <b/>
      <sz val="11"/>
      <color rgb="FFFF0000"/>
      <name val="Calibri"/>
      <family val="2"/>
      <charset val="186"/>
      <scheme val="minor"/>
    </font>
    <font>
      <sz val="11"/>
      <name val="Calibri"/>
      <family val="2"/>
      <charset val="186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</borders>
  <cellStyleXfs count="3">
    <xf numFmtId="0" fontId="0" fillId="0" borderId="0"/>
    <xf numFmtId="0" fontId="4" fillId="0" borderId="0" applyNumberFormat="0" applyProtection="0">
      <alignment horizontal="left" vertical="center" indent="1"/>
    </xf>
    <xf numFmtId="0" fontId="4" fillId="0" borderId="0" applyNumberFormat="0" applyProtection="0">
      <alignment horizontal="left" vertical="center" wrapText="1" indent="1" shrinkToFit="1"/>
    </xf>
  </cellStyleXfs>
  <cellXfs count="112">
    <xf numFmtId="0" fontId="0" fillId="0" borderId="0" xfId="0"/>
    <xf numFmtId="0" fontId="0" fillId="0" borderId="0" xfId="0" applyAlignment="1">
      <alignment wrapText="1"/>
    </xf>
    <xf numFmtId="3" fontId="0" fillId="0" borderId="0" xfId="0" applyNumberFormat="1"/>
    <xf numFmtId="0" fontId="0" fillId="0" borderId="1" xfId="0" applyBorder="1"/>
    <xf numFmtId="3" fontId="0" fillId="0" borderId="1" xfId="0" applyNumberFormat="1" applyBorder="1"/>
    <xf numFmtId="0" fontId="6" fillId="0" borderId="1" xfId="0" applyFont="1" applyBorder="1"/>
    <xf numFmtId="3" fontId="6" fillId="0" borderId="1" xfId="0" applyNumberFormat="1" applyFont="1" applyBorder="1"/>
    <xf numFmtId="0" fontId="0" fillId="0" borderId="1" xfId="0" applyBorder="1" applyAlignment="1">
      <alignment wrapText="1"/>
    </xf>
    <xf numFmtId="0" fontId="6" fillId="2" borderId="1" xfId="0" applyFont="1" applyFill="1" applyBorder="1" applyAlignment="1">
      <alignment horizontal="center" wrapText="1"/>
    </xf>
    <xf numFmtId="0" fontId="0" fillId="2" borderId="1" xfId="0" applyFill="1" applyBorder="1"/>
    <xf numFmtId="0" fontId="6" fillId="2" borderId="1" xfId="0" applyFont="1" applyFill="1" applyBorder="1" applyAlignment="1">
      <alignment horizontal="center"/>
    </xf>
    <xf numFmtId="3" fontId="6" fillId="2" borderId="1" xfId="0" applyNumberFormat="1" applyFont="1" applyFill="1" applyBorder="1"/>
    <xf numFmtId="3" fontId="0" fillId="2" borderId="1" xfId="0" applyNumberFormat="1" applyFill="1" applyBorder="1"/>
    <xf numFmtId="3" fontId="6" fillId="2" borderId="1" xfId="0" applyNumberFormat="1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 wrapText="1"/>
    </xf>
    <xf numFmtId="3" fontId="0" fillId="4" borderId="1" xfId="0" applyNumberFormat="1" applyFill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2" borderId="3" xfId="0" applyFont="1" applyFill="1" applyBorder="1" applyAlignment="1">
      <alignment horizontal="center" wrapText="1"/>
    </xf>
    <xf numFmtId="3" fontId="8" fillId="2" borderId="1" xfId="0" applyNumberFormat="1" applyFont="1" applyFill="1" applyBorder="1"/>
    <xf numFmtId="0" fontId="9" fillId="0" borderId="0" xfId="0" applyFont="1"/>
    <xf numFmtId="3" fontId="10" fillId="0" borderId="1" xfId="0" applyNumberFormat="1" applyFont="1" applyBorder="1"/>
    <xf numFmtId="0" fontId="7" fillId="0" borderId="0" xfId="0" applyFont="1"/>
    <xf numFmtId="1" fontId="6" fillId="0" borderId="1" xfId="0" applyNumberFormat="1" applyFont="1" applyBorder="1" applyAlignment="1">
      <alignment horizontal="right"/>
    </xf>
    <xf numFmtId="3" fontId="6" fillId="5" borderId="1" xfId="0" applyNumberFormat="1" applyFont="1" applyFill="1" applyBorder="1"/>
    <xf numFmtId="0" fontId="0" fillId="6" borderId="0" xfId="0" applyFill="1"/>
    <xf numFmtId="165" fontId="6" fillId="0" borderId="1" xfId="0" applyNumberFormat="1" applyFont="1" applyBorder="1" applyAlignment="1">
      <alignment horizontal="right"/>
    </xf>
    <xf numFmtId="1" fontId="6" fillId="0" borderId="1" xfId="0" applyNumberFormat="1" applyFont="1" applyBorder="1"/>
    <xf numFmtId="1" fontId="0" fillId="0" borderId="1" xfId="0" applyNumberFormat="1" applyBorder="1" applyAlignment="1">
      <alignment horizontal="center"/>
    </xf>
    <xf numFmtId="2" fontId="6" fillId="0" borderId="1" xfId="0" applyNumberFormat="1" applyFont="1" applyBorder="1"/>
    <xf numFmtId="3" fontId="0" fillId="0" borderId="1" xfId="0" applyNumberFormat="1" applyBorder="1" applyAlignment="1">
      <alignment horizontal="center"/>
    </xf>
    <xf numFmtId="4" fontId="8" fillId="0" borderId="1" xfId="0" applyNumberFormat="1" applyFont="1" applyBorder="1"/>
    <xf numFmtId="4" fontId="6" fillId="0" borderId="1" xfId="0" applyNumberFormat="1" applyFont="1" applyBorder="1"/>
    <xf numFmtId="0" fontId="6" fillId="5" borderId="1" xfId="0" applyFont="1" applyFill="1" applyBorder="1"/>
    <xf numFmtId="3" fontId="0" fillId="7" borderId="1" xfId="0" applyNumberFormat="1" applyFill="1" applyBorder="1"/>
    <xf numFmtId="3" fontId="10" fillId="8" borderId="1" xfId="0" applyNumberFormat="1" applyFont="1" applyFill="1" applyBorder="1"/>
    <xf numFmtId="3" fontId="0" fillId="8" borderId="1" xfId="0" applyNumberFormat="1" applyFill="1" applyBorder="1"/>
    <xf numFmtId="0" fontId="0" fillId="8" borderId="0" xfId="0" applyFill="1"/>
    <xf numFmtId="0" fontId="0" fillId="0" borderId="1" xfId="0" applyBorder="1" applyAlignment="1">
      <alignment horizontal="center"/>
    </xf>
    <xf numFmtId="3" fontId="8" fillId="0" borderId="1" xfId="0" applyNumberFormat="1" applyFont="1" applyBorder="1"/>
    <xf numFmtId="3" fontId="0" fillId="2" borderId="1" xfId="0" applyNumberFormat="1" applyFill="1" applyBorder="1" applyAlignment="1">
      <alignment horizontal="center"/>
    </xf>
    <xf numFmtId="164" fontId="0" fillId="2" borderId="1" xfId="0" applyNumberFormat="1" applyFill="1" applyBorder="1"/>
    <xf numFmtId="9" fontId="0" fillId="2" borderId="1" xfId="0" applyNumberFormat="1" applyFill="1" applyBorder="1"/>
    <xf numFmtId="1" fontId="0" fillId="4" borderId="1" xfId="0" applyNumberFormat="1" applyFill="1" applyBorder="1" applyAlignment="1">
      <alignment horizontal="center"/>
    </xf>
    <xf numFmtId="0" fontId="0" fillId="8" borderId="1" xfId="0" applyFill="1" applyBorder="1"/>
    <xf numFmtId="1" fontId="0" fillId="8" borderId="1" xfId="0" applyNumberFormat="1" applyFill="1" applyBorder="1"/>
    <xf numFmtId="3" fontId="10" fillId="0" borderId="0" xfId="0" applyNumberFormat="1" applyFont="1"/>
    <xf numFmtId="3" fontId="10" fillId="9" borderId="1" xfId="0" applyNumberFormat="1" applyFont="1" applyFill="1" applyBorder="1"/>
    <xf numFmtId="0" fontId="0" fillId="9" borderId="1" xfId="0" applyFill="1" applyBorder="1"/>
    <xf numFmtId="3" fontId="0" fillId="9" borderId="1" xfId="0" applyNumberFormat="1" applyFill="1" applyBorder="1"/>
    <xf numFmtId="1" fontId="0" fillId="9" borderId="1" xfId="0" applyNumberFormat="1" applyFill="1" applyBorder="1"/>
    <xf numFmtId="3" fontId="10" fillId="9" borderId="1" xfId="0" applyNumberFormat="1" applyFont="1" applyFill="1" applyBorder="1" applyAlignment="1">
      <alignment vertical="center"/>
    </xf>
    <xf numFmtId="1" fontId="0" fillId="5" borderId="1" xfId="0" applyNumberFormat="1" applyFill="1" applyBorder="1" applyAlignment="1">
      <alignment horizontal="center"/>
    </xf>
    <xf numFmtId="3" fontId="8" fillId="5" borderId="1" xfId="0" applyNumberFormat="1" applyFont="1" applyFill="1" applyBorder="1"/>
    <xf numFmtId="0" fontId="0" fillId="5" borderId="0" xfId="0" applyFill="1"/>
    <xf numFmtId="3" fontId="10" fillId="5" borderId="1" xfId="0" applyNumberFormat="1" applyFont="1" applyFill="1" applyBorder="1" applyAlignment="1">
      <alignment horizontal="center"/>
    </xf>
    <xf numFmtId="2" fontId="6" fillId="0" borderId="5" xfId="0" applyNumberFormat="1" applyFont="1" applyBorder="1"/>
    <xf numFmtId="3" fontId="0" fillId="5" borderId="1" xfId="0" applyNumberFormat="1" applyFill="1" applyBorder="1"/>
    <xf numFmtId="3" fontId="10" fillId="5" borderId="1" xfId="0" applyNumberFormat="1" applyFont="1" applyFill="1" applyBorder="1"/>
    <xf numFmtId="3" fontId="0" fillId="5" borderId="1" xfId="0" applyNumberFormat="1" applyFill="1" applyBorder="1" applyAlignment="1">
      <alignment horizontal="center"/>
    </xf>
    <xf numFmtId="4" fontId="8" fillId="5" borderId="1" xfId="0" applyNumberFormat="1" applyFont="1" applyFill="1" applyBorder="1"/>
    <xf numFmtId="4" fontId="6" fillId="5" borderId="1" xfId="0" applyNumberFormat="1" applyFont="1" applyFill="1" applyBorder="1"/>
    <xf numFmtId="0" fontId="6" fillId="2" borderId="5" xfId="0" applyFont="1" applyFill="1" applyBorder="1" applyAlignment="1">
      <alignment horizontal="center" wrapText="1"/>
    </xf>
    <xf numFmtId="0" fontId="6" fillId="2" borderId="5" xfId="0" applyFont="1" applyFill="1" applyBorder="1" applyAlignment="1">
      <alignment horizontal="center"/>
    </xf>
    <xf numFmtId="3" fontId="7" fillId="2" borderId="5" xfId="0" applyNumberFormat="1" applyFont="1" applyFill="1" applyBorder="1"/>
    <xf numFmtId="0" fontId="0" fillId="0" borderId="5" xfId="0" applyBorder="1"/>
    <xf numFmtId="0" fontId="6" fillId="0" borderId="5" xfId="0" applyFont="1" applyBorder="1"/>
    <xf numFmtId="3" fontId="0" fillId="9" borderId="5" xfId="0" applyNumberFormat="1" applyFill="1" applyBorder="1"/>
    <xf numFmtId="1" fontId="6" fillId="0" borderId="5" xfId="0" applyNumberFormat="1" applyFont="1" applyBorder="1"/>
    <xf numFmtId="3" fontId="0" fillId="0" borderId="5" xfId="0" applyNumberFormat="1" applyBorder="1"/>
    <xf numFmtId="3" fontId="10" fillId="0" borderId="5" xfId="0" quotePrefix="1" applyNumberFormat="1" applyFont="1" applyBorder="1" applyAlignment="1">
      <alignment horizontal="right"/>
    </xf>
    <xf numFmtId="4" fontId="8" fillId="0" borderId="5" xfId="0" quotePrefix="1" applyNumberFormat="1" applyFont="1" applyBorder="1" applyAlignment="1">
      <alignment horizontal="right"/>
    </xf>
    <xf numFmtId="3" fontId="0" fillId="0" borderId="5" xfId="0" quotePrefix="1" applyNumberFormat="1" applyBorder="1" applyAlignment="1">
      <alignment horizontal="right"/>
    </xf>
    <xf numFmtId="4" fontId="6" fillId="0" borderId="5" xfId="0" quotePrefix="1" applyNumberFormat="1" applyFont="1" applyBorder="1" applyAlignment="1">
      <alignment horizontal="right"/>
    </xf>
    <xf numFmtId="3" fontId="10" fillId="5" borderId="5" xfId="0" quotePrefix="1" applyNumberFormat="1" applyFont="1" applyFill="1" applyBorder="1" applyAlignment="1">
      <alignment horizontal="right"/>
    </xf>
    <xf numFmtId="4" fontId="8" fillId="5" borderId="5" xfId="0" quotePrefix="1" applyNumberFormat="1" applyFont="1" applyFill="1" applyBorder="1" applyAlignment="1">
      <alignment horizontal="right"/>
    </xf>
    <xf numFmtId="3" fontId="0" fillId="5" borderId="5" xfId="0" quotePrefix="1" applyNumberFormat="1" applyFill="1" applyBorder="1" applyAlignment="1">
      <alignment horizontal="right"/>
    </xf>
    <xf numFmtId="4" fontId="6" fillId="5" borderId="5" xfId="0" quotePrefix="1" applyNumberFormat="1" applyFont="1" applyFill="1" applyBorder="1" applyAlignment="1">
      <alignment horizontal="right"/>
    </xf>
    <xf numFmtId="0" fontId="6" fillId="5" borderId="5" xfId="0" applyFont="1" applyFill="1" applyBorder="1"/>
    <xf numFmtId="3" fontId="0" fillId="5" borderId="5" xfId="0" applyNumberFormat="1" applyFill="1" applyBorder="1"/>
    <xf numFmtId="3" fontId="0" fillId="8" borderId="5" xfId="0" applyNumberFormat="1" applyFill="1" applyBorder="1"/>
    <xf numFmtId="0" fontId="0" fillId="5" borderId="1" xfId="0" applyFill="1" applyBorder="1"/>
    <xf numFmtId="0" fontId="0" fillId="10" borderId="1" xfId="0" applyFill="1" applyBorder="1"/>
    <xf numFmtId="0" fontId="9" fillId="0" borderId="1" xfId="0" applyFont="1" applyBorder="1"/>
    <xf numFmtId="0" fontId="9" fillId="2" borderId="1" xfId="0" applyFont="1" applyFill="1" applyBorder="1" applyAlignment="1">
      <alignment wrapText="1"/>
    </xf>
    <xf numFmtId="0" fontId="9" fillId="5" borderId="1" xfId="0" applyFont="1" applyFill="1" applyBorder="1"/>
    <xf numFmtId="0" fontId="0" fillId="11" borderId="0" xfId="0" applyFill="1" applyAlignment="1">
      <alignment horizontal="left"/>
    </xf>
    <xf numFmtId="0" fontId="6" fillId="0" borderId="0" xfId="0" applyFont="1"/>
    <xf numFmtId="3" fontId="6" fillId="11" borderId="1" xfId="0" applyNumberFormat="1" applyFont="1" applyFill="1" applyBorder="1"/>
    <xf numFmtId="3" fontId="8" fillId="11" borderId="1" xfId="0" applyNumberFormat="1" applyFont="1" applyFill="1" applyBorder="1"/>
    <xf numFmtId="3" fontId="0" fillId="11" borderId="1" xfId="0" applyNumberFormat="1" applyFill="1" applyBorder="1"/>
    <xf numFmtId="0" fontId="9" fillId="11" borderId="1" xfId="0" applyFont="1" applyFill="1" applyBorder="1"/>
    <xf numFmtId="3" fontId="10" fillId="5" borderId="1" xfId="0" quotePrefix="1" applyNumberFormat="1" applyFont="1" applyFill="1" applyBorder="1" applyAlignment="1">
      <alignment horizontal="right"/>
    </xf>
    <xf numFmtId="166" fontId="9" fillId="5" borderId="1" xfId="0" applyNumberFormat="1" applyFont="1" applyFill="1" applyBorder="1"/>
    <xf numFmtId="166" fontId="9" fillId="5" borderId="1" xfId="0" quotePrefix="1" applyNumberFormat="1" applyFont="1" applyFill="1" applyBorder="1" applyAlignment="1">
      <alignment horizontal="right"/>
    </xf>
    <xf numFmtId="3" fontId="6" fillId="5" borderId="0" xfId="0" applyNumberFormat="1" applyFont="1" applyFill="1"/>
    <xf numFmtId="3" fontId="0" fillId="0" borderId="0" xfId="0" quotePrefix="1" applyNumberFormat="1" applyAlignment="1">
      <alignment horizontal="right"/>
    </xf>
    <xf numFmtId="1" fontId="0" fillId="0" borderId="1" xfId="0" applyNumberFormat="1" applyBorder="1"/>
    <xf numFmtId="0" fontId="6" fillId="10" borderId="1" xfId="0" applyFont="1" applyFill="1" applyBorder="1" applyAlignment="1">
      <alignment horizontal="center"/>
    </xf>
    <xf numFmtId="0" fontId="6" fillId="10" borderId="5" xfId="0" applyFont="1" applyFill="1" applyBorder="1" applyAlignment="1">
      <alignment horizontal="center"/>
    </xf>
    <xf numFmtId="0" fontId="6" fillId="10" borderId="1" xfId="0" applyFont="1" applyFill="1" applyBorder="1" applyAlignment="1">
      <alignment horizontal="center" wrapText="1"/>
    </xf>
    <xf numFmtId="0" fontId="6" fillId="10" borderId="5" xfId="0" applyFont="1" applyFill="1" applyBorder="1" applyAlignment="1">
      <alignment horizontal="center" wrapText="1"/>
    </xf>
    <xf numFmtId="0" fontId="0" fillId="0" borderId="0" xfId="0" applyAlignment="1">
      <alignment horizontal="center" wrapText="1"/>
    </xf>
    <xf numFmtId="0" fontId="6" fillId="10" borderId="9" xfId="0" applyFont="1" applyFill="1" applyBorder="1" applyAlignment="1">
      <alignment horizontal="center"/>
    </xf>
    <xf numFmtId="0" fontId="6" fillId="2" borderId="6" xfId="0" applyFont="1" applyFill="1" applyBorder="1" applyAlignment="1">
      <alignment horizontal="center" wrapText="1"/>
    </xf>
    <xf numFmtId="0" fontId="6" fillId="2" borderId="2" xfId="0" applyFont="1" applyFill="1" applyBorder="1" applyAlignment="1">
      <alignment horizontal="center" wrapText="1"/>
    </xf>
    <xf numFmtId="0" fontId="6" fillId="2" borderId="4" xfId="0" applyFont="1" applyFill="1" applyBorder="1" applyAlignment="1">
      <alignment horizontal="center" wrapText="1"/>
    </xf>
    <xf numFmtId="0" fontId="6" fillId="2" borderId="7" xfId="0" applyFont="1" applyFill="1" applyBorder="1" applyAlignment="1">
      <alignment horizontal="center" wrapText="1"/>
    </xf>
    <xf numFmtId="0" fontId="6" fillId="2" borderId="8" xfId="0" applyFont="1" applyFill="1" applyBorder="1" applyAlignment="1">
      <alignment horizontal="center" wrapText="1"/>
    </xf>
    <xf numFmtId="0" fontId="6" fillId="0" borderId="10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7" fillId="2" borderId="5" xfId="0" applyFont="1" applyFill="1" applyBorder="1" applyAlignment="1">
      <alignment horizontal="center" wrapText="1"/>
    </xf>
    <xf numFmtId="0" fontId="7" fillId="2" borderId="9" xfId="0" applyFont="1" applyFill="1" applyBorder="1" applyAlignment="1">
      <alignment horizontal="center" wrapText="1"/>
    </xf>
  </cellXfs>
  <cellStyles count="3">
    <cellStyle name="Normal" xfId="0" builtinId="0"/>
    <cellStyle name="SAPBEXHLevel1" xfId="1" xr:uid="{00000000-0005-0000-0000-000002000000}"/>
    <cellStyle name="SAPBEXHLevel2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293"/>
  <sheetViews>
    <sheetView tabSelected="1" zoomScale="75" zoomScaleNormal="75" zoomScalePageLayoutView="90" workbookViewId="0">
      <pane ySplit="3" topLeftCell="A4" activePane="bottomLeft" state="frozen"/>
      <selection pane="bottomLeft" activeCell="G5" sqref="G5"/>
    </sheetView>
  </sheetViews>
  <sheetFormatPr defaultRowHeight="14.5" x14ac:dyDescent="0.35"/>
  <cols>
    <col min="1" max="1" width="17.7265625" customWidth="1"/>
    <col min="2" max="2" width="12.1796875" customWidth="1"/>
    <col min="3" max="3" width="12" customWidth="1"/>
    <col min="4" max="4" width="7.81640625" customWidth="1"/>
    <col min="5" max="5" width="11" customWidth="1"/>
    <col min="6" max="7" width="13.54296875" customWidth="1"/>
    <col min="8" max="8" width="11.54296875" customWidth="1"/>
    <col min="9" max="9" width="12.54296875" customWidth="1"/>
    <col min="10" max="10" width="11.1796875" customWidth="1"/>
    <col min="11" max="11" width="18" customWidth="1"/>
    <col min="12" max="12" width="14.54296875" customWidth="1"/>
    <col min="13" max="13" width="9.54296875" customWidth="1"/>
    <col min="14" max="14" width="13.453125" customWidth="1"/>
    <col min="15" max="15" width="17" customWidth="1"/>
    <col min="16" max="16" width="13.1796875" customWidth="1"/>
    <col min="17" max="17" width="17.7265625" customWidth="1"/>
    <col min="18" max="18" width="11.453125" customWidth="1"/>
  </cols>
  <sheetData>
    <row r="1" spans="1:18" ht="77.5" customHeight="1" x14ac:dyDescent="0.35">
      <c r="K1" s="101" t="s">
        <v>23</v>
      </c>
      <c r="L1" s="101"/>
    </row>
    <row r="3" spans="1:18" x14ac:dyDescent="0.35">
      <c r="C3" s="19" t="s">
        <v>14</v>
      </c>
      <c r="D3" s="19" t="s">
        <v>15</v>
      </c>
      <c r="E3" s="19" t="s">
        <v>13</v>
      </c>
      <c r="F3" s="19" t="s">
        <v>11</v>
      </c>
      <c r="G3" s="19" t="s">
        <v>12</v>
      </c>
      <c r="H3" s="19" t="s">
        <v>16</v>
      </c>
      <c r="I3" s="19" t="s">
        <v>11</v>
      </c>
      <c r="J3" s="19" t="s">
        <v>12</v>
      </c>
      <c r="K3" s="19" t="s">
        <v>11</v>
      </c>
      <c r="L3" s="19" t="s">
        <v>12</v>
      </c>
    </row>
    <row r="4" spans="1:18" ht="15" thickBot="1" x14ac:dyDescent="0.4">
      <c r="A4" s="108" t="s">
        <v>5</v>
      </c>
      <c r="B4" s="109"/>
      <c r="C4" s="109"/>
      <c r="D4" s="109"/>
      <c r="E4" s="109"/>
      <c r="F4" s="109"/>
      <c r="G4" s="109"/>
      <c r="H4" s="109"/>
      <c r="I4" s="109"/>
      <c r="J4" s="109"/>
      <c r="K4" s="109"/>
      <c r="L4" s="109"/>
    </row>
    <row r="5" spans="1:18" ht="62.25" customHeight="1" x14ac:dyDescent="0.35">
      <c r="A5" s="105"/>
      <c r="B5" s="103" t="s">
        <v>8</v>
      </c>
      <c r="C5" s="105" t="s">
        <v>21</v>
      </c>
      <c r="D5" s="105" t="s">
        <v>22</v>
      </c>
      <c r="E5" s="105" t="s">
        <v>0</v>
      </c>
      <c r="F5" s="17"/>
      <c r="G5" s="17"/>
      <c r="H5" s="106" t="s">
        <v>1</v>
      </c>
      <c r="I5" s="107"/>
      <c r="J5" s="107"/>
      <c r="K5" s="110" t="s">
        <v>38</v>
      </c>
      <c r="L5" s="111"/>
    </row>
    <row r="6" spans="1:18" s="1" customFormat="1" ht="42.75" customHeight="1" x14ac:dyDescent="0.35">
      <c r="A6" s="104"/>
      <c r="B6" s="104"/>
      <c r="C6" s="104"/>
      <c r="D6" s="104"/>
      <c r="E6" s="104"/>
      <c r="F6" s="14" t="s">
        <v>6</v>
      </c>
      <c r="G6" s="14" t="s">
        <v>7</v>
      </c>
      <c r="H6" s="8" t="s">
        <v>1</v>
      </c>
      <c r="I6" s="8" t="s">
        <v>2</v>
      </c>
      <c r="J6" s="61" t="s">
        <v>3</v>
      </c>
      <c r="K6" s="83" t="s">
        <v>11</v>
      </c>
      <c r="L6" s="83" t="s">
        <v>12</v>
      </c>
    </row>
    <row r="7" spans="1:18" ht="15" customHeight="1" x14ac:dyDescent="0.35">
      <c r="A7" s="9"/>
      <c r="B7" s="9"/>
      <c r="C7" s="10">
        <v>1</v>
      </c>
      <c r="D7" s="10">
        <v>2</v>
      </c>
      <c r="E7" s="10" t="s">
        <v>4</v>
      </c>
      <c r="F7" s="10">
        <v>4</v>
      </c>
      <c r="G7" s="10">
        <v>5</v>
      </c>
      <c r="H7" s="10">
        <v>6</v>
      </c>
      <c r="I7" s="10">
        <v>7</v>
      </c>
      <c r="J7" s="62">
        <v>8</v>
      </c>
      <c r="K7" s="9"/>
      <c r="L7" s="9"/>
    </row>
    <row r="8" spans="1:18" x14ac:dyDescent="0.35">
      <c r="A8" s="9" t="s">
        <v>19</v>
      </c>
      <c r="B8" s="9"/>
      <c r="C8" s="11"/>
      <c r="D8" s="39"/>
      <c r="E8" s="39">
        <f>E25+E16+E35+E43+E50+E58+E67+E75+E83+E91+E99+E203+E211+E107+E115+E123+E131+E139+E147+E155+E163+E171+E179+E187+E195</f>
        <v>42327300</v>
      </c>
      <c r="F8" s="15">
        <f>F25+F16+F35+F43+F50+F58+F67+F75+F83+F91+F99+F203+F211+F107+F115+F123+F131+F139+F147+F155+F163+F171+F179+F187+F195</f>
        <v>30979407.75</v>
      </c>
      <c r="G8" s="15">
        <f>G25+G16+G35+G43+G50+G58+G67+G75+G83+G91+G99+G203+G211</f>
        <v>10821774.65</v>
      </c>
      <c r="H8" s="13"/>
      <c r="I8" s="12"/>
      <c r="J8" s="63"/>
      <c r="K8" s="9"/>
      <c r="L8" s="9"/>
    </row>
    <row r="9" spans="1:18" x14ac:dyDescent="0.35">
      <c r="A9" s="9" t="s">
        <v>26</v>
      </c>
      <c r="B9" s="40"/>
      <c r="C9" s="11"/>
      <c r="D9" s="39"/>
      <c r="E9" s="39">
        <f>E28+E17+E37+E45+E51+E59+E69+E77+E85+E93+E101+E205+E213+E109+E117+E125+E133+E141+E149+E157+E165+E173+E181+E189+E197</f>
        <v>43490899.455624998</v>
      </c>
      <c r="F9" s="15">
        <f>F28+F17+F37+F45+F51+F59+F69+F77+F85+F93+F101+F205+F213+F109+F117+F125+F133+F133+F141+F149+F157+F165+F173+F181+F189</f>
        <v>31836331.566500001</v>
      </c>
      <c r="G9" s="15">
        <f>G28+G17+G37+G45+G51+G59+G69+G77+G85+G93+G101+G205+G213</f>
        <v>11128396.289124999</v>
      </c>
      <c r="H9" s="13"/>
      <c r="I9" s="12"/>
      <c r="J9" s="63"/>
      <c r="K9" s="9"/>
      <c r="L9" s="9"/>
    </row>
    <row r="10" spans="1:18" x14ac:dyDescent="0.35">
      <c r="A10" s="9" t="s">
        <v>39</v>
      </c>
      <c r="B10" s="41"/>
      <c r="C10" s="11"/>
      <c r="D10" s="39"/>
      <c r="E10" s="39">
        <f>E31+E18+E39+E47+E52+E60+E71+E79+E87+E95+E103+E207+E215+E111+E119+E127+E135+E143+E151+E159+E167+E175+E183+E191+E199</f>
        <v>43054783.901574999</v>
      </c>
      <c r="F10" s="15">
        <f>F31+F18+F39+F47+F52+F60+F71+F79+F87+F95+F103+F207+F215+F111+F119+F127+F135+F143+F151+F159+F167+F175+F183+F191+F199</f>
        <v>31336587.305319998</v>
      </c>
      <c r="G10" s="15">
        <f>G31+G18+G39+G47+G52+G60+G71+G79+G87+G95+G103+G207+G215</f>
        <v>11192078.996254999</v>
      </c>
      <c r="H10" s="13"/>
      <c r="I10" s="12"/>
      <c r="J10" s="63"/>
      <c r="K10" s="9"/>
      <c r="L10" s="9"/>
      <c r="N10" s="1"/>
      <c r="O10" s="1"/>
      <c r="P10" s="1"/>
      <c r="Q10" s="1"/>
      <c r="R10" s="1"/>
    </row>
    <row r="11" spans="1:18" x14ac:dyDescent="0.35">
      <c r="A11" s="9"/>
      <c r="B11" s="9"/>
      <c r="C11" s="11"/>
      <c r="D11" s="39"/>
      <c r="E11" s="39"/>
      <c r="F11" s="39"/>
      <c r="G11" s="39"/>
      <c r="H11" s="13"/>
      <c r="I11" s="12"/>
      <c r="J11" s="63"/>
      <c r="K11" s="9"/>
      <c r="L11" s="9"/>
      <c r="N11" s="1"/>
      <c r="O11" s="1"/>
      <c r="P11" s="1"/>
      <c r="Q11" s="1"/>
      <c r="R11" s="1"/>
    </row>
    <row r="12" spans="1:18" x14ac:dyDescent="0.35">
      <c r="A12" s="9">
        <v>2024</v>
      </c>
      <c r="B12" s="9"/>
      <c r="C12" s="18"/>
      <c r="D12" s="11"/>
      <c r="E12" s="11">
        <f>E26+E20+E36+E44+E54+E62+E68+E76+E84+E92+E100+E204+E212+E108+E116+E124+E132+E140+E148+E156+E164+E172+E180+E188+E196</f>
        <v>49071919.940886907</v>
      </c>
      <c r="F12" s="11">
        <f>F26+F20+F36+F44+F54+F62+F68+F76+F84+F92+F100+F204+F212+F108+F116+F124+F132+F140+F148+F156+F164+F172+F180+F188+F196</f>
        <v>36858786.714532137</v>
      </c>
      <c r="G12" s="11">
        <f>G26+G20+G36+G44+G54+G62+G68+G76+G84+G92+G100+G204+G212+G108+G116+G124+G132+G140+G148+G156+G164+G172+G180+G188+G196</f>
        <v>12213133.226354761</v>
      </c>
      <c r="H12" s="11">
        <f>H26+H20+H36+H44+H54+H62+H68+H76+H84+H92+H100+H204+H212+H108+H116+H124+H132+H140+H148+H156+H164+H172+H180+H188+H196</f>
        <v>6744619.9408869073</v>
      </c>
      <c r="I12" s="11">
        <f>I26+I20+I36+I44+I54+I62+I68+I76+I84+I92+I100+I204+I108+I116+I124+I132+I140+I148+I156+I164+I172+I180+I188+I196</f>
        <v>5879378.9645321453</v>
      </c>
      <c r="J12" s="11">
        <f>J26+J20+J36+J44+J54+J62+J68+J76+J84+J92+J100+J204+J108+J116+J124+J132+J140+J148+J156+J164+J172+J180+J188+J196</f>
        <v>865240.97635476256</v>
      </c>
      <c r="K12" s="11">
        <f>K26+K20+K36+K44+K54+K62+K68+K76+K84+K92+K100+K204+K212+K108+K116+K124+K132+K140+K148+K156+K164+K172+K180+K196+K188</f>
        <v>741974.7145321439</v>
      </c>
      <c r="L12" s="11">
        <f>L26+L20+L36+L44+L54+L62+L68+L76+L84+L92+L100+L204+L212+L108+L116+L124+L132+L140+L148+L156+L164+L172+L180+L188+L196</f>
        <v>6002645.226354762</v>
      </c>
      <c r="N12" s="1"/>
      <c r="O12" s="1"/>
      <c r="P12" s="1"/>
      <c r="Q12" s="1"/>
      <c r="R12" s="1"/>
    </row>
    <row r="13" spans="1:18" x14ac:dyDescent="0.35">
      <c r="A13" s="9">
        <v>2025</v>
      </c>
      <c r="B13" s="9"/>
      <c r="C13" s="18"/>
      <c r="D13" s="11"/>
      <c r="E13" s="11">
        <f>E29+E21+E38+E46+E55+E63+E70+E78+E86+E94+E102+E206+E214+E110+E118+E126+E134+E142+E150+E158+E166+E174+E182+E190+E198</f>
        <v>62158840.902849197</v>
      </c>
      <c r="F13" s="11">
        <f>F29+F21+F38+F46+F55+F63+F70+F78+F86+F94+F102+F206+F214+F110+F118+F126+F134+F142+F150+F158+F166+F174+F182+F190+F198</f>
        <v>49165022.291709527</v>
      </c>
      <c r="G13" s="11">
        <f>G29+G21+G38+G46+G55+G63+G70+G78+G86+G94+G102+G206+G214+G110+G118+G126+G134+G142+G150+G158+G166+G174+G182+G190+G198</f>
        <v>12993818.611139683</v>
      </c>
      <c r="H13" s="11">
        <f>H29+H21+H38+H46+H55+H63+H70+H78+H86+H94+H102+H206+H110+H118+H126+H134+H142+H150+H158+H166+H174+H182+H190+H198</f>
        <v>18667941.447224207</v>
      </c>
      <c r="I13" s="11">
        <f>I29+I21+I38+I46+I55+I63+I70+I78+I86+I94+I102+I206+I110+I118+I126+I134+I142+I150+I158+I166+I174+I182+I190+I198</f>
        <v>17328636.725209527</v>
      </c>
      <c r="J13" s="11">
        <f>J29+J21+J38+J46+J55+J63+J70+J78+J86+J94+J102+J206+J110+J118+J126+J134+J142+J150+J158+J166+J174+J182+J190+J198</f>
        <v>1339304.7220146835</v>
      </c>
      <c r="K13" s="11">
        <f>K29+K21+K38+K46+K55+K63+K70+K78+K86+K94+K102+K206+K214+K110+K118+K126+K134+K142+K150+K158+K166+K174+K182+K190+K198</f>
        <v>6856208.2599246055</v>
      </c>
      <c r="L13" s="11">
        <f>L29+L21+L38+L46+L55+L63+L70+L78+L86+L94+L102+L206+L214+L110+L118+L126+L134+L142+L150+L158+L166+L174+L182+L190+L198</f>
        <v>11811733.187299604</v>
      </c>
      <c r="N13" s="1"/>
      <c r="O13" s="1"/>
      <c r="P13" s="1"/>
      <c r="Q13" s="1"/>
      <c r="R13" s="1"/>
    </row>
    <row r="14" spans="1:18" x14ac:dyDescent="0.35">
      <c r="A14" s="9">
        <v>2026</v>
      </c>
      <c r="B14" s="9"/>
      <c r="C14" s="11"/>
      <c r="D14" s="11"/>
      <c r="E14" s="11">
        <f>E32+E22+E40+E48+E56+E64+E72+E80+E88+E96+E104+E208+E216+E112+E120+E128+E136+E144+E152+E160+E168+E176+E184+E192+E200</f>
        <v>71378195.857799202</v>
      </c>
      <c r="F14" s="11">
        <f>F32+F22+F40+F48+F56+F64+F72+F80+F88+F96+F104+F208+F216+F112+F120+F136+F144+F152+F160+F168+F176+F184+F192+F200+F128</f>
        <v>58062506.622179531</v>
      </c>
      <c r="G14" s="11">
        <f>G32+G22+G40+G48+G56+G64+G72+G80+G88+G96+G104+G208+G216+G112+G120+G128+G136+G144+G152+G160+G168+G176+G184+G192+G200</f>
        <v>13315689.235619683</v>
      </c>
      <c r="H14" s="11">
        <f>H32+H22+H40+H48+H56+H64+H72+H80+H88+H96+H104+H208+H112+H120+H128+H136+H144+H152+H160+H168+H176+H184+H192+H200</f>
        <v>28323411.956224211</v>
      </c>
      <c r="I14" s="11">
        <f>I32+I22+I40+I48+I56+I64+I72+I80+I88+I96+I104+I208+I112+I120+I128+I136+I144+I152+I160+I168+I176+I184+I192+I200</f>
        <v>26725919.316859525</v>
      </c>
      <c r="J14" s="11">
        <f>J32+J22+J40+J48+J56+J64+J72+J80+J88+J96+J104+J208+J112+J120+J128+J136+J144+J152+J160+J168+J176+J184+J192+J200</f>
        <v>1597492.6393646835</v>
      </c>
      <c r="K14" s="11">
        <f>K32+K22+K40+K48+K56+K64+K72+K80+K88+K96+K104+K208+K216+K112+K120+K128+K136+K144+K152+K160+K168+K176+K184+K192+K200</f>
        <v>11198476.730299687</v>
      </c>
      <c r="L14" s="11">
        <f>L32+L22+L40+L48+L56+L64+L72+L80+L88+L96+L104+L208+L216+L112+L120+L128+L136+L144+L152+L160+L168+L176+L184+L192+L200</f>
        <v>17124935.025924519</v>
      </c>
      <c r="N14" s="1"/>
      <c r="O14" s="1"/>
      <c r="P14" s="1"/>
      <c r="Q14" s="1"/>
      <c r="R14" s="1"/>
    </row>
    <row r="15" spans="1:18" x14ac:dyDescent="0.35">
      <c r="A15" s="98" t="s">
        <v>27</v>
      </c>
      <c r="B15" s="102"/>
      <c r="C15" s="102"/>
      <c r="D15" s="102"/>
      <c r="E15" s="102"/>
      <c r="F15" s="102"/>
      <c r="G15" s="102"/>
      <c r="H15" s="102"/>
      <c r="I15" s="102"/>
      <c r="J15" s="102"/>
      <c r="K15" s="81"/>
      <c r="L15" s="81"/>
      <c r="N15" s="1"/>
      <c r="O15" s="1"/>
      <c r="P15" s="1"/>
      <c r="Q15" s="1"/>
      <c r="R15" s="1"/>
    </row>
    <row r="16" spans="1:18" x14ac:dyDescent="0.35">
      <c r="A16" s="9" t="s">
        <v>19</v>
      </c>
      <c r="B16" s="9"/>
      <c r="C16" s="3">
        <v>0</v>
      </c>
      <c r="D16" s="3">
        <v>0</v>
      </c>
      <c r="E16" s="3">
        <v>0</v>
      </c>
      <c r="F16" s="51">
        <v>0</v>
      </c>
      <c r="G16" s="51">
        <v>0</v>
      </c>
      <c r="H16" s="3"/>
      <c r="I16" s="3"/>
      <c r="J16" s="64"/>
      <c r="K16" s="3"/>
      <c r="L16" s="3"/>
      <c r="N16" s="1"/>
      <c r="O16" s="1"/>
      <c r="P16" s="1"/>
      <c r="Q16" s="1"/>
      <c r="R16" s="1"/>
    </row>
    <row r="17" spans="1:18" x14ac:dyDescent="0.35">
      <c r="A17" s="9" t="s">
        <v>26</v>
      </c>
      <c r="B17" s="9"/>
      <c r="C17" s="4">
        <f>C16+C16*$B$9</f>
        <v>0</v>
      </c>
      <c r="D17" s="3">
        <v>0</v>
      </c>
      <c r="E17" s="3">
        <v>0</v>
      </c>
      <c r="F17" s="51">
        <v>0</v>
      </c>
      <c r="G17" s="51">
        <v>0</v>
      </c>
      <c r="H17" s="3"/>
      <c r="I17" s="3"/>
      <c r="J17" s="64"/>
      <c r="K17" s="3"/>
      <c r="L17" s="3"/>
      <c r="N17" s="1"/>
      <c r="O17" s="1"/>
      <c r="P17" s="1"/>
      <c r="Q17" s="1"/>
      <c r="R17" s="1"/>
    </row>
    <row r="18" spans="1:18" x14ac:dyDescent="0.35">
      <c r="A18" s="9" t="s">
        <v>39</v>
      </c>
      <c r="B18" s="9"/>
      <c r="C18" s="4">
        <f>C17+C17*$B$10</f>
        <v>0</v>
      </c>
      <c r="D18" s="3">
        <v>0</v>
      </c>
      <c r="E18" s="3">
        <v>0</v>
      </c>
      <c r="F18" s="51">
        <v>0</v>
      </c>
      <c r="G18" s="51">
        <v>0</v>
      </c>
      <c r="H18" s="3"/>
      <c r="I18" s="3"/>
      <c r="J18" s="64"/>
      <c r="K18" s="3"/>
      <c r="L18" s="3"/>
    </row>
    <row r="19" spans="1:18" ht="43.5" x14ac:dyDescent="0.35">
      <c r="A19" s="7" t="s">
        <v>10</v>
      </c>
      <c r="B19" s="7"/>
      <c r="C19" s="4"/>
      <c r="D19" s="37"/>
      <c r="E19" s="27"/>
      <c r="F19" s="25">
        <v>0.6</v>
      </c>
      <c r="G19" s="25">
        <v>0.4</v>
      </c>
      <c r="H19" s="16"/>
      <c r="I19" s="5">
        <v>0.6</v>
      </c>
      <c r="J19" s="65">
        <v>0.4</v>
      </c>
      <c r="K19" s="90" t="s">
        <v>43</v>
      </c>
      <c r="L19" s="90" t="s">
        <v>42</v>
      </c>
    </row>
    <row r="20" spans="1:18" x14ac:dyDescent="0.35">
      <c r="A20" s="3">
        <v>2024</v>
      </c>
      <c r="B20" s="3"/>
      <c r="C20" s="50">
        <v>881978</v>
      </c>
      <c r="D20" s="47">
        <v>0.7</v>
      </c>
      <c r="E20" s="48">
        <f>(C20*D20/12*9+E16/12*3)/1.1884</f>
        <v>389631.81588690681</v>
      </c>
      <c r="F20" s="48">
        <f>E20*0.6</f>
        <v>233779.08953214408</v>
      </c>
      <c r="G20" s="49">
        <f>E20*0.4</f>
        <v>155852.72635476274</v>
      </c>
      <c r="H20" s="48">
        <f>(E20-E16)</f>
        <v>389631.81588690681</v>
      </c>
      <c r="I20" s="48">
        <f>H20*0.6</f>
        <v>233779.08953214408</v>
      </c>
      <c r="J20" s="66">
        <f>H20*0.4</f>
        <v>155852.72635476274</v>
      </c>
      <c r="K20" s="48">
        <f>H20*0.6</f>
        <v>233779.08953214408</v>
      </c>
      <c r="L20" s="48">
        <f>H20*0.4</f>
        <v>155852.72635476274</v>
      </c>
      <c r="M20" s="86"/>
    </row>
    <row r="21" spans="1:18" x14ac:dyDescent="0.35">
      <c r="A21" s="3">
        <v>2025</v>
      </c>
      <c r="B21" s="3"/>
      <c r="C21" s="50">
        <v>881978</v>
      </c>
      <c r="D21" s="47">
        <v>0.7</v>
      </c>
      <c r="E21" s="46">
        <f>(C21*D21)/1.1884</f>
        <v>519509.08784920903</v>
      </c>
      <c r="F21" s="48">
        <f>E21*0.6</f>
        <v>311705.45270952542</v>
      </c>
      <c r="G21" s="49">
        <f>E21*0.4</f>
        <v>207803.63513968361</v>
      </c>
      <c r="H21" s="48">
        <f>E21-E17</f>
        <v>519509.08784920903</v>
      </c>
      <c r="I21" s="48">
        <f>H21*0.6</f>
        <v>311705.45270952542</v>
      </c>
      <c r="J21" s="66">
        <f>H21*0.4</f>
        <v>207803.63513968361</v>
      </c>
      <c r="K21" s="48">
        <f>H21*0.5</f>
        <v>259754.54392460451</v>
      </c>
      <c r="L21" s="48">
        <f>H21*0.5</f>
        <v>259754.54392460451</v>
      </c>
      <c r="M21" s="86"/>
    </row>
    <row r="22" spans="1:18" x14ac:dyDescent="0.35">
      <c r="A22" s="3">
        <v>2026</v>
      </c>
      <c r="B22" s="3"/>
      <c r="C22" s="50">
        <v>881978</v>
      </c>
      <c r="D22" s="47">
        <v>0.7</v>
      </c>
      <c r="E22" s="46">
        <f>(C22*D22)/1.1884</f>
        <v>519509.08784920903</v>
      </c>
      <c r="F22" s="48">
        <f>E22*0.6</f>
        <v>311705.45270952542</v>
      </c>
      <c r="G22" s="49">
        <f>E22*0.4</f>
        <v>207803.63513968361</v>
      </c>
      <c r="H22" s="48">
        <f>E22-E18</f>
        <v>519509.08784920903</v>
      </c>
      <c r="I22" s="48">
        <f>H22*0.6</f>
        <v>311705.45270952542</v>
      </c>
      <c r="J22" s="66">
        <f>H22*0.4</f>
        <v>207803.63513968361</v>
      </c>
      <c r="K22" s="48">
        <f>H22*0.4</f>
        <v>207803.63513968361</v>
      </c>
      <c r="L22" s="48">
        <f>H22*0.6</f>
        <v>311705.45270952542</v>
      </c>
      <c r="M22" s="86"/>
    </row>
    <row r="23" spans="1:18" x14ac:dyDescent="0.35">
      <c r="A23" s="99" t="s">
        <v>28</v>
      </c>
      <c r="B23" s="99"/>
      <c r="C23" s="99"/>
      <c r="D23" s="99"/>
      <c r="E23" s="99"/>
      <c r="F23" s="99"/>
      <c r="G23" s="99"/>
      <c r="H23" s="99"/>
      <c r="I23" s="99"/>
      <c r="J23" s="100"/>
      <c r="K23" s="81"/>
      <c r="L23" s="81"/>
      <c r="M23" s="86"/>
    </row>
    <row r="24" spans="1:18" ht="43.5" x14ac:dyDescent="0.35">
      <c r="A24" s="7" t="s">
        <v>10</v>
      </c>
      <c r="B24" s="7"/>
      <c r="C24" s="6"/>
      <c r="D24" s="37"/>
      <c r="E24" s="27"/>
      <c r="F24" s="22">
        <v>1</v>
      </c>
      <c r="G24" s="22">
        <v>0</v>
      </c>
      <c r="H24" s="16"/>
      <c r="I24" s="26">
        <v>1</v>
      </c>
      <c r="J24" s="67">
        <v>0</v>
      </c>
      <c r="K24" s="3">
        <v>1</v>
      </c>
      <c r="L24" s="3">
        <v>0</v>
      </c>
    </row>
    <row r="25" spans="1:18" x14ac:dyDescent="0.35">
      <c r="A25" s="7" t="s">
        <v>9</v>
      </c>
      <c r="B25" s="7"/>
      <c r="C25" s="4">
        <v>51000</v>
      </c>
      <c r="D25" s="37">
        <v>55</v>
      </c>
      <c r="E25" s="29">
        <f>C25*D25</f>
        <v>2805000</v>
      </c>
      <c r="F25" s="15">
        <f>E25*1</f>
        <v>2805000</v>
      </c>
      <c r="G25" s="15">
        <v>0</v>
      </c>
      <c r="H25" s="16"/>
      <c r="I25" s="4">
        <f>F25*I24-F25</f>
        <v>0</v>
      </c>
      <c r="J25" s="68">
        <f>F25*J24-G25</f>
        <v>0</v>
      </c>
      <c r="K25" s="3"/>
      <c r="L25" s="3"/>
    </row>
    <row r="26" spans="1:18" x14ac:dyDescent="0.35">
      <c r="A26" s="3">
        <v>2024</v>
      </c>
      <c r="B26" s="3"/>
      <c r="C26" s="6">
        <v>51000</v>
      </c>
      <c r="D26" s="5">
        <v>110</v>
      </c>
      <c r="E26" s="6">
        <f>C26*D26</f>
        <v>5610000</v>
      </c>
      <c r="F26" s="4">
        <f>E26</f>
        <v>5610000</v>
      </c>
      <c r="G26" s="4">
        <v>0</v>
      </c>
      <c r="H26" s="20">
        <f>E26-E25</f>
        <v>2805000</v>
      </c>
      <c r="I26" s="20">
        <f>H26*I24</f>
        <v>2805000</v>
      </c>
      <c r="J26" s="69">
        <f>H26*J24</f>
        <v>0</v>
      </c>
      <c r="K26" s="4">
        <f>I26</f>
        <v>2805000</v>
      </c>
      <c r="L26" s="3">
        <v>0</v>
      </c>
    </row>
    <row r="27" spans="1:18" x14ac:dyDescent="0.35">
      <c r="A27" s="3"/>
      <c r="B27" s="3"/>
      <c r="C27" s="6"/>
      <c r="D27" s="5"/>
      <c r="E27" s="6"/>
      <c r="F27" s="4"/>
      <c r="G27" s="4"/>
      <c r="H27" s="20"/>
      <c r="I27" s="30">
        <v>1</v>
      </c>
      <c r="J27" s="70">
        <v>0</v>
      </c>
      <c r="K27" s="3"/>
      <c r="L27" s="3"/>
    </row>
    <row r="28" spans="1:18" x14ac:dyDescent="0.35">
      <c r="A28" s="7" t="s">
        <v>19</v>
      </c>
      <c r="B28" s="7"/>
      <c r="C28" s="4">
        <v>51000</v>
      </c>
      <c r="D28" s="37">
        <v>55</v>
      </c>
      <c r="E28" s="29">
        <f>C28*D28</f>
        <v>2805000</v>
      </c>
      <c r="F28" s="15">
        <f>E28*1</f>
        <v>2805000</v>
      </c>
      <c r="G28" s="15">
        <v>0</v>
      </c>
      <c r="H28" s="4"/>
      <c r="I28" s="4">
        <f>F28*I27-F28</f>
        <v>0</v>
      </c>
      <c r="J28" s="71">
        <f>F28*J27-G28</f>
        <v>0</v>
      </c>
      <c r="K28" s="3"/>
      <c r="L28" s="3"/>
    </row>
    <row r="29" spans="1:18" x14ac:dyDescent="0.35">
      <c r="A29" s="3">
        <v>2025</v>
      </c>
      <c r="B29" s="3"/>
      <c r="C29" s="6">
        <v>51000</v>
      </c>
      <c r="D29" s="5">
        <v>110</v>
      </c>
      <c r="E29" s="38">
        <f>C29*D29</f>
        <v>5610000</v>
      </c>
      <c r="F29" s="4">
        <f>E29</f>
        <v>5610000</v>
      </c>
      <c r="G29" s="4">
        <v>0</v>
      </c>
      <c r="H29" s="4">
        <f>(E29-E28)</f>
        <v>2805000</v>
      </c>
      <c r="I29" s="4">
        <f>H29*I27</f>
        <v>2805000</v>
      </c>
      <c r="J29" s="71">
        <f>H29*J27</f>
        <v>0</v>
      </c>
      <c r="K29" s="4">
        <f>I29</f>
        <v>2805000</v>
      </c>
      <c r="L29" s="3">
        <v>0</v>
      </c>
    </row>
    <row r="30" spans="1:18" x14ac:dyDescent="0.35">
      <c r="A30" s="3"/>
      <c r="B30" s="3"/>
      <c r="C30" s="6"/>
      <c r="D30" s="5"/>
      <c r="E30" s="38"/>
      <c r="F30" s="4"/>
      <c r="G30" s="4"/>
      <c r="H30" s="4"/>
      <c r="I30" s="31">
        <v>1</v>
      </c>
      <c r="J30" s="72">
        <v>0</v>
      </c>
      <c r="K30" s="3"/>
      <c r="L30" s="3"/>
    </row>
    <row r="31" spans="1:18" x14ac:dyDescent="0.35">
      <c r="A31" s="7" t="s">
        <v>26</v>
      </c>
      <c r="B31" s="7"/>
      <c r="C31" s="4">
        <v>51000</v>
      </c>
      <c r="D31" s="37">
        <v>55</v>
      </c>
      <c r="E31" s="29">
        <f>C31*D31</f>
        <v>2805000</v>
      </c>
      <c r="F31" s="15">
        <f>E31</f>
        <v>2805000</v>
      </c>
      <c r="G31" s="15">
        <v>0</v>
      </c>
      <c r="H31" s="4"/>
      <c r="I31" s="4">
        <f>F31*I30-F31</f>
        <v>0</v>
      </c>
      <c r="J31" s="71">
        <f>F31*J30-G31</f>
        <v>0</v>
      </c>
      <c r="K31" s="3"/>
      <c r="L31" s="3"/>
    </row>
    <row r="32" spans="1:18" x14ac:dyDescent="0.35">
      <c r="A32" s="3">
        <v>2026</v>
      </c>
      <c r="B32" s="3"/>
      <c r="C32" s="6">
        <v>51000</v>
      </c>
      <c r="D32" s="5">
        <v>110</v>
      </c>
      <c r="E32" s="38">
        <f>C32*D32</f>
        <v>5610000</v>
      </c>
      <c r="F32" s="4">
        <f>E32</f>
        <v>5610000</v>
      </c>
      <c r="G32" s="4">
        <v>0</v>
      </c>
      <c r="H32" s="4">
        <f>E32-E31</f>
        <v>2805000</v>
      </c>
      <c r="I32" s="4">
        <f>H32*I30</f>
        <v>2805000</v>
      </c>
      <c r="J32" s="71">
        <f>H32*J30</f>
        <v>0</v>
      </c>
      <c r="K32" s="4">
        <f>I32</f>
        <v>2805000</v>
      </c>
      <c r="L32" s="3">
        <v>0</v>
      </c>
    </row>
    <row r="33" spans="1:12" x14ac:dyDescent="0.35">
      <c r="A33" s="99" t="s">
        <v>29</v>
      </c>
      <c r="B33" s="99"/>
      <c r="C33" s="99"/>
      <c r="D33" s="99"/>
      <c r="E33" s="99"/>
      <c r="F33" s="99"/>
      <c r="G33" s="99"/>
      <c r="H33" s="99"/>
      <c r="I33" s="99"/>
      <c r="J33" s="100"/>
      <c r="K33" s="81"/>
      <c r="L33" s="81"/>
    </row>
    <row r="34" spans="1:12" ht="43.5" x14ac:dyDescent="0.35">
      <c r="A34" s="7" t="s">
        <v>10</v>
      </c>
      <c r="B34" s="7"/>
      <c r="C34" s="6"/>
      <c r="D34" s="37"/>
      <c r="E34" s="27"/>
      <c r="F34" s="25"/>
      <c r="G34" s="25"/>
      <c r="H34" s="16"/>
      <c r="I34" s="3"/>
      <c r="J34" s="64"/>
      <c r="K34" s="3"/>
      <c r="L34" s="3"/>
    </row>
    <row r="35" spans="1:12" x14ac:dyDescent="0.35">
      <c r="A35" s="7" t="s">
        <v>19</v>
      </c>
      <c r="B35" s="7"/>
      <c r="C35" s="4">
        <v>200000</v>
      </c>
      <c r="D35" s="37">
        <v>95</v>
      </c>
      <c r="E35" s="29">
        <f>C35*D35/12*9+170000*80/12*3</f>
        <v>17650000</v>
      </c>
      <c r="F35" s="15">
        <f t="shared" ref="F35:F40" si="0">E35*0.85</f>
        <v>15002500</v>
      </c>
      <c r="G35" s="15">
        <f t="shared" ref="G35:G40" si="1">E35*0.15</f>
        <v>2647500</v>
      </c>
      <c r="H35" s="16"/>
      <c r="I35" s="28">
        <v>0.85</v>
      </c>
      <c r="J35" s="55">
        <v>0.15</v>
      </c>
      <c r="K35" s="84">
        <v>0.6</v>
      </c>
      <c r="L35" s="82">
        <v>0.4</v>
      </c>
    </row>
    <row r="36" spans="1:12" x14ac:dyDescent="0.35">
      <c r="A36" s="3">
        <v>2024</v>
      </c>
      <c r="B36" s="3"/>
      <c r="C36" s="6">
        <v>200000</v>
      </c>
      <c r="D36" s="5">
        <v>110</v>
      </c>
      <c r="E36" s="87">
        <f>C36*D36/12*9+170000*80/12*3</f>
        <v>19900000</v>
      </c>
      <c r="F36" s="56">
        <f t="shared" si="0"/>
        <v>16915000</v>
      </c>
      <c r="G36" s="56">
        <f t="shared" si="1"/>
        <v>2985000</v>
      </c>
      <c r="H36" s="57">
        <f>E36-E35</f>
        <v>2250000</v>
      </c>
      <c r="I36" s="57">
        <f>H36*I35</f>
        <v>1912500</v>
      </c>
      <c r="J36" s="73">
        <f>H36*J35</f>
        <v>337500</v>
      </c>
      <c r="K36" s="91">
        <f>(E36*0.6-F35)</f>
        <v>-3062500</v>
      </c>
      <c r="L36" s="91">
        <f>(E36*0.4-G35)</f>
        <v>5312500</v>
      </c>
    </row>
    <row r="37" spans="1:12" x14ac:dyDescent="0.35">
      <c r="A37" s="7" t="s">
        <v>26</v>
      </c>
      <c r="B37" s="7"/>
      <c r="C37" s="4">
        <v>190000</v>
      </c>
      <c r="D37" s="37">
        <v>95</v>
      </c>
      <c r="E37" s="58">
        <f>C37*D37/12*9+C35*D35/12*3</f>
        <v>18287500</v>
      </c>
      <c r="F37" s="58">
        <f t="shared" si="0"/>
        <v>15544375</v>
      </c>
      <c r="G37" s="58">
        <f t="shared" si="1"/>
        <v>2743125</v>
      </c>
      <c r="H37" s="56"/>
      <c r="I37" s="59">
        <v>0.85</v>
      </c>
      <c r="J37" s="74">
        <v>0.15</v>
      </c>
      <c r="K37" s="93">
        <v>0.5</v>
      </c>
      <c r="L37" s="93">
        <v>0.5</v>
      </c>
    </row>
    <row r="38" spans="1:12" x14ac:dyDescent="0.35">
      <c r="A38" s="3">
        <v>2025</v>
      </c>
      <c r="B38" s="3"/>
      <c r="C38" s="6">
        <v>190000</v>
      </c>
      <c r="D38" s="5">
        <v>120</v>
      </c>
      <c r="E38" s="88">
        <f>C38*D38/12*9+C36*D36/12*3</f>
        <v>22600000</v>
      </c>
      <c r="F38" s="56">
        <f t="shared" si="0"/>
        <v>19210000</v>
      </c>
      <c r="G38" s="56">
        <f t="shared" si="1"/>
        <v>3390000</v>
      </c>
      <c r="H38" s="56">
        <f>(E38-E37)</f>
        <v>4312500</v>
      </c>
      <c r="I38" s="56">
        <f>H38*I37</f>
        <v>3665625</v>
      </c>
      <c r="J38" s="75">
        <f>H38*J37</f>
        <v>646875</v>
      </c>
      <c r="K38" s="91">
        <f>(E38*0.5-F37)</f>
        <v>-4244375</v>
      </c>
      <c r="L38" s="91">
        <f>(E38*0.5-G37)</f>
        <v>8556875</v>
      </c>
    </row>
    <row r="39" spans="1:12" x14ac:dyDescent="0.35">
      <c r="A39" s="7" t="s">
        <v>39</v>
      </c>
      <c r="B39" s="7"/>
      <c r="C39" s="4">
        <v>180000</v>
      </c>
      <c r="D39" s="37">
        <v>95</v>
      </c>
      <c r="E39" s="52">
        <f>C39*D39/12*9+C37*D37/12*3</f>
        <v>17337500</v>
      </c>
      <c r="F39" s="58">
        <f t="shared" si="0"/>
        <v>14736875</v>
      </c>
      <c r="G39" s="58">
        <f t="shared" si="1"/>
        <v>2600625</v>
      </c>
      <c r="H39" s="56"/>
      <c r="I39" s="60">
        <v>0.85</v>
      </c>
      <c r="J39" s="76">
        <v>0.15</v>
      </c>
      <c r="K39" s="93">
        <v>0.4</v>
      </c>
      <c r="L39" s="93">
        <v>0.6</v>
      </c>
    </row>
    <row r="40" spans="1:12" x14ac:dyDescent="0.35">
      <c r="A40" s="3">
        <v>2026</v>
      </c>
      <c r="B40" s="3"/>
      <c r="C40" s="6">
        <v>180000</v>
      </c>
      <c r="D40" s="5">
        <v>130</v>
      </c>
      <c r="E40" s="88">
        <f>C40*D40/12*9+C38*D38/12*3</f>
        <v>23250000</v>
      </c>
      <c r="F40" s="56">
        <f t="shared" si="0"/>
        <v>19762500</v>
      </c>
      <c r="G40" s="56">
        <f t="shared" si="1"/>
        <v>3487500</v>
      </c>
      <c r="H40" s="56">
        <f>E40-E39</f>
        <v>5912500</v>
      </c>
      <c r="I40" s="56">
        <f>H40*I39</f>
        <v>5025625</v>
      </c>
      <c r="J40" s="75">
        <f>H40*J39</f>
        <v>886875</v>
      </c>
      <c r="K40" s="91">
        <f>(E40*0.4-F39)</f>
        <v>-5436875</v>
      </c>
      <c r="L40" s="91">
        <f>(E40*0.6-G39)</f>
        <v>11349375</v>
      </c>
    </row>
    <row r="41" spans="1:12" x14ac:dyDescent="0.35">
      <c r="A41" s="99" t="s">
        <v>30</v>
      </c>
      <c r="B41" s="99"/>
      <c r="C41" s="99"/>
      <c r="D41" s="99"/>
      <c r="E41" s="99"/>
      <c r="F41" s="99"/>
      <c r="G41" s="99"/>
      <c r="H41" s="99"/>
      <c r="I41" s="99"/>
      <c r="J41" s="100"/>
      <c r="K41" s="81"/>
      <c r="L41" s="81"/>
    </row>
    <row r="42" spans="1:12" ht="43.5" x14ac:dyDescent="0.35">
      <c r="A42" s="7" t="s">
        <v>10</v>
      </c>
      <c r="B42" s="7"/>
      <c r="C42" s="6"/>
      <c r="D42" s="37"/>
      <c r="E42" s="27"/>
      <c r="F42" s="22"/>
      <c r="G42" s="22"/>
      <c r="H42" s="16"/>
      <c r="I42" s="5">
        <v>0.8</v>
      </c>
      <c r="J42" s="65">
        <v>0.2</v>
      </c>
      <c r="K42" s="84">
        <v>0.2</v>
      </c>
      <c r="L42" s="82">
        <v>0.8</v>
      </c>
    </row>
    <row r="43" spans="1:12" x14ac:dyDescent="0.35">
      <c r="A43" s="7" t="s">
        <v>19</v>
      </c>
      <c r="B43" s="7"/>
      <c r="C43" s="4">
        <v>2492</v>
      </c>
      <c r="D43" s="37">
        <v>100</v>
      </c>
      <c r="E43" s="29">
        <f>C43*D43/12*9+2623*85/12*3</f>
        <v>242638.75</v>
      </c>
      <c r="F43" s="15">
        <f>E43*0.8</f>
        <v>194111</v>
      </c>
      <c r="G43" s="15">
        <f>E43*0.2</f>
        <v>48527.75</v>
      </c>
      <c r="H43" s="16"/>
      <c r="I43" s="28"/>
      <c r="J43" s="55"/>
      <c r="K43" s="80"/>
      <c r="L43" s="3"/>
    </row>
    <row r="44" spans="1:12" x14ac:dyDescent="0.35">
      <c r="A44" s="3">
        <v>2024</v>
      </c>
      <c r="B44" s="3"/>
      <c r="C44" s="6">
        <v>2492</v>
      </c>
      <c r="D44" s="5">
        <v>115</v>
      </c>
      <c r="E44" s="87">
        <f>C44*D44/12*9+2623*85/12*3</f>
        <v>270673.75</v>
      </c>
      <c r="F44" s="56">
        <f>E44*I42</f>
        <v>216539</v>
      </c>
      <c r="G44" s="56">
        <f>E44*J42</f>
        <v>54134.75</v>
      </c>
      <c r="H44" s="57">
        <f>E44-E43</f>
        <v>28035</v>
      </c>
      <c r="I44" s="57">
        <f>H44*I42</f>
        <v>22428</v>
      </c>
      <c r="J44" s="73">
        <f>H44*J42</f>
        <v>5607</v>
      </c>
      <c r="K44" s="57">
        <f>(E44*K42-F43)</f>
        <v>-139976.25</v>
      </c>
      <c r="L44" s="57">
        <f>(E44*L42-G43)</f>
        <v>168011.25</v>
      </c>
    </row>
    <row r="45" spans="1:12" x14ac:dyDescent="0.35">
      <c r="A45" s="7" t="s">
        <v>26</v>
      </c>
      <c r="B45" s="7"/>
      <c r="C45" s="4">
        <v>2367.392875</v>
      </c>
      <c r="D45" s="37">
        <v>100</v>
      </c>
      <c r="E45" s="58">
        <f>C45*D45/12*9+D43*C43/12*3</f>
        <v>239854.46562500001</v>
      </c>
      <c r="F45" s="58">
        <f>E45*0.8</f>
        <v>191883.57250000001</v>
      </c>
      <c r="G45" s="58">
        <f>E45*0.2</f>
        <v>47970.893125000002</v>
      </c>
      <c r="H45" s="56"/>
      <c r="I45" s="59"/>
      <c r="J45" s="74"/>
      <c r="K45" s="92">
        <v>0.2</v>
      </c>
      <c r="L45" s="92">
        <v>0.8</v>
      </c>
    </row>
    <row r="46" spans="1:12" x14ac:dyDescent="0.35">
      <c r="A46" s="3">
        <v>2025</v>
      </c>
      <c r="B46" s="3"/>
      <c r="C46" s="6">
        <f>C44*0.95</f>
        <v>2367.4</v>
      </c>
      <c r="D46" s="5">
        <v>125</v>
      </c>
      <c r="E46" s="88">
        <f>C46*D46/12*9+C44*D44/12*3</f>
        <v>293588.75</v>
      </c>
      <c r="F46" s="56">
        <f>E46*I42</f>
        <v>234871</v>
      </c>
      <c r="G46" s="56">
        <f>E46*J42</f>
        <v>58717.75</v>
      </c>
      <c r="H46" s="56">
        <f>(E46-E45)</f>
        <v>53734.284374999988</v>
      </c>
      <c r="I46" s="56">
        <f>H46*I42</f>
        <v>42987.427499999991</v>
      </c>
      <c r="J46" s="75">
        <f>H46*J42</f>
        <v>10746.856874999998</v>
      </c>
      <c r="K46" s="57">
        <f>(E46*K45-F45)</f>
        <v>-133165.82250000001</v>
      </c>
      <c r="L46" s="57">
        <f>(E46*L45-G45)</f>
        <v>186900.106875</v>
      </c>
    </row>
    <row r="47" spans="1:12" x14ac:dyDescent="0.35">
      <c r="A47" s="7" t="s">
        <v>39</v>
      </c>
      <c r="B47" s="7"/>
      <c r="C47" s="4">
        <v>2367</v>
      </c>
      <c r="D47" s="37">
        <v>100</v>
      </c>
      <c r="E47" s="54">
        <f>C47*D47/12*9+C45*D45/12*3</f>
        <v>236709.82187500002</v>
      </c>
      <c r="F47" s="58">
        <f>E47*0.8</f>
        <v>189367.85750000004</v>
      </c>
      <c r="G47" s="58">
        <f>E47*0.2</f>
        <v>47341.96437500001</v>
      </c>
      <c r="H47" s="56"/>
      <c r="I47" s="60"/>
      <c r="J47" s="76"/>
      <c r="K47" s="92">
        <v>0.2</v>
      </c>
      <c r="L47" s="92">
        <v>0.8</v>
      </c>
    </row>
    <row r="48" spans="1:12" x14ac:dyDescent="0.35">
      <c r="A48" s="3">
        <v>2026</v>
      </c>
      <c r="B48" s="3"/>
      <c r="C48" s="6">
        <f>C46*0.95</f>
        <v>2249.0300000000002</v>
      </c>
      <c r="D48" s="5">
        <v>135</v>
      </c>
      <c r="E48" s="88">
        <f>C48*D48/12*9+C46*D46/12*3</f>
        <v>301695.53750000003</v>
      </c>
      <c r="F48" s="56">
        <f>E48*I42</f>
        <v>241356.43000000005</v>
      </c>
      <c r="G48" s="56">
        <f>E48*J42</f>
        <v>60339.107500000013</v>
      </c>
      <c r="H48" s="56">
        <f>E48-E47</f>
        <v>64985.715625000012</v>
      </c>
      <c r="I48" s="56">
        <f>H48*I42</f>
        <v>51988.572500000009</v>
      </c>
      <c r="J48" s="75">
        <f>H48*J42</f>
        <v>12997.143125000002</v>
      </c>
      <c r="K48" s="57">
        <f>(E48*K47-F47)</f>
        <v>-129028.75000000003</v>
      </c>
      <c r="L48" s="57">
        <f>(E48*L47-G47)</f>
        <v>194014.46562500004</v>
      </c>
    </row>
    <row r="49" spans="1:12" x14ac:dyDescent="0.35">
      <c r="A49" s="99" t="s">
        <v>31</v>
      </c>
      <c r="B49" s="99"/>
      <c r="C49" s="99"/>
      <c r="D49" s="99"/>
      <c r="E49" s="99"/>
      <c r="F49" s="99"/>
      <c r="G49" s="99"/>
      <c r="H49" s="99"/>
      <c r="I49" s="99"/>
      <c r="J49" s="100"/>
      <c r="K49" s="81"/>
      <c r="L49" s="81"/>
    </row>
    <row r="50" spans="1:12" x14ac:dyDescent="0.35">
      <c r="A50" s="9" t="s">
        <v>19</v>
      </c>
      <c r="B50" s="9"/>
      <c r="C50" s="4">
        <v>8145</v>
      </c>
      <c r="D50" s="37">
        <v>135</v>
      </c>
      <c r="E50" s="29">
        <f>C50*D50/12*9+8266*120/12*3</f>
        <v>1072661.25</v>
      </c>
      <c r="F50" s="15">
        <f>E50*0.6</f>
        <v>643596.75</v>
      </c>
      <c r="G50" s="15">
        <f>E50*0.4</f>
        <v>429064.5</v>
      </c>
      <c r="H50" s="3"/>
      <c r="I50" s="3"/>
      <c r="J50" s="64"/>
      <c r="K50" s="80"/>
      <c r="L50" s="3"/>
    </row>
    <row r="51" spans="1:12" x14ac:dyDescent="0.35">
      <c r="A51" s="9" t="s">
        <v>26</v>
      </c>
      <c r="B51" s="9"/>
      <c r="C51" s="4">
        <v>8145</v>
      </c>
      <c r="D51" s="37">
        <v>135</v>
      </c>
      <c r="E51" s="29">
        <f>C51*D51/12*9+D50*C50/12*3</f>
        <v>1099575</v>
      </c>
      <c r="F51" s="15">
        <f>E51*0.6</f>
        <v>659745</v>
      </c>
      <c r="G51" s="15">
        <f>E51*0.4</f>
        <v>439830</v>
      </c>
      <c r="H51" s="3"/>
      <c r="I51" s="3"/>
      <c r="J51" s="64"/>
      <c r="K51" s="80"/>
      <c r="L51" s="3"/>
    </row>
    <row r="52" spans="1:12" x14ac:dyDescent="0.35">
      <c r="A52" s="9" t="s">
        <v>39</v>
      </c>
      <c r="B52" s="9"/>
      <c r="C52" s="4">
        <v>8145</v>
      </c>
      <c r="D52" s="37">
        <v>135</v>
      </c>
      <c r="E52" s="29">
        <f>C52*D52</f>
        <v>1099575</v>
      </c>
      <c r="F52" s="15">
        <f>E52*0.6</f>
        <v>659745</v>
      </c>
      <c r="G52" s="15">
        <f>E52*0.4</f>
        <v>439830</v>
      </c>
      <c r="H52" s="3"/>
      <c r="I52" s="3"/>
      <c r="J52" s="64"/>
      <c r="K52" s="80"/>
      <c r="L52" s="3"/>
    </row>
    <row r="53" spans="1:12" ht="43.5" x14ac:dyDescent="0.35">
      <c r="A53" s="7" t="s">
        <v>10</v>
      </c>
      <c r="B53" s="7"/>
      <c r="C53" s="4"/>
      <c r="D53" s="37"/>
      <c r="E53" s="27"/>
      <c r="F53" s="27"/>
      <c r="G53" s="27"/>
      <c r="H53" s="16"/>
      <c r="I53" s="32">
        <v>0.6</v>
      </c>
      <c r="J53" s="77">
        <v>0.4</v>
      </c>
      <c r="K53" s="90" t="s">
        <v>43</v>
      </c>
      <c r="L53" s="90" t="s">
        <v>42</v>
      </c>
    </row>
    <row r="54" spans="1:12" x14ac:dyDescent="0.35">
      <c r="A54" s="3">
        <v>2024</v>
      </c>
      <c r="B54" s="3"/>
      <c r="C54" s="33">
        <f>(C50*30)/100+C50</f>
        <v>10588.5</v>
      </c>
      <c r="D54" s="26">
        <v>135</v>
      </c>
      <c r="E54" s="89">
        <f>C54*D54/12*9+C50*D50/12*3</f>
        <v>1346979.375</v>
      </c>
      <c r="F54" s="4">
        <f>E54*I53</f>
        <v>808187.625</v>
      </c>
      <c r="G54" s="4">
        <f>E54*J53</f>
        <v>538791.75</v>
      </c>
      <c r="H54" s="56">
        <f>E54-E50</f>
        <v>274318.125</v>
      </c>
      <c r="I54" s="56">
        <f>H54*I53</f>
        <v>164590.875</v>
      </c>
      <c r="J54" s="78">
        <f>H54*J53</f>
        <v>109727.25</v>
      </c>
      <c r="K54" s="78">
        <f>(E54*0.6-F50)</f>
        <v>164590.875</v>
      </c>
      <c r="L54" s="78">
        <f>(E54*0.4-G50)</f>
        <v>109727.25</v>
      </c>
    </row>
    <row r="55" spans="1:12" x14ac:dyDescent="0.35">
      <c r="A55" s="3">
        <v>2025</v>
      </c>
      <c r="B55" s="3"/>
      <c r="C55" s="33">
        <f>C54*0.97</f>
        <v>10270.844999999999</v>
      </c>
      <c r="D55" s="26">
        <v>135</v>
      </c>
      <c r="E55" s="56">
        <f>C55*D55</f>
        <v>1386564.075</v>
      </c>
      <c r="F55" s="4">
        <f>E55*I53</f>
        <v>831938.44499999995</v>
      </c>
      <c r="G55" s="4">
        <f>E55*J53</f>
        <v>554625.63</v>
      </c>
      <c r="H55" s="56">
        <f>E55-E51</f>
        <v>286989.07499999995</v>
      </c>
      <c r="I55" s="56">
        <f>H55*I53</f>
        <v>172193.44499999998</v>
      </c>
      <c r="J55" s="78">
        <f>H55*J53</f>
        <v>114795.62999999999</v>
      </c>
      <c r="K55" s="78">
        <f>(E55*0.5-F51)</f>
        <v>33537.037499999977</v>
      </c>
      <c r="L55" s="78">
        <f>(E55*0.5-G51)</f>
        <v>253452.03749999998</v>
      </c>
    </row>
    <row r="56" spans="1:12" x14ac:dyDescent="0.35">
      <c r="A56" s="3">
        <v>2026</v>
      </c>
      <c r="B56" s="3"/>
      <c r="C56" s="33">
        <f>C55*0.97</f>
        <v>9962.7196499999991</v>
      </c>
      <c r="D56" s="26">
        <v>135</v>
      </c>
      <c r="E56" s="4">
        <f>C56*D56</f>
        <v>1344967.1527499999</v>
      </c>
      <c r="F56" s="4">
        <f>E56*I53</f>
        <v>806980.29164999991</v>
      </c>
      <c r="G56" s="4">
        <f>E56*J53</f>
        <v>537986.86109999998</v>
      </c>
      <c r="H56" s="56">
        <f>E56-E52</f>
        <v>245392.15274999989</v>
      </c>
      <c r="I56" s="56">
        <f>H56*I53</f>
        <v>147235.29164999994</v>
      </c>
      <c r="J56" s="78">
        <f>H56*J53</f>
        <v>98156.861099999966</v>
      </c>
      <c r="K56" s="78">
        <f>(E56*0.4-F52)</f>
        <v>-121758.13890000002</v>
      </c>
      <c r="L56" s="78">
        <f>(E56*0.6-G52)</f>
        <v>367150.29164999991</v>
      </c>
    </row>
    <row r="57" spans="1:12" x14ac:dyDescent="0.35">
      <c r="A57" s="97" t="s">
        <v>32</v>
      </c>
      <c r="B57" s="97"/>
      <c r="C57" s="97"/>
      <c r="D57" s="97"/>
      <c r="E57" s="97"/>
      <c r="F57" s="97"/>
      <c r="G57" s="97"/>
      <c r="H57" s="97"/>
      <c r="I57" s="97"/>
      <c r="J57" s="98"/>
      <c r="K57" s="81"/>
      <c r="L57" s="81"/>
    </row>
    <row r="58" spans="1:12" x14ac:dyDescent="0.35">
      <c r="A58" s="9" t="s">
        <v>19</v>
      </c>
      <c r="B58" s="9"/>
      <c r="C58" s="3">
        <v>0</v>
      </c>
      <c r="D58" s="3">
        <v>0</v>
      </c>
      <c r="E58" s="3">
        <v>0</v>
      </c>
      <c r="F58" s="42">
        <v>0</v>
      </c>
      <c r="G58" s="42">
        <v>0</v>
      </c>
      <c r="H58" s="3"/>
      <c r="I58" s="3"/>
      <c r="J58" s="64"/>
      <c r="K58" s="3"/>
      <c r="L58" s="3"/>
    </row>
    <row r="59" spans="1:12" x14ac:dyDescent="0.35">
      <c r="A59" s="9" t="s">
        <v>26</v>
      </c>
      <c r="B59" s="9"/>
      <c r="C59" s="4">
        <f>C58+C58*$B$9</f>
        <v>0</v>
      </c>
      <c r="D59" s="3">
        <v>0</v>
      </c>
      <c r="E59" s="3">
        <v>0</v>
      </c>
      <c r="F59" s="42">
        <v>0</v>
      </c>
      <c r="G59" s="42">
        <v>0</v>
      </c>
      <c r="H59" s="3"/>
      <c r="I59" s="3"/>
      <c r="J59" s="64"/>
      <c r="K59" s="3"/>
      <c r="L59" s="3"/>
    </row>
    <row r="60" spans="1:12" x14ac:dyDescent="0.35">
      <c r="A60" s="9" t="s">
        <v>39</v>
      </c>
      <c r="B60" s="9"/>
      <c r="C60" s="4">
        <f>C59+C59*$B$10</f>
        <v>0</v>
      </c>
      <c r="D60" s="3">
        <v>0</v>
      </c>
      <c r="E60" s="3">
        <v>0</v>
      </c>
      <c r="F60" s="42">
        <v>0</v>
      </c>
      <c r="G60" s="42">
        <v>0</v>
      </c>
      <c r="H60" s="3"/>
      <c r="I60" s="3"/>
      <c r="J60" s="64"/>
      <c r="K60" s="3"/>
      <c r="L60" s="3"/>
    </row>
    <row r="61" spans="1:12" ht="30.75" customHeight="1" x14ac:dyDescent="0.35">
      <c r="A61" s="7" t="s">
        <v>10</v>
      </c>
      <c r="B61" s="7"/>
      <c r="C61" s="4"/>
      <c r="D61" s="37"/>
      <c r="E61" s="27"/>
      <c r="F61" s="22">
        <v>1</v>
      </c>
      <c r="G61" s="22">
        <v>0</v>
      </c>
      <c r="H61" s="16"/>
      <c r="I61" s="5">
        <v>1</v>
      </c>
      <c r="J61" s="65">
        <v>0</v>
      </c>
      <c r="K61" s="3">
        <v>1</v>
      </c>
      <c r="L61" s="3">
        <v>0</v>
      </c>
    </row>
    <row r="62" spans="1:12" x14ac:dyDescent="0.35">
      <c r="A62" s="3">
        <v>2024</v>
      </c>
      <c r="B62" s="3"/>
      <c r="C62" s="34">
        <v>0</v>
      </c>
      <c r="D62" s="43">
        <v>0.8</v>
      </c>
      <c r="E62" s="35">
        <f>C62*D62/12*9+E58/12*3</f>
        <v>0</v>
      </c>
      <c r="F62" s="35">
        <f>E62</f>
        <v>0</v>
      </c>
      <c r="G62" s="44">
        <v>0</v>
      </c>
      <c r="H62" s="35">
        <f>(E62-E58)</f>
        <v>0</v>
      </c>
      <c r="I62" s="35">
        <f>H62</f>
        <v>0</v>
      </c>
      <c r="J62" s="79">
        <v>0</v>
      </c>
      <c r="K62" s="3"/>
      <c r="L62" s="3"/>
    </row>
    <row r="63" spans="1:12" x14ac:dyDescent="0.35">
      <c r="A63" s="3">
        <v>2025</v>
      </c>
      <c r="B63" s="3"/>
      <c r="C63" s="20">
        <v>22700000</v>
      </c>
      <c r="D63" s="3">
        <v>0.8</v>
      </c>
      <c r="E63" s="20">
        <f>C63*D63*0.5</f>
        <v>9080000</v>
      </c>
      <c r="F63" s="4">
        <f>E63</f>
        <v>9080000</v>
      </c>
      <c r="G63" s="3">
        <v>0</v>
      </c>
      <c r="H63" s="4">
        <f>E63-E59</f>
        <v>9080000</v>
      </c>
      <c r="I63" s="4">
        <f>H63</f>
        <v>9080000</v>
      </c>
      <c r="J63" s="68">
        <v>0</v>
      </c>
      <c r="K63" s="4">
        <f>I63</f>
        <v>9080000</v>
      </c>
      <c r="L63" s="4">
        <f>J63</f>
        <v>0</v>
      </c>
    </row>
    <row r="64" spans="1:12" x14ac:dyDescent="0.35">
      <c r="A64" s="3">
        <v>2026</v>
      </c>
      <c r="B64" s="3"/>
      <c r="C64" s="20">
        <v>21400000</v>
      </c>
      <c r="D64" s="3">
        <v>0.8</v>
      </c>
      <c r="E64" s="20">
        <f>C64*D64</f>
        <v>17120000</v>
      </c>
      <c r="F64" s="4">
        <f>E64</f>
        <v>17120000</v>
      </c>
      <c r="G64" s="3">
        <v>0</v>
      </c>
      <c r="H64" s="4">
        <f>E64-E60</f>
        <v>17120000</v>
      </c>
      <c r="I64" s="4">
        <f>H64</f>
        <v>17120000</v>
      </c>
      <c r="J64" s="68">
        <v>0</v>
      </c>
      <c r="K64" s="4">
        <f>I64</f>
        <v>17120000</v>
      </c>
      <c r="L64" s="4">
        <f>J64</f>
        <v>0</v>
      </c>
    </row>
    <row r="65" spans="1:12" x14ac:dyDescent="0.35">
      <c r="A65" s="97" t="s">
        <v>33</v>
      </c>
      <c r="B65" s="97"/>
      <c r="C65" s="97"/>
      <c r="D65" s="97"/>
      <c r="E65" s="97"/>
      <c r="F65" s="97"/>
      <c r="G65" s="97"/>
      <c r="H65" s="97"/>
      <c r="I65" s="97"/>
      <c r="J65" s="98"/>
      <c r="K65" s="81"/>
      <c r="L65" s="81"/>
    </row>
    <row r="66" spans="1:12" ht="43.5" x14ac:dyDescent="0.35">
      <c r="A66" s="7" t="s">
        <v>10</v>
      </c>
      <c r="B66" s="7"/>
      <c r="C66" s="6"/>
      <c r="D66" s="37"/>
      <c r="E66" s="27"/>
      <c r="F66" s="25"/>
      <c r="G66" s="25"/>
      <c r="H66" s="16"/>
      <c r="I66" s="3"/>
      <c r="J66" s="64"/>
      <c r="K66" s="90" t="s">
        <v>43</v>
      </c>
      <c r="L66" s="90" t="s">
        <v>42</v>
      </c>
    </row>
    <row r="67" spans="1:12" x14ac:dyDescent="0.35">
      <c r="A67" s="7" t="s">
        <v>19</v>
      </c>
      <c r="B67" s="7"/>
      <c r="C67" s="4">
        <v>24400</v>
      </c>
      <c r="D67" s="37">
        <v>0.86</v>
      </c>
      <c r="E67" s="29">
        <f>D67*C67</f>
        <v>20984</v>
      </c>
      <c r="F67" s="15">
        <f t="shared" ref="F67:F72" si="2">E67*0.6</f>
        <v>12590.4</v>
      </c>
      <c r="G67" s="15">
        <f t="shared" ref="G67:G72" si="3">E67*0.4</f>
        <v>8393.6</v>
      </c>
      <c r="H67" s="16"/>
      <c r="I67" s="28">
        <v>0.6</v>
      </c>
      <c r="J67" s="55">
        <v>0.4</v>
      </c>
      <c r="K67" s="3"/>
      <c r="L67" s="3"/>
    </row>
    <row r="68" spans="1:12" x14ac:dyDescent="0.35">
      <c r="A68" s="3">
        <v>2024</v>
      </c>
      <c r="B68" s="3"/>
      <c r="C68" s="6">
        <v>24400</v>
      </c>
      <c r="D68" s="5">
        <v>1.04</v>
      </c>
      <c r="E68" s="87">
        <f>C68*D68/12*9+C67*D67/12*3</f>
        <v>24278</v>
      </c>
      <c r="F68" s="56">
        <f t="shared" si="2"/>
        <v>14566.8</v>
      </c>
      <c r="G68" s="56">
        <f t="shared" si="3"/>
        <v>9711.2000000000007</v>
      </c>
      <c r="H68" s="57">
        <f>E68-E67</f>
        <v>3294</v>
      </c>
      <c r="I68" s="57">
        <f>H68*I67</f>
        <v>1976.3999999999999</v>
      </c>
      <c r="J68" s="57">
        <f>H68*J67</f>
        <v>1317.6000000000001</v>
      </c>
      <c r="K68" s="57">
        <f>(E68*0.6-F67)</f>
        <v>1976.3999999999996</v>
      </c>
      <c r="L68" s="57">
        <f>(E68*0.4-G67)</f>
        <v>1317.6000000000004</v>
      </c>
    </row>
    <row r="69" spans="1:12" x14ac:dyDescent="0.35">
      <c r="A69" s="7" t="s">
        <v>26</v>
      </c>
      <c r="B69" s="7"/>
      <c r="C69" s="4">
        <v>24400</v>
      </c>
      <c r="D69" s="37">
        <v>0.86</v>
      </c>
      <c r="E69" s="29">
        <f>C69*D69/12*9+C67*D67/12*3</f>
        <v>20984</v>
      </c>
      <c r="F69" s="15">
        <f t="shared" si="2"/>
        <v>12590.4</v>
      </c>
      <c r="G69" s="15">
        <f t="shared" si="3"/>
        <v>8393.6</v>
      </c>
      <c r="H69" s="4"/>
      <c r="I69" s="28">
        <v>0.6</v>
      </c>
      <c r="J69" s="55">
        <v>0.4</v>
      </c>
      <c r="K69" s="3"/>
      <c r="L69" s="3"/>
    </row>
    <row r="70" spans="1:12" x14ac:dyDescent="0.35">
      <c r="A70" s="3">
        <v>2025</v>
      </c>
      <c r="B70" s="3"/>
      <c r="C70" s="6">
        <v>24400</v>
      </c>
      <c r="D70" s="5">
        <v>1.06</v>
      </c>
      <c r="E70" s="38">
        <f>C70*D70</f>
        <v>25864</v>
      </c>
      <c r="F70" s="4">
        <f t="shared" si="2"/>
        <v>15518.4</v>
      </c>
      <c r="G70" s="4">
        <f t="shared" si="3"/>
        <v>10345.6</v>
      </c>
      <c r="H70" s="4">
        <f>(E70-E69)</f>
        <v>4880</v>
      </c>
      <c r="I70" s="4">
        <f>H70*I69</f>
        <v>2928</v>
      </c>
      <c r="J70" s="71">
        <f>H70*J69</f>
        <v>1952</v>
      </c>
      <c r="K70" s="57">
        <f>(E70*0.5-F69)</f>
        <v>341.60000000000036</v>
      </c>
      <c r="L70" s="57">
        <f>(E70*0.5-G69)</f>
        <v>4538.3999999999996</v>
      </c>
    </row>
    <row r="71" spans="1:12" x14ac:dyDescent="0.35">
      <c r="A71" s="7" t="s">
        <v>39</v>
      </c>
      <c r="B71" s="7"/>
      <c r="C71" s="4">
        <v>24400</v>
      </c>
      <c r="D71" s="37">
        <v>0.86</v>
      </c>
      <c r="E71" s="29">
        <f>C71*D71</f>
        <v>20984</v>
      </c>
      <c r="F71" s="15">
        <f t="shared" si="2"/>
        <v>12590.4</v>
      </c>
      <c r="G71" s="15">
        <f t="shared" si="3"/>
        <v>8393.6</v>
      </c>
      <c r="H71" s="4"/>
      <c r="I71" s="28">
        <v>0.6</v>
      </c>
      <c r="J71" s="55">
        <v>0.4</v>
      </c>
      <c r="K71" s="3"/>
      <c r="L71" s="3"/>
    </row>
    <row r="72" spans="1:12" x14ac:dyDescent="0.35">
      <c r="A72" s="3">
        <v>2026</v>
      </c>
      <c r="B72" s="3"/>
      <c r="C72" s="6">
        <v>24400</v>
      </c>
      <c r="D72" s="5">
        <v>1.08</v>
      </c>
      <c r="E72" s="38">
        <f>C72*D72</f>
        <v>26352</v>
      </c>
      <c r="F72" s="4">
        <f t="shared" si="2"/>
        <v>15811.199999999999</v>
      </c>
      <c r="G72" s="4">
        <f t="shared" si="3"/>
        <v>10540.800000000001</v>
      </c>
      <c r="H72" s="4">
        <f>E72-E71</f>
        <v>5368</v>
      </c>
      <c r="I72" s="4">
        <f>H72*I71</f>
        <v>3220.7999999999997</v>
      </c>
      <c r="J72" s="71">
        <f>H72*J71</f>
        <v>2147.2000000000003</v>
      </c>
      <c r="K72" s="57">
        <f>(E72*0.4-F71)</f>
        <v>-2049.5999999999985</v>
      </c>
      <c r="L72" s="57">
        <f>(E72*0.6-G71)</f>
        <v>7417.5999999999985</v>
      </c>
    </row>
    <row r="73" spans="1:12" x14ac:dyDescent="0.35">
      <c r="A73" s="97" t="s">
        <v>34</v>
      </c>
      <c r="B73" s="97"/>
      <c r="C73" s="97"/>
      <c r="D73" s="97"/>
      <c r="E73" s="97"/>
      <c r="F73" s="97"/>
      <c r="G73" s="97"/>
      <c r="H73" s="97"/>
      <c r="I73" s="97"/>
      <c r="J73" s="98"/>
      <c r="K73" s="81"/>
      <c r="L73" s="81"/>
    </row>
    <row r="74" spans="1:12" ht="43.5" x14ac:dyDescent="0.35">
      <c r="A74" s="7" t="s">
        <v>10</v>
      </c>
      <c r="B74" s="7"/>
      <c r="C74" s="6"/>
      <c r="D74" s="37"/>
      <c r="E74" s="27"/>
      <c r="F74" s="25"/>
      <c r="G74" s="25" t="s">
        <v>24</v>
      </c>
      <c r="H74" s="16"/>
      <c r="I74" s="3"/>
      <c r="J74" s="64"/>
      <c r="K74" s="90" t="s">
        <v>43</v>
      </c>
      <c r="L74" s="90" t="s">
        <v>42</v>
      </c>
    </row>
    <row r="75" spans="1:12" x14ac:dyDescent="0.35">
      <c r="A75" s="7" t="s">
        <v>19</v>
      </c>
      <c r="B75" s="7"/>
      <c r="C75" s="4">
        <v>85200</v>
      </c>
      <c r="D75" s="37">
        <v>0.14000000000000001</v>
      </c>
      <c r="E75" s="29">
        <f>D75*C75</f>
        <v>11928.000000000002</v>
      </c>
      <c r="F75" s="15">
        <f t="shared" ref="F75:F80" si="4">E75*0.6</f>
        <v>7156.8000000000011</v>
      </c>
      <c r="G75" s="15">
        <f t="shared" ref="G75:G80" si="5">E75*0.4</f>
        <v>4771.2000000000007</v>
      </c>
      <c r="H75" s="16"/>
      <c r="I75" s="28">
        <v>0.6</v>
      </c>
      <c r="J75" s="55">
        <v>0.4</v>
      </c>
      <c r="K75" s="3"/>
      <c r="L75" s="3"/>
    </row>
    <row r="76" spans="1:12" x14ac:dyDescent="0.35">
      <c r="A76" s="3">
        <v>2024</v>
      </c>
      <c r="B76" s="3"/>
      <c r="C76" s="6">
        <v>85200</v>
      </c>
      <c r="D76" s="5">
        <v>0.17</v>
      </c>
      <c r="E76" s="87">
        <f>C76*D76/12*9+C75*D75/12*3</f>
        <v>13845.000000000002</v>
      </c>
      <c r="F76" s="56">
        <f t="shared" si="4"/>
        <v>8307</v>
      </c>
      <c r="G76" s="56">
        <f t="shared" si="5"/>
        <v>5538.0000000000009</v>
      </c>
      <c r="H76" s="57">
        <f>E76-E75</f>
        <v>1917</v>
      </c>
      <c r="I76" s="57">
        <f>H76*I75</f>
        <v>1150.2</v>
      </c>
      <c r="J76" s="73">
        <f>H76*J75</f>
        <v>766.80000000000007</v>
      </c>
      <c r="K76" s="96">
        <f>(E76*0.6-F75)</f>
        <v>1150.1999999999989</v>
      </c>
      <c r="L76" s="96">
        <f>(E76*0.4-G75)</f>
        <v>766.80000000000018</v>
      </c>
    </row>
    <row r="77" spans="1:12" x14ac:dyDescent="0.35">
      <c r="A77" s="7" t="s">
        <v>26</v>
      </c>
      <c r="B77" s="7"/>
      <c r="C77" s="4">
        <v>85200</v>
      </c>
      <c r="D77" s="37">
        <v>0.14000000000000001</v>
      </c>
      <c r="E77" s="29">
        <f>C77*D77/12*9+C75*D75/12*3</f>
        <v>11928.000000000002</v>
      </c>
      <c r="F77" s="15">
        <f t="shared" si="4"/>
        <v>7156.8000000000011</v>
      </c>
      <c r="G77" s="15">
        <f t="shared" si="5"/>
        <v>4771.2000000000007</v>
      </c>
      <c r="H77" s="4"/>
      <c r="I77" s="28">
        <v>0.6</v>
      </c>
      <c r="J77" s="55">
        <v>0.4</v>
      </c>
      <c r="K77" s="96"/>
      <c r="L77" s="96"/>
    </row>
    <row r="78" spans="1:12" x14ac:dyDescent="0.35">
      <c r="A78" s="3">
        <v>2025</v>
      </c>
      <c r="B78" s="3"/>
      <c r="C78" s="6">
        <v>85200</v>
      </c>
      <c r="D78" s="5">
        <v>0.17</v>
      </c>
      <c r="E78" s="38">
        <f>C78*D78</f>
        <v>14484.000000000002</v>
      </c>
      <c r="F78" s="4">
        <f t="shared" si="4"/>
        <v>8690.4000000000015</v>
      </c>
      <c r="G78" s="4">
        <f t="shared" si="5"/>
        <v>5793.6000000000013</v>
      </c>
      <c r="H78" s="4">
        <f>(E78-E77)</f>
        <v>2556</v>
      </c>
      <c r="I78" s="4">
        <f>H78*I77</f>
        <v>1533.6</v>
      </c>
      <c r="J78" s="71">
        <f>H78*J77</f>
        <v>1022.4000000000001</v>
      </c>
      <c r="K78" s="96">
        <f>(E78*0.5-F77)</f>
        <v>85.199999999999818</v>
      </c>
      <c r="L78" s="96">
        <f>(E78*0.5-G77)</f>
        <v>2470.8000000000002</v>
      </c>
    </row>
    <row r="79" spans="1:12" x14ac:dyDescent="0.35">
      <c r="A79" s="7" t="s">
        <v>39</v>
      </c>
      <c r="B79" s="7"/>
      <c r="C79" s="4">
        <v>85200</v>
      </c>
      <c r="D79" s="37">
        <v>0.14000000000000001</v>
      </c>
      <c r="E79" s="29">
        <f>C79*D79</f>
        <v>11928.000000000002</v>
      </c>
      <c r="F79" s="15">
        <f>E79*0.6</f>
        <v>7156.8000000000011</v>
      </c>
      <c r="G79" s="15">
        <f t="shared" si="5"/>
        <v>4771.2000000000007</v>
      </c>
      <c r="H79" s="4"/>
      <c r="I79" s="28">
        <v>0.6</v>
      </c>
      <c r="J79" s="55">
        <v>0.4</v>
      </c>
      <c r="K79" s="96"/>
      <c r="L79" s="96"/>
    </row>
    <row r="80" spans="1:12" x14ac:dyDescent="0.35">
      <c r="A80" s="3">
        <v>2026</v>
      </c>
      <c r="B80" s="3"/>
      <c r="C80" s="6">
        <v>85200</v>
      </c>
      <c r="D80" s="5">
        <v>0.18</v>
      </c>
      <c r="E80" s="38">
        <f>C80*D80</f>
        <v>15336</v>
      </c>
      <c r="F80" s="4">
        <f t="shared" si="4"/>
        <v>9201.6</v>
      </c>
      <c r="G80" s="4">
        <f t="shared" si="5"/>
        <v>6134.4000000000005</v>
      </c>
      <c r="H80" s="4">
        <f>E80-E79</f>
        <v>3407.9999999999982</v>
      </c>
      <c r="I80" s="4">
        <f>H80*I79</f>
        <v>2044.7999999999988</v>
      </c>
      <c r="J80" s="71">
        <f>H80*J79</f>
        <v>1363.1999999999994</v>
      </c>
      <c r="K80" s="96">
        <f>(15336*0.4-7157)</f>
        <v>-1022.5999999999995</v>
      </c>
      <c r="L80" s="96">
        <f>(E80*0.6-G79)</f>
        <v>4430.3999999999996</v>
      </c>
    </row>
    <row r="81" spans="1:12" x14ac:dyDescent="0.35">
      <c r="A81" s="97" t="s">
        <v>35</v>
      </c>
      <c r="B81" s="97"/>
      <c r="C81" s="97"/>
      <c r="D81" s="97"/>
      <c r="E81" s="97"/>
      <c r="F81" s="97"/>
      <c r="G81" s="97"/>
      <c r="H81" s="97"/>
      <c r="I81" s="97"/>
      <c r="J81" s="98"/>
      <c r="K81" s="81"/>
      <c r="L81" s="81"/>
    </row>
    <row r="82" spans="1:12" ht="43.5" x14ac:dyDescent="0.35">
      <c r="A82" s="7" t="s">
        <v>10</v>
      </c>
      <c r="B82" s="7"/>
      <c r="C82" s="6"/>
      <c r="D82" s="37"/>
      <c r="E82" s="27"/>
      <c r="F82" s="25"/>
      <c r="G82" s="25"/>
      <c r="H82" s="16"/>
      <c r="I82" s="3"/>
      <c r="J82" s="64"/>
      <c r="K82" s="90" t="s">
        <v>43</v>
      </c>
      <c r="L82" s="90" t="s">
        <v>42</v>
      </c>
    </row>
    <row r="83" spans="1:12" x14ac:dyDescent="0.35">
      <c r="A83" s="7" t="s">
        <v>19</v>
      </c>
      <c r="B83" s="7"/>
      <c r="C83" s="4">
        <v>6700000</v>
      </c>
      <c r="D83" s="37">
        <v>0.36</v>
      </c>
      <c r="E83" s="29">
        <f>D83*C83</f>
        <v>2412000</v>
      </c>
      <c r="F83" s="15">
        <f t="shared" ref="F83:F88" si="6">E83*0.6</f>
        <v>1447200</v>
      </c>
      <c r="G83" s="15">
        <f t="shared" ref="G83:G88" si="7">E83*0.4</f>
        <v>964800</v>
      </c>
      <c r="H83" s="16"/>
      <c r="I83" s="28">
        <v>0.6</v>
      </c>
      <c r="J83" s="55">
        <v>0.4</v>
      </c>
      <c r="K83" s="3"/>
      <c r="L83" s="3"/>
    </row>
    <row r="84" spans="1:12" x14ac:dyDescent="0.35">
      <c r="A84" s="3">
        <v>2024</v>
      </c>
      <c r="B84" s="3"/>
      <c r="C84" s="6">
        <v>6700000</v>
      </c>
      <c r="D84" s="5">
        <v>0.44</v>
      </c>
      <c r="E84" s="87">
        <f>C84*D84/12*9+C83*D83/12*3</f>
        <v>2814000</v>
      </c>
      <c r="F84" s="56">
        <f t="shared" si="6"/>
        <v>1688400</v>
      </c>
      <c r="G84" s="56">
        <f t="shared" si="7"/>
        <v>1125600</v>
      </c>
      <c r="H84" s="57">
        <f>E84-E83</f>
        <v>402000</v>
      </c>
      <c r="I84" s="57">
        <f>H84*I83</f>
        <v>241200</v>
      </c>
      <c r="J84" s="73">
        <f>H84*J83</f>
        <v>160800</v>
      </c>
      <c r="K84" s="4">
        <f>(E84*0.6-F83)</f>
        <v>241200</v>
      </c>
      <c r="L84" s="4">
        <f>(E84*0.4-G83)</f>
        <v>160800</v>
      </c>
    </row>
    <row r="85" spans="1:12" x14ac:dyDescent="0.35">
      <c r="A85" s="7" t="s">
        <v>26</v>
      </c>
      <c r="B85" s="7"/>
      <c r="C85" s="4">
        <v>6700000</v>
      </c>
      <c r="D85" s="37">
        <v>0.36</v>
      </c>
      <c r="E85" s="29">
        <f>C85*D85/12*9+C83*D83/12*3</f>
        <v>2412000</v>
      </c>
      <c r="F85" s="15">
        <f t="shared" si="6"/>
        <v>1447200</v>
      </c>
      <c r="G85" s="15">
        <f t="shared" si="7"/>
        <v>964800</v>
      </c>
      <c r="H85" s="4"/>
      <c r="I85" s="28">
        <v>0.6</v>
      </c>
      <c r="J85" s="55">
        <v>0.4</v>
      </c>
      <c r="K85" s="4"/>
      <c r="L85" s="3"/>
    </row>
    <row r="86" spans="1:12" x14ac:dyDescent="0.35">
      <c r="A86" s="3">
        <v>2025</v>
      </c>
      <c r="B86" s="3"/>
      <c r="C86" s="6">
        <v>6700000</v>
      </c>
      <c r="D86" s="5">
        <v>0.44</v>
      </c>
      <c r="E86" s="38">
        <f>C86*D86</f>
        <v>2948000</v>
      </c>
      <c r="F86" s="4">
        <f t="shared" si="6"/>
        <v>1768800</v>
      </c>
      <c r="G86" s="4">
        <f>E86*0.4</f>
        <v>1179200</v>
      </c>
      <c r="H86" s="4">
        <f>(E86-E85)</f>
        <v>536000</v>
      </c>
      <c r="I86" s="4">
        <f>H86*I85</f>
        <v>321600</v>
      </c>
      <c r="J86" s="71">
        <f>H86*J85</f>
        <v>214400</v>
      </c>
      <c r="K86" s="4">
        <f>(E86*0.5-F85)</f>
        <v>26800</v>
      </c>
      <c r="L86" s="4">
        <f>(E86*0.5-G85)</f>
        <v>509200</v>
      </c>
    </row>
    <row r="87" spans="1:12" x14ac:dyDescent="0.35">
      <c r="A87" s="7" t="s">
        <v>39</v>
      </c>
      <c r="B87" s="7"/>
      <c r="C87" s="4">
        <v>6700000</v>
      </c>
      <c r="D87" s="37">
        <v>0.36</v>
      </c>
      <c r="E87" s="29">
        <f>C87*D87</f>
        <v>2412000</v>
      </c>
      <c r="F87" s="15">
        <f t="shared" si="6"/>
        <v>1447200</v>
      </c>
      <c r="G87" s="15">
        <f t="shared" si="7"/>
        <v>964800</v>
      </c>
      <c r="H87" s="4"/>
      <c r="I87" s="28">
        <v>0.6</v>
      </c>
      <c r="J87" s="55">
        <v>0.4</v>
      </c>
      <c r="K87" s="4"/>
      <c r="L87" s="4"/>
    </row>
    <row r="88" spans="1:12" ht="15.65" customHeight="1" x14ac:dyDescent="0.35">
      <c r="A88" s="3">
        <v>2026</v>
      </c>
      <c r="B88" s="3"/>
      <c r="C88" s="6">
        <v>6700000</v>
      </c>
      <c r="D88" s="5">
        <v>0.45</v>
      </c>
      <c r="E88" s="38">
        <f>C88*D88</f>
        <v>3015000</v>
      </c>
      <c r="F88" s="4">
        <f t="shared" si="6"/>
        <v>1809000</v>
      </c>
      <c r="G88" s="4">
        <f t="shared" si="7"/>
        <v>1206000</v>
      </c>
      <c r="H88" s="4">
        <f>E88-E87</f>
        <v>603000</v>
      </c>
      <c r="I88" s="4">
        <f>H88*I87</f>
        <v>361800</v>
      </c>
      <c r="J88" s="71">
        <f>H88*J87</f>
        <v>241200</v>
      </c>
      <c r="K88" s="4">
        <f>(E88*0.4-F87)</f>
        <v>-241200</v>
      </c>
      <c r="L88" s="4">
        <f>(E88*0.6-G87)</f>
        <v>844200</v>
      </c>
    </row>
    <row r="89" spans="1:12" x14ac:dyDescent="0.35">
      <c r="A89" s="97" t="s">
        <v>36</v>
      </c>
      <c r="B89" s="97"/>
      <c r="C89" s="97"/>
      <c r="D89" s="97"/>
      <c r="E89" s="97"/>
      <c r="F89" s="97"/>
      <c r="G89" s="97"/>
      <c r="H89" s="97"/>
      <c r="I89" s="97"/>
      <c r="J89" s="98"/>
      <c r="K89" s="81"/>
      <c r="L89" s="81"/>
    </row>
    <row r="90" spans="1:12" ht="43.5" x14ac:dyDescent="0.35">
      <c r="A90" s="7" t="s">
        <v>10</v>
      </c>
      <c r="B90" s="7"/>
      <c r="C90" s="6"/>
      <c r="D90" s="37"/>
      <c r="E90" s="27"/>
      <c r="F90" s="25"/>
      <c r="G90" s="25"/>
      <c r="H90" s="16"/>
      <c r="I90" s="3"/>
      <c r="J90" s="64"/>
      <c r="K90" s="90" t="s">
        <v>43</v>
      </c>
      <c r="L90" s="90" t="s">
        <v>42</v>
      </c>
    </row>
    <row r="91" spans="1:12" x14ac:dyDescent="0.35">
      <c r="A91" s="7" t="s">
        <v>19</v>
      </c>
      <c r="B91" s="7"/>
      <c r="C91" s="4">
        <v>255100</v>
      </c>
      <c r="D91" s="37">
        <v>0.21</v>
      </c>
      <c r="E91" s="29">
        <f>D91*C91</f>
        <v>53571</v>
      </c>
      <c r="F91" s="15">
        <f t="shared" ref="F91:F96" si="8">E91*0.6</f>
        <v>32142.6</v>
      </c>
      <c r="G91" s="15">
        <f t="shared" ref="G91:G96" si="9">E91*0.4</f>
        <v>21428.400000000001</v>
      </c>
      <c r="H91" s="16"/>
      <c r="I91" s="28">
        <v>0.6</v>
      </c>
      <c r="J91" s="55">
        <v>0.4</v>
      </c>
      <c r="K91" s="3"/>
      <c r="L91" s="3"/>
    </row>
    <row r="92" spans="1:12" x14ac:dyDescent="0.35">
      <c r="A92" s="3">
        <v>2024</v>
      </c>
      <c r="B92" s="3"/>
      <c r="C92" s="6">
        <v>255100</v>
      </c>
      <c r="D92" s="5">
        <v>0.25</v>
      </c>
      <c r="E92" s="87">
        <f>C92*D92/12*9+C91*D91/12*3</f>
        <v>61224</v>
      </c>
      <c r="F92" s="56">
        <f t="shared" si="8"/>
        <v>36734.400000000001</v>
      </c>
      <c r="G92" s="56">
        <f t="shared" si="9"/>
        <v>24489.600000000002</v>
      </c>
      <c r="H92" s="57">
        <f>E92-E91</f>
        <v>7653</v>
      </c>
      <c r="I92" s="57">
        <f>H92*I91</f>
        <v>4591.8</v>
      </c>
      <c r="J92" s="73">
        <f>H92*J91</f>
        <v>3061.2000000000003</v>
      </c>
      <c r="K92" s="57">
        <f>(E92*0.6-F91)</f>
        <v>4591.8000000000029</v>
      </c>
      <c r="L92" s="57">
        <f>(E92*0.4-G91)</f>
        <v>3061.2000000000007</v>
      </c>
    </row>
    <row r="93" spans="1:12" x14ac:dyDescent="0.35">
      <c r="A93" s="7" t="s">
        <v>26</v>
      </c>
      <c r="B93" s="7"/>
      <c r="C93" s="4">
        <v>255100</v>
      </c>
      <c r="D93" s="37">
        <v>0.21</v>
      </c>
      <c r="E93" s="29">
        <f>C93*D93/12*9+C91*D91/12*3</f>
        <v>53571</v>
      </c>
      <c r="F93" s="15">
        <f t="shared" si="8"/>
        <v>32142.6</v>
      </c>
      <c r="G93" s="15">
        <f t="shared" si="9"/>
        <v>21428.400000000001</v>
      </c>
      <c r="H93" s="4"/>
      <c r="I93" s="28">
        <v>0.6</v>
      </c>
      <c r="J93" s="55">
        <v>0.4</v>
      </c>
      <c r="K93" s="3"/>
      <c r="L93" s="3"/>
    </row>
    <row r="94" spans="1:12" x14ac:dyDescent="0.35">
      <c r="A94" s="3">
        <v>2025</v>
      </c>
      <c r="B94" s="3"/>
      <c r="C94" s="6">
        <v>255100</v>
      </c>
      <c r="D94" s="5">
        <v>0.26</v>
      </c>
      <c r="E94" s="38">
        <f>C94*D94</f>
        <v>66326</v>
      </c>
      <c r="F94" s="4">
        <f t="shared" si="8"/>
        <v>39795.599999999999</v>
      </c>
      <c r="G94" s="4">
        <f t="shared" si="9"/>
        <v>26530.400000000001</v>
      </c>
      <c r="H94" s="4">
        <f>(E94-E93)</f>
        <v>12755</v>
      </c>
      <c r="I94" s="4">
        <f>H94*I93</f>
        <v>7653</v>
      </c>
      <c r="J94" s="71">
        <f>H94*J93</f>
        <v>5102</v>
      </c>
      <c r="K94" s="57">
        <f>(E94*0.5-F93)</f>
        <v>1020.4000000000015</v>
      </c>
      <c r="L94" s="57">
        <f>(E94*0.5-G93)</f>
        <v>11734.599999999999</v>
      </c>
    </row>
    <row r="95" spans="1:12" x14ac:dyDescent="0.35">
      <c r="A95" s="7" t="s">
        <v>39</v>
      </c>
      <c r="B95" s="7"/>
      <c r="C95" s="4">
        <v>255100</v>
      </c>
      <c r="D95" s="37">
        <v>0.21</v>
      </c>
      <c r="E95" s="29">
        <f>C95*D95</f>
        <v>53571</v>
      </c>
      <c r="F95" s="15">
        <f t="shared" si="8"/>
        <v>32142.6</v>
      </c>
      <c r="G95" s="15">
        <f t="shared" si="9"/>
        <v>21428.400000000001</v>
      </c>
      <c r="H95" s="4"/>
      <c r="I95" s="28">
        <v>0.6</v>
      </c>
      <c r="J95" s="55">
        <v>0.4</v>
      </c>
      <c r="K95" s="3"/>
      <c r="L95" s="3"/>
    </row>
    <row r="96" spans="1:12" x14ac:dyDescent="0.35">
      <c r="A96" s="3">
        <v>2026</v>
      </c>
      <c r="B96" s="3"/>
      <c r="C96" s="6">
        <v>255100</v>
      </c>
      <c r="D96" s="5">
        <v>0.26</v>
      </c>
      <c r="E96" s="38">
        <f>C96*D96</f>
        <v>66326</v>
      </c>
      <c r="F96" s="4">
        <f t="shared" si="8"/>
        <v>39795.599999999999</v>
      </c>
      <c r="G96" s="4">
        <f t="shared" si="9"/>
        <v>26530.400000000001</v>
      </c>
      <c r="H96" s="4">
        <f>E96-E95</f>
        <v>12755</v>
      </c>
      <c r="I96" s="4">
        <f>H96*I95</f>
        <v>7653</v>
      </c>
      <c r="J96" s="71">
        <f>H96*J95</f>
        <v>5102</v>
      </c>
      <c r="K96" s="57">
        <f>(E96*0.4-F95)</f>
        <v>-5612.1999999999971</v>
      </c>
      <c r="L96" s="57">
        <f>(E96*0.6-G95)</f>
        <v>18367.199999999997</v>
      </c>
    </row>
    <row r="97" spans="1:12" x14ac:dyDescent="0.35">
      <c r="A97" s="97" t="s">
        <v>37</v>
      </c>
      <c r="B97" s="97"/>
      <c r="C97" s="97"/>
      <c r="D97" s="97"/>
      <c r="E97" s="97"/>
      <c r="F97" s="97"/>
      <c r="G97" s="97"/>
      <c r="H97" s="97"/>
      <c r="I97" s="97"/>
      <c r="J97" s="98"/>
      <c r="K97" s="81"/>
      <c r="L97" s="81"/>
    </row>
    <row r="98" spans="1:12" ht="43.5" x14ac:dyDescent="0.35">
      <c r="A98" s="7" t="s">
        <v>10</v>
      </c>
      <c r="B98" s="7"/>
      <c r="C98" s="6"/>
      <c r="D98" s="37"/>
      <c r="E98" s="27"/>
      <c r="F98" s="25"/>
      <c r="G98" s="25"/>
      <c r="H98" s="16"/>
      <c r="I98" s="3"/>
      <c r="J98" s="64"/>
      <c r="K98" s="90" t="s">
        <v>43</v>
      </c>
      <c r="L98" s="90" t="s">
        <v>42</v>
      </c>
    </row>
    <row r="99" spans="1:12" x14ac:dyDescent="0.35">
      <c r="A99" s="7" t="s">
        <v>19</v>
      </c>
      <c r="B99" s="7"/>
      <c r="C99" s="4">
        <v>24200</v>
      </c>
      <c r="D99" s="37">
        <v>0.45</v>
      </c>
      <c r="E99" s="29">
        <f>D99*C99</f>
        <v>10890</v>
      </c>
      <c r="F99" s="15">
        <f t="shared" ref="F99:F104" si="10">E99*0.6</f>
        <v>6534</v>
      </c>
      <c r="G99" s="15">
        <f>E99*0.4</f>
        <v>4356</v>
      </c>
      <c r="H99" s="16"/>
      <c r="I99" s="28">
        <v>0.6</v>
      </c>
      <c r="J99" s="55">
        <v>0.4</v>
      </c>
      <c r="K99" s="3"/>
      <c r="L99" s="3"/>
    </row>
    <row r="100" spans="1:12" x14ac:dyDescent="0.35">
      <c r="A100" s="3">
        <v>2024</v>
      </c>
      <c r="B100" s="3"/>
      <c r="C100" s="4">
        <v>24200</v>
      </c>
      <c r="D100" s="5">
        <v>0.55000000000000004</v>
      </c>
      <c r="E100" s="87">
        <f>C100*D100/12*9+C99*D99/12*3</f>
        <v>12705</v>
      </c>
      <c r="F100" s="56">
        <f t="shared" si="10"/>
        <v>7623</v>
      </c>
      <c r="G100" s="56">
        <f t="shared" ref="G100:G104" si="11">E100*0.4</f>
        <v>5082</v>
      </c>
      <c r="H100" s="57">
        <f>E100-E99</f>
        <v>1815</v>
      </c>
      <c r="I100" s="57">
        <f>H100*I99</f>
        <v>1089</v>
      </c>
      <c r="J100" s="73">
        <f>H100*J99</f>
        <v>726</v>
      </c>
      <c r="K100" s="73">
        <f>(E100*0.6-F99)</f>
        <v>1089</v>
      </c>
      <c r="L100" s="71">
        <f>(E100*0.4-G99)</f>
        <v>726</v>
      </c>
    </row>
    <row r="101" spans="1:12" x14ac:dyDescent="0.35">
      <c r="A101" s="7" t="s">
        <v>26</v>
      </c>
      <c r="B101" s="7"/>
      <c r="C101" s="4">
        <v>24200</v>
      </c>
      <c r="D101" s="37">
        <v>0.45</v>
      </c>
      <c r="E101" s="29">
        <f>C101*D101/12*9+C99*D99/12*3</f>
        <v>10890</v>
      </c>
      <c r="F101" s="15">
        <f t="shared" si="10"/>
        <v>6534</v>
      </c>
      <c r="G101" s="15">
        <f t="shared" si="11"/>
        <v>4356</v>
      </c>
      <c r="H101" s="4"/>
      <c r="I101" s="28">
        <v>0.6</v>
      </c>
      <c r="J101" s="55">
        <v>0.4</v>
      </c>
      <c r="K101" s="73"/>
      <c r="L101" s="3"/>
    </row>
    <row r="102" spans="1:12" x14ac:dyDescent="0.35">
      <c r="A102" s="3">
        <v>2025</v>
      </c>
      <c r="B102" s="3"/>
      <c r="C102" s="4">
        <v>24200</v>
      </c>
      <c r="D102" s="5">
        <v>0.56000000000000005</v>
      </c>
      <c r="E102" s="38">
        <f>C102*D102</f>
        <v>13552.000000000002</v>
      </c>
      <c r="F102" s="4">
        <f t="shared" si="10"/>
        <v>8131.2000000000007</v>
      </c>
      <c r="G102" s="4">
        <f t="shared" si="11"/>
        <v>5420.8000000000011</v>
      </c>
      <c r="H102" s="4">
        <f>(E102-E101)</f>
        <v>2662.0000000000018</v>
      </c>
      <c r="I102" s="4">
        <f>H102*I101</f>
        <v>1597.200000000001</v>
      </c>
      <c r="J102" s="71">
        <f>H102*J101</f>
        <v>1064.8000000000009</v>
      </c>
      <c r="K102" s="73">
        <f>(E102*0.5-F101)</f>
        <v>242.00000000000091</v>
      </c>
      <c r="L102" s="71">
        <f>(E102*0.5-G101)</f>
        <v>2420.0000000000009</v>
      </c>
    </row>
    <row r="103" spans="1:12" x14ac:dyDescent="0.35">
      <c r="A103" s="7" t="s">
        <v>39</v>
      </c>
      <c r="B103" s="7"/>
      <c r="C103" s="4">
        <v>24200</v>
      </c>
      <c r="D103" s="37">
        <v>0.45</v>
      </c>
      <c r="E103" s="29">
        <f>C103*D103</f>
        <v>10890</v>
      </c>
      <c r="F103" s="15">
        <f t="shared" si="10"/>
        <v>6534</v>
      </c>
      <c r="G103" s="15">
        <f t="shared" si="11"/>
        <v>4356</v>
      </c>
      <c r="H103" s="4"/>
      <c r="I103" s="28">
        <v>0.6</v>
      </c>
      <c r="J103" s="55">
        <v>0.4</v>
      </c>
      <c r="K103" s="73"/>
      <c r="L103" s="3"/>
    </row>
    <row r="104" spans="1:12" x14ac:dyDescent="0.35">
      <c r="A104" s="3">
        <v>2026</v>
      </c>
      <c r="B104" s="3"/>
      <c r="C104" s="4">
        <v>24200</v>
      </c>
      <c r="D104" s="5">
        <v>0.56000000000000005</v>
      </c>
      <c r="E104" s="38">
        <f>C104*D104</f>
        <v>13552.000000000002</v>
      </c>
      <c r="F104" s="4">
        <f t="shared" si="10"/>
        <v>8131.2000000000007</v>
      </c>
      <c r="G104" s="4">
        <f t="shared" si="11"/>
        <v>5420.8000000000011</v>
      </c>
      <c r="H104" s="4">
        <f>E104-E103</f>
        <v>2662.0000000000018</v>
      </c>
      <c r="I104" s="4">
        <f>H104*I103</f>
        <v>1597.200000000001</v>
      </c>
      <c r="J104" s="71">
        <f>H104*J103</f>
        <v>1064.8000000000009</v>
      </c>
      <c r="K104" s="73">
        <f>(E104*0.4-F103)</f>
        <v>-1113.1999999999989</v>
      </c>
      <c r="L104" s="71">
        <f>(E104*0.6-G103)</f>
        <v>3775.2000000000007</v>
      </c>
    </row>
    <row r="105" spans="1:12" x14ac:dyDescent="0.35">
      <c r="A105" s="97" t="s">
        <v>44</v>
      </c>
      <c r="B105" s="97"/>
      <c r="C105" s="97"/>
      <c r="D105" s="97"/>
      <c r="E105" s="97"/>
      <c r="F105" s="97"/>
      <c r="G105" s="97"/>
      <c r="H105" s="97"/>
      <c r="I105" s="97"/>
      <c r="J105" s="98"/>
      <c r="K105" s="81"/>
      <c r="L105" s="81"/>
    </row>
    <row r="106" spans="1:12" ht="43.5" x14ac:dyDescent="0.35">
      <c r="A106" s="7" t="s">
        <v>10</v>
      </c>
      <c r="B106" s="7"/>
      <c r="C106" s="6"/>
      <c r="D106" s="37"/>
      <c r="E106" s="27"/>
      <c r="F106" s="25"/>
      <c r="G106" s="25"/>
      <c r="H106" s="16"/>
      <c r="I106" s="3"/>
      <c r="J106" s="64"/>
      <c r="K106" s="90" t="s">
        <v>43</v>
      </c>
      <c r="L106" s="90" t="s">
        <v>42</v>
      </c>
    </row>
    <row r="107" spans="1:12" x14ac:dyDescent="0.35">
      <c r="A107" s="7" t="s">
        <v>19</v>
      </c>
      <c r="B107" s="7"/>
      <c r="C107" s="4">
        <v>1000</v>
      </c>
      <c r="D107" s="37">
        <v>0.45</v>
      </c>
      <c r="E107" s="29">
        <f>D107*C107</f>
        <v>450</v>
      </c>
      <c r="F107" s="15">
        <f t="shared" ref="F107:F112" si="12">E107*0.6</f>
        <v>270</v>
      </c>
      <c r="G107" s="15">
        <f>E107*0.4</f>
        <v>180</v>
      </c>
      <c r="H107" s="16"/>
      <c r="I107" s="28">
        <v>0.6</v>
      </c>
      <c r="J107" s="55">
        <v>0.4</v>
      </c>
      <c r="K107" s="3"/>
      <c r="L107" s="3"/>
    </row>
    <row r="108" spans="1:12" x14ac:dyDescent="0.35">
      <c r="A108" s="3">
        <v>2024</v>
      </c>
      <c r="B108" s="3"/>
      <c r="C108" s="4">
        <v>1000</v>
      </c>
      <c r="D108" s="5">
        <v>0.55000000000000004</v>
      </c>
      <c r="E108" s="87">
        <f>C108*D108/12*9+C107*D107/12*3</f>
        <v>525</v>
      </c>
      <c r="F108" s="56">
        <f t="shared" si="12"/>
        <v>315</v>
      </c>
      <c r="G108" s="56">
        <f t="shared" ref="G108:G112" si="13">E108*0.4</f>
        <v>210</v>
      </c>
      <c r="H108" s="57">
        <f>E108-E107</f>
        <v>75</v>
      </c>
      <c r="I108" s="57">
        <f>H108*I107</f>
        <v>45</v>
      </c>
      <c r="J108" s="73">
        <f>H108*J107</f>
        <v>30</v>
      </c>
      <c r="K108" s="73">
        <f>(E108*0.6-F107)</f>
        <v>45</v>
      </c>
      <c r="L108" s="71">
        <f>(E108*0.4-G107)</f>
        <v>30</v>
      </c>
    </row>
    <row r="109" spans="1:12" x14ac:dyDescent="0.35">
      <c r="A109" s="7" t="s">
        <v>26</v>
      </c>
      <c r="B109" s="7"/>
      <c r="C109" s="4">
        <v>1000</v>
      </c>
      <c r="D109" s="37">
        <v>0.45</v>
      </c>
      <c r="E109" s="29">
        <f>C109*D109/12*9+C107*D107/12*3</f>
        <v>450</v>
      </c>
      <c r="F109" s="15">
        <f t="shared" si="12"/>
        <v>270</v>
      </c>
      <c r="G109" s="15">
        <f t="shared" si="13"/>
        <v>180</v>
      </c>
      <c r="H109" s="4"/>
      <c r="I109" s="28">
        <v>0.6</v>
      </c>
      <c r="J109" s="55">
        <v>0.4</v>
      </c>
      <c r="K109" s="73"/>
      <c r="L109" s="3"/>
    </row>
    <row r="110" spans="1:12" x14ac:dyDescent="0.35">
      <c r="A110" s="3">
        <v>2025</v>
      </c>
      <c r="B110" s="3"/>
      <c r="C110" s="4">
        <v>1000</v>
      </c>
      <c r="D110" s="5">
        <v>0.56000000000000005</v>
      </c>
      <c r="E110" s="38">
        <f>C110*D110</f>
        <v>560</v>
      </c>
      <c r="F110" s="4">
        <f t="shared" si="12"/>
        <v>336</v>
      </c>
      <c r="G110" s="4">
        <f t="shared" si="13"/>
        <v>224</v>
      </c>
      <c r="H110" s="4">
        <f>(E110-E109)</f>
        <v>110</v>
      </c>
      <c r="I110" s="4">
        <f>H110*I109</f>
        <v>66</v>
      </c>
      <c r="J110" s="71">
        <f>H110*J109</f>
        <v>44</v>
      </c>
      <c r="K110" s="73">
        <f>(E110*0.5-F109)</f>
        <v>10</v>
      </c>
      <c r="L110" s="71">
        <f>(E110*0.5-G109)</f>
        <v>100</v>
      </c>
    </row>
    <row r="111" spans="1:12" x14ac:dyDescent="0.35">
      <c r="A111" s="7" t="s">
        <v>39</v>
      </c>
      <c r="B111" s="7"/>
      <c r="C111" s="4">
        <v>1000</v>
      </c>
      <c r="D111" s="37">
        <v>0.45</v>
      </c>
      <c r="E111" s="29">
        <f>C111*D111</f>
        <v>450</v>
      </c>
      <c r="F111" s="15">
        <f t="shared" si="12"/>
        <v>270</v>
      </c>
      <c r="G111" s="15">
        <f t="shared" si="13"/>
        <v>180</v>
      </c>
      <c r="H111" s="4"/>
      <c r="I111" s="28">
        <v>0.6</v>
      </c>
      <c r="J111" s="55">
        <v>0.4</v>
      </c>
      <c r="K111" s="73"/>
      <c r="L111" s="3"/>
    </row>
    <row r="112" spans="1:12" x14ac:dyDescent="0.35">
      <c r="A112" s="3">
        <v>2026</v>
      </c>
      <c r="B112" s="3"/>
      <c r="C112" s="4">
        <v>1000</v>
      </c>
      <c r="D112" s="5">
        <v>0.56000000000000005</v>
      </c>
      <c r="E112" s="38">
        <f>C112*D112</f>
        <v>560</v>
      </c>
      <c r="F112" s="4">
        <f t="shared" si="12"/>
        <v>336</v>
      </c>
      <c r="G112" s="4">
        <f t="shared" si="13"/>
        <v>224</v>
      </c>
      <c r="H112" s="4">
        <f>E112-E111</f>
        <v>110</v>
      </c>
      <c r="I112" s="4">
        <f>H112*I111</f>
        <v>66</v>
      </c>
      <c r="J112" s="71">
        <f>H112*J111</f>
        <v>44</v>
      </c>
      <c r="K112" s="73">
        <f>(E112*0.4-F111)</f>
        <v>-46</v>
      </c>
      <c r="L112" s="71">
        <f>(E112*0.6-G111)</f>
        <v>156</v>
      </c>
    </row>
    <row r="113" spans="1:12" x14ac:dyDescent="0.35">
      <c r="A113" s="97" t="s">
        <v>45</v>
      </c>
      <c r="B113" s="97"/>
      <c r="C113" s="97"/>
      <c r="D113" s="97"/>
      <c r="E113" s="97"/>
      <c r="F113" s="97"/>
      <c r="G113" s="97"/>
      <c r="H113" s="97"/>
      <c r="I113" s="97"/>
      <c r="J113" s="98"/>
      <c r="K113" s="81"/>
      <c r="L113" s="81"/>
    </row>
    <row r="114" spans="1:12" ht="43.5" x14ac:dyDescent="0.35">
      <c r="A114" s="7" t="s">
        <v>10</v>
      </c>
      <c r="B114" s="7"/>
      <c r="C114" s="6"/>
      <c r="D114" s="37"/>
      <c r="E114" s="27"/>
      <c r="F114" s="25"/>
      <c r="G114" s="25"/>
      <c r="H114" s="16"/>
      <c r="I114" s="3"/>
      <c r="J114" s="64"/>
      <c r="K114" s="90" t="s">
        <v>43</v>
      </c>
      <c r="L114" s="90" t="s">
        <v>42</v>
      </c>
    </row>
    <row r="115" spans="1:12" x14ac:dyDescent="0.35">
      <c r="A115" s="7" t="s">
        <v>19</v>
      </c>
      <c r="B115" s="7"/>
      <c r="C115" s="4">
        <v>2000000</v>
      </c>
      <c r="D115" s="37">
        <v>0.21</v>
      </c>
      <c r="E115" s="29">
        <f>D115*C115</f>
        <v>420000</v>
      </c>
      <c r="F115" s="15">
        <f t="shared" ref="F115:F120" si="14">E115*0.6</f>
        <v>252000</v>
      </c>
      <c r="G115" s="15">
        <f>E115*0.4</f>
        <v>168000</v>
      </c>
      <c r="H115" s="16"/>
      <c r="I115" s="28">
        <v>0.6</v>
      </c>
      <c r="J115" s="55">
        <v>0.4</v>
      </c>
      <c r="K115" s="3"/>
      <c r="L115" s="3"/>
    </row>
    <row r="116" spans="1:12" x14ac:dyDescent="0.35">
      <c r="A116" s="3">
        <v>2024</v>
      </c>
      <c r="B116" s="3"/>
      <c r="C116" s="4">
        <v>2000000</v>
      </c>
      <c r="D116" s="5">
        <v>0.25</v>
      </c>
      <c r="E116" s="87">
        <f>C116*D116/12*9+C115*D115/12*3</f>
        <v>480000</v>
      </c>
      <c r="F116" s="56">
        <f t="shared" si="14"/>
        <v>288000</v>
      </c>
      <c r="G116" s="56">
        <f t="shared" ref="G116:G120" si="15">E116*0.4</f>
        <v>192000</v>
      </c>
      <c r="H116" s="57">
        <f>E116-E115</f>
        <v>60000</v>
      </c>
      <c r="I116" s="57">
        <f>H116*I115</f>
        <v>36000</v>
      </c>
      <c r="J116" s="73">
        <f>H116*J115</f>
        <v>24000</v>
      </c>
      <c r="K116" s="73">
        <f>(E116*0.6-F115)</f>
        <v>36000</v>
      </c>
      <c r="L116" s="71">
        <f>(E116*0.4-G115)</f>
        <v>24000</v>
      </c>
    </row>
    <row r="117" spans="1:12" x14ac:dyDescent="0.35">
      <c r="A117" s="7" t="s">
        <v>26</v>
      </c>
      <c r="B117" s="7"/>
      <c r="C117" s="4">
        <v>2000000</v>
      </c>
      <c r="D117" s="37">
        <v>0.21</v>
      </c>
      <c r="E117" s="29">
        <f>C117*D117/12*9+C115*D115/12*3</f>
        <v>420000</v>
      </c>
      <c r="F117" s="15">
        <f t="shared" si="14"/>
        <v>252000</v>
      </c>
      <c r="G117" s="15">
        <f t="shared" si="15"/>
        <v>168000</v>
      </c>
      <c r="H117" s="4"/>
      <c r="I117" s="28">
        <v>0.6</v>
      </c>
      <c r="J117" s="55">
        <v>0.4</v>
      </c>
      <c r="K117" s="73"/>
      <c r="L117" s="3"/>
    </row>
    <row r="118" spans="1:12" x14ac:dyDescent="0.35">
      <c r="A118" s="3">
        <v>2025</v>
      </c>
      <c r="B118" s="3"/>
      <c r="C118" s="4">
        <v>2000000</v>
      </c>
      <c r="D118" s="5">
        <v>0.26</v>
      </c>
      <c r="E118" s="38">
        <f>C118*D118</f>
        <v>520000</v>
      </c>
      <c r="F118" s="4">
        <f t="shared" si="14"/>
        <v>312000</v>
      </c>
      <c r="G118" s="4">
        <f t="shared" si="15"/>
        <v>208000</v>
      </c>
      <c r="H118" s="4">
        <f>(E118-E117)</f>
        <v>100000</v>
      </c>
      <c r="I118" s="4">
        <f>H118*I117</f>
        <v>60000</v>
      </c>
      <c r="J118" s="71">
        <f>H118*J117</f>
        <v>40000</v>
      </c>
      <c r="K118" s="73">
        <f>(E118*0.5-F117)</f>
        <v>8000</v>
      </c>
      <c r="L118" s="71">
        <f>(E118*0.5-G117)</f>
        <v>92000</v>
      </c>
    </row>
    <row r="119" spans="1:12" x14ac:dyDescent="0.35">
      <c r="A119" s="7" t="s">
        <v>39</v>
      </c>
      <c r="B119" s="7"/>
      <c r="C119" s="4">
        <v>2000000</v>
      </c>
      <c r="D119" s="37">
        <v>0.21</v>
      </c>
      <c r="E119" s="29">
        <f>C119*D119</f>
        <v>420000</v>
      </c>
      <c r="F119" s="15">
        <f t="shared" si="14"/>
        <v>252000</v>
      </c>
      <c r="G119" s="15">
        <f t="shared" si="15"/>
        <v>168000</v>
      </c>
      <c r="H119" s="4"/>
      <c r="I119" s="28">
        <v>0.6</v>
      </c>
      <c r="J119" s="55">
        <v>0.4</v>
      </c>
      <c r="K119" s="73"/>
      <c r="L119" s="3"/>
    </row>
    <row r="120" spans="1:12" x14ac:dyDescent="0.35">
      <c r="A120" s="3">
        <v>2026</v>
      </c>
      <c r="B120" s="3"/>
      <c r="C120" s="4">
        <v>2000000</v>
      </c>
      <c r="D120" s="5">
        <v>0.26</v>
      </c>
      <c r="E120" s="38">
        <f>C120*D120</f>
        <v>520000</v>
      </c>
      <c r="F120" s="4">
        <f t="shared" si="14"/>
        <v>312000</v>
      </c>
      <c r="G120" s="4">
        <f t="shared" si="15"/>
        <v>208000</v>
      </c>
      <c r="H120" s="4">
        <f>E120-E119</f>
        <v>100000</v>
      </c>
      <c r="I120" s="4">
        <f>H120*I119</f>
        <v>60000</v>
      </c>
      <c r="J120" s="71">
        <f>H120*J119</f>
        <v>40000</v>
      </c>
      <c r="K120" s="73">
        <f>(E120*0.4-F119)</f>
        <v>-44000</v>
      </c>
      <c r="L120" s="71">
        <f>(E120*0.6-G119)</f>
        <v>144000</v>
      </c>
    </row>
    <row r="121" spans="1:12" x14ac:dyDescent="0.35">
      <c r="A121" s="97" t="s">
        <v>46</v>
      </c>
      <c r="B121" s="97"/>
      <c r="C121" s="97"/>
      <c r="D121" s="97"/>
      <c r="E121" s="97"/>
      <c r="F121" s="97"/>
      <c r="G121" s="97"/>
      <c r="H121" s="97"/>
      <c r="I121" s="97"/>
      <c r="J121" s="98"/>
      <c r="K121" s="81"/>
      <c r="L121" s="81"/>
    </row>
    <row r="122" spans="1:12" ht="43.5" x14ac:dyDescent="0.35">
      <c r="A122" s="7" t="s">
        <v>10</v>
      </c>
      <c r="B122" s="7"/>
      <c r="C122" s="6"/>
      <c r="D122" s="37"/>
      <c r="E122" s="27"/>
      <c r="F122" s="25"/>
      <c r="G122" s="25"/>
      <c r="H122" s="16"/>
      <c r="I122" s="3"/>
      <c r="J122" s="64"/>
      <c r="K122" s="90" t="s">
        <v>43</v>
      </c>
      <c r="L122" s="90" t="s">
        <v>42</v>
      </c>
    </row>
    <row r="123" spans="1:12" x14ac:dyDescent="0.35">
      <c r="A123" s="7" t="s">
        <v>19</v>
      </c>
      <c r="B123" s="7"/>
      <c r="C123" s="4">
        <v>615000</v>
      </c>
      <c r="D123" s="37">
        <v>0.28000000000000003</v>
      </c>
      <c r="E123" s="29">
        <f>D123*C123</f>
        <v>172200.00000000003</v>
      </c>
      <c r="F123" s="15">
        <f t="shared" ref="F123:F128" si="16">E123*0.6</f>
        <v>103320.00000000001</v>
      </c>
      <c r="G123" s="15">
        <f>E123*0.4</f>
        <v>68880.000000000015</v>
      </c>
      <c r="H123" s="16"/>
      <c r="I123" s="28">
        <v>0.6</v>
      </c>
      <c r="J123" s="55">
        <v>0.4</v>
      </c>
      <c r="K123" s="3"/>
      <c r="L123" s="3"/>
    </row>
    <row r="124" spans="1:12" x14ac:dyDescent="0.35">
      <c r="A124" s="3">
        <v>2024</v>
      </c>
      <c r="B124" s="3"/>
      <c r="C124" s="4">
        <v>615000</v>
      </c>
      <c r="D124" s="5">
        <v>0.34</v>
      </c>
      <c r="E124" s="87">
        <f>C124*D124/12*9+C123*D123/12*3</f>
        <v>199875.00000000003</v>
      </c>
      <c r="F124" s="56">
        <f t="shared" si="16"/>
        <v>119925.00000000001</v>
      </c>
      <c r="G124" s="56">
        <f t="shared" ref="G124:G128" si="17">E124*0.4</f>
        <v>79950.000000000015</v>
      </c>
      <c r="H124" s="57">
        <f>E124-E123</f>
        <v>27675</v>
      </c>
      <c r="I124" s="57">
        <f>H124*I123</f>
        <v>16605</v>
      </c>
      <c r="J124" s="73">
        <f>H124*J123</f>
        <v>11070</v>
      </c>
      <c r="K124" s="73">
        <f>(E124*0.6-F123)</f>
        <v>16605</v>
      </c>
      <c r="L124" s="71">
        <f>(E124*0.4-G123)</f>
        <v>11070</v>
      </c>
    </row>
    <row r="125" spans="1:12" x14ac:dyDescent="0.35">
      <c r="A125" s="7" t="s">
        <v>26</v>
      </c>
      <c r="B125" s="7"/>
      <c r="C125" s="4">
        <v>615000</v>
      </c>
      <c r="D125" s="37">
        <v>0.28000000000000003</v>
      </c>
      <c r="E125" s="29">
        <f>C125*D125/12*9+C123*D123/12*3</f>
        <v>172200.00000000003</v>
      </c>
      <c r="F125" s="15">
        <f t="shared" si="16"/>
        <v>103320.00000000001</v>
      </c>
      <c r="G125" s="15">
        <f t="shared" si="17"/>
        <v>68880.000000000015</v>
      </c>
      <c r="H125" s="4"/>
      <c r="I125" s="28">
        <v>0.6</v>
      </c>
      <c r="J125" s="55">
        <v>0.4</v>
      </c>
      <c r="K125" s="73"/>
      <c r="L125" s="3"/>
    </row>
    <row r="126" spans="1:12" x14ac:dyDescent="0.35">
      <c r="A126" s="3">
        <v>2025</v>
      </c>
      <c r="B126" s="3"/>
      <c r="C126" s="4">
        <v>615000</v>
      </c>
      <c r="D126" s="5">
        <v>0.35</v>
      </c>
      <c r="E126" s="38">
        <f>C126*D126</f>
        <v>215250</v>
      </c>
      <c r="F126" s="4">
        <f t="shared" si="16"/>
        <v>129150</v>
      </c>
      <c r="G126" s="4">
        <f t="shared" si="17"/>
        <v>86100</v>
      </c>
      <c r="H126" s="4">
        <f>(E126-E125)</f>
        <v>43049.999999999971</v>
      </c>
      <c r="I126" s="4">
        <f>H126*I125</f>
        <v>25829.999999999982</v>
      </c>
      <c r="J126" s="71">
        <f>H126*J125</f>
        <v>17219.999999999989</v>
      </c>
      <c r="K126" s="73">
        <f>(E126*0.5-F125)</f>
        <v>4304.9999999999854</v>
      </c>
      <c r="L126" s="71">
        <f>(E126*0.5-G125)</f>
        <v>38744.999999999985</v>
      </c>
    </row>
    <row r="127" spans="1:12" x14ac:dyDescent="0.35">
      <c r="A127" s="7" t="s">
        <v>39</v>
      </c>
      <c r="B127" s="7"/>
      <c r="C127" s="4">
        <v>615000</v>
      </c>
      <c r="D127" s="37">
        <v>0.28000000000000003</v>
      </c>
      <c r="E127" s="29">
        <f>C127*D127</f>
        <v>172200.00000000003</v>
      </c>
      <c r="F127" s="15">
        <f t="shared" si="16"/>
        <v>103320.00000000001</v>
      </c>
      <c r="G127" s="15">
        <f t="shared" si="17"/>
        <v>68880.000000000015</v>
      </c>
      <c r="H127" s="4"/>
      <c r="I127" s="28">
        <v>0.6</v>
      </c>
      <c r="J127" s="55">
        <v>0.4</v>
      </c>
      <c r="K127" s="73"/>
      <c r="L127" s="3"/>
    </row>
    <row r="128" spans="1:12" x14ac:dyDescent="0.35">
      <c r="A128" s="3">
        <v>2026</v>
      </c>
      <c r="B128" s="3"/>
      <c r="C128" s="4">
        <v>615000</v>
      </c>
      <c r="D128" s="5">
        <v>0.35</v>
      </c>
      <c r="E128" s="38">
        <f>C128*D128</f>
        <v>215250</v>
      </c>
      <c r="F128" s="4">
        <f t="shared" si="16"/>
        <v>129150</v>
      </c>
      <c r="G128" s="4">
        <f t="shared" si="17"/>
        <v>86100</v>
      </c>
      <c r="H128" s="4">
        <f>E128-E127</f>
        <v>43049.999999999971</v>
      </c>
      <c r="I128" s="4">
        <f>H128*I127</f>
        <v>25829.999999999982</v>
      </c>
      <c r="J128" s="71">
        <f>H128*J127</f>
        <v>17219.999999999989</v>
      </c>
      <c r="K128" s="73">
        <f>(E128*0.4-F127)</f>
        <v>-17220.000000000015</v>
      </c>
      <c r="L128" s="71">
        <f>(E128*0.6-G127)</f>
        <v>60269.999999999985</v>
      </c>
    </row>
    <row r="129" spans="1:12" x14ac:dyDescent="0.35">
      <c r="A129" s="97" t="s">
        <v>47</v>
      </c>
      <c r="B129" s="97"/>
      <c r="C129" s="97"/>
      <c r="D129" s="97"/>
      <c r="E129" s="97"/>
      <c r="F129" s="97"/>
      <c r="G129" s="97"/>
      <c r="H129" s="97"/>
      <c r="I129" s="97"/>
      <c r="J129" s="98"/>
      <c r="K129" s="81"/>
      <c r="L129" s="81"/>
    </row>
    <row r="130" spans="1:12" ht="43.5" x14ac:dyDescent="0.35">
      <c r="A130" s="7" t="s">
        <v>10</v>
      </c>
      <c r="B130" s="7"/>
      <c r="C130" s="6"/>
      <c r="D130" s="37"/>
      <c r="E130" s="27"/>
      <c r="F130" s="25"/>
      <c r="G130" s="25"/>
      <c r="H130" s="16"/>
      <c r="I130" s="3"/>
      <c r="J130" s="64"/>
      <c r="K130" s="90" t="s">
        <v>43</v>
      </c>
      <c r="L130" s="90" t="s">
        <v>42</v>
      </c>
    </row>
    <row r="131" spans="1:12" x14ac:dyDescent="0.35">
      <c r="A131" s="7" t="s">
        <v>19</v>
      </c>
      <c r="B131" s="7"/>
      <c r="C131" s="4">
        <v>1000</v>
      </c>
      <c r="D131" s="37">
        <v>0.18</v>
      </c>
      <c r="E131" s="29">
        <f>D131*C131</f>
        <v>180</v>
      </c>
      <c r="F131" s="15">
        <f t="shared" ref="F131:F136" si="18">E131*0.6</f>
        <v>108</v>
      </c>
      <c r="G131" s="15">
        <f>E131*0.4</f>
        <v>72</v>
      </c>
      <c r="H131" s="16"/>
      <c r="I131" s="28">
        <v>0.6</v>
      </c>
      <c r="J131" s="55">
        <v>0.4</v>
      </c>
      <c r="K131" s="3"/>
      <c r="L131" s="3"/>
    </row>
    <row r="132" spans="1:12" x14ac:dyDescent="0.35">
      <c r="A132" s="3">
        <v>2024</v>
      </c>
      <c r="B132" s="3"/>
      <c r="C132" s="4">
        <v>1000</v>
      </c>
      <c r="D132" s="5">
        <v>0.22</v>
      </c>
      <c r="E132" s="87">
        <f>C132*D132/12*9+C131*D131/12*3</f>
        <v>210</v>
      </c>
      <c r="F132" s="56">
        <f t="shared" si="18"/>
        <v>126</v>
      </c>
      <c r="G132" s="56">
        <f t="shared" ref="G132:G136" si="19">E132*0.4</f>
        <v>84</v>
      </c>
      <c r="H132" s="57">
        <f>E132-E131</f>
        <v>30</v>
      </c>
      <c r="I132" s="57">
        <f>H132*I131</f>
        <v>18</v>
      </c>
      <c r="J132" s="73">
        <f>H132*J131</f>
        <v>12</v>
      </c>
      <c r="K132" s="73">
        <f>(E132*0.6-F131)</f>
        <v>18</v>
      </c>
      <c r="L132" s="71">
        <f>(E132*0.4-G131)</f>
        <v>12</v>
      </c>
    </row>
    <row r="133" spans="1:12" x14ac:dyDescent="0.35">
      <c r="A133" s="7" t="s">
        <v>26</v>
      </c>
      <c r="B133" s="7"/>
      <c r="C133" s="4">
        <v>1000</v>
      </c>
      <c r="D133" s="37">
        <v>0.18</v>
      </c>
      <c r="E133" s="29">
        <f>C133*D133/12*9+C131*D131/12*3</f>
        <v>180</v>
      </c>
      <c r="F133" s="15">
        <f t="shared" si="18"/>
        <v>108</v>
      </c>
      <c r="G133" s="15">
        <f t="shared" si="19"/>
        <v>72</v>
      </c>
      <c r="H133" s="4"/>
      <c r="I133" s="28">
        <v>0.6</v>
      </c>
      <c r="J133" s="55">
        <v>0.4</v>
      </c>
      <c r="K133" s="73"/>
      <c r="L133" s="3"/>
    </row>
    <row r="134" spans="1:12" x14ac:dyDescent="0.35">
      <c r="A134" s="3">
        <v>2025</v>
      </c>
      <c r="B134" s="3"/>
      <c r="C134" s="4">
        <v>1000</v>
      </c>
      <c r="D134" s="5">
        <v>0.22</v>
      </c>
      <c r="E134" s="38">
        <f>C134*D134</f>
        <v>220</v>
      </c>
      <c r="F134" s="4">
        <f t="shared" si="18"/>
        <v>132</v>
      </c>
      <c r="G134" s="4">
        <f t="shared" si="19"/>
        <v>88</v>
      </c>
      <c r="H134" s="4">
        <f>(E134-E133)</f>
        <v>40</v>
      </c>
      <c r="I134" s="4">
        <f>H134*I133</f>
        <v>24</v>
      </c>
      <c r="J134" s="71">
        <f>H134*J133</f>
        <v>16</v>
      </c>
      <c r="K134" s="73">
        <f>(E134*0.5-F133)</f>
        <v>2</v>
      </c>
      <c r="L134" s="71">
        <f>(E134*0.5-G133)</f>
        <v>38</v>
      </c>
    </row>
    <row r="135" spans="1:12" x14ac:dyDescent="0.35">
      <c r="A135" s="7" t="s">
        <v>39</v>
      </c>
      <c r="B135" s="7"/>
      <c r="C135" s="4">
        <v>1000</v>
      </c>
      <c r="D135" s="37">
        <v>0.18</v>
      </c>
      <c r="E135" s="29">
        <f>C135*D135</f>
        <v>180</v>
      </c>
      <c r="F135" s="15">
        <f t="shared" si="18"/>
        <v>108</v>
      </c>
      <c r="G135" s="15">
        <f t="shared" si="19"/>
        <v>72</v>
      </c>
      <c r="H135" s="4"/>
      <c r="I135" s="28">
        <v>0.6</v>
      </c>
      <c r="J135" s="55">
        <v>0.4</v>
      </c>
      <c r="K135" s="73"/>
      <c r="L135" s="3"/>
    </row>
    <row r="136" spans="1:12" x14ac:dyDescent="0.35">
      <c r="A136" s="3">
        <v>2026</v>
      </c>
      <c r="B136" s="3"/>
      <c r="C136" s="4">
        <v>1000</v>
      </c>
      <c r="D136" s="5">
        <v>0.23</v>
      </c>
      <c r="E136" s="38">
        <f>C136*D136</f>
        <v>230</v>
      </c>
      <c r="F136" s="4">
        <f t="shared" si="18"/>
        <v>138</v>
      </c>
      <c r="G136" s="4">
        <f t="shared" si="19"/>
        <v>92</v>
      </c>
      <c r="H136" s="4">
        <f>E136-E135</f>
        <v>50</v>
      </c>
      <c r="I136" s="4">
        <f>H136*I135</f>
        <v>30</v>
      </c>
      <c r="J136" s="71">
        <f>H136*J135</f>
        <v>20</v>
      </c>
      <c r="K136" s="73">
        <f>(E136*0.4-F135)</f>
        <v>-16</v>
      </c>
      <c r="L136" s="71">
        <f>(E136*0.6-G135)</f>
        <v>66</v>
      </c>
    </row>
    <row r="137" spans="1:12" x14ac:dyDescent="0.35">
      <c r="A137" s="97" t="s">
        <v>48</v>
      </c>
      <c r="B137" s="97"/>
      <c r="C137" s="97"/>
      <c r="D137" s="97"/>
      <c r="E137" s="97"/>
      <c r="F137" s="97"/>
      <c r="G137" s="97"/>
      <c r="H137" s="97"/>
      <c r="I137" s="97"/>
      <c r="J137" s="98"/>
      <c r="K137" s="81"/>
      <c r="L137" s="81"/>
    </row>
    <row r="138" spans="1:12" ht="43.5" x14ac:dyDescent="0.35">
      <c r="A138" s="7" t="s">
        <v>10</v>
      </c>
      <c r="B138" s="7"/>
      <c r="C138" s="6"/>
      <c r="D138" s="37"/>
      <c r="E138" s="27"/>
      <c r="F138" s="25"/>
      <c r="G138" s="25"/>
      <c r="H138" s="16"/>
      <c r="I138" s="3"/>
      <c r="J138" s="64"/>
      <c r="K138" s="90" t="s">
        <v>43</v>
      </c>
      <c r="L138" s="90" t="s">
        <v>42</v>
      </c>
    </row>
    <row r="139" spans="1:12" x14ac:dyDescent="0.35">
      <c r="A139" s="7" t="s">
        <v>19</v>
      </c>
      <c r="B139" s="7"/>
      <c r="C139" s="4">
        <v>500</v>
      </c>
      <c r="D139" s="37">
        <v>1.78</v>
      </c>
      <c r="E139" s="29">
        <f>D139*C139</f>
        <v>890</v>
      </c>
      <c r="F139" s="15">
        <f t="shared" ref="F139:F144" si="20">E139*0.6</f>
        <v>534</v>
      </c>
      <c r="G139" s="15">
        <f>E139*0.4</f>
        <v>356</v>
      </c>
      <c r="H139" s="16"/>
      <c r="I139" s="28">
        <v>0.6</v>
      </c>
      <c r="J139" s="55">
        <v>0.4</v>
      </c>
      <c r="K139" s="3"/>
      <c r="L139" s="3"/>
    </row>
    <row r="140" spans="1:12" x14ac:dyDescent="0.35">
      <c r="A140" s="3">
        <v>2024</v>
      </c>
      <c r="B140" s="3"/>
      <c r="C140" s="4">
        <v>500</v>
      </c>
      <c r="D140" s="5">
        <v>2.16</v>
      </c>
      <c r="E140" s="87">
        <f>C140*D140/12*9+C139*D139/12*3</f>
        <v>1032.5</v>
      </c>
      <c r="F140" s="56">
        <f t="shared" si="20"/>
        <v>619.5</v>
      </c>
      <c r="G140" s="56">
        <f t="shared" ref="G140:G144" si="21">E140*0.4</f>
        <v>413</v>
      </c>
      <c r="H140" s="57">
        <f>E140-E139</f>
        <v>142.5</v>
      </c>
      <c r="I140" s="57">
        <f>H140*I139</f>
        <v>85.5</v>
      </c>
      <c r="J140" s="73">
        <f>H140*J139</f>
        <v>57</v>
      </c>
      <c r="K140" s="73">
        <f>(E140*0.6-F139)</f>
        <v>85.5</v>
      </c>
      <c r="L140" s="71">
        <f>(E140*0.4-G139)</f>
        <v>57</v>
      </c>
    </row>
    <row r="141" spans="1:12" x14ac:dyDescent="0.35">
      <c r="A141" s="7" t="s">
        <v>26</v>
      </c>
      <c r="B141" s="7"/>
      <c r="C141" s="4">
        <v>500</v>
      </c>
      <c r="D141" s="37">
        <v>1.78</v>
      </c>
      <c r="E141" s="29">
        <f>C141*D141/12*9+C139*D139/12*3</f>
        <v>890</v>
      </c>
      <c r="F141" s="15">
        <f t="shared" si="20"/>
        <v>534</v>
      </c>
      <c r="G141" s="15">
        <f t="shared" si="21"/>
        <v>356</v>
      </c>
      <c r="H141" s="4"/>
      <c r="I141" s="28">
        <v>0.6</v>
      </c>
      <c r="J141" s="55">
        <v>0.4</v>
      </c>
      <c r="K141" s="73"/>
      <c r="L141" s="3"/>
    </row>
    <row r="142" spans="1:12" x14ac:dyDescent="0.35">
      <c r="A142" s="3">
        <v>2025</v>
      </c>
      <c r="B142" s="3"/>
      <c r="C142" s="4">
        <v>500</v>
      </c>
      <c r="D142" s="5">
        <v>2.2000000000000002</v>
      </c>
      <c r="E142" s="38">
        <f>C142*D142</f>
        <v>1100</v>
      </c>
      <c r="F142" s="4">
        <f t="shared" si="20"/>
        <v>660</v>
      </c>
      <c r="G142" s="4">
        <f t="shared" si="21"/>
        <v>440</v>
      </c>
      <c r="H142" s="4">
        <f>(E142-E141)</f>
        <v>210</v>
      </c>
      <c r="I142" s="4">
        <f>H142*I141</f>
        <v>126</v>
      </c>
      <c r="J142" s="71">
        <f>H142*J141</f>
        <v>84</v>
      </c>
      <c r="K142" s="73">
        <f>(E142*0.5-F141)</f>
        <v>16</v>
      </c>
      <c r="L142" s="71">
        <f>(E142*0.5-G141)</f>
        <v>194</v>
      </c>
    </row>
    <row r="143" spans="1:12" x14ac:dyDescent="0.35">
      <c r="A143" s="7" t="s">
        <v>39</v>
      </c>
      <c r="B143" s="7"/>
      <c r="C143" s="4">
        <v>500</v>
      </c>
      <c r="D143" s="37">
        <v>1.78</v>
      </c>
      <c r="E143" s="29">
        <f>C143*D143</f>
        <v>890</v>
      </c>
      <c r="F143" s="15">
        <f t="shared" si="20"/>
        <v>534</v>
      </c>
      <c r="G143" s="15">
        <f t="shared" si="21"/>
        <v>356</v>
      </c>
      <c r="H143" s="4"/>
      <c r="I143" s="28">
        <v>0.6</v>
      </c>
      <c r="J143" s="55">
        <v>0.4</v>
      </c>
      <c r="K143" s="73"/>
      <c r="L143" s="3"/>
    </row>
    <row r="144" spans="1:12" x14ac:dyDescent="0.35">
      <c r="A144" s="3">
        <v>2026</v>
      </c>
      <c r="B144" s="3"/>
      <c r="C144" s="4">
        <v>500</v>
      </c>
      <c r="D144" s="5">
        <v>2.23</v>
      </c>
      <c r="E144" s="38">
        <f>C144*D144</f>
        <v>1115</v>
      </c>
      <c r="F144" s="4">
        <f t="shared" si="20"/>
        <v>669</v>
      </c>
      <c r="G144" s="4">
        <f t="shared" si="21"/>
        <v>446</v>
      </c>
      <c r="H144" s="4">
        <f>E144-E143</f>
        <v>225</v>
      </c>
      <c r="I144" s="4">
        <f>H144*I143</f>
        <v>135</v>
      </c>
      <c r="J144" s="71">
        <f>H144*J143</f>
        <v>90</v>
      </c>
      <c r="K144" s="73">
        <f>(E144*0.4-F143)</f>
        <v>-88</v>
      </c>
      <c r="L144" s="71">
        <f>(E144*0.6-G143)</f>
        <v>313</v>
      </c>
    </row>
    <row r="145" spans="1:12" x14ac:dyDescent="0.35">
      <c r="A145" s="97" t="s">
        <v>49</v>
      </c>
      <c r="B145" s="97"/>
      <c r="C145" s="97"/>
      <c r="D145" s="97"/>
      <c r="E145" s="97"/>
      <c r="F145" s="97"/>
      <c r="G145" s="97"/>
      <c r="H145" s="97"/>
      <c r="I145" s="97"/>
      <c r="J145" s="98"/>
      <c r="K145" s="81"/>
      <c r="L145" s="81"/>
    </row>
    <row r="146" spans="1:12" ht="43.5" x14ac:dyDescent="0.35">
      <c r="A146" s="7" t="s">
        <v>10</v>
      </c>
      <c r="B146" s="7"/>
      <c r="C146" s="6"/>
      <c r="D146" s="37"/>
      <c r="E146" s="27"/>
      <c r="F146" s="25"/>
      <c r="G146" s="25"/>
      <c r="H146" s="16"/>
      <c r="I146" s="3"/>
      <c r="J146" s="64"/>
      <c r="K146" s="90" t="s">
        <v>43</v>
      </c>
      <c r="L146" s="90" t="s">
        <v>42</v>
      </c>
    </row>
    <row r="147" spans="1:12" x14ac:dyDescent="0.35">
      <c r="A147" s="7" t="s">
        <v>19</v>
      </c>
      <c r="B147" s="7"/>
      <c r="C147" s="4">
        <v>55000</v>
      </c>
      <c r="D147" s="37">
        <v>0.6</v>
      </c>
      <c r="E147" s="29">
        <f>D147*C147</f>
        <v>33000</v>
      </c>
      <c r="F147" s="15">
        <f t="shared" ref="F147:F152" si="22">E147*0.6</f>
        <v>19800</v>
      </c>
      <c r="G147" s="15">
        <f>E147*0.4</f>
        <v>13200</v>
      </c>
      <c r="H147" s="16"/>
      <c r="I147" s="28">
        <v>0.6</v>
      </c>
      <c r="J147" s="55">
        <v>0.4</v>
      </c>
      <c r="K147" s="3"/>
      <c r="L147" s="3"/>
    </row>
    <row r="148" spans="1:12" x14ac:dyDescent="0.35">
      <c r="A148" s="3">
        <v>2024</v>
      </c>
      <c r="B148" s="3"/>
      <c r="C148" s="4">
        <v>55000</v>
      </c>
      <c r="D148" s="5">
        <v>0.73</v>
      </c>
      <c r="E148" s="87">
        <f>C148*D148/12*9+C147*D147/12*3</f>
        <v>38362.5</v>
      </c>
      <c r="F148" s="56">
        <f t="shared" si="22"/>
        <v>23017.5</v>
      </c>
      <c r="G148" s="56">
        <f t="shared" ref="G148:G152" si="23">E148*0.4</f>
        <v>15345</v>
      </c>
      <c r="H148" s="57">
        <f>E148-E147</f>
        <v>5362.5</v>
      </c>
      <c r="I148" s="57">
        <f>H148*I147</f>
        <v>3217.5</v>
      </c>
      <c r="J148" s="73">
        <f>H148*J147</f>
        <v>2145</v>
      </c>
      <c r="K148" s="73">
        <f>(E148*0.6-F147)</f>
        <v>3217.5</v>
      </c>
      <c r="L148" s="71">
        <f>(E148*0.4-G147)</f>
        <v>2145</v>
      </c>
    </row>
    <row r="149" spans="1:12" x14ac:dyDescent="0.35">
      <c r="A149" s="7" t="s">
        <v>26</v>
      </c>
      <c r="B149" s="7"/>
      <c r="C149" s="4">
        <v>55000</v>
      </c>
      <c r="D149" s="37">
        <v>0.6</v>
      </c>
      <c r="E149" s="29">
        <f>C149*D149/12*9+C147*D147/12*3</f>
        <v>33000</v>
      </c>
      <c r="F149" s="15">
        <f t="shared" si="22"/>
        <v>19800</v>
      </c>
      <c r="G149" s="15">
        <f t="shared" si="23"/>
        <v>13200</v>
      </c>
      <c r="H149" s="4"/>
      <c r="I149" s="28">
        <v>0.6</v>
      </c>
      <c r="J149" s="55">
        <v>0.4</v>
      </c>
      <c r="K149" s="73"/>
      <c r="L149" s="3"/>
    </row>
    <row r="150" spans="1:12" x14ac:dyDescent="0.35">
      <c r="A150" s="3">
        <v>2025</v>
      </c>
      <c r="B150" s="3"/>
      <c r="C150" s="4">
        <v>55000</v>
      </c>
      <c r="D150" s="5">
        <v>0.74</v>
      </c>
      <c r="E150" s="38">
        <f>C150*D150</f>
        <v>40700</v>
      </c>
      <c r="F150" s="4">
        <f t="shared" si="22"/>
        <v>24420</v>
      </c>
      <c r="G150" s="4">
        <f t="shared" si="23"/>
        <v>16280</v>
      </c>
      <c r="H150" s="4">
        <f>(E150-E149)</f>
        <v>7700</v>
      </c>
      <c r="I150" s="4">
        <f>H150*I149</f>
        <v>4620</v>
      </c>
      <c r="J150" s="71">
        <f>H150*J149</f>
        <v>3080</v>
      </c>
      <c r="K150" s="73">
        <f>(E150*0.5-F149)</f>
        <v>550</v>
      </c>
      <c r="L150" s="71">
        <f>(E150*0.5-G149)</f>
        <v>7150</v>
      </c>
    </row>
    <row r="151" spans="1:12" x14ac:dyDescent="0.35">
      <c r="A151" s="7" t="s">
        <v>39</v>
      </c>
      <c r="B151" s="7"/>
      <c r="C151" s="4">
        <v>55000</v>
      </c>
      <c r="D151" s="37">
        <v>0.6</v>
      </c>
      <c r="E151" s="29">
        <f>C151*D151</f>
        <v>33000</v>
      </c>
      <c r="F151" s="15">
        <f t="shared" si="22"/>
        <v>19800</v>
      </c>
      <c r="G151" s="15">
        <f t="shared" si="23"/>
        <v>13200</v>
      </c>
      <c r="H151" s="4"/>
      <c r="I151" s="28">
        <v>0.6</v>
      </c>
      <c r="J151" s="55">
        <v>0.4</v>
      </c>
      <c r="K151" s="73"/>
      <c r="L151" s="3"/>
    </row>
    <row r="152" spans="1:12" x14ac:dyDescent="0.35">
      <c r="A152" s="3">
        <v>2026</v>
      </c>
      <c r="B152" s="3"/>
      <c r="C152" s="4">
        <v>55000</v>
      </c>
      <c r="D152" s="5">
        <v>0.75</v>
      </c>
      <c r="E152" s="38">
        <f>C152*D152</f>
        <v>41250</v>
      </c>
      <c r="F152" s="4">
        <f t="shared" si="22"/>
        <v>24750</v>
      </c>
      <c r="G152" s="4">
        <f t="shared" si="23"/>
        <v>16500</v>
      </c>
      <c r="H152" s="4">
        <f>E152-E151</f>
        <v>8250</v>
      </c>
      <c r="I152" s="4">
        <f>H152*I151</f>
        <v>4950</v>
      </c>
      <c r="J152" s="71">
        <f>H152*J151</f>
        <v>3300</v>
      </c>
      <c r="K152" s="73">
        <f>(E152*0.4-F151)</f>
        <v>-3300</v>
      </c>
      <c r="L152" s="71">
        <f>(E152*0.6-G151)</f>
        <v>11550</v>
      </c>
    </row>
    <row r="153" spans="1:12" x14ac:dyDescent="0.35">
      <c r="A153" s="97" t="s">
        <v>50</v>
      </c>
      <c r="B153" s="97"/>
      <c r="C153" s="97"/>
      <c r="D153" s="97"/>
      <c r="E153" s="97"/>
      <c r="F153" s="97"/>
      <c r="G153" s="97"/>
      <c r="H153" s="97"/>
      <c r="I153" s="97"/>
      <c r="J153" s="98"/>
      <c r="K153" s="81"/>
      <c r="L153" s="81"/>
    </row>
    <row r="154" spans="1:12" ht="43.5" x14ac:dyDescent="0.35">
      <c r="A154" s="7" t="s">
        <v>10</v>
      </c>
      <c r="B154" s="7"/>
      <c r="C154" s="6"/>
      <c r="D154" s="37"/>
      <c r="E154" s="27"/>
      <c r="F154" s="25"/>
      <c r="G154" s="25"/>
      <c r="H154" s="16"/>
      <c r="I154" s="3"/>
      <c r="J154" s="64"/>
      <c r="K154" s="90" t="s">
        <v>43</v>
      </c>
      <c r="L154" s="90" t="s">
        <v>42</v>
      </c>
    </row>
    <row r="155" spans="1:12" x14ac:dyDescent="0.35">
      <c r="A155" s="7" t="s">
        <v>19</v>
      </c>
      <c r="B155" s="7"/>
      <c r="C155" s="4">
        <v>1000</v>
      </c>
      <c r="D155" s="37">
        <v>0.56999999999999995</v>
      </c>
      <c r="E155" s="29">
        <f>D155*C155</f>
        <v>570</v>
      </c>
      <c r="F155" s="15">
        <f t="shared" ref="F155:F160" si="24">E155*0.6</f>
        <v>342</v>
      </c>
      <c r="G155" s="15">
        <f>E155*0.4</f>
        <v>228</v>
      </c>
      <c r="H155" s="16"/>
      <c r="I155" s="28">
        <v>0.6</v>
      </c>
      <c r="J155" s="55">
        <v>0.4</v>
      </c>
      <c r="K155" s="3"/>
      <c r="L155" s="3"/>
    </row>
    <row r="156" spans="1:12" x14ac:dyDescent="0.35">
      <c r="A156" s="3">
        <v>2024</v>
      </c>
      <c r="B156" s="3"/>
      <c r="C156" s="4">
        <v>1000</v>
      </c>
      <c r="D156" s="5">
        <v>0.69</v>
      </c>
      <c r="E156" s="87">
        <f>C156*D156/12*9+C155*D155/12*3</f>
        <v>660</v>
      </c>
      <c r="F156" s="56">
        <f t="shared" si="24"/>
        <v>396</v>
      </c>
      <c r="G156" s="56">
        <f t="shared" ref="G156:G160" si="25">E156*0.4</f>
        <v>264</v>
      </c>
      <c r="H156" s="57">
        <f>E156-E155</f>
        <v>90</v>
      </c>
      <c r="I156" s="57">
        <f>H156*I155</f>
        <v>54</v>
      </c>
      <c r="J156" s="73">
        <f>H156*J155</f>
        <v>36</v>
      </c>
      <c r="K156" s="73">
        <f>(E156*0.6-F155)</f>
        <v>54</v>
      </c>
      <c r="L156" s="71">
        <f>(E156*0.4-G155)</f>
        <v>36</v>
      </c>
    </row>
    <row r="157" spans="1:12" x14ac:dyDescent="0.35">
      <c r="A157" s="7" t="s">
        <v>26</v>
      </c>
      <c r="B157" s="7"/>
      <c r="C157" s="4">
        <v>1000</v>
      </c>
      <c r="D157" s="37">
        <v>0.56999999999999995</v>
      </c>
      <c r="E157" s="29">
        <f>C157*D157/12*9+C155*D155/12*3</f>
        <v>570</v>
      </c>
      <c r="F157" s="15">
        <f t="shared" si="24"/>
        <v>342</v>
      </c>
      <c r="G157" s="15">
        <f t="shared" si="25"/>
        <v>228</v>
      </c>
      <c r="H157" s="4"/>
      <c r="I157" s="28">
        <v>0.6</v>
      </c>
      <c r="J157" s="55">
        <v>0.4</v>
      </c>
      <c r="K157" s="73"/>
      <c r="L157" s="3"/>
    </row>
    <row r="158" spans="1:12" x14ac:dyDescent="0.35">
      <c r="A158" s="3">
        <v>2025</v>
      </c>
      <c r="B158" s="3"/>
      <c r="C158" s="4">
        <v>1000</v>
      </c>
      <c r="D158" s="5">
        <v>0.7</v>
      </c>
      <c r="E158" s="38">
        <f>C158*D158</f>
        <v>700</v>
      </c>
      <c r="F158" s="4">
        <f t="shared" si="24"/>
        <v>420</v>
      </c>
      <c r="G158" s="4">
        <f t="shared" si="25"/>
        <v>280</v>
      </c>
      <c r="H158" s="4">
        <f>(E158-E157)</f>
        <v>130</v>
      </c>
      <c r="I158" s="4">
        <f>H158*I157</f>
        <v>78</v>
      </c>
      <c r="J158" s="71">
        <f>H158*J157</f>
        <v>52</v>
      </c>
      <c r="K158" s="73">
        <f>(E158*0.5-F157)</f>
        <v>8</v>
      </c>
      <c r="L158" s="71">
        <f>(E158*0.5-G157)</f>
        <v>122</v>
      </c>
    </row>
    <row r="159" spans="1:12" x14ac:dyDescent="0.35">
      <c r="A159" s="7" t="s">
        <v>39</v>
      </c>
      <c r="B159" s="7"/>
      <c r="C159" s="4">
        <v>1000</v>
      </c>
      <c r="D159" s="37">
        <v>0.56999999999999995</v>
      </c>
      <c r="E159" s="29">
        <f>C159*D159</f>
        <v>570</v>
      </c>
      <c r="F159" s="15">
        <f t="shared" si="24"/>
        <v>342</v>
      </c>
      <c r="G159" s="15">
        <f t="shared" si="25"/>
        <v>228</v>
      </c>
      <c r="H159" s="4"/>
      <c r="I159" s="28">
        <v>0.6</v>
      </c>
      <c r="J159" s="55">
        <v>0.4</v>
      </c>
      <c r="K159" s="73"/>
      <c r="L159" s="3"/>
    </row>
    <row r="160" spans="1:12" x14ac:dyDescent="0.35">
      <c r="A160" s="3">
        <v>2026</v>
      </c>
      <c r="B160" s="3"/>
      <c r="C160" s="4">
        <v>1000</v>
      </c>
      <c r="D160" s="5">
        <v>0.71</v>
      </c>
      <c r="E160" s="38">
        <f>C160*D160</f>
        <v>710</v>
      </c>
      <c r="F160" s="4">
        <f t="shared" si="24"/>
        <v>426</v>
      </c>
      <c r="G160" s="4">
        <f t="shared" si="25"/>
        <v>284</v>
      </c>
      <c r="H160" s="4">
        <f>E160-E159</f>
        <v>140</v>
      </c>
      <c r="I160" s="4">
        <f>H160*I159</f>
        <v>84</v>
      </c>
      <c r="J160" s="71">
        <f>H160*J159</f>
        <v>56</v>
      </c>
      <c r="K160" s="73">
        <f>(E160*0.4-F159)</f>
        <v>-58</v>
      </c>
      <c r="L160" s="71">
        <f>(E160*0.6-G159)</f>
        <v>198</v>
      </c>
    </row>
    <row r="161" spans="1:12" x14ac:dyDescent="0.35">
      <c r="A161" s="97" t="s">
        <v>51</v>
      </c>
      <c r="B161" s="97"/>
      <c r="C161" s="97"/>
      <c r="D161" s="97"/>
      <c r="E161" s="97"/>
      <c r="F161" s="97"/>
      <c r="G161" s="97"/>
      <c r="H161" s="97"/>
      <c r="I161" s="97"/>
      <c r="J161" s="98"/>
      <c r="K161" s="81"/>
      <c r="L161" s="81"/>
    </row>
    <row r="162" spans="1:12" ht="43.5" x14ac:dyDescent="0.35">
      <c r="A162" s="7" t="s">
        <v>10</v>
      </c>
      <c r="B162" s="7"/>
      <c r="C162" s="6"/>
      <c r="D162" s="37"/>
      <c r="E162" s="27"/>
      <c r="F162" s="25"/>
      <c r="G162" s="25"/>
      <c r="H162" s="16"/>
      <c r="I162" s="3"/>
      <c r="J162" s="64"/>
      <c r="K162" s="90" t="s">
        <v>43</v>
      </c>
      <c r="L162" s="90" t="s">
        <v>42</v>
      </c>
    </row>
    <row r="163" spans="1:12" x14ac:dyDescent="0.35">
      <c r="A163" s="7" t="s">
        <v>19</v>
      </c>
      <c r="B163" s="7"/>
      <c r="C163" s="4">
        <v>500</v>
      </c>
      <c r="D163" s="37">
        <v>0.18</v>
      </c>
      <c r="E163" s="29">
        <f>D163*C163</f>
        <v>90</v>
      </c>
      <c r="F163" s="15">
        <f t="shared" ref="F163:F168" si="26">E163*0.6</f>
        <v>54</v>
      </c>
      <c r="G163" s="15">
        <f>E163*0.4</f>
        <v>36</v>
      </c>
      <c r="H163" s="16"/>
      <c r="I163" s="28">
        <v>0.6</v>
      </c>
      <c r="J163" s="55">
        <v>0.4</v>
      </c>
      <c r="K163" s="3"/>
      <c r="L163" s="3"/>
    </row>
    <row r="164" spans="1:12" x14ac:dyDescent="0.35">
      <c r="A164" s="3">
        <v>2024</v>
      </c>
      <c r="B164" s="3"/>
      <c r="C164" s="4">
        <v>500</v>
      </c>
      <c r="D164" s="5">
        <v>0.22</v>
      </c>
      <c r="E164" s="87">
        <f>C164*D164/12*9+C163*D163/12*3</f>
        <v>105</v>
      </c>
      <c r="F164" s="56">
        <f t="shared" si="26"/>
        <v>63</v>
      </c>
      <c r="G164" s="56">
        <f t="shared" ref="G164:G168" si="27">E164*0.4</f>
        <v>42</v>
      </c>
      <c r="H164" s="57">
        <f>E164-E163</f>
        <v>15</v>
      </c>
      <c r="I164" s="57">
        <f>H164*I163</f>
        <v>9</v>
      </c>
      <c r="J164" s="73">
        <f>H164*J163</f>
        <v>6</v>
      </c>
      <c r="K164" s="73">
        <f>(E164*0.6-F163)</f>
        <v>9</v>
      </c>
      <c r="L164" s="71">
        <f>(E164*0.4-G163)</f>
        <v>6</v>
      </c>
    </row>
    <row r="165" spans="1:12" x14ac:dyDescent="0.35">
      <c r="A165" s="7" t="s">
        <v>26</v>
      </c>
      <c r="B165" s="7"/>
      <c r="C165" s="4">
        <v>500</v>
      </c>
      <c r="D165" s="37">
        <v>0.18</v>
      </c>
      <c r="E165" s="29">
        <f>C165*D165/12*9+C163*D163/12*3</f>
        <v>90</v>
      </c>
      <c r="F165" s="15">
        <f t="shared" si="26"/>
        <v>54</v>
      </c>
      <c r="G165" s="15">
        <f t="shared" si="27"/>
        <v>36</v>
      </c>
      <c r="H165" s="4"/>
      <c r="I165" s="28">
        <v>0.6</v>
      </c>
      <c r="J165" s="55">
        <v>0.4</v>
      </c>
      <c r="K165" s="73"/>
      <c r="L165" s="3"/>
    </row>
    <row r="166" spans="1:12" x14ac:dyDescent="0.35">
      <c r="A166" s="3">
        <v>2025</v>
      </c>
      <c r="B166" s="3"/>
      <c r="C166" s="4">
        <v>500</v>
      </c>
      <c r="D166" s="5">
        <v>0.22</v>
      </c>
      <c r="E166" s="38">
        <f>C166*D166</f>
        <v>110</v>
      </c>
      <c r="F166" s="4">
        <f t="shared" si="26"/>
        <v>66</v>
      </c>
      <c r="G166" s="4">
        <f t="shared" si="27"/>
        <v>44</v>
      </c>
      <c r="H166" s="4">
        <f>(E166-E165)</f>
        <v>20</v>
      </c>
      <c r="I166" s="4">
        <f>H166*I165</f>
        <v>12</v>
      </c>
      <c r="J166" s="71">
        <f>H166*J165</f>
        <v>8</v>
      </c>
      <c r="K166" s="73">
        <f>(E166*0.5-F165)</f>
        <v>1</v>
      </c>
      <c r="L166" s="71">
        <f>(E166*0.5-G165)</f>
        <v>19</v>
      </c>
    </row>
    <row r="167" spans="1:12" x14ac:dyDescent="0.35">
      <c r="A167" s="7" t="s">
        <v>39</v>
      </c>
      <c r="B167" s="7"/>
      <c r="C167" s="4">
        <v>500</v>
      </c>
      <c r="D167" s="37">
        <v>0.18</v>
      </c>
      <c r="E167" s="29">
        <f>C167*D167</f>
        <v>90</v>
      </c>
      <c r="F167" s="15">
        <f t="shared" si="26"/>
        <v>54</v>
      </c>
      <c r="G167" s="15">
        <f t="shared" si="27"/>
        <v>36</v>
      </c>
      <c r="H167" s="4"/>
      <c r="I167" s="28">
        <v>0.6</v>
      </c>
      <c r="J167" s="55">
        <v>0.4</v>
      </c>
      <c r="K167" s="73"/>
      <c r="L167" s="3"/>
    </row>
    <row r="168" spans="1:12" x14ac:dyDescent="0.35">
      <c r="A168" s="3">
        <v>2026</v>
      </c>
      <c r="B168" s="3"/>
      <c r="C168" s="4">
        <v>500</v>
      </c>
      <c r="D168" s="5">
        <v>0.23</v>
      </c>
      <c r="E168" s="38">
        <f>C168*D168</f>
        <v>115</v>
      </c>
      <c r="F168" s="4">
        <f t="shared" si="26"/>
        <v>69</v>
      </c>
      <c r="G168" s="4">
        <f t="shared" si="27"/>
        <v>46</v>
      </c>
      <c r="H168" s="4">
        <f>E168-E167</f>
        <v>25</v>
      </c>
      <c r="I168" s="4">
        <f>H168*I167</f>
        <v>15</v>
      </c>
      <c r="J168" s="71">
        <f>H168*J167</f>
        <v>10</v>
      </c>
      <c r="K168" s="73">
        <f>(E168*0.4-F167)</f>
        <v>-8</v>
      </c>
      <c r="L168" s="71">
        <f>(E168*0.6-G167)</f>
        <v>33</v>
      </c>
    </row>
    <row r="169" spans="1:12" x14ac:dyDescent="0.35">
      <c r="A169" s="97" t="s">
        <v>52</v>
      </c>
      <c r="B169" s="97"/>
      <c r="C169" s="97"/>
      <c r="D169" s="97"/>
      <c r="E169" s="97"/>
      <c r="F169" s="97"/>
      <c r="G169" s="97"/>
      <c r="H169" s="97"/>
      <c r="I169" s="97"/>
      <c r="J169" s="98"/>
      <c r="K169" s="81"/>
      <c r="L169" s="81"/>
    </row>
    <row r="170" spans="1:12" ht="43.5" x14ac:dyDescent="0.35">
      <c r="A170" s="7" t="s">
        <v>10</v>
      </c>
      <c r="B170" s="7"/>
      <c r="C170" s="6"/>
      <c r="D170" s="37"/>
      <c r="E170" s="27"/>
      <c r="F170" s="25"/>
      <c r="G170" s="25"/>
      <c r="H170" s="16"/>
      <c r="I170" s="3"/>
      <c r="J170" s="64"/>
      <c r="K170" s="90" t="s">
        <v>43</v>
      </c>
      <c r="L170" s="90" t="s">
        <v>42</v>
      </c>
    </row>
    <row r="171" spans="1:12" x14ac:dyDescent="0.35">
      <c r="A171" s="7" t="s">
        <v>19</v>
      </c>
      <c r="B171" s="7"/>
      <c r="C171" s="4">
        <v>1250000</v>
      </c>
      <c r="D171" s="37">
        <v>0.55000000000000004</v>
      </c>
      <c r="E171" s="29">
        <f>D171*C171</f>
        <v>687500</v>
      </c>
      <c r="F171" s="15">
        <f t="shared" ref="F171:F176" si="28">E171*0.6</f>
        <v>412500</v>
      </c>
      <c r="G171" s="15">
        <f>E171*0.4</f>
        <v>275000</v>
      </c>
      <c r="H171" s="16"/>
      <c r="I171" s="28">
        <v>0.6</v>
      </c>
      <c r="J171" s="55">
        <v>0.4</v>
      </c>
      <c r="K171" s="3"/>
      <c r="L171" s="3"/>
    </row>
    <row r="172" spans="1:12" x14ac:dyDescent="0.35">
      <c r="A172" s="3">
        <v>2024</v>
      </c>
      <c r="B172" s="3"/>
      <c r="C172" s="4">
        <v>1250000</v>
      </c>
      <c r="D172" s="5">
        <v>0.69</v>
      </c>
      <c r="E172" s="87">
        <f>C172*D172/12*9+C171*D171/12*3</f>
        <v>818749.99999999988</v>
      </c>
      <c r="F172" s="56">
        <f t="shared" si="28"/>
        <v>491249.99999999988</v>
      </c>
      <c r="G172" s="56">
        <f t="shared" ref="G172:G176" si="29">E172*0.4</f>
        <v>327500</v>
      </c>
      <c r="H172" s="57">
        <f>E172-E171</f>
        <v>131249.99999999988</v>
      </c>
      <c r="I172" s="57">
        <f>H172*I171</f>
        <v>78749.999999999927</v>
      </c>
      <c r="J172" s="73">
        <f>H172*J171</f>
        <v>52499.999999999956</v>
      </c>
      <c r="K172" s="73">
        <f>(E172*0.6-F171)</f>
        <v>78749.999999999884</v>
      </c>
      <c r="L172" s="71">
        <f>(E172*0.4-G171)</f>
        <v>52500</v>
      </c>
    </row>
    <row r="173" spans="1:12" x14ac:dyDescent="0.35">
      <c r="A173" s="7" t="s">
        <v>26</v>
      </c>
      <c r="B173" s="7"/>
      <c r="C173" s="4">
        <v>1250000</v>
      </c>
      <c r="D173" s="37">
        <v>0.55000000000000004</v>
      </c>
      <c r="E173" s="29">
        <f>C173*D173/12*9+C171*D171/12*3</f>
        <v>687500</v>
      </c>
      <c r="F173" s="15">
        <f t="shared" si="28"/>
        <v>412500</v>
      </c>
      <c r="G173" s="15">
        <f t="shared" si="29"/>
        <v>275000</v>
      </c>
      <c r="H173" s="4"/>
      <c r="I173" s="28">
        <v>0.6</v>
      </c>
      <c r="J173" s="55">
        <v>0.4</v>
      </c>
      <c r="K173" s="73"/>
      <c r="L173" s="3"/>
    </row>
    <row r="174" spans="1:12" x14ac:dyDescent="0.35">
      <c r="A174" s="3">
        <v>2025</v>
      </c>
      <c r="B174" s="3"/>
      <c r="C174" s="4">
        <v>1250000</v>
      </c>
      <c r="D174" s="5">
        <v>0.7</v>
      </c>
      <c r="E174" s="38">
        <f>C174*D174</f>
        <v>875000</v>
      </c>
      <c r="F174" s="4">
        <f t="shared" si="28"/>
        <v>525000</v>
      </c>
      <c r="G174" s="4">
        <f t="shared" si="29"/>
        <v>350000</v>
      </c>
      <c r="H174" s="4">
        <f>(E174-E173)</f>
        <v>187500</v>
      </c>
      <c r="I174" s="4">
        <f>H174*I173</f>
        <v>112500</v>
      </c>
      <c r="J174" s="71">
        <f>H174*J173</f>
        <v>75000</v>
      </c>
      <c r="K174" s="73">
        <f>(E174*0.5-F173)</f>
        <v>25000</v>
      </c>
      <c r="L174" s="71">
        <f>(E174*0.5-G173)</f>
        <v>162500</v>
      </c>
    </row>
    <row r="175" spans="1:12" x14ac:dyDescent="0.35">
      <c r="A175" s="7" t="s">
        <v>39</v>
      </c>
      <c r="B175" s="7"/>
      <c r="C175" s="4">
        <v>1250000</v>
      </c>
      <c r="D175" s="37">
        <v>0.55000000000000004</v>
      </c>
      <c r="E175" s="29">
        <f>C175*D175</f>
        <v>687500</v>
      </c>
      <c r="F175" s="15">
        <f t="shared" si="28"/>
        <v>412500</v>
      </c>
      <c r="G175" s="15">
        <f t="shared" si="29"/>
        <v>275000</v>
      </c>
      <c r="H175" s="4"/>
      <c r="I175" s="28">
        <v>0.6</v>
      </c>
      <c r="J175" s="55">
        <v>0.4</v>
      </c>
      <c r="K175" s="73"/>
      <c r="L175" s="3"/>
    </row>
    <row r="176" spans="1:12" x14ac:dyDescent="0.35">
      <c r="A176" s="3">
        <v>2026</v>
      </c>
      <c r="B176" s="3"/>
      <c r="C176" s="4">
        <v>1250000</v>
      </c>
      <c r="D176" s="5">
        <v>0.71</v>
      </c>
      <c r="E176" s="38">
        <f>C176*D176</f>
        <v>887500</v>
      </c>
      <c r="F176" s="4">
        <f t="shared" si="28"/>
        <v>532500</v>
      </c>
      <c r="G176" s="4">
        <f t="shared" si="29"/>
        <v>355000</v>
      </c>
      <c r="H176" s="4">
        <f>E176-E175</f>
        <v>200000</v>
      </c>
      <c r="I176" s="4">
        <f>H176*I175</f>
        <v>120000</v>
      </c>
      <c r="J176" s="71">
        <f>H176*J175</f>
        <v>80000</v>
      </c>
      <c r="K176" s="73">
        <f>(E176*0.4-F175)</f>
        <v>-57500</v>
      </c>
      <c r="L176" s="71">
        <f>(E176*0.6-G175)</f>
        <v>257500</v>
      </c>
    </row>
    <row r="177" spans="1:12" x14ac:dyDescent="0.35">
      <c r="A177" s="97" t="s">
        <v>53</v>
      </c>
      <c r="B177" s="97"/>
      <c r="C177" s="97"/>
      <c r="D177" s="97"/>
      <c r="E177" s="97"/>
      <c r="F177" s="97"/>
      <c r="G177" s="97"/>
      <c r="H177" s="97"/>
      <c r="I177" s="97"/>
      <c r="J177" s="98"/>
      <c r="K177" s="81"/>
      <c r="L177" s="81"/>
    </row>
    <row r="178" spans="1:12" ht="43.5" x14ac:dyDescent="0.35">
      <c r="A178" s="7" t="s">
        <v>10</v>
      </c>
      <c r="B178" s="7"/>
      <c r="C178" s="6"/>
      <c r="D178" s="37"/>
      <c r="E178" s="27"/>
      <c r="F178" s="25"/>
      <c r="G178" s="25"/>
      <c r="H178" s="16"/>
      <c r="I178" s="3"/>
      <c r="J178" s="64"/>
      <c r="K178" s="90" t="s">
        <v>43</v>
      </c>
      <c r="L178" s="90" t="s">
        <v>42</v>
      </c>
    </row>
    <row r="179" spans="1:12" x14ac:dyDescent="0.35">
      <c r="A179" s="7" t="s">
        <v>19</v>
      </c>
      <c r="B179" s="7"/>
      <c r="C179" s="4">
        <v>100</v>
      </c>
      <c r="D179" s="37">
        <v>0.9</v>
      </c>
      <c r="E179" s="29">
        <f>D179*C179</f>
        <v>90</v>
      </c>
      <c r="F179" s="15">
        <f t="shared" ref="F179:F184" si="30">E179*0.6</f>
        <v>54</v>
      </c>
      <c r="G179" s="15">
        <f>E179*0.4</f>
        <v>36</v>
      </c>
      <c r="H179" s="16"/>
      <c r="I179" s="28">
        <v>0.6</v>
      </c>
      <c r="J179" s="55">
        <v>0.4</v>
      </c>
      <c r="K179" s="3"/>
      <c r="L179" s="3"/>
    </row>
    <row r="180" spans="1:12" x14ac:dyDescent="0.35">
      <c r="A180" s="3">
        <v>2024</v>
      </c>
      <c r="B180" s="3"/>
      <c r="C180" s="4">
        <v>100</v>
      </c>
      <c r="D180" s="5">
        <v>1.0900000000000001</v>
      </c>
      <c r="E180" s="87">
        <f>C180*D180/12*9+C179*D179/12*3</f>
        <v>104.25</v>
      </c>
      <c r="F180" s="56">
        <f t="shared" si="30"/>
        <v>62.55</v>
      </c>
      <c r="G180" s="56">
        <f t="shared" ref="G180:G184" si="31">E180*0.4</f>
        <v>41.7</v>
      </c>
      <c r="H180" s="57">
        <f>E180-E179</f>
        <v>14.25</v>
      </c>
      <c r="I180" s="57">
        <f>H180*I179</f>
        <v>8.5499999999999989</v>
      </c>
      <c r="J180" s="73">
        <f>H180*J179</f>
        <v>5.7</v>
      </c>
      <c r="K180" s="73">
        <f>(E180*0.6-F179)</f>
        <v>8.5499999999999972</v>
      </c>
      <c r="L180" s="71">
        <f>(E180*0.4-G179)</f>
        <v>5.7000000000000028</v>
      </c>
    </row>
    <row r="181" spans="1:12" x14ac:dyDescent="0.35">
      <c r="A181" s="7" t="s">
        <v>26</v>
      </c>
      <c r="B181" s="7"/>
      <c r="C181" s="4">
        <v>100</v>
      </c>
      <c r="D181" s="37">
        <v>0.9</v>
      </c>
      <c r="E181" s="29">
        <f>C181*D181/12*9+C179*D179/12*3</f>
        <v>90</v>
      </c>
      <c r="F181" s="15">
        <f t="shared" si="30"/>
        <v>54</v>
      </c>
      <c r="G181" s="15">
        <f t="shared" si="31"/>
        <v>36</v>
      </c>
      <c r="H181" s="4"/>
      <c r="I181" s="28">
        <v>0.6</v>
      </c>
      <c r="J181" s="55">
        <v>0.4</v>
      </c>
      <c r="K181" s="73"/>
      <c r="L181" s="3"/>
    </row>
    <row r="182" spans="1:12" x14ac:dyDescent="0.35">
      <c r="A182" s="3">
        <v>2025</v>
      </c>
      <c r="B182" s="3"/>
      <c r="C182" s="4">
        <v>100</v>
      </c>
      <c r="D182" s="5">
        <v>1.1100000000000001</v>
      </c>
      <c r="E182" s="38">
        <f>C182*D182</f>
        <v>111.00000000000001</v>
      </c>
      <c r="F182" s="4">
        <f t="shared" si="30"/>
        <v>66.600000000000009</v>
      </c>
      <c r="G182" s="4">
        <f t="shared" si="31"/>
        <v>44.400000000000006</v>
      </c>
      <c r="H182" s="4">
        <f>(E182-E181)</f>
        <v>21.000000000000014</v>
      </c>
      <c r="I182" s="4">
        <f>H182*I181</f>
        <v>12.600000000000009</v>
      </c>
      <c r="J182" s="71">
        <f>H182*J181</f>
        <v>8.4000000000000057</v>
      </c>
      <c r="K182" s="73">
        <f>(E182*0.5-F181)</f>
        <v>1.5000000000000071</v>
      </c>
      <c r="L182" s="71">
        <f>(E182*0.5-G181)</f>
        <v>19.500000000000007</v>
      </c>
    </row>
    <row r="183" spans="1:12" x14ac:dyDescent="0.35">
      <c r="A183" s="7" t="s">
        <v>39</v>
      </c>
      <c r="B183" s="7"/>
      <c r="C183" s="4">
        <v>100</v>
      </c>
      <c r="D183" s="37">
        <v>0.9</v>
      </c>
      <c r="E183" s="29">
        <f>C183*D183</f>
        <v>90</v>
      </c>
      <c r="F183" s="15">
        <f t="shared" si="30"/>
        <v>54</v>
      </c>
      <c r="G183" s="15">
        <f t="shared" si="31"/>
        <v>36</v>
      </c>
      <c r="H183" s="4"/>
      <c r="I183" s="28">
        <v>0.6</v>
      </c>
      <c r="J183" s="55">
        <v>0.4</v>
      </c>
      <c r="K183" s="73"/>
      <c r="L183" s="3"/>
    </row>
    <row r="184" spans="1:12" x14ac:dyDescent="0.35">
      <c r="A184" s="3">
        <v>2026</v>
      </c>
      <c r="B184" s="3"/>
      <c r="C184" s="4">
        <v>100</v>
      </c>
      <c r="D184" s="5">
        <v>1.1299999999999999</v>
      </c>
      <c r="E184" s="38">
        <f>C184*D184</f>
        <v>112.99999999999999</v>
      </c>
      <c r="F184" s="4">
        <f t="shared" si="30"/>
        <v>67.799999999999983</v>
      </c>
      <c r="G184" s="4">
        <f t="shared" si="31"/>
        <v>45.199999999999996</v>
      </c>
      <c r="H184" s="4">
        <f>E184-E183</f>
        <v>22.999999999999986</v>
      </c>
      <c r="I184" s="4">
        <f>H184*I183</f>
        <v>13.799999999999992</v>
      </c>
      <c r="J184" s="71">
        <f>H184*J183</f>
        <v>9.199999999999994</v>
      </c>
      <c r="K184" s="73">
        <f>(E184*0.4-F183)</f>
        <v>-8.8000000000000043</v>
      </c>
      <c r="L184" s="71">
        <f>(E184*0.6-G183)</f>
        <v>31.799999999999983</v>
      </c>
    </row>
    <row r="185" spans="1:12" x14ac:dyDescent="0.35">
      <c r="A185" s="97" t="s">
        <v>54</v>
      </c>
      <c r="B185" s="97"/>
      <c r="C185" s="97"/>
      <c r="D185" s="97"/>
      <c r="E185" s="97"/>
      <c r="F185" s="97"/>
      <c r="G185" s="97"/>
      <c r="H185" s="97"/>
      <c r="I185" s="97"/>
      <c r="J185" s="98"/>
      <c r="K185" s="81"/>
      <c r="L185" s="81"/>
    </row>
    <row r="186" spans="1:12" ht="43.5" x14ac:dyDescent="0.35">
      <c r="A186" s="7" t="s">
        <v>10</v>
      </c>
      <c r="B186" s="7"/>
      <c r="C186" s="6"/>
      <c r="D186" s="37"/>
      <c r="E186" s="27"/>
      <c r="F186" s="25"/>
      <c r="G186" s="25"/>
      <c r="H186" s="16"/>
      <c r="I186" s="3"/>
      <c r="J186" s="64"/>
      <c r="K186" s="90" t="s">
        <v>43</v>
      </c>
      <c r="L186" s="90" t="s">
        <v>42</v>
      </c>
    </row>
    <row r="187" spans="1:12" x14ac:dyDescent="0.35">
      <c r="A187" s="7" t="s">
        <v>19</v>
      </c>
      <c r="B187" s="7"/>
      <c r="C187" s="4">
        <v>300</v>
      </c>
      <c r="D187" s="37">
        <v>0.18</v>
      </c>
      <c r="E187" s="29">
        <f>D187*C187</f>
        <v>54</v>
      </c>
      <c r="F187" s="15">
        <f t="shared" ref="F187:F192" si="32">E187*0.6</f>
        <v>32.4</v>
      </c>
      <c r="G187" s="15">
        <f>E187*0.4</f>
        <v>21.6</v>
      </c>
      <c r="H187" s="16"/>
      <c r="I187" s="28">
        <v>0.6</v>
      </c>
      <c r="J187" s="55">
        <v>0.4</v>
      </c>
      <c r="K187" s="3"/>
      <c r="L187" s="3"/>
    </row>
    <row r="188" spans="1:12" x14ac:dyDescent="0.35">
      <c r="A188" s="3">
        <v>2024</v>
      </c>
      <c r="B188" s="3"/>
      <c r="C188" s="4">
        <v>300</v>
      </c>
      <c r="D188" s="5">
        <v>0.22</v>
      </c>
      <c r="E188" s="87">
        <f>C188*D188/12*9+C187*D187/12*3</f>
        <v>63</v>
      </c>
      <c r="F188" s="56">
        <f t="shared" si="32"/>
        <v>37.799999999999997</v>
      </c>
      <c r="G188" s="56">
        <f t="shared" ref="G188:G192" si="33">E188*0.4</f>
        <v>25.200000000000003</v>
      </c>
      <c r="H188" s="57">
        <f>E188-E187</f>
        <v>9</v>
      </c>
      <c r="I188" s="57">
        <f>H188*I187</f>
        <v>5.3999999999999995</v>
      </c>
      <c r="J188" s="73">
        <f>H188*J187</f>
        <v>3.6</v>
      </c>
      <c r="K188" s="73">
        <f>(E188*0.6-F187)</f>
        <v>5.3999999999999986</v>
      </c>
      <c r="L188" s="71">
        <f>(E188*0.4-G187)</f>
        <v>3.6000000000000014</v>
      </c>
    </row>
    <row r="189" spans="1:12" x14ac:dyDescent="0.35">
      <c r="A189" s="7" t="s">
        <v>26</v>
      </c>
      <c r="B189" s="7"/>
      <c r="C189" s="4">
        <v>300</v>
      </c>
      <c r="D189" s="37">
        <v>0.18</v>
      </c>
      <c r="E189" s="29">
        <f>C189*D189/12*9+C187*D187/12*3</f>
        <v>54</v>
      </c>
      <c r="F189" s="15">
        <f t="shared" si="32"/>
        <v>32.4</v>
      </c>
      <c r="G189" s="15">
        <f t="shared" si="33"/>
        <v>21.6</v>
      </c>
      <c r="H189" s="4"/>
      <c r="I189" s="28">
        <v>0.6</v>
      </c>
      <c r="J189" s="55">
        <v>0.4</v>
      </c>
      <c r="K189" s="73"/>
      <c r="L189" s="3"/>
    </row>
    <row r="190" spans="1:12" x14ac:dyDescent="0.35">
      <c r="A190" s="3">
        <v>2025</v>
      </c>
      <c r="B190" s="3"/>
      <c r="C190" s="4">
        <v>300</v>
      </c>
      <c r="D190" s="5">
        <v>0.22</v>
      </c>
      <c r="E190" s="38">
        <f>C190*D190</f>
        <v>66</v>
      </c>
      <c r="F190" s="4">
        <f t="shared" si="32"/>
        <v>39.6</v>
      </c>
      <c r="G190" s="4">
        <f t="shared" si="33"/>
        <v>26.400000000000002</v>
      </c>
      <c r="H190" s="4">
        <f>(E190-E189)</f>
        <v>12</v>
      </c>
      <c r="I190" s="4">
        <f>H190*I189</f>
        <v>7.1999999999999993</v>
      </c>
      <c r="J190" s="71">
        <f>H190*J189</f>
        <v>4.8000000000000007</v>
      </c>
      <c r="K190" s="73">
        <f>(E190*0.5-F189)</f>
        <v>0.60000000000000142</v>
      </c>
      <c r="L190" s="71">
        <f>(E190*0.5-G189)</f>
        <v>11.399999999999999</v>
      </c>
    </row>
    <row r="191" spans="1:12" x14ac:dyDescent="0.35">
      <c r="A191" s="7" t="s">
        <v>39</v>
      </c>
      <c r="B191" s="7"/>
      <c r="C191" s="4">
        <v>300</v>
      </c>
      <c r="D191" s="37">
        <v>0.18</v>
      </c>
      <c r="E191" s="29">
        <f>C191*D191</f>
        <v>54</v>
      </c>
      <c r="F191" s="15">
        <f t="shared" si="32"/>
        <v>32.4</v>
      </c>
      <c r="G191" s="15">
        <f t="shared" si="33"/>
        <v>21.6</v>
      </c>
      <c r="H191" s="4"/>
      <c r="I191" s="28">
        <v>0.6</v>
      </c>
      <c r="J191" s="55">
        <v>0.4</v>
      </c>
      <c r="K191" s="73"/>
      <c r="L191" s="3"/>
    </row>
    <row r="192" spans="1:12" x14ac:dyDescent="0.35">
      <c r="A192" s="3">
        <v>2026</v>
      </c>
      <c r="B192" s="3"/>
      <c r="C192" s="4">
        <v>300</v>
      </c>
      <c r="D192" s="5">
        <v>0.23</v>
      </c>
      <c r="E192" s="38">
        <f>C192*D192</f>
        <v>69</v>
      </c>
      <c r="F192" s="4">
        <f t="shared" si="32"/>
        <v>41.4</v>
      </c>
      <c r="G192" s="4">
        <f t="shared" si="33"/>
        <v>27.6</v>
      </c>
      <c r="H192" s="4">
        <f>E192-E191</f>
        <v>15</v>
      </c>
      <c r="I192" s="4">
        <f>H192*I191</f>
        <v>9</v>
      </c>
      <c r="J192" s="71">
        <f>H192*J191</f>
        <v>6</v>
      </c>
      <c r="K192" s="73">
        <f>(E192*0.4-F191)</f>
        <v>-4.7999999999999972</v>
      </c>
      <c r="L192" s="71">
        <f>(E192*0.6-G191)</f>
        <v>19.799999999999997</v>
      </c>
    </row>
    <row r="193" spans="1:12" x14ac:dyDescent="0.35">
      <c r="A193" s="97" t="s">
        <v>55</v>
      </c>
      <c r="B193" s="97"/>
      <c r="C193" s="97"/>
      <c r="D193" s="97"/>
      <c r="E193" s="97"/>
      <c r="F193" s="97"/>
      <c r="G193" s="97"/>
      <c r="H193" s="97"/>
      <c r="I193" s="97"/>
      <c r="J193" s="98"/>
      <c r="K193" s="81"/>
      <c r="L193" s="81"/>
    </row>
    <row r="194" spans="1:12" ht="43.5" x14ac:dyDescent="0.35">
      <c r="A194" s="7" t="s">
        <v>10</v>
      </c>
      <c r="B194" s="7"/>
      <c r="C194" s="6"/>
      <c r="D194" s="37"/>
      <c r="E194" s="27"/>
      <c r="F194" s="25"/>
      <c r="G194" s="25"/>
      <c r="H194" s="16"/>
      <c r="I194" s="3"/>
      <c r="J194" s="64"/>
      <c r="K194" s="90" t="s">
        <v>43</v>
      </c>
      <c r="L194" s="90" t="s">
        <v>42</v>
      </c>
    </row>
    <row r="195" spans="1:12" x14ac:dyDescent="0.35">
      <c r="A195" s="7" t="s">
        <v>19</v>
      </c>
      <c r="B195" s="7"/>
      <c r="C195" s="4">
        <v>300</v>
      </c>
      <c r="D195" s="37">
        <v>0.9</v>
      </c>
      <c r="E195" s="29">
        <f>D195*C195</f>
        <v>270</v>
      </c>
      <c r="F195" s="15">
        <f t="shared" ref="F195:F200" si="34">E195*0.6</f>
        <v>162</v>
      </c>
      <c r="G195" s="15">
        <f>E195*0.4</f>
        <v>108</v>
      </c>
      <c r="H195" s="16"/>
      <c r="I195" s="28">
        <v>0.6</v>
      </c>
      <c r="J195" s="55">
        <v>0.4</v>
      </c>
      <c r="K195" s="3"/>
      <c r="L195" s="3"/>
    </row>
    <row r="196" spans="1:12" x14ac:dyDescent="0.35">
      <c r="A196" s="3">
        <v>2024</v>
      </c>
      <c r="B196" s="3"/>
      <c r="C196" s="4">
        <v>300</v>
      </c>
      <c r="D196" s="5">
        <v>1.0900000000000001</v>
      </c>
      <c r="E196" s="87">
        <f>C196*D196/12*9+C195*D195/12*3</f>
        <v>312.75</v>
      </c>
      <c r="F196" s="56">
        <f t="shared" si="34"/>
        <v>187.65</v>
      </c>
      <c r="G196" s="56">
        <f t="shared" ref="G196:G200" si="35">E196*0.4</f>
        <v>125.10000000000001</v>
      </c>
      <c r="H196" s="57">
        <f>E196-E195</f>
        <v>42.75</v>
      </c>
      <c r="I196" s="57">
        <f>H196*I195</f>
        <v>25.65</v>
      </c>
      <c r="J196" s="73">
        <f>H196*J195</f>
        <v>17.100000000000001</v>
      </c>
      <c r="K196" s="73">
        <f>(E196*0.6-F195)</f>
        <v>25.650000000000006</v>
      </c>
      <c r="L196" s="71">
        <f>(E196*0.4-G195)</f>
        <v>17.100000000000009</v>
      </c>
    </row>
    <row r="197" spans="1:12" x14ac:dyDescent="0.35">
      <c r="A197" s="7" t="s">
        <v>26</v>
      </c>
      <c r="B197" s="7"/>
      <c r="C197" s="4">
        <v>300</v>
      </c>
      <c r="D197" s="37">
        <v>0.9</v>
      </c>
      <c r="E197" s="29">
        <f>C197*D197/12*9+C195*D195/12*3</f>
        <v>270</v>
      </c>
      <c r="F197" s="15">
        <f t="shared" si="34"/>
        <v>162</v>
      </c>
      <c r="G197" s="15">
        <f t="shared" si="35"/>
        <v>108</v>
      </c>
      <c r="H197" s="4"/>
      <c r="I197" s="28">
        <v>0.6</v>
      </c>
      <c r="J197" s="55">
        <v>0.4</v>
      </c>
      <c r="K197" s="73"/>
      <c r="L197" s="3"/>
    </row>
    <row r="198" spans="1:12" x14ac:dyDescent="0.35">
      <c r="A198" s="3">
        <v>2025</v>
      </c>
      <c r="B198" s="3"/>
      <c r="C198" s="4">
        <v>300</v>
      </c>
      <c r="D198" s="5">
        <v>1.1100000000000001</v>
      </c>
      <c r="E198" s="38">
        <f>C198*D198</f>
        <v>333.00000000000006</v>
      </c>
      <c r="F198" s="4">
        <f t="shared" si="34"/>
        <v>199.80000000000004</v>
      </c>
      <c r="G198" s="4">
        <f t="shared" si="35"/>
        <v>133.20000000000002</v>
      </c>
      <c r="H198" s="4">
        <f>(E198-E197)</f>
        <v>63.000000000000057</v>
      </c>
      <c r="I198" s="4">
        <f>H198*I197</f>
        <v>37.800000000000033</v>
      </c>
      <c r="J198" s="71">
        <f>H198*J197</f>
        <v>25.200000000000024</v>
      </c>
      <c r="K198" s="73">
        <f>(E198*0.5-F197)</f>
        <v>4.5000000000000284</v>
      </c>
      <c r="L198" s="71">
        <f>(E198*0.5-G197)</f>
        <v>58.500000000000028</v>
      </c>
    </row>
    <row r="199" spans="1:12" x14ac:dyDescent="0.35">
      <c r="A199" s="7" t="s">
        <v>39</v>
      </c>
      <c r="B199" s="7"/>
      <c r="C199" s="4">
        <v>300</v>
      </c>
      <c r="D199" s="37">
        <v>0.9</v>
      </c>
      <c r="E199" s="29">
        <f>C199*D199</f>
        <v>270</v>
      </c>
      <c r="F199" s="15">
        <f t="shared" si="34"/>
        <v>162</v>
      </c>
      <c r="G199" s="15">
        <f t="shared" si="35"/>
        <v>108</v>
      </c>
      <c r="H199" s="4"/>
      <c r="I199" s="28">
        <v>0.6</v>
      </c>
      <c r="J199" s="55">
        <v>0.4</v>
      </c>
      <c r="K199" s="73"/>
      <c r="L199" s="3"/>
    </row>
    <row r="200" spans="1:12" x14ac:dyDescent="0.35">
      <c r="A200" s="3">
        <v>2026</v>
      </c>
      <c r="B200" s="3"/>
      <c r="C200" s="4">
        <v>300</v>
      </c>
      <c r="D200" s="5">
        <v>1.1299999999999999</v>
      </c>
      <c r="E200" s="38">
        <f>C200*D200</f>
        <v>338.99999999999994</v>
      </c>
      <c r="F200" s="4">
        <f t="shared" si="34"/>
        <v>203.39999999999995</v>
      </c>
      <c r="G200" s="4">
        <f t="shared" si="35"/>
        <v>135.6</v>
      </c>
      <c r="H200" s="4">
        <f>E200-E199</f>
        <v>68.999999999999943</v>
      </c>
      <c r="I200" s="4">
        <f>H200*I199</f>
        <v>41.399999999999963</v>
      </c>
      <c r="J200" s="71">
        <f>H200*J199</f>
        <v>27.59999999999998</v>
      </c>
      <c r="K200" s="73">
        <f>(E200*0.4-F199)</f>
        <v>-26.400000000000006</v>
      </c>
      <c r="L200" s="71">
        <f>(E200*0.6-G199)</f>
        <v>95.399999999999949</v>
      </c>
    </row>
    <row r="201" spans="1:12" x14ac:dyDescent="0.35">
      <c r="A201" s="99" t="s">
        <v>56</v>
      </c>
      <c r="B201" s="99"/>
      <c r="C201" s="99"/>
      <c r="D201" s="99"/>
      <c r="E201" s="99"/>
      <c r="F201" s="99"/>
      <c r="G201" s="99"/>
      <c r="H201" s="99"/>
      <c r="I201" s="99"/>
      <c r="J201" s="100"/>
      <c r="K201" s="81"/>
      <c r="L201" s="81"/>
    </row>
    <row r="202" spans="1:12" ht="43.5" x14ac:dyDescent="0.35">
      <c r="A202" s="7" t="s">
        <v>10</v>
      </c>
      <c r="B202" s="7"/>
      <c r="C202" s="6"/>
      <c r="D202" s="37"/>
      <c r="E202" s="27"/>
      <c r="F202" s="22">
        <v>1</v>
      </c>
      <c r="G202" s="22">
        <v>0</v>
      </c>
      <c r="H202" s="16"/>
      <c r="I202" s="5">
        <v>1</v>
      </c>
      <c r="J202" s="65">
        <v>0</v>
      </c>
      <c r="K202" s="3">
        <v>1</v>
      </c>
      <c r="L202" s="3">
        <v>0</v>
      </c>
    </row>
    <row r="203" spans="1:12" x14ac:dyDescent="0.35">
      <c r="A203" s="7" t="s">
        <v>19</v>
      </c>
      <c r="B203" s="7"/>
      <c r="C203" s="4">
        <v>0</v>
      </c>
      <c r="D203" s="37">
        <v>0</v>
      </c>
      <c r="E203" s="29">
        <f>C203*D203</f>
        <v>0</v>
      </c>
      <c r="F203" s="15">
        <f t="shared" ref="F203:F208" si="36">E203</f>
        <v>0</v>
      </c>
      <c r="G203" s="15">
        <v>0</v>
      </c>
      <c r="H203" s="16"/>
      <c r="I203" s="3">
        <f>F203*I202-F203</f>
        <v>0</v>
      </c>
      <c r="J203" s="64">
        <f>F203*J202-G203</f>
        <v>0</v>
      </c>
      <c r="K203" s="3"/>
      <c r="L203" s="3"/>
    </row>
    <row r="204" spans="1:12" x14ac:dyDescent="0.35">
      <c r="A204" s="3">
        <v>2024</v>
      </c>
      <c r="B204" s="3"/>
      <c r="C204" s="6">
        <v>570000</v>
      </c>
      <c r="D204" s="5">
        <v>1.25</v>
      </c>
      <c r="E204" s="23">
        <f>C204*D204/12*6</f>
        <v>356250</v>
      </c>
      <c r="F204" s="4">
        <f>E204</f>
        <v>356250</v>
      </c>
      <c r="G204" s="4">
        <v>0</v>
      </c>
      <c r="H204" s="4">
        <f>F204</f>
        <v>356250</v>
      </c>
      <c r="I204" s="20">
        <f>H204*I202</f>
        <v>356250</v>
      </c>
      <c r="J204" s="69">
        <f>H204*J202</f>
        <v>0</v>
      </c>
      <c r="K204" s="4">
        <f>I204</f>
        <v>356250</v>
      </c>
      <c r="L204" s="4">
        <f>J204</f>
        <v>0</v>
      </c>
    </row>
    <row r="205" spans="1:12" x14ac:dyDescent="0.35">
      <c r="A205" s="7" t="s">
        <v>26</v>
      </c>
      <c r="B205" s="7"/>
      <c r="C205" s="4">
        <v>0</v>
      </c>
      <c r="D205" s="37">
        <v>0</v>
      </c>
      <c r="E205" s="4">
        <f>C205*D205</f>
        <v>0</v>
      </c>
      <c r="F205" s="15">
        <f t="shared" si="36"/>
        <v>0</v>
      </c>
      <c r="G205" s="15">
        <v>0</v>
      </c>
      <c r="H205" s="4"/>
      <c r="I205" s="4">
        <f>F205*I202-F205</f>
        <v>0</v>
      </c>
      <c r="J205" s="71">
        <f>F205*J202-G205</f>
        <v>0</v>
      </c>
      <c r="K205" s="3"/>
      <c r="L205" s="3"/>
    </row>
    <row r="206" spans="1:12" ht="17.149999999999999" customHeight="1" x14ac:dyDescent="0.35">
      <c r="A206" s="3">
        <v>2025</v>
      </c>
      <c r="B206" s="3"/>
      <c r="C206" s="23">
        <v>570000</v>
      </c>
      <c r="D206" s="5">
        <v>1.25</v>
      </c>
      <c r="E206" s="23">
        <f>C206*D206</f>
        <v>712500</v>
      </c>
      <c r="F206" s="56">
        <f>E206</f>
        <v>712500</v>
      </c>
      <c r="G206" s="56">
        <v>0</v>
      </c>
      <c r="H206" s="56">
        <f>E206</f>
        <v>712500</v>
      </c>
      <c r="I206" s="56">
        <f>H206*I202</f>
        <v>712500</v>
      </c>
      <c r="J206" s="71">
        <f>H206*J202</f>
        <v>0</v>
      </c>
      <c r="K206" s="4">
        <f>I206</f>
        <v>712500</v>
      </c>
      <c r="L206" s="4">
        <f>J206</f>
        <v>0</v>
      </c>
    </row>
    <row r="207" spans="1:12" x14ac:dyDescent="0.35">
      <c r="A207" s="7" t="s">
        <v>39</v>
      </c>
      <c r="B207" s="7"/>
      <c r="C207" s="4">
        <v>0</v>
      </c>
      <c r="D207" s="37">
        <v>0</v>
      </c>
      <c r="E207" s="4">
        <f>C207*D207</f>
        <v>0</v>
      </c>
      <c r="F207" s="15">
        <f t="shared" si="36"/>
        <v>0</v>
      </c>
      <c r="G207" s="15">
        <v>0</v>
      </c>
      <c r="H207" s="4"/>
      <c r="I207" s="4">
        <f>F207*I202-F207</f>
        <v>0</v>
      </c>
      <c r="J207" s="71">
        <f>F207*J202-G207</f>
        <v>0</v>
      </c>
      <c r="K207" s="3"/>
      <c r="L207" s="3"/>
    </row>
    <row r="208" spans="1:12" x14ac:dyDescent="0.35">
      <c r="A208" s="3">
        <v>2026</v>
      </c>
      <c r="B208" s="3"/>
      <c r="C208" s="23">
        <f>C206*0.95</f>
        <v>541500</v>
      </c>
      <c r="D208" s="5">
        <v>1.25</v>
      </c>
      <c r="E208" s="23">
        <f>C208*D208</f>
        <v>676875</v>
      </c>
      <c r="F208" s="4">
        <f t="shared" si="36"/>
        <v>676875</v>
      </c>
      <c r="G208" s="4">
        <v>0</v>
      </c>
      <c r="H208" s="4">
        <f>E208-E207</f>
        <v>676875</v>
      </c>
      <c r="I208" s="4">
        <f>H208*I202</f>
        <v>676875</v>
      </c>
      <c r="J208" s="71">
        <f>H208*J202</f>
        <v>0</v>
      </c>
      <c r="K208" s="4">
        <f>I208</f>
        <v>676875</v>
      </c>
      <c r="L208" s="4">
        <f>J208</f>
        <v>0</v>
      </c>
    </row>
    <row r="209" spans="1:12" ht="14.5" customHeight="1" x14ac:dyDescent="0.35">
      <c r="A209" s="99" t="s">
        <v>57</v>
      </c>
      <c r="B209" s="99"/>
      <c r="C209" s="99"/>
      <c r="D209" s="99"/>
      <c r="E209" s="99"/>
      <c r="F209" s="99"/>
      <c r="G209" s="99"/>
      <c r="H209" s="99"/>
      <c r="I209" s="99"/>
      <c r="J209" s="100"/>
      <c r="K209" s="81"/>
      <c r="L209" s="81"/>
    </row>
    <row r="210" spans="1:12" ht="43.5" x14ac:dyDescent="0.35">
      <c r="A210" s="7" t="s">
        <v>10</v>
      </c>
      <c r="B210" s="7"/>
      <c r="C210" s="6"/>
      <c r="D210" s="37"/>
      <c r="E210" s="27"/>
      <c r="F210" s="25"/>
      <c r="G210" s="25"/>
      <c r="H210" s="16"/>
      <c r="I210" s="3"/>
      <c r="J210" s="64"/>
      <c r="K210" s="90" t="s">
        <v>43</v>
      </c>
      <c r="L210" s="90" t="s">
        <v>42</v>
      </c>
    </row>
    <row r="211" spans="1:12" x14ac:dyDescent="0.35">
      <c r="A211" s="7" t="s">
        <v>19</v>
      </c>
      <c r="B211" s="7"/>
      <c r="C211" s="4"/>
      <c r="D211" s="37"/>
      <c r="E211" s="29">
        <f>46469551-24597251-E43-E67-E75-E83-E91-E99-E50-E107-E115-E123-E131-E139-E147-E155-E163-E171-E179-E187-E195</f>
        <v>16732333</v>
      </c>
      <c r="F211" s="15">
        <f t="shared" ref="F211:F216" si="37">E211*0.6</f>
        <v>10039399.799999999</v>
      </c>
      <c r="G211" s="15">
        <f>E211*0.4</f>
        <v>6692933.2000000002</v>
      </c>
      <c r="H211" s="16"/>
      <c r="I211" s="28">
        <v>0.6</v>
      </c>
      <c r="J211" s="55">
        <v>0.4</v>
      </c>
      <c r="K211" s="3"/>
      <c r="L211" s="3"/>
    </row>
    <row r="212" spans="1:12" x14ac:dyDescent="0.35">
      <c r="A212" s="3">
        <v>2024</v>
      </c>
      <c r="B212" s="3"/>
      <c r="C212" s="6"/>
      <c r="D212" s="5"/>
      <c r="E212" s="23">
        <f>E211</f>
        <v>16732333</v>
      </c>
      <c r="F212" s="56">
        <f t="shared" si="37"/>
        <v>10039399.799999999</v>
      </c>
      <c r="G212" s="56">
        <f t="shared" ref="G212:G216" si="38">E212*0.4</f>
        <v>6692933.2000000002</v>
      </c>
      <c r="H212" s="57">
        <f>E212-E211</f>
        <v>0</v>
      </c>
      <c r="I212" s="57">
        <f>H212*I211</f>
        <v>0</v>
      </c>
      <c r="J212" s="73">
        <f>H212*J211</f>
        <v>0</v>
      </c>
      <c r="K212" s="73">
        <f>(E212*0.6-F211)</f>
        <v>0</v>
      </c>
      <c r="L212" s="71">
        <f>(E212*0.4-G211)</f>
        <v>0</v>
      </c>
    </row>
    <row r="213" spans="1:12" x14ac:dyDescent="0.35">
      <c r="A213" s="7" t="s">
        <v>26</v>
      </c>
      <c r="B213" s="7"/>
      <c r="C213" s="4"/>
      <c r="D213" s="37"/>
      <c r="E213" s="4">
        <f>E211+E211*0.03</f>
        <v>17234302.989999998</v>
      </c>
      <c r="F213" s="15">
        <f t="shared" si="37"/>
        <v>10340581.793999998</v>
      </c>
      <c r="G213" s="15">
        <f t="shared" si="38"/>
        <v>6893721.1959999995</v>
      </c>
      <c r="H213" s="4"/>
      <c r="I213" s="28">
        <v>0.6</v>
      </c>
      <c r="J213" s="55">
        <v>0.4</v>
      </c>
      <c r="K213" s="73"/>
      <c r="L213" s="3"/>
    </row>
    <row r="214" spans="1:12" x14ac:dyDescent="0.35">
      <c r="A214" s="3">
        <v>2025</v>
      </c>
      <c r="B214" s="3"/>
      <c r="C214" s="23"/>
      <c r="D214" s="5"/>
      <c r="E214" s="23">
        <f>E213</f>
        <v>17234302.989999998</v>
      </c>
      <c r="F214" s="4">
        <f t="shared" si="37"/>
        <v>10340581.793999998</v>
      </c>
      <c r="G214" s="4">
        <f t="shared" si="38"/>
        <v>6893721.1959999995</v>
      </c>
      <c r="H214" s="4">
        <f>(E214-E213)</f>
        <v>0</v>
      </c>
      <c r="I214" s="4">
        <f>H214*I213</f>
        <v>0</v>
      </c>
      <c r="J214" s="71">
        <f>H214*J213</f>
        <v>0</v>
      </c>
      <c r="K214" s="73">
        <f>(E214*0.5-F213)</f>
        <v>-1723430.2989999987</v>
      </c>
      <c r="L214" s="71">
        <f>(E214*0.5-G213)</f>
        <v>1723430.2989999996</v>
      </c>
    </row>
    <row r="215" spans="1:12" x14ac:dyDescent="0.35">
      <c r="A215" s="7" t="s">
        <v>39</v>
      </c>
      <c r="B215" s="7"/>
      <c r="C215" s="4"/>
      <c r="D215" s="37"/>
      <c r="E215" s="4">
        <f>E214+E214*0.03</f>
        <v>17751332.079699997</v>
      </c>
      <c r="F215" s="15">
        <f t="shared" si="37"/>
        <v>10650799.247819997</v>
      </c>
      <c r="G215" s="15">
        <f t="shared" si="38"/>
        <v>7100532.8318799995</v>
      </c>
      <c r="H215" s="4"/>
      <c r="I215" s="28">
        <v>0.6</v>
      </c>
      <c r="J215" s="55">
        <v>0.4</v>
      </c>
      <c r="K215" s="73"/>
      <c r="L215" s="3"/>
    </row>
    <row r="216" spans="1:12" x14ac:dyDescent="0.35">
      <c r="A216" s="3">
        <v>2026</v>
      </c>
      <c r="B216" s="3"/>
      <c r="C216" s="23"/>
      <c r="D216" s="5"/>
      <c r="E216" s="23">
        <f>E215</f>
        <v>17751332.079699997</v>
      </c>
      <c r="F216" s="4">
        <f t="shared" si="37"/>
        <v>10650799.247819997</v>
      </c>
      <c r="G216" s="4">
        <f t="shared" si="38"/>
        <v>7100532.8318799995</v>
      </c>
      <c r="H216" s="4">
        <f>E216-E215</f>
        <v>0</v>
      </c>
      <c r="I216" s="4">
        <f>H216*I215</f>
        <v>0</v>
      </c>
      <c r="J216" s="71">
        <f>H216*J215</f>
        <v>0</v>
      </c>
      <c r="K216" s="73">
        <f>(E216*0.4-F215)</f>
        <v>-3550266.4159399979</v>
      </c>
      <c r="L216" s="71">
        <f>(E216*0.6-G215)</f>
        <v>3550266.4159399979</v>
      </c>
    </row>
    <row r="217" spans="1:12" x14ac:dyDescent="0.35">
      <c r="C217" s="94"/>
      <c r="D217" s="86"/>
      <c r="E217" s="94"/>
      <c r="F217" s="2"/>
      <c r="G217" s="2"/>
      <c r="H217" s="2"/>
      <c r="I217" s="2"/>
      <c r="J217" s="95"/>
      <c r="K217" s="2"/>
      <c r="L217" s="2"/>
    </row>
    <row r="218" spans="1:12" x14ac:dyDescent="0.35">
      <c r="C218" s="45"/>
      <c r="E218" s="45"/>
      <c r="F218" s="2"/>
      <c r="H218" s="2"/>
      <c r="I218" s="2"/>
      <c r="J218" s="2"/>
    </row>
    <row r="219" spans="1:12" x14ac:dyDescent="0.35">
      <c r="C219" s="45"/>
      <c r="E219" s="45"/>
      <c r="F219" s="2"/>
      <c r="H219" s="2"/>
      <c r="I219" s="2"/>
      <c r="J219" s="2"/>
    </row>
    <row r="220" spans="1:12" x14ac:dyDescent="0.35">
      <c r="A220" s="85" t="s">
        <v>41</v>
      </c>
      <c r="B220" s="85"/>
      <c r="C220" s="53"/>
      <c r="D220" s="53"/>
      <c r="E220" s="53"/>
      <c r="F220" s="53"/>
      <c r="G220" s="53"/>
      <c r="H220" s="53"/>
      <c r="I220" s="53"/>
      <c r="J220" s="53"/>
    </row>
    <row r="221" spans="1:12" x14ac:dyDescent="0.35">
      <c r="A221" t="s">
        <v>20</v>
      </c>
    </row>
    <row r="222" spans="1:12" x14ac:dyDescent="0.35">
      <c r="A222" s="19" t="s">
        <v>17</v>
      </c>
      <c r="J222" s="21"/>
    </row>
    <row r="223" spans="1:12" x14ac:dyDescent="0.35">
      <c r="A223" s="19" t="s">
        <v>18</v>
      </c>
    </row>
    <row r="224" spans="1:12" x14ac:dyDescent="0.35">
      <c r="A224" s="24" t="s">
        <v>25</v>
      </c>
      <c r="B224" s="24"/>
      <c r="C224" s="24"/>
      <c r="D224" s="24"/>
      <c r="E224" s="24"/>
    </row>
    <row r="225" spans="1:6" x14ac:dyDescent="0.35">
      <c r="A225" s="36" t="s">
        <v>40</v>
      </c>
      <c r="B225" s="36"/>
      <c r="C225" s="36"/>
      <c r="D225" s="36"/>
      <c r="E225" s="36"/>
      <c r="F225" s="36"/>
    </row>
    <row r="261" spans="11:12" ht="15" customHeight="1" x14ac:dyDescent="0.35"/>
    <row r="269" spans="11:12" x14ac:dyDescent="0.35">
      <c r="K269" s="21"/>
      <c r="L269" s="21"/>
    </row>
    <row r="277" spans="11:12" x14ac:dyDescent="0.35">
      <c r="K277" s="21"/>
      <c r="L277" s="21"/>
    </row>
    <row r="285" spans="11:12" x14ac:dyDescent="0.35">
      <c r="K285" s="21"/>
      <c r="L285" s="21"/>
    </row>
    <row r="293" ht="15" customHeight="1" x14ac:dyDescent="0.35"/>
  </sheetData>
  <mergeCells count="34">
    <mergeCell ref="A33:J33"/>
    <mergeCell ref="A41:J41"/>
    <mergeCell ref="A73:J73"/>
    <mergeCell ref="A81:J81"/>
    <mergeCell ref="A97:J97"/>
    <mergeCell ref="A89:J89"/>
    <mergeCell ref="A209:J209"/>
    <mergeCell ref="K1:L1"/>
    <mergeCell ref="A65:J65"/>
    <mergeCell ref="A49:J49"/>
    <mergeCell ref="A57:J57"/>
    <mergeCell ref="A15:J15"/>
    <mergeCell ref="B5:B6"/>
    <mergeCell ref="C5:C6"/>
    <mergeCell ref="D5:D6"/>
    <mergeCell ref="E5:E6"/>
    <mergeCell ref="A23:J23"/>
    <mergeCell ref="A5:A6"/>
    <mergeCell ref="H5:J5"/>
    <mergeCell ref="A4:L4"/>
    <mergeCell ref="K5:L5"/>
    <mergeCell ref="A201:J201"/>
    <mergeCell ref="A105:J105"/>
    <mergeCell ref="A113:J113"/>
    <mergeCell ref="A121:J121"/>
    <mergeCell ref="A129:J129"/>
    <mergeCell ref="A137:J137"/>
    <mergeCell ref="A185:J185"/>
    <mergeCell ref="A193:J193"/>
    <mergeCell ref="A145:J145"/>
    <mergeCell ref="A153:J153"/>
    <mergeCell ref="A161:J161"/>
    <mergeCell ref="A169:J169"/>
    <mergeCell ref="A177:J177"/>
  </mergeCells>
  <phoneticPr fontId="3" type="noConversion"/>
  <pageMargins left="0.23622047244094491" right="0.23622047244094491" top="0.74803149606299213" bottom="0.74803149606299213" header="0.31496062992125984" footer="0.31496062992125984"/>
  <pageSetup paperSize="9" scale="83" fitToHeight="0" orientation="landscape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DRN_aprēķins</vt:lpstr>
      <vt:lpstr>DRN_aprēķins!Print_Titles</vt:lpstr>
    </vt:vector>
  </TitlesOfParts>
  <Company>VARAM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"Grozījumi Dabas resursu nodokļa likumā"</dc:title>
  <dc:subject>Anotācijas 1. pielikums</dc:subject>
  <dc:creator>Kristīne Gāga</dc:creator>
  <dc:description>kristine.gaga@varam.gov.lv, 67026518</dc:description>
  <cp:lastModifiedBy>Ramona Uzulniece</cp:lastModifiedBy>
  <cp:lastPrinted>2023-04-26T06:23:01Z</cp:lastPrinted>
  <dcterms:created xsi:type="dcterms:W3CDTF">2016-08-19T07:31:39Z</dcterms:created>
  <dcterms:modified xsi:type="dcterms:W3CDTF">2023-09-15T12:52:07Z</dcterms:modified>
</cp:coreProperties>
</file>