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PSIHIATRIJA_PUSAUDŽI\Izdevumu_pārstrukturēšana_2023\"/>
    </mc:Choice>
  </mc:AlternateContent>
  <xr:revisionPtr revIDLastSave="0" documentId="13_ncr:1_{4DCF60E3-E9AB-44C5-A367-87DC98E947EF}" xr6:coauthVersionLast="47" xr6:coauthVersionMax="47" xr10:uidLastSave="{00000000-0000-0000-0000-000000000000}"/>
  <bookViews>
    <workbookView xWindow="-120" yWindow="-120" windowWidth="29040" windowHeight="15840" tabRatio="714" xr2:uid="{1BD95497-F04B-4912-A650-3DBB4634FD4B}"/>
  </bookViews>
  <sheets>
    <sheet name="1.piel_PRC 2023" sheetId="2" r:id="rId1"/>
    <sheet name="2.piel_PRC 2024 un turp" sheetId="3" r:id="rId2"/>
    <sheet name="3.piel_Pārdales aprēķini" sheetId="4" r:id="rId3"/>
    <sheet name="04_P aprēķins2_bija PP" sheetId="5"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1_2_d_NMP_lim" localSheetId="3">#REF!</definedName>
    <definedName name="_1_2_d_NMP_lim" localSheetId="0">#REF!</definedName>
    <definedName name="_1_2_d_NMP_lim" localSheetId="1">#REF!</definedName>
    <definedName name="_1_2_d_NMP_lim">#REF!</definedName>
    <definedName name="_xlnm._FilterDatabase" localSheetId="0" hidden="1">'1.piel_PRC 2023'!$A$41:$V$173</definedName>
    <definedName name="_xlnm._FilterDatabase" localSheetId="1" hidden="1">'2.piel_PRC 2024 un turp'!$A$10:$Y$49</definedName>
    <definedName name="aa" localSheetId="0">#REF!</definedName>
    <definedName name="aa" localSheetId="1">#REF!</definedName>
    <definedName name="aa">#REF!</definedName>
    <definedName name="_xlnm.Auto_Open" localSheetId="0">#REF!</definedName>
    <definedName name="_xlnm.Auto_Open" localSheetId="1">#REF!</definedName>
    <definedName name="_xlnm.Auto_Open">#REF!</definedName>
    <definedName name="b" localSheetId="0">#REF!</definedName>
    <definedName name="b" localSheetId="1">#REF!</definedName>
    <definedName name="b">#REF!</definedName>
    <definedName name="BEx3ATHHUCGCIRND8KLAREDV3L40" localSheetId="0" hidden="1">[1]HEADER!#REF!</definedName>
    <definedName name="BEx3ATHHUCGCIRND8KLAREDV3L40" localSheetId="1" hidden="1">[1]HEADER!#REF!</definedName>
    <definedName name="BEx3ATHHUCGCIRND8KLAREDV3L40" hidden="1">[1]HEADER!#REF!</definedName>
    <definedName name="BEx3QB2RILYEXIROLAFCWQMOJXMN" localSheetId="0" hidden="1">[1]HEADER!#REF!</definedName>
    <definedName name="BEx3QB2RILYEXIROLAFCWQMOJXMN" localSheetId="1" hidden="1">[1]HEADER!#REF!</definedName>
    <definedName name="BEx3QB2RILYEXIROLAFCWQMOJXMN" hidden="1">[1]HEADER!#REF!</definedName>
    <definedName name="BEx3RIJ9LXPXWNF4BFBFA4ILG6AY" localSheetId="0" hidden="1">[1]HEADER!#REF!</definedName>
    <definedName name="BEx3RIJ9LXPXWNF4BFBFA4ILG6AY" localSheetId="1" hidden="1">[1]HEADER!#REF!</definedName>
    <definedName name="BEx3RIJ9LXPXWNF4BFBFA4ILG6AY" hidden="1">[1]HEADER!#REF!</definedName>
    <definedName name="BEx3T3XEKJ0I8634YNR6MPN3OBQL" localSheetId="0" hidden="1">[1]HEADER!#REF!</definedName>
    <definedName name="BEx3T3XEKJ0I8634YNR6MPN3OBQL" localSheetId="1"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3">#REF!</definedName>
    <definedName name="bt" localSheetId="0">#REF!</definedName>
    <definedName name="bt" localSheetId="1">#REF!</definedName>
    <definedName name="bt">#REF!</definedName>
    <definedName name="BX" localSheetId="0">#REF!</definedName>
    <definedName name="BX" localSheetId="1">#REF!</definedName>
    <definedName name="BX">#REF!</definedName>
    <definedName name="CalendarYear" localSheetId="0">#REF!</definedName>
    <definedName name="CalendarYear" localSheetId="1">#REF!</definedName>
    <definedName name="CalendarYear">#REF!</definedName>
    <definedName name="ccc">#REF!</definedName>
    <definedName name="d">#REF!</definedName>
    <definedName name="D_Evija3">#REF!</definedName>
    <definedName name="DaysAndWeeks" localSheetId="0">{0,1,2,3,4,5,6} + {0;1;2;3;4;5}*7</definedName>
    <definedName name="DaysAndWeeks" localSheetId="1">{0,1,2,3,4,5,6} + {0;1;2;3;4;5}*7</definedName>
    <definedName name="DaysAndWeeks">{0,1,2,3,4,5,6} + {0;1;2;3;4;5}*7</definedName>
    <definedName name="de" localSheetId="3">#REF!</definedName>
    <definedName name="de" localSheetId="0">#REF!</definedName>
    <definedName name="de" localSheetId="1">#REF!</definedName>
    <definedName name="de">#REF!</definedName>
    <definedName name="dff">#NAME?</definedName>
    <definedName name="dgdfs">#REF!</definedName>
    <definedName name="DRGNAMES" localSheetId="3">#REF!</definedName>
    <definedName name="DRGNAMES" localSheetId="0">#REF!</definedName>
    <definedName name="DRGNAMES" localSheetId="1">#REF!</definedName>
    <definedName name="DRGNAMES">#REF!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{0,1,2,3,4,5,6} + {0;1;2;3;4;5}*7</definedName>
    <definedName name="Gala_kopsavilkums">#REF!</definedName>
    <definedName name="gggg" localSheetId="3">#REF!</definedName>
    <definedName name="gggg" localSheetId="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 localSheetId="3">[2]izm.posteni!$A$2:$A$216</definedName>
    <definedName name="izm.kods_1">[3]izm.posteni!$A$2:$A$216</definedName>
    <definedName name="izm.nos" localSheetId="3">#REF!</definedName>
    <definedName name="izm.nos" localSheetId="0">#REF!</definedName>
    <definedName name="izm.nos" localSheetId="1">#REF!</definedName>
    <definedName name="izm.nos">#REF!</definedName>
    <definedName name="izm.nos_1" localSheetId="3">[2]izm.posteni!$B$2:$B$216</definedName>
    <definedName name="izm.nos_1">[3]izm.posteni!$B$2:$B$216</definedName>
    <definedName name="jhg" localSheetId="3">#REF!</definedName>
    <definedName name="jhg" localSheetId="0">#REF!</definedName>
    <definedName name="jhg" localSheetId="1">#REF!</definedName>
    <definedName name="jhg">#REF!</definedName>
    <definedName name="kk" localSheetId="0">#REF!</definedName>
    <definedName name="kk" localSheetId="1">#REF!</definedName>
    <definedName name="kk">#REF!</definedName>
    <definedName name="l" localSheetId="0">#REF!</definedName>
    <definedName name="l" localSheetId="1">#REF!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 localSheetId="3">#REF!</definedName>
    <definedName name="n" localSheetId="0">#REF!</definedName>
    <definedName name="n" localSheetId="1">#REF!</definedName>
    <definedName name="n">#REF!</definedName>
    <definedName name="P_Dati_rikojums" localSheetId="0">#REF!</definedName>
    <definedName name="P_Dati_rikojums" localSheetId="1">#REF!</definedName>
    <definedName name="P_Dati_rikojums">#REF!</definedName>
    <definedName name="pp" localSheetId="0">#REF!</definedName>
    <definedName name="pp" localSheetId="1">#REF!</definedName>
    <definedName name="pp">#REF!</definedName>
    <definedName name="Recover" localSheetId="1">[4]Macro1!$A$135</definedName>
    <definedName name="Recover">[5]Macro1!$A$80</definedName>
    <definedName name="Rikojums2222" localSheetId="3">[6]Macro1!$A$106</definedName>
    <definedName name="Rikojums2222" localSheetId="1">[6]Macro1!$A$106</definedName>
    <definedName name="Rikojums2222">[7]Macro1!$A$106</definedName>
    <definedName name="rr" localSheetId="3">#REF!</definedName>
    <definedName name="rr" localSheetId="0">#REF!</definedName>
    <definedName name="rr" localSheetId="1">#REF!</definedName>
    <definedName name="rr">#REF!</definedName>
    <definedName name="rt" localSheetId="0">#REF!</definedName>
    <definedName name="rt" localSheetId="1">#REF!</definedName>
    <definedName name="rt">#REF!</definedName>
    <definedName name="rty" localSheetId="0">#REF!</definedName>
    <definedName name="rty" localSheetId="1">#REF!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3">[2]strukturkodi!$B$2:$B$232</definedName>
    <definedName name="Struktūrvien.kodi2_1">[3]strukturkodi!$B$2:$B$232</definedName>
    <definedName name="Struktūrvien.kods" localSheetId="3">#REF!</definedName>
    <definedName name="Struktūrvien.kods" localSheetId="0">#REF!</definedName>
    <definedName name="Struktūrvien.kods" localSheetId="1">#REF!</definedName>
    <definedName name="Struktūrvien.kods">#REF!</definedName>
    <definedName name="Struktūrvien.kods_1" localSheetId="3">[2]strukturkodi!$A$2:$A$232</definedName>
    <definedName name="Struktūrvien.kods_1">[3]strukturkodi!$A$2:$A$232</definedName>
    <definedName name="T13l6" localSheetId="0">[8]ATSKAITE_2v!#REF!</definedName>
    <definedName name="T13l6" localSheetId="1">[8]ATSKAITE_2v!#REF!</definedName>
    <definedName name="T13l6">[8]ATSKAITE_2v!#REF!</definedName>
    <definedName name="TableName">"Dummy"</definedName>
    <definedName name="Tarifs_28">#REF!</definedName>
    <definedName name="TWO_LINKS">'[9]8.1.'!$C$5</definedName>
    <definedName name="ty" localSheetId="3">#REF!</definedName>
    <definedName name="ty" localSheetId="0">#REF!</definedName>
    <definedName name="ty" localSheetId="1">#REF!</definedName>
    <definedName name="ty">#REF!</definedName>
    <definedName name="tyuj" localSheetId="0">#REF!</definedName>
    <definedName name="tyuj" localSheetId="1">#REF!</definedName>
    <definedName name="tyuj">#REF!</definedName>
    <definedName name="u" localSheetId="0">#REF!</definedName>
    <definedName name="u" localSheetId="1">#REF!</definedName>
    <definedName name="u">#REF!</definedName>
    <definedName name="U_N_A">#REF!</definedName>
    <definedName name="wedr">#REF!</definedName>
    <definedName name="WeekStart">#REF!</definedName>
    <definedName name="x">#REF!</definedName>
    <definedName name="XBD" localSheetId="3">[10]Dati!$B$6</definedName>
    <definedName name="XBD">[11]Dati!$B$6</definedName>
    <definedName name="XDD" localSheetId="3">[10]Dati!$B$4</definedName>
    <definedName name="XDD">[11]Dati!$B$4</definedName>
    <definedName name="XDS" localSheetId="3">[10]Dati!$B$5</definedName>
    <definedName name="XDS">[11]Dati!$B$5</definedName>
    <definedName name="XSVD" localSheetId="3">[10]Dati!$B$7</definedName>
    <definedName name="XSVD">[11]Dati!$B$7</definedName>
    <definedName name="xxxx" localSheetId="3">#REF!</definedName>
    <definedName name="xxxx" localSheetId="0">#REF!</definedName>
    <definedName name="xxxx" localSheetId="1">#REF!</definedName>
    <definedName name="xxxx">#REF!</definedName>
    <definedName name="yuh" localSheetId="0">#REF!</definedName>
    <definedName name="yuh" localSheetId="1">#REF!</definedName>
    <definedName name="yuh">#REF!</definedName>
    <definedName name="yyyy" localSheetId="0">#REF!</definedName>
    <definedName name="yyyy" localSheetId="1">#REF!</definedName>
    <definedName name="yyy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2" l="1"/>
  <c r="U55" i="3"/>
  <c r="E137" i="2"/>
  <c r="F135" i="2" l="1"/>
  <c r="E13" i="4" l="1"/>
  <c r="E14" i="4"/>
  <c r="E15" i="4"/>
  <c r="E16" i="4"/>
  <c r="E17" i="4"/>
  <c r="E18" i="4"/>
  <c r="E19" i="4"/>
  <c r="E20" i="4"/>
  <c r="E21" i="4"/>
  <c r="E22" i="4"/>
  <c r="E12" i="4"/>
  <c r="D12" i="4"/>
  <c r="C23" i="4"/>
  <c r="H18" i="4" s="1"/>
  <c r="H19" i="4" s="1"/>
  <c r="D25" i="4" s="1"/>
  <c r="D14" i="4"/>
  <c r="D15" i="4"/>
  <c r="D16" i="4"/>
  <c r="D17" i="4"/>
  <c r="D18" i="4"/>
  <c r="D19" i="4"/>
  <c r="D20" i="4"/>
  <c r="D21" i="4"/>
  <c r="D22" i="4"/>
  <c r="D27" i="4" l="1"/>
  <c r="M26" i="3"/>
  <c r="M22" i="3"/>
  <c r="M17" i="3"/>
  <c r="H39" i="3"/>
  <c r="G24" i="3"/>
  <c r="L24" i="3" s="1"/>
  <c r="M24" i="3" s="1"/>
  <c r="G11" i="3"/>
  <c r="L11" i="3" s="1"/>
  <c r="M11" i="3" s="1"/>
  <c r="R11" i="3"/>
  <c r="R34" i="3"/>
  <c r="R31" i="3"/>
  <c r="R27" i="3"/>
  <c r="R23" i="3"/>
  <c r="R20" i="3"/>
  <c r="R19" i="3"/>
  <c r="R18" i="3"/>
  <c r="R15" i="3"/>
  <c r="R14" i="3"/>
  <c r="R12" i="3"/>
  <c r="R45" i="3"/>
  <c r="R41" i="3"/>
  <c r="R40" i="3"/>
  <c r="R39" i="3"/>
  <c r="R38" i="3"/>
  <c r="R37" i="3"/>
  <c r="R36" i="3"/>
  <c r="R35" i="3"/>
  <c r="D49" i="3"/>
  <c r="E25" i="3"/>
  <c r="G25" i="3" s="1"/>
  <c r="E21" i="3"/>
  <c r="H21" i="3" s="1"/>
  <c r="E14" i="3"/>
  <c r="E13" i="3"/>
  <c r="F12" i="3"/>
  <c r="F49" i="3" s="1"/>
  <c r="J45" i="3"/>
  <c r="J41" i="3"/>
  <c r="J35" i="3"/>
  <c r="J31" i="3"/>
  <c r="J28" i="3"/>
  <c r="J23" i="3"/>
  <c r="J19" i="3"/>
  <c r="G48" i="3"/>
  <c r="L48" i="3" s="1"/>
  <c r="M48" i="3" s="1"/>
  <c r="G47" i="3"/>
  <c r="G46" i="3"/>
  <c r="L46" i="3" s="1"/>
  <c r="M46" i="3" s="1"/>
  <c r="G45" i="3"/>
  <c r="G44" i="3"/>
  <c r="L44" i="3" s="1"/>
  <c r="M44" i="3" s="1"/>
  <c r="G43" i="3"/>
  <c r="G42" i="3"/>
  <c r="L42" i="3" s="1"/>
  <c r="M42" i="3" s="1"/>
  <c r="G41" i="3"/>
  <c r="G40" i="3"/>
  <c r="G39" i="3"/>
  <c r="G38" i="3"/>
  <c r="L38" i="3" s="1"/>
  <c r="M38" i="3" s="1"/>
  <c r="G37" i="3"/>
  <c r="G36" i="3"/>
  <c r="L36" i="3" s="1"/>
  <c r="M36" i="3" s="1"/>
  <c r="G35" i="3"/>
  <c r="G34" i="3"/>
  <c r="L34" i="3" s="1"/>
  <c r="M34" i="3" s="1"/>
  <c r="G33" i="3"/>
  <c r="G32" i="3"/>
  <c r="L32" i="3" s="1"/>
  <c r="M32" i="3" s="1"/>
  <c r="G31" i="3"/>
  <c r="G30" i="3"/>
  <c r="G29" i="3"/>
  <c r="L29" i="3" s="1"/>
  <c r="M29" i="3" s="1"/>
  <c r="G28" i="3"/>
  <c r="G27" i="3"/>
  <c r="L27" i="3" s="1"/>
  <c r="M27" i="3" s="1"/>
  <c r="G26" i="3"/>
  <c r="G23" i="3"/>
  <c r="G22" i="3"/>
  <c r="G20" i="3"/>
  <c r="L20" i="3" s="1"/>
  <c r="M20" i="3" s="1"/>
  <c r="G19" i="3"/>
  <c r="G18" i="3"/>
  <c r="L18" i="3" s="1"/>
  <c r="M18" i="3" s="1"/>
  <c r="G17" i="3"/>
  <c r="G16" i="3"/>
  <c r="G15" i="3"/>
  <c r="L15" i="3" s="1"/>
  <c r="M15" i="3" s="1"/>
  <c r="G13" i="3"/>
  <c r="L13" i="3" s="1"/>
  <c r="M13" i="3" s="1"/>
  <c r="H47" i="3"/>
  <c r="H43" i="3"/>
  <c r="H40" i="3"/>
  <c r="H37" i="3"/>
  <c r="H33" i="3"/>
  <c r="H30" i="3"/>
  <c r="H16" i="3"/>
  <c r="R163" i="2"/>
  <c r="R162" i="2"/>
  <c r="R161" i="2"/>
  <c r="R158" i="2"/>
  <c r="R157" i="2"/>
  <c r="R154" i="2"/>
  <c r="R150" i="2"/>
  <c r="R146" i="2"/>
  <c r="R142" i="2"/>
  <c r="R141" i="2"/>
  <c r="R97" i="2"/>
  <c r="R137" i="2"/>
  <c r="L23" i="3" l="1"/>
  <c r="M23" i="3" s="1"/>
  <c r="L33" i="3"/>
  <c r="M33" i="3" s="1"/>
  <c r="G14" i="3"/>
  <c r="H14" i="3"/>
  <c r="G21" i="3"/>
  <c r="L21" i="3" s="1"/>
  <c r="M21" i="3" s="1"/>
  <c r="H25" i="3"/>
  <c r="L25" i="3" s="1"/>
  <c r="M25" i="3" s="1"/>
  <c r="L43" i="3"/>
  <c r="M43" i="3" s="1"/>
  <c r="L19" i="3"/>
  <c r="M19" i="3" s="1"/>
  <c r="L28" i="3"/>
  <c r="M28" i="3" s="1"/>
  <c r="R21" i="3"/>
  <c r="J12" i="3"/>
  <c r="L12" i="3" s="1"/>
  <c r="M12" i="3" s="1"/>
  <c r="L37" i="3"/>
  <c r="M37" i="3" s="1"/>
  <c r="L45" i="3"/>
  <c r="M45" i="3" s="1"/>
  <c r="L35" i="3"/>
  <c r="M35" i="3" s="1"/>
  <c r="L31" i="3"/>
  <c r="M31" i="3" s="1"/>
  <c r="L39" i="3"/>
  <c r="M39" i="3" s="1"/>
  <c r="L47" i="3"/>
  <c r="M47" i="3" s="1"/>
  <c r="L30" i="3"/>
  <c r="M30" i="3" s="1"/>
  <c r="L16" i="3"/>
  <c r="M16" i="3" s="1"/>
  <c r="L40" i="3"/>
  <c r="M40" i="3" s="1"/>
  <c r="L41" i="3"/>
  <c r="M41" i="3" s="1"/>
  <c r="E49" i="3"/>
  <c r="G49" i="3" s="1"/>
  <c r="L49" i="3" s="1"/>
  <c r="M49" i="3" s="1"/>
  <c r="L14" i="3" l="1"/>
  <c r="M14" i="3" s="1"/>
  <c r="R138" i="2"/>
  <c r="R135" i="2"/>
  <c r="R134" i="2"/>
  <c r="J168" i="2"/>
  <c r="J164" i="2"/>
  <c r="J158" i="2"/>
  <c r="J154" i="2"/>
  <c r="J151" i="2"/>
  <c r="J146" i="2"/>
  <c r="J142" i="2"/>
  <c r="G171" i="2"/>
  <c r="G170" i="2"/>
  <c r="G169" i="2"/>
  <c r="G167" i="2"/>
  <c r="G166" i="2"/>
  <c r="G165" i="2"/>
  <c r="G163" i="2"/>
  <c r="G162" i="2"/>
  <c r="G161" i="2"/>
  <c r="G160" i="2"/>
  <c r="G159" i="2"/>
  <c r="G157" i="2"/>
  <c r="G156" i="2"/>
  <c r="G155" i="2"/>
  <c r="G153" i="2"/>
  <c r="G152" i="2"/>
  <c r="G150" i="2"/>
  <c r="G147" i="2"/>
  <c r="G143" i="2"/>
  <c r="G141" i="2"/>
  <c r="G139" i="2"/>
  <c r="G138" i="2"/>
  <c r="G134" i="2"/>
  <c r="L134" i="2" s="1"/>
  <c r="E148" i="2"/>
  <c r="G148" i="2" s="1"/>
  <c r="E144" i="2"/>
  <c r="G144" i="2" s="1"/>
  <c r="G137" i="2"/>
  <c r="E136" i="2"/>
  <c r="G136" i="2" s="1"/>
  <c r="J135" i="2"/>
  <c r="G102" i="2" l="1"/>
  <c r="G97" i="2"/>
  <c r="G90" i="2"/>
  <c r="G89" i="2"/>
  <c r="H90" i="2"/>
  <c r="J88" i="2"/>
  <c r="F172" i="2" l="1"/>
  <c r="L136" i="2"/>
  <c r="D172" i="2"/>
  <c r="D126" i="2"/>
  <c r="D81" i="2"/>
  <c r="L171" i="2"/>
  <c r="H170" i="2"/>
  <c r="L169" i="2"/>
  <c r="R168" i="2"/>
  <c r="L168" i="2"/>
  <c r="L167" i="2"/>
  <c r="H166" i="2"/>
  <c r="L165" i="2"/>
  <c r="R164" i="2"/>
  <c r="L164" i="2"/>
  <c r="H163" i="2"/>
  <c r="H162" i="2"/>
  <c r="L161" i="2"/>
  <c r="R160" i="2"/>
  <c r="H160" i="2"/>
  <c r="R159" i="2"/>
  <c r="L159" i="2"/>
  <c r="L158" i="2"/>
  <c r="L157" i="2"/>
  <c r="H156" i="2"/>
  <c r="L155" i="2"/>
  <c r="L154" i="2"/>
  <c r="H153" i="2"/>
  <c r="L152" i="2"/>
  <c r="L151" i="2"/>
  <c r="L150" i="2"/>
  <c r="T149" i="2"/>
  <c r="L147" i="2"/>
  <c r="L146" i="2"/>
  <c r="T145" i="2"/>
  <c r="H144" i="2"/>
  <c r="R143" i="2"/>
  <c r="L143" i="2"/>
  <c r="L142" i="2"/>
  <c r="L141" i="2"/>
  <c r="T140" i="2"/>
  <c r="H139" i="2"/>
  <c r="L138" i="2"/>
  <c r="M134" i="2"/>
  <c r="S134" i="2" s="1"/>
  <c r="R87" i="2"/>
  <c r="R99" i="2"/>
  <c r="R111" i="2"/>
  <c r="F126" i="2"/>
  <c r="E126" i="2"/>
  <c r="G125" i="2"/>
  <c r="L125" i="2" s="1"/>
  <c r="H124" i="2"/>
  <c r="G124" i="2"/>
  <c r="G123" i="2"/>
  <c r="L123" i="2" s="1"/>
  <c r="J122" i="2"/>
  <c r="L122" i="2" s="1"/>
  <c r="G121" i="2"/>
  <c r="L121" i="2" s="1"/>
  <c r="H120" i="2"/>
  <c r="G120" i="2"/>
  <c r="G119" i="2"/>
  <c r="L119" i="2" s="1"/>
  <c r="J118" i="2"/>
  <c r="L118" i="2" s="1"/>
  <c r="R117" i="2"/>
  <c r="H117" i="2"/>
  <c r="G117" i="2"/>
  <c r="R116" i="2"/>
  <c r="H116" i="2"/>
  <c r="G116" i="2"/>
  <c r="R115" i="2"/>
  <c r="G115" i="2"/>
  <c r="L115" i="2" s="1"/>
  <c r="R114" i="2"/>
  <c r="H114" i="2"/>
  <c r="G114" i="2"/>
  <c r="R113" i="2"/>
  <c r="G113" i="2"/>
  <c r="L113" i="2" s="1"/>
  <c r="R112" i="2"/>
  <c r="J112" i="2"/>
  <c r="L112" i="2" s="1"/>
  <c r="G111" i="2"/>
  <c r="L111" i="2" s="1"/>
  <c r="H110" i="2"/>
  <c r="G110" i="2"/>
  <c r="G109" i="2"/>
  <c r="L109" i="2" s="1"/>
  <c r="J108" i="2"/>
  <c r="L108" i="2" s="1"/>
  <c r="H107" i="2"/>
  <c r="G107" i="2"/>
  <c r="G106" i="2"/>
  <c r="L106" i="2" s="1"/>
  <c r="J105" i="2"/>
  <c r="L105" i="2" s="1"/>
  <c r="G104" i="2"/>
  <c r="L104" i="2" s="1"/>
  <c r="H102" i="2"/>
  <c r="G101" i="2"/>
  <c r="L101" i="2" s="1"/>
  <c r="J100" i="2"/>
  <c r="L100" i="2" s="1"/>
  <c r="G99" i="2"/>
  <c r="L99" i="2" s="1"/>
  <c r="H97" i="2"/>
  <c r="L97" i="2" s="1"/>
  <c r="G96" i="2"/>
  <c r="L96" i="2" s="1"/>
  <c r="J95" i="2"/>
  <c r="L95" i="2" s="1"/>
  <c r="G94" i="2"/>
  <c r="L94" i="2" s="1"/>
  <c r="H92" i="2"/>
  <c r="G92" i="2"/>
  <c r="G91" i="2"/>
  <c r="L91" i="2" s="1"/>
  <c r="L89" i="2"/>
  <c r="M89" i="2" s="1"/>
  <c r="L88" i="2"/>
  <c r="G87" i="2"/>
  <c r="L87" i="2" s="1"/>
  <c r="R42" i="2"/>
  <c r="M169" i="2" l="1"/>
  <c r="S169" i="2" s="1"/>
  <c r="M138" i="2"/>
  <c r="S138" i="2" s="1"/>
  <c r="H148" i="2"/>
  <c r="L148" i="2" s="1"/>
  <c r="L139" i="2"/>
  <c r="L162" i="2"/>
  <c r="L166" i="2"/>
  <c r="L92" i="2"/>
  <c r="M92" i="2" s="1"/>
  <c r="S92" i="2" s="1"/>
  <c r="L135" i="2"/>
  <c r="R144" i="2"/>
  <c r="E172" i="2"/>
  <c r="E173" i="2" s="1"/>
  <c r="H137" i="2"/>
  <c r="L137" i="2" s="1"/>
  <c r="L144" i="2"/>
  <c r="L153" i="2"/>
  <c r="L163" i="2"/>
  <c r="L156" i="2"/>
  <c r="L160" i="2"/>
  <c r="L170" i="2"/>
  <c r="M147" i="2"/>
  <c r="S147" i="2" s="1"/>
  <c r="M157" i="2"/>
  <c r="S157" i="2" s="1"/>
  <c r="M161" i="2"/>
  <c r="S161" i="2" s="1"/>
  <c r="M158" i="2"/>
  <c r="S158" i="2" s="1"/>
  <c r="M142" i="2"/>
  <c r="S142" i="2" s="1"/>
  <c r="M150" i="2"/>
  <c r="S150" i="2" s="1"/>
  <c r="M152" i="2"/>
  <c r="S152" i="2" s="1"/>
  <c r="M141" i="2"/>
  <c r="S141" i="2" s="1"/>
  <c r="M168" i="2"/>
  <c r="S168" i="2" s="1"/>
  <c r="M154" i="2"/>
  <c r="S154" i="2" s="1"/>
  <c r="M164" i="2"/>
  <c r="S164" i="2" s="1"/>
  <c r="M159" i="2"/>
  <c r="S159" i="2" s="1"/>
  <c r="M165" i="2"/>
  <c r="S165" i="2" s="1"/>
  <c r="M146" i="2"/>
  <c r="S146" i="2" s="1"/>
  <c r="M143" i="2"/>
  <c r="S143" i="2" s="1"/>
  <c r="M151" i="2"/>
  <c r="S151" i="2" s="1"/>
  <c r="M136" i="2"/>
  <c r="S136" i="2" s="1"/>
  <c r="M155" i="2"/>
  <c r="S155" i="2" s="1"/>
  <c r="M167" i="2"/>
  <c r="S167" i="2" s="1"/>
  <c r="M171" i="2"/>
  <c r="S171" i="2" s="1"/>
  <c r="L116" i="2"/>
  <c r="M116" i="2" s="1"/>
  <c r="S116" i="2" s="1"/>
  <c r="L102" i="2"/>
  <c r="M102" i="2" s="1"/>
  <c r="S102" i="2" s="1"/>
  <c r="L107" i="2"/>
  <c r="M107" i="2" s="1"/>
  <c r="L117" i="2"/>
  <c r="M117" i="2" s="1"/>
  <c r="S117" i="2" s="1"/>
  <c r="L114" i="2"/>
  <c r="M114" i="2" s="1"/>
  <c r="S114" i="2" s="1"/>
  <c r="L124" i="2"/>
  <c r="M124" i="2" s="1"/>
  <c r="S124" i="2" s="1"/>
  <c r="L90" i="2"/>
  <c r="L110" i="2"/>
  <c r="M110" i="2" s="1"/>
  <c r="S110" i="2" s="1"/>
  <c r="L120" i="2"/>
  <c r="M120" i="2" s="1"/>
  <c r="M88" i="2"/>
  <c r="S88" i="2" s="1"/>
  <c r="M112" i="2"/>
  <c r="S112" i="2" s="1"/>
  <c r="M115" i="2"/>
  <c r="S115" i="2" s="1"/>
  <c r="M111" i="2"/>
  <c r="S111" i="2" s="1"/>
  <c r="M99" i="2"/>
  <c r="S99" i="2" s="1"/>
  <c r="M104" i="2"/>
  <c r="S104" i="2" s="1"/>
  <c r="M118" i="2"/>
  <c r="S118" i="2" s="1"/>
  <c r="M94" i="2"/>
  <c r="S94" i="2" s="1"/>
  <c r="M91" i="2"/>
  <c r="S91" i="2" s="1"/>
  <c r="M122" i="2"/>
  <c r="S122" i="2" s="1"/>
  <c r="M113" i="2"/>
  <c r="S113" i="2" s="1"/>
  <c r="M96" i="2"/>
  <c r="S96" i="2" s="1"/>
  <c r="M100" i="2"/>
  <c r="S100" i="2" s="1"/>
  <c r="M105" i="2"/>
  <c r="S105" i="2" s="1"/>
  <c r="M109" i="2"/>
  <c r="S109" i="2" s="1"/>
  <c r="M119" i="2"/>
  <c r="S119" i="2" s="1"/>
  <c r="M87" i="2"/>
  <c r="S87" i="2" s="1"/>
  <c r="M121" i="2"/>
  <c r="S121" i="2" s="1"/>
  <c r="M101" i="2"/>
  <c r="S101" i="2" s="1"/>
  <c r="M106" i="2"/>
  <c r="S106" i="2" s="1"/>
  <c r="M97" i="2"/>
  <c r="S97" i="2" s="1"/>
  <c r="M125" i="2"/>
  <c r="S125" i="2" s="1"/>
  <c r="S89" i="2"/>
  <c r="M95" i="2"/>
  <c r="S95" i="2" s="1"/>
  <c r="M108" i="2"/>
  <c r="S108" i="2" s="1"/>
  <c r="M123" i="2"/>
  <c r="S123" i="2" s="1"/>
  <c r="M160" i="2" l="1"/>
  <c r="S160" i="2" s="1"/>
  <c r="U157" i="2" s="1"/>
  <c r="M156" i="2"/>
  <c r="S156" i="2" s="1"/>
  <c r="U154" i="2" s="1"/>
  <c r="M166" i="2"/>
  <c r="S166" i="2" s="1"/>
  <c r="U164" i="2" s="1"/>
  <c r="M135" i="2"/>
  <c r="S135" i="2" s="1"/>
  <c r="M162" i="2"/>
  <c r="S162" i="2" s="1"/>
  <c r="M144" i="2"/>
  <c r="S144" i="2" s="1"/>
  <c r="U141" i="2" s="1"/>
  <c r="M139" i="2"/>
  <c r="S139" i="2" s="1"/>
  <c r="M137" i="2"/>
  <c r="S137" i="2" s="1"/>
  <c r="M148" i="2"/>
  <c r="S148" i="2" s="1"/>
  <c r="U146" i="2" s="1"/>
  <c r="M153" i="2"/>
  <c r="S153" i="2" s="1"/>
  <c r="U150" i="2" s="1"/>
  <c r="M163" i="2"/>
  <c r="S163" i="2" s="1"/>
  <c r="M170" i="2"/>
  <c r="S170" i="2" s="1"/>
  <c r="U168" i="2" s="1"/>
  <c r="S107" i="2"/>
  <c r="U104" i="2" s="1"/>
  <c r="U122" i="2"/>
  <c r="U111" i="2"/>
  <c r="M90" i="2"/>
  <c r="S90" i="2" s="1"/>
  <c r="U115" i="2"/>
  <c r="S120" i="2"/>
  <c r="U118" i="2" s="1"/>
  <c r="U108" i="2"/>
  <c r="U161" i="2" l="1"/>
  <c r="U134" i="2"/>
  <c r="U172" i="2" l="1"/>
  <c r="U176" i="2" s="1"/>
  <c r="R77" i="2"/>
  <c r="R73" i="2"/>
  <c r="R72" i="2"/>
  <c r="R71" i="2"/>
  <c r="R70" i="2"/>
  <c r="R69" i="2"/>
  <c r="R68" i="2"/>
  <c r="R67" i="2"/>
  <c r="R66" i="2"/>
  <c r="R63" i="2"/>
  <c r="R59" i="2"/>
  <c r="R54" i="2"/>
  <c r="R52" i="2"/>
  <c r="R51" i="2"/>
  <c r="R50" i="2"/>
  <c r="R49" i="2"/>
  <c r="R47" i="2"/>
  <c r="R46" i="2"/>
  <c r="R45" i="2"/>
  <c r="R43" i="2"/>
  <c r="T48" i="2"/>
  <c r="T93" i="2" s="1"/>
  <c r="U87" i="2" s="1"/>
  <c r="G42" i="2"/>
  <c r="L42" i="2" s="1"/>
  <c r="J77" i="2"/>
  <c r="L77" i="2" s="1"/>
  <c r="J73" i="2"/>
  <c r="L73" i="2" s="1"/>
  <c r="J67" i="2"/>
  <c r="L67" i="2" s="1"/>
  <c r="M67" i="2" s="1"/>
  <c r="J63" i="2"/>
  <c r="L63" i="2" s="1"/>
  <c r="J60" i="2"/>
  <c r="L60" i="2" s="1"/>
  <c r="J55" i="2"/>
  <c r="L55" i="2" s="1"/>
  <c r="J50" i="2"/>
  <c r="L50" i="2" s="1"/>
  <c r="J43" i="2"/>
  <c r="L43" i="2" s="1"/>
  <c r="H47" i="2"/>
  <c r="H72" i="2"/>
  <c r="H75" i="2"/>
  <c r="H79" i="2"/>
  <c r="H71" i="2"/>
  <c r="H69" i="2"/>
  <c r="H65" i="2"/>
  <c r="H62" i="2"/>
  <c r="H57" i="2"/>
  <c r="H52" i="2"/>
  <c r="H45" i="2"/>
  <c r="G80" i="2"/>
  <c r="L80" i="2" s="1"/>
  <c r="G79" i="2"/>
  <c r="G78" i="2"/>
  <c r="L78" i="2" s="1"/>
  <c r="G76" i="2"/>
  <c r="L76" i="2" s="1"/>
  <c r="G75" i="2"/>
  <c r="G74" i="2"/>
  <c r="L74" i="2" s="1"/>
  <c r="G72" i="2"/>
  <c r="G71" i="2"/>
  <c r="G70" i="2"/>
  <c r="L70" i="2" s="1"/>
  <c r="G69" i="2"/>
  <c r="G68" i="2"/>
  <c r="L68" i="2" s="1"/>
  <c r="G66" i="2"/>
  <c r="L66" i="2" s="1"/>
  <c r="G65" i="2"/>
  <c r="G64" i="2"/>
  <c r="L64" i="2" s="1"/>
  <c r="G62" i="2"/>
  <c r="G61" i="2"/>
  <c r="L61" i="2" s="1"/>
  <c r="G59" i="2"/>
  <c r="L59" i="2" s="1"/>
  <c r="M59" i="2" s="1"/>
  <c r="G57" i="2"/>
  <c r="G56" i="2"/>
  <c r="L56" i="2" s="1"/>
  <c r="G54" i="2"/>
  <c r="L54" i="2" s="1"/>
  <c r="G52" i="2"/>
  <c r="G51" i="2"/>
  <c r="L51" i="2" s="1"/>
  <c r="G49" i="2"/>
  <c r="L49" i="2" s="1"/>
  <c r="M49" i="2" s="1"/>
  <c r="G47" i="2"/>
  <c r="G46" i="2"/>
  <c r="L46" i="2" s="1"/>
  <c r="G45" i="2"/>
  <c r="G44" i="2"/>
  <c r="L44" i="2" s="1"/>
  <c r="G16" i="2"/>
  <c r="J16" i="2"/>
  <c r="E81" i="2"/>
  <c r="Q24" i="5"/>
  <c r="F18" i="5"/>
  <c r="F11" i="5"/>
  <c r="L57" i="2" l="1"/>
  <c r="M57" i="2" s="1"/>
  <c r="S57" i="2" s="1"/>
  <c r="L47" i="2"/>
  <c r="M47" i="2" s="1"/>
  <c r="S47" i="2" s="1"/>
  <c r="L45" i="2"/>
  <c r="L65" i="2"/>
  <c r="M65" i="2" s="1"/>
  <c r="S65" i="2" s="1"/>
  <c r="L79" i="2"/>
  <c r="M79" i="2" s="1"/>
  <c r="S79" i="2" s="1"/>
  <c r="L52" i="2"/>
  <c r="M52" i="2" s="1"/>
  <c r="S52" i="2" s="1"/>
  <c r="L71" i="2"/>
  <c r="M71" i="2" s="1"/>
  <c r="S71" i="2" s="1"/>
  <c r="L69" i="2"/>
  <c r="M69" i="2" s="1"/>
  <c r="S69" i="2" s="1"/>
  <c r="L75" i="2"/>
  <c r="M75" i="2" s="1"/>
  <c r="M42" i="2"/>
  <c r="S42" i="2" s="1"/>
  <c r="L62" i="2"/>
  <c r="M62" i="2" s="1"/>
  <c r="S62" i="2" s="1"/>
  <c r="L72" i="2"/>
  <c r="M72" i="2" s="1"/>
  <c r="S72" i="2" s="1"/>
  <c r="M76" i="2"/>
  <c r="S76" i="2" s="1"/>
  <c r="M44" i="2"/>
  <c r="S44" i="2" s="1"/>
  <c r="M45" i="2"/>
  <c r="S45" i="2" s="1"/>
  <c r="M60" i="2"/>
  <c r="S60" i="2" s="1"/>
  <c r="M54" i="2"/>
  <c r="S54" i="2" s="1"/>
  <c r="M50" i="2"/>
  <c r="S50" i="2" s="1"/>
  <c r="M68" i="2"/>
  <c r="S68" i="2" s="1"/>
  <c r="M70" i="2"/>
  <c r="S70" i="2" s="1"/>
  <c r="M61" i="2"/>
  <c r="S61" i="2" s="1"/>
  <c r="M66" i="2"/>
  <c r="S66" i="2" s="1"/>
  <c r="M78" i="2"/>
  <c r="S78" i="2" s="1"/>
  <c r="M63" i="2"/>
  <c r="S63" i="2" s="1"/>
  <c r="M51" i="2"/>
  <c r="S51" i="2" s="1"/>
  <c r="M74" i="2"/>
  <c r="S74" i="2" s="1"/>
  <c r="M77" i="2"/>
  <c r="S77" i="2" s="1"/>
  <c r="M55" i="2"/>
  <c r="S55" i="2" s="1"/>
  <c r="M80" i="2"/>
  <c r="S80" i="2" s="1"/>
  <c r="M64" i="2"/>
  <c r="S64" i="2" s="1"/>
  <c r="M43" i="2"/>
  <c r="S43" i="2" s="1"/>
  <c r="S49" i="2"/>
  <c r="S59" i="2"/>
  <c r="S67" i="2"/>
  <c r="M46" i="2"/>
  <c r="S46" i="2" s="1"/>
  <c r="M56" i="2"/>
  <c r="S56" i="2" s="1"/>
  <c r="M73" i="2"/>
  <c r="S73" i="2" s="1"/>
  <c r="G11" i="5"/>
  <c r="F28" i="5"/>
  <c r="F27" i="5"/>
  <c r="F17" i="5"/>
  <c r="G12" i="5"/>
  <c r="S75" i="2" l="1"/>
  <c r="U73" i="2" s="1"/>
  <c r="U66" i="2"/>
  <c r="U77" i="2"/>
  <c r="U59" i="2"/>
  <c r="U63" i="2"/>
  <c r="U70" i="2"/>
  <c r="U42" i="2"/>
  <c r="G13" i="5"/>
  <c r="I34" i="5"/>
  <c r="Q34" i="5" s="1"/>
  <c r="F12" i="5" l="1"/>
  <c r="F13" i="5" s="1"/>
  <c r="D13" i="4" l="1"/>
  <c r="F81" i="2"/>
  <c r="G82" i="2" s="1"/>
  <c r="F36" i="2"/>
  <c r="E36" i="2"/>
  <c r="G37" i="2" s="1"/>
  <c r="R35" i="2"/>
  <c r="J35" i="2"/>
  <c r="H35" i="2"/>
  <c r="G35" i="2"/>
  <c r="R34" i="2"/>
  <c r="J34" i="2"/>
  <c r="G34" i="2"/>
  <c r="R33" i="2"/>
  <c r="J33" i="2"/>
  <c r="G33" i="2"/>
  <c r="R32" i="2"/>
  <c r="J32" i="2"/>
  <c r="H32" i="2"/>
  <c r="G32" i="2"/>
  <c r="R31" i="2"/>
  <c r="J31" i="2"/>
  <c r="G31" i="2"/>
  <c r="R30" i="2"/>
  <c r="J30" i="2"/>
  <c r="G30" i="2"/>
  <c r="T29" i="2"/>
  <c r="R28" i="2"/>
  <c r="J28" i="2"/>
  <c r="H28" i="2"/>
  <c r="G28" i="2"/>
  <c r="R27" i="2"/>
  <c r="J27" i="2"/>
  <c r="G27" i="2"/>
  <c r="R26" i="2"/>
  <c r="J26" i="2"/>
  <c r="G26" i="2"/>
  <c r="T25" i="2"/>
  <c r="R24" i="2"/>
  <c r="J24" i="2"/>
  <c r="H24" i="2"/>
  <c r="G24" i="2"/>
  <c r="R23" i="2"/>
  <c r="J23" i="2"/>
  <c r="G23" i="2"/>
  <c r="R22" i="2"/>
  <c r="J22" i="2"/>
  <c r="G22" i="2"/>
  <c r="U21" i="2"/>
  <c r="R20" i="2"/>
  <c r="J20" i="2"/>
  <c r="H20" i="2"/>
  <c r="G20" i="2"/>
  <c r="R19" i="2"/>
  <c r="J19" i="2"/>
  <c r="G19" i="2"/>
  <c r="R18" i="2"/>
  <c r="J18" i="2"/>
  <c r="H18" i="2"/>
  <c r="G18" i="2"/>
  <c r="R17" i="2"/>
  <c r="J17" i="2"/>
  <c r="G17" i="2"/>
  <c r="R16" i="2"/>
  <c r="T58" i="2" l="1"/>
  <c r="U54" i="2" s="1"/>
  <c r="T53" i="2"/>
  <c r="U49" i="2" s="1"/>
  <c r="F173" i="2"/>
  <c r="G174" i="2" s="1"/>
  <c r="L26" i="2"/>
  <c r="M26" i="2" s="1"/>
  <c r="S26" i="2" s="1"/>
  <c r="U26" i="2" s="1"/>
  <c r="L34" i="2"/>
  <c r="M34" i="2" s="1"/>
  <c r="L35" i="2"/>
  <c r="M35" i="2" s="1"/>
  <c r="S35" i="2" s="1"/>
  <c r="U35" i="2" s="1"/>
  <c r="L20" i="2"/>
  <c r="M20" i="2" s="1"/>
  <c r="S20" i="2" s="1"/>
  <c r="U20" i="2" s="1"/>
  <c r="L23" i="2"/>
  <c r="M23" i="2" s="1"/>
  <c r="S23" i="2" s="1"/>
  <c r="U23" i="2" s="1"/>
  <c r="U25" i="2"/>
  <c r="L28" i="2"/>
  <c r="M28" i="2" s="1"/>
  <c r="S28" i="2" s="1"/>
  <c r="U28" i="2" s="1"/>
  <c r="L16" i="2"/>
  <c r="M16" i="2" s="1"/>
  <c r="S16" i="2" s="1"/>
  <c r="U16" i="2" s="1"/>
  <c r="L31" i="2"/>
  <c r="M31" i="2" s="1"/>
  <c r="L33" i="2"/>
  <c r="M33" i="2" s="1"/>
  <c r="S33" i="2" s="1"/>
  <c r="U33" i="2" s="1"/>
  <c r="L24" i="2"/>
  <c r="M24" i="2" s="1"/>
  <c r="S24" i="2" s="1"/>
  <c r="U24" i="2" s="1"/>
  <c r="L27" i="2"/>
  <c r="M27" i="2" s="1"/>
  <c r="U29" i="2"/>
  <c r="L17" i="2"/>
  <c r="M17" i="2" s="1"/>
  <c r="L19" i="2"/>
  <c r="M19" i="2" s="1"/>
  <c r="S19" i="2" s="1"/>
  <c r="U19" i="2" s="1"/>
  <c r="L22" i="2"/>
  <c r="M22" i="2" s="1"/>
  <c r="S22" i="2" s="1"/>
  <c r="U22" i="2" s="1"/>
  <c r="L30" i="2"/>
  <c r="M30" i="2" s="1"/>
  <c r="S30" i="2" s="1"/>
  <c r="U30" i="2" s="1"/>
  <c r="L32" i="2"/>
  <c r="M32" i="2" s="1"/>
  <c r="L18" i="2"/>
  <c r="T98" i="2" l="1"/>
  <c r="U94" i="2" s="1"/>
  <c r="T103" i="2"/>
  <c r="U99" i="2" s="1"/>
  <c r="U81" i="2"/>
  <c r="S34" i="2"/>
  <c r="U34" i="2" s="1"/>
  <c r="S31" i="2"/>
  <c r="U31" i="2" s="1"/>
  <c r="S27" i="2"/>
  <c r="U27" i="2" s="1"/>
  <c r="S32" i="2"/>
  <c r="U32" i="2" s="1"/>
  <c r="S17" i="2"/>
  <c r="U17" i="2" s="1"/>
  <c r="M18" i="2"/>
  <c r="S18" i="2" s="1"/>
  <c r="U18" i="2" s="1"/>
  <c r="U126" i="2" l="1"/>
  <c r="U36" i="2"/>
  <c r="U37" i="2" s="1"/>
  <c r="S11" i="3" l="1"/>
  <c r="S15" i="3"/>
  <c r="S35" i="3"/>
  <c r="S32" i="3"/>
  <c r="S34" i="3"/>
  <c r="S16" i="3"/>
  <c r="S24" i="3"/>
  <c r="S25" i="3"/>
  <c r="S19" i="3"/>
  <c r="S29" i="3"/>
  <c r="S43" i="3"/>
  <c r="S41" i="3"/>
  <c r="S27" i="3"/>
  <c r="S46" i="3"/>
  <c r="S47" i="3"/>
  <c r="S38" i="3"/>
  <c r="S18" i="3"/>
  <c r="S36" i="3"/>
  <c r="S30" i="3"/>
  <c r="S48" i="3"/>
  <c r="S45" i="3"/>
  <c r="S37" i="3"/>
  <c r="S23" i="3"/>
  <c r="S40" i="3"/>
  <c r="S31" i="3"/>
  <c r="S28" i="3"/>
  <c r="S42" i="3"/>
  <c r="S21" i="3"/>
  <c r="S20" i="3"/>
  <c r="S39" i="3"/>
  <c r="S33" i="3"/>
  <c r="S13" i="3"/>
  <c r="S12" i="3"/>
  <c r="S44" i="3"/>
  <c r="S14" i="3"/>
  <c r="U11" i="3" l="1"/>
  <c r="U45" i="3"/>
  <c r="U23" i="3"/>
  <c r="U27" i="3"/>
  <c r="U34" i="3"/>
  <c r="U31" i="3"/>
  <c r="U18" i="3"/>
  <c r="U38" i="3"/>
  <c r="U41" i="3"/>
  <c r="U49" i="3" l="1"/>
</calcChain>
</file>

<file path=xl/sharedStrings.xml><?xml version="1.0" encoding="utf-8"?>
<sst xmlns="http://schemas.openxmlformats.org/spreadsheetml/2006/main" count="611" uniqueCount="170">
  <si>
    <t>1.pielikums Informatīvajam ziņojumam</t>
  </si>
  <si>
    <t>Sabiedrībā balstīti pakalpojumi pusaudžiem, kam iestājušies psihiskās veselības traucējumi</t>
  </si>
  <si>
    <t>Pasākums "Uzlabot bērnu un pusaudžu psihiskās veselības pakalpojumu pieejamību, attīstot pakalpojumu reģionos"</t>
  </si>
  <si>
    <t>Budžeta programmas (apakšprogrammas) kods un nosaukums:</t>
  </si>
  <si>
    <t>33.16.00. "Pārējo ambulatoro veselības aprūpes pakalpojumu nodrošināšana"</t>
  </si>
  <si>
    <t>Ārstniecības iestādes kods: 10001989</t>
  </si>
  <si>
    <t>Ārstniecības iestādes nosaukums: Bērnu un pusaudžu resursu centrs, Sabiedrība ar ierobežotu atbildību</t>
  </si>
  <si>
    <t>Kabineta nosaukums: Garastāvokļa traucējumu kabinets bērniem</t>
  </si>
  <si>
    <t>Kabineta nosaukums detalizēti: Garastāvokļa traucējumu kabinets bērniem</t>
  </si>
  <si>
    <t>Iekļauts likumā "Par vidēja termiņa budžeta ietvaru 2022., 2023. un 2024.gadam"</t>
  </si>
  <si>
    <t>Vidējā darba samaksa mēnesī, euro (MK noteikumu Nr.555 153.punkts)</t>
  </si>
  <si>
    <t>Pakalpojumu lokalizācija</t>
  </si>
  <si>
    <t>Speciālista nosaukums</t>
  </si>
  <si>
    <t>Kabineta plānotais darbības periods mēnešos</t>
  </si>
  <si>
    <t xml:space="preserve">Kabinetu skaits </t>
  </si>
  <si>
    <t>Ārsta slodze  plāns (mēnesī)</t>
  </si>
  <si>
    <t>Māsas slodze plāns (mēnesī)</t>
  </si>
  <si>
    <t>Ārsta darba samaksa, euro (kopā gadā)</t>
  </si>
  <si>
    <t>Ārsta piemaksa (psihiatrija), euro (kopā gadā)</t>
  </si>
  <si>
    <t>Funkcionālā speciālista piemaksa (psihiatrija) 2022, EUR</t>
  </si>
  <si>
    <t>Māsas darba samaksa, euro (kopā gadā)</t>
  </si>
  <si>
    <t>Māsas darba piemaksa (psihiatrija) 2022, EUR</t>
  </si>
  <si>
    <t>Darba samaksa kopā, euro</t>
  </si>
  <si>
    <t xml:space="preserve">VSAOI, euro </t>
  </si>
  <si>
    <t>Kabineta fiksētais maksājums, euro  1 slodzei gadā</t>
  </si>
  <si>
    <t>Kabineta fiksētais maksājums, euro  1 slodzei mēnesī</t>
  </si>
  <si>
    <t>Māsai Kabineta fiksētais maksājums, EUR MK 1 slodzei gadā</t>
  </si>
  <si>
    <t>Māsai Kabineta fiksētais maksājums, EUR MK 1 slodzei mēnesī</t>
  </si>
  <si>
    <t>Kabineta nodrošinājuma maksājums gadā, euro</t>
  </si>
  <si>
    <t xml:space="preserve">Finansējums slodzēm 2023. gadam, euro </t>
  </si>
  <si>
    <t>Finansējums manipulāciju apmaksai 2023.gadā, euro</t>
  </si>
  <si>
    <t>Finansējums 2023. gadam, euro</t>
  </si>
  <si>
    <t>Rīga</t>
  </si>
  <si>
    <t>koordinators</t>
  </si>
  <si>
    <t>klientu vadītājs</t>
  </si>
  <si>
    <t>psihologs, psihoterapeits</t>
  </si>
  <si>
    <t>narkologs</t>
  </si>
  <si>
    <t>psihiatrs</t>
  </si>
  <si>
    <t>Manipulāciju apmaksa</t>
  </si>
  <si>
    <t>Liepāja</t>
  </si>
  <si>
    <t>Daugavpils</t>
  </si>
  <si>
    <t>Valmiera</t>
  </si>
  <si>
    <t>Ventspils</t>
  </si>
  <si>
    <t>KOPĀ</t>
  </si>
  <si>
    <t>tai skaitā, kabinetu apmaksai</t>
  </si>
  <si>
    <t>NVD aprēķinātais finansējums periodam 2023.gada janvāris-marts, ņemot vērā faktisko kabinetu skaitu un slodžu skaitu</t>
  </si>
  <si>
    <t>Ārsta darba samaksa, euro (kopā periodā 2023.g. janvāris-marts)</t>
  </si>
  <si>
    <t>Ārsta piemaksa (psihiatrija), euro (kopā periodā 2023.g. janvāris-marts)</t>
  </si>
  <si>
    <t>Māsas darba samaksa, euro (kopā periodā 2023.g. janvāris-marts)</t>
  </si>
  <si>
    <t>Kabineta nodrošinājuma maksājums periodā 2023.g. janvāris-marts, euro</t>
  </si>
  <si>
    <t xml:space="preserve">Finansējums slodzēm periodā 2023.g. janvāris-marts, euro </t>
  </si>
  <si>
    <t>Finansējums manipulāciju apmaksai periodā 2023.g. janvāris-marts, euro</t>
  </si>
  <si>
    <t>Finansējums periodā 2023.g. janvāris-marts, euro</t>
  </si>
  <si>
    <t>Mākslas terapeits (funkcionālais speciālists)</t>
  </si>
  <si>
    <t>funkcionālais speciālists</t>
  </si>
  <si>
    <t>Rēzekne</t>
  </si>
  <si>
    <t>Jelgava</t>
  </si>
  <si>
    <t>Sigulda</t>
  </si>
  <si>
    <t>Pacienta plūsmas koordinators</t>
  </si>
  <si>
    <t>Psihologs, psihoterapeits</t>
  </si>
  <si>
    <t>Tukums</t>
  </si>
  <si>
    <t>Faktiski pieejamais finansējums periodā 2023.g. janvāris-marts, EUR KOPĀ</t>
  </si>
  <si>
    <t>NVD aprēķinātais finansējums periodam 2023.gada aprīlis-decembris, ņemot vērā pieejamo atlikušo finansējumu</t>
  </si>
  <si>
    <t>Ārsta darba samaksa, euro (kopā periodā 2023.gada aprīlis-decembris)</t>
  </si>
  <si>
    <t>Ārsta piemaksa (psihiatrija), euro (kopā periodā 2023.gada aprīlis-decembris)</t>
  </si>
  <si>
    <t>Māsas darba samaksa, euro (kopā periodā 2023.gada aprīlis-decembris)</t>
  </si>
  <si>
    <t>Kabineta nodrošinājuma maksājums periodā 2023.g. aprīlis-decembris, euro</t>
  </si>
  <si>
    <t xml:space="preserve">Finansējums slodzēm periodā 2023.g. aprīlis-decembris, euro </t>
  </si>
  <si>
    <t>Finansējums manipulāciju apmaksai periodā 2023.g. aprīlis-decembris, euro</t>
  </si>
  <si>
    <t>Finansējums periodā 2023.g. aprīlis-decembris, euro</t>
  </si>
  <si>
    <t>Faktiski pieejamais finansējums 2023.g. aprīlim-decembrim KOPĀ</t>
  </si>
  <si>
    <t>tai skaitā, no ārpus prioritārā pasākuma piešķirtajiem līdzekļiem</t>
  </si>
  <si>
    <t>Atlikums no pasākumam "Uzlabot bērnu un pusaudžu psihiskās veselības pakalpojumu pieejamību, attīstot pakalpojumu reģionos" 2023.gadam pieejama finansējuma</t>
  </si>
  <si>
    <t>Papildus piešķirtais finansējums 2023.gada prioritārajām pasākumam 29_01_H "Ārstniecības personu darba samaksas pieauguma nodrošināšana"</t>
  </si>
  <si>
    <t>PAPILDUS NEPIECIEŠAMAIS finansējums periodam 2023.gada aprīlis-decembris, lai nodrošinātu kabinetu skaitu un slodžu skaitu ārstniecības iestādē atbilstoši faktiski nepieciešamajam apjomam no 01.04.2023</t>
  </si>
  <si>
    <t>tai skaitā, papildus piešķirtais finansējums 2023.gada prioritārajām pasākumam 29_01_H "Ārstniecības personu darba samaksas pieauguma nodrošināšana"</t>
  </si>
  <si>
    <t>No NVD bāzes budžeta</t>
  </si>
  <si>
    <t>Pavisam KOPĀ PAPILDUS nepieciešamais finansējums 2023.gadam, euro</t>
  </si>
  <si>
    <t>2.pielikums Informatīvajam ziņojumam</t>
  </si>
  <si>
    <t>NVD aprēķinātais finansējums 2024.gadam, ņemot vērā 2023.gadā nepieciešamo kabinetu skaitu un slodžu skaitu</t>
  </si>
  <si>
    <t>Funkcionālā speciālista piemaksa (psihiatrija) 2024, EUR</t>
  </si>
  <si>
    <t>Māsas darba piemaksa (psihiatrija) 2024, EUR</t>
  </si>
  <si>
    <t>Māsai Kabineta fiksētais maksājums, EUR 1 slodzei gadā</t>
  </si>
  <si>
    <t>Māsai Kabineta fiksētais maksājums, EUR 1 slodzei mēnesī</t>
  </si>
  <si>
    <r>
      <t>Kabineta nodrošinājuma maksājums gadā, euro</t>
    </r>
    <r>
      <rPr>
        <b/>
        <sz val="11"/>
        <rFont val="Times New Roman"/>
        <family val="1"/>
      </rPr>
      <t>*</t>
    </r>
  </si>
  <si>
    <t xml:space="preserve">Finansējums slodzēm 2024. gadam, euro </t>
  </si>
  <si>
    <t>Finansējums manipulāciju apmaksai 2024.gadā, euro</t>
  </si>
  <si>
    <t>Finansējums 2024.gadam KOPĀ, euro</t>
  </si>
  <si>
    <t>* Ja slodžu skaits uz 1 kabinetu pārsniedz 1, tad fiksēto kabineta maksājumu slodžu skaita vietā aprēķina uz kabinetu skaitu</t>
  </si>
  <si>
    <t>Nepieciešamais finansējums KOPĀ</t>
  </si>
  <si>
    <t>Pasākumam "Uzlabot bērnu un pusaudžu psihiskās veselības pakalpojumu pieejamību, attīstot pakalpojumu reģionos" 2024.gadam un turpmāk ik gadu pieejamais finansējums</t>
  </si>
  <si>
    <t>Papildus nepieciešamais finansējums 2024.gadam un turpmāk ik gadu</t>
  </si>
  <si>
    <t>3.pielikums Informatīvajam ziņojumam</t>
  </si>
  <si>
    <t>Manipulācijas kods</t>
  </si>
  <si>
    <t xml:space="preserve">Palielināt psihiskās veselības aprūpes speciālistu klātienes un attālinātu konsultāciju saņemšanas iespējas iedzīvotājiem </t>
  </si>
  <si>
    <t>Nodrošināt, ka pacients var saņemt 5-10 psihologa vai psihoterapeita konsultācijas ar ģimenes ārsta nosūtījumu</t>
  </si>
  <si>
    <t>Pasākums "Palielināt psihiskās veselības aprūpes speciālistu klātienes un attālinātu konsultāciju saņemšanas iespējas iedzīvotājiem"</t>
  </si>
  <si>
    <t xml:space="preserve">AP87 - Psihologa/psihoterapeita pakalpojumi </t>
  </si>
  <si>
    <t>2022.gada mēnesis</t>
  </si>
  <si>
    <t>Faktiskās konsultāciju izmaksas, euro</t>
  </si>
  <si>
    <t>Pieaugums(+)/
samazinājums(-) pret iepriekšējo mēnesi, %</t>
  </si>
  <si>
    <t>Pieaugums(+)/
samazinājums(-) pret 2022.gada janvāri, %</t>
  </si>
  <si>
    <t>janvāris</t>
  </si>
  <si>
    <t>februāris</t>
  </si>
  <si>
    <t>marts</t>
  </si>
  <si>
    <t>aprīlis</t>
  </si>
  <si>
    <t>maijs</t>
  </si>
  <si>
    <t>2022.gadā kopā "pieņemtie" pakalpojuma sniedzēji</t>
  </si>
  <si>
    <t>jūnijs</t>
  </si>
  <si>
    <t>Pakalpojuma sniedzēji uz 2023.gada 1.februāri</t>
  </si>
  <si>
    <t>jūlijs</t>
  </si>
  <si>
    <t>augusts</t>
  </si>
  <si>
    <t>vidējās faktiskās konsultāciju izmaksas uz 1 pakalpojuma sniedzēju (euro)</t>
  </si>
  <si>
    <t>septembris</t>
  </si>
  <si>
    <t>2023.gadā prognozētas faktiskās izmaksas uz aktuālo pakalpojumu sniedzēju skaitu (euro)</t>
  </si>
  <si>
    <t>oktobris</t>
  </si>
  <si>
    <t>novembris</t>
  </si>
  <si>
    <t>decembris</t>
  </si>
  <si>
    <t>Prognozētā izpilde 2023.gadam, euro</t>
  </si>
  <si>
    <t>Veselības ministrijai prioritārā pasākuma “Pasākumi, lai samazinātu ilglaicīgu negatīvo ietekmi uz sabiedrības psihisko veselību, ko rada COVID-19 pandēmija” ietvaros 2023.gadam un turpmāk ik gadu piešķirtais finansējums, euro</t>
  </si>
  <si>
    <t>Prognozētā neizpilde gadā, euro</t>
  </si>
  <si>
    <t>Psihologu un psihoterapeitu konsultāciju apmaksai nepieciešamais finansējums 2022. gadā</t>
  </si>
  <si>
    <t>(darba dienu skaits 2022. gadā)</t>
  </si>
  <si>
    <t>Pakalpojums*</t>
  </si>
  <si>
    <t>Vienas konsutlācijas izmaksas, EUR</t>
  </si>
  <si>
    <t>Speciālistu skaits</t>
  </si>
  <si>
    <t>Konsultāciju skaits darba dienā</t>
  </si>
  <si>
    <t>Nepieciešamais finansējums gadam, EUR</t>
  </si>
  <si>
    <t>Konsultāciju skaits gadā</t>
  </si>
  <si>
    <t>ALGA no 2022. gada</t>
  </si>
  <si>
    <t>Klīniskā un veselības psihologa konsultācija</t>
  </si>
  <si>
    <t>VSAOI</t>
  </si>
  <si>
    <t>Klīniskā un veselības psihologa ar psihoterapeita izglītību konsultācija</t>
  </si>
  <si>
    <t>Kopā</t>
  </si>
  <si>
    <t>* Lai palielinātu psihiskās veselības aprūpes speciālistu klātienes un attālinātu konsultāciju saņemšanas iespējas iedzīvotājiem no 2021. gada ar ģimenes ārsta nosūtījumu plānots apmaksāt 5-10 divu veidu psihologu sniegtas konsultācijas. Plānotas apmaksāt divu veidu konsultācijas - pirmās sniedz klīniskais un veselības psihologs, savukārt otrās arī klīniskais un veselības psihologs, bet ar papildus apgūtu psihoterapijas metodi, tādēļ arī manipulāciju tarifs paredzēts lielāks, jo šīs speciālists ir ieguvis vairāk praktiskās iemaņas un zināšanas.</t>
  </si>
  <si>
    <t>Darba samaksa ārstam, euro</t>
  </si>
  <si>
    <t>Valsts sociālās apdrošināšanas obligātās iemaksas, %</t>
  </si>
  <si>
    <t xml:space="preserve">Pieskaitāmās un netiešās ražošanas izmaksas </t>
  </si>
  <si>
    <t xml:space="preserve">Administratīvās izmaksas </t>
  </si>
  <si>
    <t xml:space="preserve">Pārējo pamatlīdzekļu amortizācija </t>
  </si>
  <si>
    <t>Mēneša darba samaksa * 1.3</t>
  </si>
  <si>
    <t>1 minūtes vērtība darba samaksai</t>
  </si>
  <si>
    <t>Koeficienti</t>
  </si>
  <si>
    <t>Manipulācijas nosaukums</t>
  </si>
  <si>
    <t>Mainīgās izmaksas</t>
  </si>
  <si>
    <t>Tarifs, euro</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</si>
  <si>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</si>
  <si>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</si>
  <si>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</si>
  <si>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</si>
  <si>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</si>
  <si>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</si>
  <si>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</si>
  <si>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</si>
  <si>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</si>
  <si>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</si>
  <si>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</si>
  <si>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</si>
  <si>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</si>
  <si>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</si>
  <si>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</si>
  <si>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</si>
  <si>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</si>
  <si>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13028</t>
  </si>
  <si>
    <t>Klīniskā un veselības psihologa konsultācija*</t>
  </si>
  <si>
    <t>-</t>
  </si>
  <si>
    <t>Mēneša darba samaksa * 1.4814</t>
  </si>
  <si>
    <t xml:space="preserve">13029 </t>
  </si>
  <si>
    <t>Klīniskā un veselības psihologa ar psihoterapeita izglītību konsultācija*</t>
  </si>
  <si>
    <t>PAPILDUS NEPIECIEŠAMAIS finansējums periodam 2023.gada aprīlis-decembris,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</si>
</sst>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0.0"/>
    <numFmt numFmtId="166" formatCode="0.0000"/>
    <numFmt numFmtId="167" formatCode="0.000000"/>
  </numFmts>
  <fonts count="42" x14ac:knownFonts="1">
    <font>
      <sz val="11"/>
      <color theme="1"/>
      <name val="Calibri"/>
      <family val="2"/>
      <charset val="186"/>
      <scheme val="minor"/>
    </font>
    <font>
      <sz val="11"/>
      <color theme="1"/>
      <name val="Calibri"/>
      <family val="2"/>
      <charset val="186"/>
      <scheme val="minor"/>
    </font>
    <font>
      <sz val="10"/>
      <color theme="1"/>
      <name val="Times New Roman"/>
      <family val="1"/>
    </font>
    <font>
      <sz val="9"/>
      <color theme="1"/>
      <name val="Times New Roman"/>
      <family val="1"/>
    </font>
    <font>
      <b/>
      <sz val="12"/>
      <color theme="1"/>
      <name val="Times New Roman"/>
      <family val="1"/>
    </font>
    <font>
      <sz val="10"/>
      <name val="Times New Roman"/>
      <family val="1"/>
    </font>
    <font>
      <sz val="11"/>
      <color theme="1"/>
      <name val="Calibri"/>
      <family val="2"/>
      <charset val="204"/>
      <scheme val="minor"/>
    </font>
    <font>
      <sz val="11"/>
      <color theme="1"/>
      <name val="Times New Roman"/>
      <family val="1"/>
    </font>
    <font>
      <b/>
      <sz val="14"/>
      <name val="Times New Roman"/>
      <family val="1"/>
    </font>
    <font>
      <b/>
      <sz val="11"/>
      <color rgb="FFFF0000"/>
      <name val="Times New Roman"/>
      <family val="1"/>
    </font>
    <font>
      <sz val="11"/>
      <name val="Times New Roman"/>
      <family val="1"/>
    </font>
    <font>
      <b/>
      <i/>
      <sz val="11"/>
      <name val="Times New Roman"/>
      <family val="1"/>
    </font>
    <font>
      <b/>
      <sz val="11"/>
      <color theme="1"/>
      <name val="Times New Roman"/>
      <family val="1"/>
    </font>
    <font>
      <sz val="11"/>
      <color theme="1"/>
      <name val="Calibri"/>
      <family val="2"/>
      <scheme val="minor"/>
    </font>
    <font>
      <b/>
      <sz val="12"/>
      <name val="Times New Roman"/>
      <family val="1"/>
    </font>
    <font>
      <sz val="11"/>
      <color theme="2" tint="-0.499984740745262"/>
      <name val="Times New Roman"/>
      <family val="1"/>
    </font>
    <font>
      <b/>
      <sz val="13"/>
      <name val="Times New Roman"/>
      <family val="1"/>
    </font>
    <font>
      <b/>
      <sz val="11"/>
      <name val="Times New Roman"/>
      <family val="1"/>
    </font>
    <font>
      <sz val="10"/>
      <name val="Arial"/>
      <family val="2"/>
      <charset val="186"/>
    </font>
    <font>
      <sz val="11"/>
      <name val="Times New Roman"/>
      <family val="1"/>
      <charset val="186"/>
    </font>
    <font>
      <b/>
      <sz val="12"/>
      <name val="Times New Roman"/>
      <family val="1"/>
      <charset val="186"/>
    </font>
    <font>
      <b/>
      <sz val="14"/>
      <name val="Times New Roman"/>
      <family val="1"/>
      <charset val="186"/>
    </font>
    <font>
      <b/>
      <sz val="11"/>
      <color theme="1"/>
      <name val="Times New Roman"/>
      <family val="1"/>
      <charset val="186"/>
    </font>
    <font>
      <b/>
      <sz val="11"/>
      <name val="Times New Roman"/>
      <family val="1"/>
      <charset val="186"/>
    </font>
    <font>
      <b/>
      <sz val="11"/>
      <color rgb="FFFF0000"/>
      <name val="Times New Roman"/>
      <family val="1"/>
      <charset val="186"/>
    </font>
    <font>
      <sz val="12"/>
      <name val="Times New Roman"/>
      <family val="1"/>
    </font>
    <font>
      <sz val="10"/>
      <name val="Arial"/>
      <family val="2"/>
      <charset val="186"/>
    </font>
    <font>
      <sz val="11"/>
      <name val="Times New Roman"/>
      <family val="1"/>
      <charset val="204"/>
    </font>
    <font>
      <b/>
      <i/>
      <sz val="12"/>
      <name val="Times New Roman"/>
      <family val="1"/>
      <charset val="186"/>
    </font>
    <font>
      <sz val="11"/>
      <name val="Calibri"/>
      <family val="2"/>
      <charset val="204"/>
      <scheme val="minor"/>
    </font>
    <font>
      <b/>
      <i/>
      <sz val="12"/>
      <name val="Times New Roman"/>
      <family val="1"/>
    </font>
    <font>
      <sz val="10"/>
      <name val="Times New Roman"/>
      <family val="1"/>
      <charset val="204"/>
    </font>
    <font>
      <b/>
      <sz val="10"/>
      <name val="Times New Roman"/>
      <family val="1"/>
      <charset val="186"/>
    </font>
    <font>
      <sz val="11"/>
      <name val="Calibri"/>
      <family val="2"/>
      <scheme val="minor"/>
    </font>
    <font>
      <i/>
      <sz val="10"/>
      <name val="Times New Roman"/>
      <family val="1"/>
      <charset val="186"/>
    </font>
    <font>
      <sz val="10"/>
      <name val="Times New Roman"/>
      <family val="1"/>
      <charset val="186"/>
    </font>
    <font>
      <sz val="12"/>
      <name val="Times New Roman"/>
      <family val="1"/>
      <charset val="186"/>
    </font>
    <font>
      <b/>
      <sz val="10"/>
      <color rgb="FFFF0000"/>
      <name val="Times New Roman"/>
      <family val="1"/>
      <charset val="186"/>
    </font>
    <font>
      <sz val="8"/>
      <name val="Calibri"/>
      <family val="2"/>
      <charset val="186"/>
      <scheme val="minor"/>
    </font>
    <font>
      <b/>
      <sz val="13"/>
      <color rgb="FFFF0000"/>
      <name val="Times New Roman"/>
      <family val="1"/>
    </font>
    <font>
      <i/>
      <sz val="11"/>
      <name val="Times New Roman"/>
      <family val="1"/>
    </font>
    <font>
      <i/>
      <sz val="11"/>
      <color theme="1"/>
      <name val="Times New Roman"/>
      <family val="1"/>
    </font>
  </fonts>
  <fills count="12">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rgb="FF92D050"/>
        <bgColor indexed="64"/>
      </patternFill>
    </fill>
  </fills>
  <borders count="4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s>
  <cellStyleXfs count="14">
    <xf numFmtId="0" fontId="0" fillId="0" borderId="0"/>
    <xf numFmtId="0" fontId="6" fillId="0" borderId="0"/>
    <xf numFmtId="0" fontId="13" fillId="0" borderId="0"/>
    <xf numFmtId="0" fontId="13" fillId="0" borderId="0"/>
    <xf numFmtId="0" fontId="18" fillId="0" borderId="0"/>
    <xf numFmtId="0" fontId="6" fillId="0" borderId="0"/>
    <xf numFmtId="0" fontId="13" fillId="0" borderId="0"/>
    <xf numFmtId="9" fontId="1" fillId="0" borderId="0" applyFont="0" applyFill="0" applyBorder="0" applyAlignment="0" applyProtection="0"/>
    <xf numFmtId="0" fontId="13" fillId="0" borderId="0"/>
    <xf numFmtId="0" fontId="26" fillId="0" borderId="0"/>
    <xf numFmtId="0" fontId="13" fillId="0" borderId="0"/>
    <xf numFmtId="0" fontId="1" fillId="0" borderId="0"/>
    <xf numFmtId="0" fontId="18" fillId="0" borderId="0"/>
    <xf numFmtId="0" fontId="18" fillId="0" borderId="0"/>
  </cellStyleXfs>
  <cellXfs count="491">
    <xf numFmtId="0" fontId="0" fillId="0" borderId="0" xfId="0"/>
    <xf numFmtId="0" fontId="3" fillId="0" borderId="0" xfId="0" applyFont="1" applyAlignment="1">
      <alignment vertical="center" wrapText="1"/>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2" fillId="0" borderId="0" xfId="0" applyFont="1"/>
    <xf numFmtId="0" fontId="2" fillId="0" borderId="0" xfId="0" applyFont="1" applyAlignment="1">
      <alignment horizontal="right"/>
    </xf>
    <xf numFmtId="0" fontId="7" fillId="0" borderId="0" xfId="1" applyFont="1" applyAlignment="1">
      <alignment horizontal="center"/>
    </xf>
    <xf numFmtId="0" fontId="7" fillId="0" borderId="0" xfId="1" applyFont="1"/>
    <xf numFmtId="0" fontId="7" fillId="0" borderId="0" xfId="1" applyFont="1" applyAlignment="1">
      <alignment horizontal="center" vertical="center"/>
    </xf>
    <xf numFmtId="0" fontId="9" fillId="0" borderId="0" xfId="1" applyFont="1"/>
    <xf numFmtId="0" fontId="10" fillId="0" borderId="0" xfId="1" applyFont="1" applyAlignment="1">
      <alignment horizontal="center" vertical="center"/>
    </xf>
    <xf numFmtId="0" fontId="10" fillId="0" borderId="0" xfId="1" applyFont="1"/>
    <xf numFmtId="0" fontId="10" fillId="0" borderId="0" xfId="1" applyFont="1" applyAlignment="1">
      <alignment horizontal="center"/>
    </xf>
    <xf numFmtId="0" fontId="11" fillId="0" borderId="0" xfId="1" applyFont="1" applyAlignment="1">
      <alignment vertical="center" wrapText="1"/>
    </xf>
    <xf numFmtId="0" fontId="11" fillId="0" borderId="0" xfId="1" applyFont="1" applyAlignment="1">
      <alignment horizontal="center" vertical="center" wrapText="1"/>
    </xf>
    <xf numFmtId="0" fontId="7" fillId="0" borderId="0" xfId="0" applyFont="1"/>
    <xf numFmtId="0" fontId="10" fillId="0" borderId="0" xfId="2" applyFont="1" applyAlignment="1">
      <alignment horizontal="center"/>
    </xf>
    <xf numFmtId="0" fontId="10" fillId="0" borderId="0" xfId="2" applyFont="1"/>
    <xf numFmtId="0" fontId="9" fillId="0" borderId="0" xfId="2" applyFont="1"/>
    <xf numFmtId="3" fontId="10" fillId="0" borderId="2" xfId="3" applyNumberFormat="1" applyFont="1" applyBorder="1" applyAlignment="1">
      <alignment horizontal="center" vertical="top"/>
    </xf>
    <xf numFmtId="3" fontId="10" fillId="4" borderId="2" xfId="3" applyNumberFormat="1" applyFont="1" applyFill="1" applyBorder="1" applyAlignment="1">
      <alignment horizontal="center" vertical="top"/>
    </xf>
    <xf numFmtId="0" fontId="7" fillId="0" borderId="2" xfId="1" applyFont="1" applyBorder="1" applyAlignment="1">
      <alignment horizontal="center" vertical="top"/>
    </xf>
    <xf numFmtId="164" fontId="10" fillId="0" borderId="2" xfId="3" applyNumberFormat="1" applyFont="1" applyBorder="1" applyAlignment="1">
      <alignment horizontal="center" vertical="top"/>
    </xf>
    <xf numFmtId="0" fontId="7" fillId="0" borderId="0" xfId="1" applyFont="1" applyAlignment="1">
      <alignment horizontal="center" vertical="top"/>
    </xf>
    <xf numFmtId="4" fontId="10" fillId="0" borderId="0" xfId="3" applyNumberFormat="1" applyFont="1" applyAlignment="1">
      <alignment horizontal="center" vertical="top"/>
    </xf>
    <xf numFmtId="3" fontId="10" fillId="0" borderId="0" xfId="3" applyNumberFormat="1" applyFont="1" applyAlignment="1">
      <alignment horizontal="center" vertical="top"/>
    </xf>
    <xf numFmtId="3" fontId="9" fillId="0" borderId="0" xfId="3" applyNumberFormat="1" applyFont="1" applyAlignment="1">
      <alignment horizontal="left" vertical="top"/>
    </xf>
    <xf numFmtId="0" fontId="7" fillId="0" borderId="0" xfId="1" applyFont="1" applyAlignment="1">
      <alignment horizontal="left" vertical="top"/>
    </xf>
    <xf numFmtId="0" fontId="10" fillId="5" borderId="1" xfId="3" applyFont="1" applyFill="1" applyBorder="1" applyAlignment="1">
      <alignment horizontal="center" vertical="center" wrapText="1"/>
    </xf>
    <xf numFmtId="4" fontId="10" fillId="5" borderId="1" xfId="3" applyNumberFormat="1" applyFont="1" applyFill="1" applyBorder="1" applyAlignment="1">
      <alignment horizontal="center" vertical="center" wrapText="1"/>
    </xf>
    <xf numFmtId="3" fontId="10" fillId="5" borderId="1" xfId="3" applyNumberFormat="1" applyFont="1" applyFill="1" applyBorder="1" applyAlignment="1">
      <alignment horizontal="center" vertical="center" wrapText="1"/>
    </xf>
    <xf numFmtId="0" fontId="7" fillId="5" borderId="1" xfId="1" applyFont="1" applyFill="1" applyBorder="1" applyAlignment="1">
      <alignment horizontal="center" vertical="center" wrapText="1"/>
    </xf>
    <xf numFmtId="0" fontId="9" fillId="0" borderId="0" xfId="1" applyFont="1" applyAlignment="1">
      <alignment horizontal="center" vertical="center"/>
    </xf>
    <xf numFmtId="0" fontId="10" fillId="0" borderId="7" xfId="3" applyFont="1" applyBorder="1" applyAlignment="1">
      <alignment horizontal="center" vertical="top"/>
    </xf>
    <xf numFmtId="0" fontId="10" fillId="0" borderId="8" xfId="3" applyFont="1" applyBorder="1" applyAlignment="1">
      <alignment horizontal="left" vertical="top"/>
    </xf>
    <xf numFmtId="0" fontId="10" fillId="0" borderId="8" xfId="3" applyFont="1" applyBorder="1" applyAlignment="1">
      <alignment horizontal="center" vertical="top"/>
    </xf>
    <xf numFmtId="4" fontId="10" fillId="0" borderId="8" xfId="3" applyNumberFormat="1" applyFont="1" applyBorder="1" applyAlignment="1">
      <alignment horizontal="center" vertical="top"/>
    </xf>
    <xf numFmtId="3" fontId="10" fillId="0" borderId="8" xfId="3" applyNumberFormat="1" applyFont="1" applyBorder="1" applyAlignment="1">
      <alignment horizontal="center" vertical="top"/>
    </xf>
    <xf numFmtId="3" fontId="10" fillId="0" borderId="9" xfId="3" applyNumberFormat="1" applyFont="1" applyBorder="1" applyAlignment="1">
      <alignment horizontal="center" vertical="top"/>
    </xf>
    <xf numFmtId="3" fontId="7" fillId="0" borderId="10" xfId="1" applyNumberFormat="1" applyFont="1" applyBorder="1" applyAlignment="1">
      <alignment horizontal="center" vertical="top"/>
    </xf>
    <xf numFmtId="0" fontId="9" fillId="0" borderId="0" xfId="1" applyFont="1" applyAlignment="1">
      <alignment horizontal="left" vertical="top"/>
    </xf>
    <xf numFmtId="0" fontId="10" fillId="0" borderId="11" xfId="3" applyFont="1" applyBorder="1" applyAlignment="1">
      <alignment horizontal="center" vertical="top"/>
    </xf>
    <xf numFmtId="0" fontId="10" fillId="0" borderId="2" xfId="3" applyFont="1" applyBorder="1" applyAlignment="1">
      <alignment horizontal="left" vertical="top"/>
    </xf>
    <xf numFmtId="0" fontId="10" fillId="0" borderId="2" xfId="3" applyFont="1" applyBorder="1" applyAlignment="1">
      <alignment horizontal="center" vertical="top"/>
    </xf>
    <xf numFmtId="4" fontId="10" fillId="0" borderId="2" xfId="3" applyNumberFormat="1" applyFont="1" applyBorder="1" applyAlignment="1">
      <alignment horizontal="center" vertical="top"/>
    </xf>
    <xf numFmtId="3" fontId="7" fillId="0" borderId="12" xfId="1" applyNumberFormat="1" applyFont="1" applyBorder="1" applyAlignment="1">
      <alignment horizontal="center" vertical="top"/>
    </xf>
    <xf numFmtId="0" fontId="7" fillId="0" borderId="11" xfId="1" applyFont="1" applyBorder="1" applyAlignment="1">
      <alignment horizontal="center" vertical="top"/>
    </xf>
    <xf numFmtId="0" fontId="7" fillId="0" borderId="2" xfId="1" applyFont="1" applyBorder="1" applyAlignment="1">
      <alignment horizontal="left" vertical="top"/>
    </xf>
    <xf numFmtId="4" fontId="7" fillId="0" borderId="2" xfId="1" applyNumberFormat="1" applyFont="1" applyBorder="1" applyAlignment="1">
      <alignment horizontal="center" vertical="top"/>
    </xf>
    <xf numFmtId="3" fontId="7" fillId="0" borderId="2" xfId="1" applyNumberFormat="1" applyFont="1" applyBorder="1" applyAlignment="1">
      <alignment horizontal="center" vertical="top"/>
    </xf>
    <xf numFmtId="3" fontId="10" fillId="0" borderId="6" xfId="3" applyNumberFormat="1" applyFont="1" applyBorder="1" applyAlignment="1">
      <alignment horizontal="center" vertical="top"/>
    </xf>
    <xf numFmtId="4" fontId="9" fillId="0" borderId="0" xfId="1" applyNumberFormat="1" applyFont="1" applyAlignment="1">
      <alignment horizontal="left" vertical="top"/>
    </xf>
    <xf numFmtId="0" fontId="7" fillId="0" borderId="13" xfId="1" applyFont="1" applyBorder="1" applyAlignment="1">
      <alignment horizontal="center" vertical="top"/>
    </xf>
    <xf numFmtId="0" fontId="7" fillId="0" borderId="14" xfId="1" applyFont="1" applyBorder="1" applyAlignment="1">
      <alignment horizontal="left" vertical="top"/>
    </xf>
    <xf numFmtId="0" fontId="10" fillId="0" borderId="14" xfId="3" applyFont="1" applyBorder="1" applyAlignment="1">
      <alignment horizontal="center" vertical="top"/>
    </xf>
    <xf numFmtId="0" fontId="7" fillId="0" borderId="14" xfId="1" applyFont="1" applyBorder="1" applyAlignment="1">
      <alignment horizontal="center" vertical="top"/>
    </xf>
    <xf numFmtId="4" fontId="7" fillId="0" borderId="14" xfId="1" applyNumberFormat="1" applyFont="1" applyBorder="1" applyAlignment="1">
      <alignment horizontal="center" vertical="top"/>
    </xf>
    <xf numFmtId="3" fontId="10" fillId="0" borderId="14" xfId="3" applyNumberFormat="1" applyFont="1" applyBorder="1" applyAlignment="1">
      <alignment horizontal="center" vertical="top"/>
    </xf>
    <xf numFmtId="3" fontId="7" fillId="0" borderId="14" xfId="1" applyNumberFormat="1" applyFont="1" applyBorder="1" applyAlignment="1">
      <alignment horizontal="center" vertical="top"/>
    </xf>
    <xf numFmtId="3" fontId="7" fillId="0" borderId="15" xfId="1" applyNumberFormat="1" applyFont="1" applyBorder="1" applyAlignment="1">
      <alignment horizontal="center" vertical="top"/>
    </xf>
    <xf numFmtId="0" fontId="7" fillId="0" borderId="7" xfId="1" applyFont="1" applyBorder="1" applyAlignment="1">
      <alignment horizontal="center" vertical="top"/>
    </xf>
    <xf numFmtId="0" fontId="7" fillId="0" borderId="8" xfId="1" applyFont="1" applyBorder="1" applyAlignment="1">
      <alignment horizontal="center" vertical="top"/>
    </xf>
    <xf numFmtId="4" fontId="7" fillId="0" borderId="8" xfId="1" applyNumberFormat="1" applyFont="1" applyBorder="1" applyAlignment="1">
      <alignment horizontal="center" vertical="top"/>
    </xf>
    <xf numFmtId="3" fontId="7" fillId="0" borderId="8" xfId="1" applyNumberFormat="1" applyFont="1" applyBorder="1" applyAlignment="1">
      <alignment horizontal="center"/>
    </xf>
    <xf numFmtId="3" fontId="7" fillId="0" borderId="8" xfId="1" applyNumberFormat="1" applyFont="1" applyBorder="1" applyAlignment="1">
      <alignment horizontal="center" vertical="top"/>
    </xf>
    <xf numFmtId="3" fontId="7" fillId="0" borderId="2" xfId="1" applyNumberFormat="1" applyFont="1" applyBorder="1" applyAlignment="1">
      <alignment horizontal="center"/>
    </xf>
    <xf numFmtId="4" fontId="9" fillId="0" borderId="0" xfId="1" applyNumberFormat="1" applyFont="1"/>
    <xf numFmtId="3" fontId="7" fillId="0" borderId="14" xfId="1" applyNumberFormat="1" applyFont="1" applyBorder="1" applyAlignment="1">
      <alignment horizontal="center"/>
    </xf>
    <xf numFmtId="4" fontId="7" fillId="0" borderId="8" xfId="1" applyNumberFormat="1" applyFont="1" applyBorder="1" applyAlignment="1">
      <alignment horizontal="center"/>
    </xf>
    <xf numFmtId="4" fontId="7" fillId="0" borderId="2" xfId="1" applyNumberFormat="1" applyFont="1" applyBorder="1" applyAlignment="1">
      <alignment horizontal="center"/>
    </xf>
    <xf numFmtId="4" fontId="7" fillId="0" borderId="14" xfId="1" applyNumberFormat="1" applyFont="1" applyBorder="1" applyAlignment="1">
      <alignment horizontal="center"/>
    </xf>
    <xf numFmtId="0" fontId="7" fillId="0" borderId="16" xfId="1" applyFont="1" applyBorder="1" applyAlignment="1">
      <alignment horizontal="center" vertical="top"/>
    </xf>
    <xf numFmtId="0" fontId="10" fillId="0" borderId="6" xfId="3" applyFont="1" applyBorder="1" applyAlignment="1">
      <alignment horizontal="left" vertical="top"/>
    </xf>
    <xf numFmtId="0" fontId="10" fillId="0" borderId="6" xfId="3" applyFont="1" applyBorder="1" applyAlignment="1">
      <alignment horizontal="center" vertical="top"/>
    </xf>
    <xf numFmtId="0" fontId="7" fillId="0" borderId="6" xfId="1" applyFont="1" applyBorder="1" applyAlignment="1">
      <alignment horizontal="center" vertical="top"/>
    </xf>
    <xf numFmtId="4" fontId="7" fillId="0" borderId="6" xfId="1" applyNumberFormat="1" applyFont="1" applyBorder="1" applyAlignment="1">
      <alignment horizontal="center"/>
    </xf>
    <xf numFmtId="4" fontId="7" fillId="0" borderId="6" xfId="1" applyNumberFormat="1" applyFont="1" applyBorder="1" applyAlignment="1">
      <alignment horizontal="center" vertical="top"/>
    </xf>
    <xf numFmtId="3" fontId="7" fillId="0" borderId="6" xfId="1" applyNumberFormat="1" applyFont="1" applyBorder="1" applyAlignment="1">
      <alignment horizontal="center"/>
    </xf>
    <xf numFmtId="3" fontId="7" fillId="0" borderId="6" xfId="1" applyNumberFormat="1" applyFont="1" applyBorder="1" applyAlignment="1">
      <alignment horizontal="center" vertical="top"/>
    </xf>
    <xf numFmtId="3" fontId="7" fillId="0" borderId="17" xfId="1" applyNumberFormat="1" applyFont="1" applyBorder="1" applyAlignment="1">
      <alignment horizontal="center" vertical="top"/>
    </xf>
    <xf numFmtId="3" fontId="7" fillId="0" borderId="18" xfId="1" applyNumberFormat="1" applyFont="1" applyBorder="1" applyAlignment="1">
      <alignment horizontal="center" vertical="top"/>
    </xf>
    <xf numFmtId="3" fontId="7" fillId="0" borderId="4" xfId="1" applyNumberFormat="1" applyFont="1" applyBorder="1" applyAlignment="1">
      <alignment horizontal="center" vertical="top"/>
    </xf>
    <xf numFmtId="0" fontId="7" fillId="0" borderId="19" xfId="1" applyFont="1" applyBorder="1" applyAlignment="1">
      <alignment horizontal="center" vertical="top"/>
    </xf>
    <xf numFmtId="0" fontId="7" fillId="0" borderId="1" xfId="1" applyFont="1" applyBorder="1" applyAlignment="1">
      <alignment horizontal="left" vertical="top"/>
    </xf>
    <xf numFmtId="0" fontId="10" fillId="0" borderId="1" xfId="3" applyFont="1" applyBorder="1" applyAlignment="1">
      <alignment horizontal="center" vertical="top"/>
    </xf>
    <xf numFmtId="0" fontId="7" fillId="0" borderId="1" xfId="1" applyFont="1" applyBorder="1" applyAlignment="1">
      <alignment horizontal="center" vertical="top"/>
    </xf>
    <xf numFmtId="4" fontId="7" fillId="0" borderId="1" xfId="1" applyNumberFormat="1" applyFont="1" applyBorder="1" applyAlignment="1">
      <alignment horizontal="center" vertical="top"/>
    </xf>
    <xf numFmtId="4" fontId="7" fillId="0" borderId="1" xfId="1" applyNumberFormat="1" applyFont="1" applyBorder="1" applyAlignment="1">
      <alignment horizontal="center"/>
    </xf>
    <xf numFmtId="3" fontId="10" fillId="0" borderId="1" xfId="3" applyNumberFormat="1" applyFont="1" applyBorder="1" applyAlignment="1">
      <alignment horizontal="center" vertical="top"/>
    </xf>
    <xf numFmtId="3" fontId="7" fillId="0" borderId="1" xfId="1" applyNumberFormat="1" applyFont="1" applyBorder="1" applyAlignment="1">
      <alignment horizontal="center"/>
    </xf>
    <xf numFmtId="3" fontId="7" fillId="0" borderId="1" xfId="1" applyNumberFormat="1" applyFont="1" applyBorder="1" applyAlignment="1">
      <alignment horizontal="center" vertical="top"/>
    </xf>
    <xf numFmtId="3" fontId="7" fillId="0" borderId="20" xfId="1" applyNumberFormat="1" applyFont="1" applyBorder="1" applyAlignment="1">
      <alignment horizontal="center" vertical="top"/>
    </xf>
    <xf numFmtId="3" fontId="7" fillId="0" borderId="21" xfId="1" applyNumberFormat="1" applyFont="1" applyBorder="1" applyAlignment="1">
      <alignment horizontal="center" vertical="top"/>
    </xf>
    <xf numFmtId="0" fontId="7" fillId="0" borderId="7" xfId="1" applyFont="1" applyBorder="1" applyAlignment="1">
      <alignment horizontal="center"/>
    </xf>
    <xf numFmtId="3" fontId="7" fillId="0" borderId="22" xfId="1" applyNumberFormat="1" applyFont="1" applyBorder="1" applyAlignment="1">
      <alignment horizontal="center" vertical="top"/>
    </xf>
    <xf numFmtId="0" fontId="7" fillId="0" borderId="11" xfId="1" applyFont="1" applyBorder="1" applyAlignment="1">
      <alignment horizontal="center"/>
    </xf>
    <xf numFmtId="0" fontId="7" fillId="0" borderId="13" xfId="1" applyFont="1" applyBorder="1" applyAlignment="1">
      <alignment horizontal="center"/>
    </xf>
    <xf numFmtId="3" fontId="7" fillId="0" borderId="23" xfId="1" applyNumberFormat="1" applyFont="1" applyBorder="1" applyAlignment="1">
      <alignment horizontal="center" vertical="top"/>
    </xf>
    <xf numFmtId="4" fontId="7" fillId="0" borderId="0" xfId="1" applyNumberFormat="1" applyFont="1" applyAlignment="1">
      <alignment horizontal="center"/>
    </xf>
    <xf numFmtId="3" fontId="12" fillId="2" borderId="6" xfId="1" applyNumberFormat="1" applyFont="1" applyFill="1" applyBorder="1" applyAlignment="1">
      <alignment horizontal="center"/>
    </xf>
    <xf numFmtId="3" fontId="12" fillId="2" borderId="2" xfId="1" applyNumberFormat="1" applyFont="1" applyFill="1" applyBorder="1" applyAlignment="1">
      <alignment horizontal="center"/>
    </xf>
    <xf numFmtId="4" fontId="15" fillId="0" borderId="0" xfId="1" applyNumberFormat="1" applyFont="1" applyAlignment="1">
      <alignment horizontal="center"/>
    </xf>
    <xf numFmtId="0" fontId="16" fillId="0" borderId="3" xfId="1" applyFont="1" applyBorder="1"/>
    <xf numFmtId="0" fontId="9" fillId="0" borderId="0" xfId="1" applyFont="1" applyAlignment="1">
      <alignment horizontal="center" wrapText="1"/>
    </xf>
    <xf numFmtId="0" fontId="7" fillId="0" borderId="0" xfId="1" applyFont="1" applyAlignment="1">
      <alignment horizontal="center" wrapText="1"/>
    </xf>
    <xf numFmtId="3" fontId="10" fillId="0" borderId="27" xfId="3" applyNumberFormat="1" applyFont="1" applyBorder="1" applyAlignment="1">
      <alignment horizontal="center" vertical="top"/>
    </xf>
    <xf numFmtId="0" fontId="9" fillId="0" borderId="0" xfId="1" applyFont="1" applyAlignment="1">
      <alignment horizontal="left" vertical="center"/>
    </xf>
    <xf numFmtId="0" fontId="9" fillId="0" borderId="0" xfId="3" applyFont="1" applyAlignment="1">
      <alignment horizontal="center" vertical="center"/>
    </xf>
    <xf numFmtId="4" fontId="9" fillId="0" borderId="0" xfId="1" applyNumberFormat="1" applyFont="1" applyAlignment="1">
      <alignment horizontal="center" vertical="center"/>
    </xf>
    <xf numFmtId="4" fontId="10" fillId="0" borderId="0" xfId="1" applyNumberFormat="1" applyFont="1" applyAlignment="1">
      <alignment horizontal="center" vertical="center"/>
    </xf>
    <xf numFmtId="4" fontId="9" fillId="0" borderId="0" xfId="3" applyNumberFormat="1" applyFont="1" applyAlignment="1">
      <alignment horizontal="center" vertical="center"/>
    </xf>
    <xf numFmtId="3" fontId="17" fillId="2" borderId="6" xfId="1" applyNumberFormat="1" applyFont="1" applyFill="1" applyBorder="1" applyAlignment="1">
      <alignment horizontal="center" vertical="center"/>
    </xf>
    <xf numFmtId="4" fontId="9" fillId="0" borderId="0" xfId="1" applyNumberFormat="1" applyFont="1" applyAlignment="1">
      <alignment vertical="center"/>
    </xf>
    <xf numFmtId="4" fontId="7" fillId="0" borderId="0" xfId="1" applyNumberFormat="1" applyFont="1" applyAlignment="1">
      <alignment horizontal="center" vertical="center"/>
    </xf>
    <xf numFmtId="0" fontId="7" fillId="0" borderId="0" xfId="1" applyFont="1" applyAlignment="1">
      <alignment vertical="center"/>
    </xf>
    <xf numFmtId="0" fontId="9" fillId="0" borderId="0" xfId="3" applyFont="1" applyAlignment="1">
      <alignment horizontal="center" vertical="top"/>
    </xf>
    <xf numFmtId="4" fontId="9" fillId="0" borderId="0" xfId="1" applyNumberFormat="1" applyFont="1" applyAlignment="1">
      <alignment horizontal="center" vertical="top"/>
    </xf>
    <xf numFmtId="4" fontId="10" fillId="0" borderId="0" xfId="1" applyNumberFormat="1" applyFont="1" applyAlignment="1">
      <alignment horizontal="center" vertical="top"/>
    </xf>
    <xf numFmtId="4" fontId="9" fillId="0" borderId="0" xfId="3" applyNumberFormat="1" applyFont="1" applyAlignment="1">
      <alignment horizontal="center" vertical="top"/>
    </xf>
    <xf numFmtId="4" fontId="9" fillId="0" borderId="0" xfId="1" applyNumberFormat="1" applyFont="1" applyAlignment="1">
      <alignment horizontal="center"/>
    </xf>
    <xf numFmtId="4" fontId="9" fillId="5" borderId="0" xfId="1" applyNumberFormat="1" applyFont="1" applyFill="1" applyAlignment="1">
      <alignment horizontal="center" vertical="top"/>
    </xf>
    <xf numFmtId="0" fontId="9" fillId="0" borderId="0" xfId="1" applyFont="1" applyAlignment="1">
      <alignment horizontal="center"/>
    </xf>
    <xf numFmtId="0" fontId="7" fillId="0" borderId="8" xfId="1" applyFont="1" applyBorder="1" applyAlignment="1">
      <alignment horizontal="left" vertical="top"/>
    </xf>
    <xf numFmtId="4" fontId="20" fillId="0" borderId="0" xfId="4" applyNumberFormat="1" applyFont="1" applyAlignment="1">
      <alignment horizontal="center" vertical="center" wrapText="1"/>
    </xf>
    <xf numFmtId="3" fontId="20" fillId="0" borderId="0" xfId="4" applyNumberFormat="1" applyFont="1" applyAlignment="1">
      <alignment horizontal="center" vertical="center" wrapText="1"/>
    </xf>
    <xf numFmtId="3" fontId="21" fillId="0" borderId="0" xfId="4" applyNumberFormat="1" applyFont="1" applyAlignment="1">
      <alignment horizontal="center" vertical="center" wrapText="1"/>
    </xf>
    <xf numFmtId="3" fontId="7" fillId="0" borderId="0" xfId="1" applyNumberFormat="1" applyFont="1" applyAlignment="1">
      <alignment horizontal="center"/>
    </xf>
    <xf numFmtId="3" fontId="9" fillId="0" borderId="0" xfId="1" applyNumberFormat="1" applyFont="1"/>
    <xf numFmtId="0" fontId="10" fillId="0" borderId="0" xfId="5" applyFont="1"/>
    <xf numFmtId="0" fontId="7" fillId="0" borderId="0" xfId="5" applyFont="1"/>
    <xf numFmtId="0" fontId="7" fillId="0" borderId="0" xfId="5" applyFont="1" applyAlignment="1">
      <alignment horizontal="center"/>
    </xf>
    <xf numFmtId="0" fontId="7" fillId="0" borderId="0" xfId="5" applyFont="1" applyAlignment="1">
      <alignment horizontal="center" vertical="center"/>
    </xf>
    <xf numFmtId="0" fontId="7" fillId="0" borderId="0" xfId="5" applyFont="1" applyAlignment="1">
      <alignment horizontal="center" vertical="top"/>
    </xf>
    <xf numFmtId="4" fontId="10" fillId="0" borderId="0" xfId="6" applyNumberFormat="1" applyFont="1" applyAlignment="1">
      <alignment horizontal="center" vertical="top"/>
    </xf>
    <xf numFmtId="3" fontId="10" fillId="0" borderId="0" xfId="6" applyNumberFormat="1" applyFont="1" applyAlignment="1">
      <alignment horizontal="center" vertical="top"/>
    </xf>
    <xf numFmtId="0" fontId="7" fillId="0" borderId="0" xfId="5" applyFont="1" applyAlignment="1">
      <alignment horizontal="left" vertical="top"/>
    </xf>
    <xf numFmtId="0" fontId="7" fillId="0" borderId="0" xfId="5" applyFont="1" applyAlignment="1">
      <alignment horizontal="center" vertical="center" wrapText="1"/>
    </xf>
    <xf numFmtId="0" fontId="7" fillId="0" borderId="0" xfId="5" applyFont="1" applyAlignment="1">
      <alignment horizontal="center" wrapText="1"/>
    </xf>
    <xf numFmtId="0" fontId="7" fillId="0" borderId="0" xfId="5" applyFont="1" applyAlignment="1">
      <alignment vertical="center"/>
    </xf>
    <xf numFmtId="4" fontId="7" fillId="0" borderId="0" xfId="5" applyNumberFormat="1" applyFont="1" applyAlignment="1">
      <alignment horizontal="center" vertical="center"/>
    </xf>
    <xf numFmtId="0" fontId="22" fillId="0" borderId="0" xfId="5" applyFont="1" applyAlignment="1">
      <alignment horizontal="right"/>
    </xf>
    <xf numFmtId="3" fontId="22" fillId="0" borderId="0" xfId="5" applyNumberFormat="1" applyFont="1" applyAlignment="1">
      <alignment horizontal="center"/>
    </xf>
    <xf numFmtId="0" fontId="7" fillId="0" borderId="0" xfId="5" applyFont="1" applyAlignment="1">
      <alignment horizontal="right"/>
    </xf>
    <xf numFmtId="3" fontId="7" fillId="0" borderId="0" xfId="5" applyNumberFormat="1" applyFont="1" applyAlignment="1">
      <alignment horizontal="center"/>
    </xf>
    <xf numFmtId="3" fontId="24" fillId="0" borderId="0" xfId="5" applyNumberFormat="1" applyFont="1" applyAlignment="1">
      <alignment horizontal="center"/>
    </xf>
    <xf numFmtId="0" fontId="23" fillId="0" borderId="0" xfId="5" applyFont="1" applyAlignment="1">
      <alignment horizontal="right"/>
    </xf>
    <xf numFmtId="0" fontId="10" fillId="5" borderId="29" xfId="6" applyFont="1" applyFill="1" applyBorder="1" applyAlignment="1">
      <alignment horizontal="center" vertical="center" wrapText="1"/>
    </xf>
    <xf numFmtId="0" fontId="10" fillId="5" borderId="9" xfId="6" applyFont="1" applyFill="1" applyBorder="1" applyAlignment="1">
      <alignment horizontal="center" vertical="center" wrapText="1"/>
    </xf>
    <xf numFmtId="4" fontId="10" fillId="5" borderId="9" xfId="6" applyNumberFormat="1" applyFont="1" applyFill="1" applyBorder="1" applyAlignment="1">
      <alignment horizontal="center" vertical="center" wrapText="1"/>
    </xf>
    <xf numFmtId="3" fontId="10" fillId="5" borderId="9" xfId="6" applyNumberFormat="1" applyFont="1" applyFill="1" applyBorder="1" applyAlignment="1">
      <alignment horizontal="center" vertical="center" wrapText="1"/>
    </xf>
    <xf numFmtId="0" fontId="7" fillId="5" borderId="9" xfId="5" applyFont="1" applyFill="1" applyBorder="1" applyAlignment="1">
      <alignment horizontal="center" vertical="center" wrapText="1"/>
    </xf>
    <xf numFmtId="0" fontId="7" fillId="5" borderId="30" xfId="5" applyFont="1" applyFill="1" applyBorder="1" applyAlignment="1">
      <alignment horizontal="center" vertical="center" wrapText="1"/>
    </xf>
    <xf numFmtId="3" fontId="17" fillId="2" borderId="31" xfId="5" applyNumberFormat="1" applyFont="1" applyFill="1" applyBorder="1" applyAlignment="1">
      <alignment horizontal="center" vertical="center"/>
    </xf>
    <xf numFmtId="0" fontId="8" fillId="0" borderId="0" xfId="1" applyFont="1" applyAlignment="1">
      <alignment horizontal="center" vertical="center" wrapText="1"/>
    </xf>
    <xf numFmtId="0" fontId="10" fillId="0" borderId="0" xfId="8" applyFont="1"/>
    <xf numFmtId="0" fontId="5" fillId="0" borderId="0" xfId="0" applyFont="1"/>
    <xf numFmtId="0" fontId="25" fillId="0" borderId="0" xfId="0" applyFont="1"/>
    <xf numFmtId="0" fontId="5" fillId="0" borderId="0" xfId="8" applyFont="1"/>
    <xf numFmtId="0" fontId="5" fillId="0" borderId="0" xfId="0" applyFont="1" applyAlignment="1">
      <alignment horizontal="left"/>
    </xf>
    <xf numFmtId="0" fontId="25" fillId="0" borderId="0" xfId="0" applyFont="1" applyAlignment="1">
      <alignment horizontal="left"/>
    </xf>
    <xf numFmtId="0" fontId="10" fillId="0" borderId="0" xfId="1" applyFont="1" applyAlignment="1">
      <alignment horizontal="left"/>
    </xf>
    <xf numFmtId="0" fontId="7" fillId="0" borderId="0" xfId="0" applyFont="1" applyAlignment="1">
      <alignment horizontal="right"/>
    </xf>
    <xf numFmtId="0" fontId="10" fillId="0" borderId="2" xfId="0" applyFont="1" applyBorder="1" applyAlignment="1">
      <alignment horizontal="center" vertical="center" wrapText="1"/>
    </xf>
    <xf numFmtId="4" fontId="10" fillId="0" borderId="0" xfId="0" applyNumberFormat="1" applyFont="1"/>
    <xf numFmtId="0" fontId="10" fillId="0" borderId="0" xfId="0" applyFont="1" applyAlignment="1">
      <alignment horizontal="center"/>
    </xf>
    <xf numFmtId="4" fontId="17" fillId="0" borderId="0" xfId="0" applyNumberFormat="1" applyFont="1" applyAlignment="1">
      <alignment horizontal="right"/>
    </xf>
    <xf numFmtId="3" fontId="10" fillId="0" borderId="2" xfId="0" applyNumberFormat="1" applyFont="1" applyBorder="1" applyAlignment="1">
      <alignment horizontal="center" vertical="center"/>
    </xf>
    <xf numFmtId="3" fontId="7" fillId="0" borderId="0" xfId="0" applyNumberFormat="1" applyFont="1"/>
    <xf numFmtId="4" fontId="7" fillId="0" borderId="0" xfId="5" applyNumberFormat="1" applyFont="1" applyAlignment="1">
      <alignment horizontal="center"/>
    </xf>
    <xf numFmtId="4" fontId="7" fillId="0" borderId="8" xfId="1" applyNumberFormat="1" applyFont="1" applyBorder="1" applyAlignment="1">
      <alignment horizontal="center" vertical="center"/>
    </xf>
    <xf numFmtId="4" fontId="7" fillId="0" borderId="2" xfId="1" applyNumberFormat="1" applyFont="1" applyBorder="1" applyAlignment="1">
      <alignment horizontal="center" vertical="center"/>
    </xf>
    <xf numFmtId="4" fontId="7" fillId="0" borderId="14" xfId="1" applyNumberFormat="1" applyFont="1" applyBorder="1" applyAlignment="1">
      <alignment horizontal="center" vertical="center"/>
    </xf>
    <xf numFmtId="3" fontId="22" fillId="7" borderId="5" xfId="5" applyNumberFormat="1" applyFont="1" applyFill="1" applyBorder="1" applyAlignment="1">
      <alignment horizontal="center" vertical="center"/>
    </xf>
    <xf numFmtId="0" fontId="7" fillId="0" borderId="0" xfId="5" applyFont="1" applyAlignment="1">
      <alignment horizontal="left"/>
    </xf>
    <xf numFmtId="3" fontId="10" fillId="0" borderId="0" xfId="0" applyNumberFormat="1" applyFont="1" applyAlignment="1">
      <alignment horizontal="center" vertical="center"/>
    </xf>
    <xf numFmtId="3" fontId="17" fillId="0" borderId="0" xfId="0" applyNumberFormat="1" applyFont="1" applyAlignment="1">
      <alignment horizontal="center" vertical="center"/>
    </xf>
    <xf numFmtId="0" fontId="27" fillId="0" borderId="0" xfId="9" applyFont="1"/>
    <xf numFmtId="3" fontId="29" fillId="0" borderId="0" xfId="9" applyNumberFormat="1" applyFont="1"/>
    <xf numFmtId="0" fontId="29" fillId="0" borderId="0" xfId="9" applyFont="1"/>
    <xf numFmtId="0" fontId="5" fillId="0" borderId="0" xfId="9" applyFont="1"/>
    <xf numFmtId="0" fontId="25" fillId="0" borderId="0" xfId="9" applyFont="1"/>
    <xf numFmtId="0" fontId="5" fillId="0" borderId="0" xfId="9" applyFont="1" applyAlignment="1">
      <alignment horizontal="left"/>
    </xf>
    <xf numFmtId="0" fontId="25" fillId="0" borderId="0" xfId="9" applyFont="1" applyAlignment="1">
      <alignment horizontal="left"/>
    </xf>
    <xf numFmtId="0" fontId="23" fillId="0" borderId="0" xfId="9" applyFont="1"/>
    <xf numFmtId="0" fontId="31" fillId="0" borderId="0" xfId="9" applyFont="1"/>
    <xf numFmtId="0" fontId="19" fillId="0" borderId="0" xfId="9" applyFont="1"/>
    <xf numFmtId="0" fontId="29" fillId="0" borderId="0" xfId="9" applyFont="1" applyAlignment="1">
      <alignment horizontal="center" vertical="center"/>
    </xf>
    <xf numFmtId="0" fontId="23" fillId="0" borderId="2" xfId="9" applyFont="1" applyBorder="1" applyAlignment="1">
      <alignment horizontal="center" vertical="center"/>
    </xf>
    <xf numFmtId="0" fontId="32" fillId="0" borderId="2" xfId="9" applyFont="1" applyBorder="1" applyAlignment="1">
      <alignment horizontal="center" vertical="center" wrapText="1"/>
    </xf>
    <xf numFmtId="0" fontId="27" fillId="0" borderId="0" xfId="9" applyFont="1" applyAlignment="1">
      <alignment horizontal="center" vertical="center"/>
    </xf>
    <xf numFmtId="0" fontId="27" fillId="0" borderId="2" xfId="9" applyFont="1" applyBorder="1" applyAlignment="1">
      <alignment wrapText="1"/>
    </xf>
    <xf numFmtId="3" fontId="5" fillId="0" borderId="2" xfId="9" applyNumberFormat="1" applyFont="1" applyBorder="1"/>
    <xf numFmtId="4" fontId="27" fillId="0" borderId="0" xfId="9" applyNumberFormat="1" applyFont="1"/>
    <xf numFmtId="0" fontId="23" fillId="0" borderId="2" xfId="9" applyFont="1" applyBorder="1" applyAlignment="1">
      <alignment horizontal="center" vertical="center" wrapText="1"/>
    </xf>
    <xf numFmtId="165" fontId="29" fillId="0" borderId="0" xfId="9" applyNumberFormat="1" applyFont="1"/>
    <xf numFmtId="0" fontId="19" fillId="0" borderId="2" xfId="9" applyFont="1" applyBorder="1" applyAlignment="1">
      <alignment horizontal="center" vertical="center" wrapText="1"/>
    </xf>
    <xf numFmtId="0" fontId="33" fillId="0" borderId="0" xfId="10" applyFont="1"/>
    <xf numFmtId="0" fontId="19" fillId="0" borderId="0" xfId="10" applyFont="1"/>
    <xf numFmtId="3" fontId="23" fillId="5" borderId="2" xfId="10" applyNumberFormat="1" applyFont="1" applyFill="1" applyBorder="1"/>
    <xf numFmtId="3" fontId="23" fillId="0" borderId="2" xfId="10" applyNumberFormat="1" applyFont="1" applyBorder="1"/>
    <xf numFmtId="0" fontId="19" fillId="0" borderId="0" xfId="11" applyFont="1" applyAlignment="1">
      <alignment horizontal="right"/>
    </xf>
    <xf numFmtId="0" fontId="19" fillId="0" borderId="0" xfId="10" applyFont="1" applyAlignment="1">
      <alignment horizontal="left" wrapText="1"/>
    </xf>
    <xf numFmtId="0" fontId="19" fillId="6" borderId="2" xfId="11" applyFont="1" applyFill="1" applyBorder="1" applyAlignment="1">
      <alignment horizontal="center" vertical="center" wrapText="1"/>
    </xf>
    <xf numFmtId="0" fontId="19" fillId="0" borderId="0" xfId="11" applyFont="1" applyAlignment="1">
      <alignment vertical="center" wrapText="1"/>
    </xf>
    <xf numFmtId="0" fontId="19" fillId="0" borderId="2" xfId="11" applyFont="1" applyBorder="1"/>
    <xf numFmtId="166" fontId="19" fillId="8" borderId="2" xfId="11" applyNumberFormat="1" applyFont="1" applyFill="1" applyBorder="1"/>
    <xf numFmtId="0" fontId="19" fillId="8" borderId="2" xfId="11" applyFont="1" applyFill="1" applyBorder="1"/>
    <xf numFmtId="0" fontId="19" fillId="0" borderId="0" xfId="12" applyFont="1" applyAlignment="1">
      <alignment horizontal="center" vertical="center" wrapText="1"/>
    </xf>
    <xf numFmtId="0" fontId="34" fillId="0" borderId="0" xfId="12" applyFont="1" applyAlignment="1" applyProtection="1">
      <alignment horizontal="center" vertical="center" wrapText="1"/>
      <protection locked="0"/>
    </xf>
    <xf numFmtId="0" fontId="35" fillId="0" borderId="0" xfId="12" applyFont="1" applyAlignment="1" applyProtection="1">
      <alignment horizontal="center" vertical="center" wrapText="1"/>
      <protection locked="0"/>
    </xf>
    <xf numFmtId="167" fontId="35" fillId="0" borderId="0" xfId="12" applyNumberFormat="1" applyFont="1" applyAlignment="1" applyProtection="1">
      <alignment horizontal="center" vertical="center" wrapText="1"/>
      <protection locked="0"/>
    </xf>
    <xf numFmtId="2" fontId="36" fillId="0" borderId="0" xfId="12" applyNumberFormat="1" applyFont="1" applyAlignment="1" applyProtection="1">
      <alignment horizontal="center" vertical="center" wrapText="1"/>
      <protection locked="0"/>
    </xf>
    <xf numFmtId="0" fontId="36" fillId="0" borderId="0" xfId="12" applyFont="1" applyAlignment="1" applyProtection="1">
      <alignment horizontal="center" vertical="center" wrapText="1"/>
      <protection locked="0"/>
    </xf>
    <xf numFmtId="0" fontId="19" fillId="9" borderId="35" xfId="11" applyFont="1" applyFill="1" applyBorder="1" applyAlignment="1">
      <alignment horizontal="center" vertical="center" wrapText="1"/>
    </xf>
    <xf numFmtId="0" fontId="19" fillId="9" borderId="35" xfId="13" applyFont="1" applyFill="1" applyBorder="1" applyAlignment="1">
      <alignment horizontal="center" vertical="center" wrapText="1"/>
    </xf>
    <xf numFmtId="0" fontId="19" fillId="6" borderId="35" xfId="11" applyFont="1" applyFill="1" applyBorder="1" applyAlignment="1">
      <alignment horizontal="center" vertical="center"/>
    </xf>
    <xf numFmtId="49" fontId="36" fillId="8" borderId="35" xfId="12" applyNumberFormat="1" applyFont="1" applyFill="1" applyBorder="1" applyAlignment="1">
      <alignment horizontal="center" vertical="center" wrapText="1"/>
    </xf>
    <xf numFmtId="49" fontId="10" fillId="0" borderId="35" xfId="12" applyNumberFormat="1" applyFont="1" applyBorder="1" applyAlignment="1">
      <alignment horizontal="left" vertical="center" wrapText="1"/>
    </xf>
    <xf numFmtId="0" fontId="19" fillId="6" borderId="35" xfId="11" applyFont="1" applyFill="1" applyBorder="1" applyAlignment="1" applyProtection="1">
      <alignment horizontal="center" vertical="center" wrapText="1"/>
      <protection locked="0"/>
    </xf>
    <xf numFmtId="2" fontId="19" fillId="6" borderId="35" xfId="11" applyNumberFormat="1" applyFont="1" applyFill="1" applyBorder="1" applyAlignment="1" applyProtection="1">
      <alignment horizontal="center" vertical="center" wrapText="1"/>
      <protection locked="0"/>
    </xf>
    <xf numFmtId="2" fontId="19" fillId="6" borderId="35" xfId="11" applyNumberFormat="1" applyFont="1" applyFill="1" applyBorder="1" applyAlignment="1">
      <alignment horizontal="center" vertical="center"/>
    </xf>
    <xf numFmtId="2" fontId="23" fillId="10" borderId="35" xfId="11" applyNumberFormat="1" applyFont="1" applyFill="1" applyBorder="1" applyAlignment="1">
      <alignment horizontal="center" vertical="center"/>
    </xf>
    <xf numFmtId="0" fontId="19" fillId="0" borderId="0" xfId="11" applyFont="1" applyAlignment="1">
      <alignment vertical="center"/>
    </xf>
    <xf numFmtId="0" fontId="10" fillId="0" borderId="0" xfId="10" applyFont="1"/>
    <xf numFmtId="0" fontId="10" fillId="0" borderId="2" xfId="11" applyFont="1" applyBorder="1"/>
    <xf numFmtId="0" fontId="19" fillId="6" borderId="0" xfId="11" applyFont="1" applyFill="1" applyAlignment="1">
      <alignment horizontal="right"/>
    </xf>
    <xf numFmtId="0" fontId="19" fillId="8" borderId="35" xfId="11" applyFont="1" applyFill="1" applyBorder="1"/>
    <xf numFmtId="49" fontId="19" fillId="0" borderId="35" xfId="12" applyNumberFormat="1" applyFont="1" applyBorder="1" applyAlignment="1">
      <alignment horizontal="left" vertical="center" wrapText="1"/>
    </xf>
    <xf numFmtId="0" fontId="10" fillId="0" borderId="0" xfId="9" applyFont="1"/>
    <xf numFmtId="0" fontId="7" fillId="0" borderId="0" xfId="0" applyFont="1" applyAlignment="1">
      <alignment horizontal="left" vertical="center"/>
    </xf>
    <xf numFmtId="2" fontId="31" fillId="11" borderId="2" xfId="9" applyNumberFormat="1" applyFont="1" applyFill="1" applyBorder="1"/>
    <xf numFmtId="1" fontId="31" fillId="11" borderId="2" xfId="9" applyNumberFormat="1" applyFont="1" applyFill="1" applyBorder="1"/>
    <xf numFmtId="3" fontId="27" fillId="0" borderId="0" xfId="9" applyNumberFormat="1" applyFont="1"/>
    <xf numFmtId="0" fontId="37" fillId="0" borderId="0" xfId="8" applyFont="1" applyAlignment="1">
      <alignment horizontal="right"/>
    </xf>
    <xf numFmtId="0" fontId="37" fillId="0" borderId="0" xfId="8" applyFont="1"/>
    <xf numFmtId="2" fontId="29" fillId="0" borderId="0" xfId="9" applyNumberFormat="1" applyFont="1"/>
    <xf numFmtId="3" fontId="7" fillId="0" borderId="0" xfId="1" applyNumberFormat="1" applyFont="1"/>
    <xf numFmtId="3" fontId="7" fillId="0" borderId="32" xfId="1" applyNumberFormat="1" applyFont="1" applyBorder="1" applyAlignment="1">
      <alignment horizontal="center" vertical="top"/>
    </xf>
    <xf numFmtId="0" fontId="7" fillId="0" borderId="39" xfId="1" applyFont="1" applyBorder="1" applyAlignment="1">
      <alignment horizontal="center"/>
    </xf>
    <xf numFmtId="0" fontId="7" fillId="0" borderId="27" xfId="1" applyFont="1" applyBorder="1" applyAlignment="1">
      <alignment horizontal="left" vertical="top"/>
    </xf>
    <xf numFmtId="0" fontId="10" fillId="0" borderId="27" xfId="3" applyFont="1" applyBorder="1" applyAlignment="1">
      <alignment horizontal="center" vertical="top"/>
    </xf>
    <xf numFmtId="4" fontId="7" fillId="0" borderId="27" xfId="1" applyNumberFormat="1" applyFont="1" applyBorder="1" applyAlignment="1">
      <alignment horizontal="center" vertical="top"/>
    </xf>
    <xf numFmtId="3" fontId="7" fillId="0" borderId="27" xfId="1" applyNumberFormat="1" applyFont="1" applyBorder="1" applyAlignment="1">
      <alignment horizontal="center" vertical="top"/>
    </xf>
    <xf numFmtId="0" fontId="10" fillId="0" borderId="14" xfId="3" applyFont="1" applyBorder="1" applyAlignment="1">
      <alignment horizontal="left" vertical="top"/>
    </xf>
    <xf numFmtId="4" fontId="7" fillId="0" borderId="8" xfId="1" applyNumberFormat="1" applyFont="1" applyBorder="1" applyAlignment="1">
      <alignment horizontal="center" vertical="center" wrapText="1"/>
    </xf>
    <xf numFmtId="4" fontId="7" fillId="0" borderId="2" xfId="1" applyNumberFormat="1" applyFont="1" applyBorder="1" applyAlignment="1">
      <alignment horizontal="center" vertical="center" wrapText="1"/>
    </xf>
    <xf numFmtId="4" fontId="7" fillId="0" borderId="1" xfId="1" applyNumberFormat="1" applyFont="1" applyBorder="1" applyAlignment="1">
      <alignment horizontal="center" vertical="center" wrapText="1"/>
    </xf>
    <xf numFmtId="4" fontId="7" fillId="0" borderId="14" xfId="1" applyNumberFormat="1" applyFont="1" applyBorder="1" applyAlignment="1">
      <alignment horizontal="center" vertical="center" wrapText="1"/>
    </xf>
    <xf numFmtId="0" fontId="7" fillId="0" borderId="32" xfId="1" applyFont="1" applyBorder="1" applyAlignment="1">
      <alignment horizontal="left" vertical="top"/>
    </xf>
    <xf numFmtId="0" fontId="10" fillId="0" borderId="32" xfId="3" applyFont="1" applyBorder="1" applyAlignment="1">
      <alignment horizontal="center" vertical="top"/>
    </xf>
    <xf numFmtId="4" fontId="7" fillId="0" borderId="32" xfId="1" applyNumberFormat="1" applyFont="1" applyBorder="1" applyAlignment="1">
      <alignment horizontal="center" vertical="top"/>
    </xf>
    <xf numFmtId="3" fontId="10" fillId="0" borderId="32" xfId="3" applyNumberFormat="1" applyFont="1" applyBorder="1" applyAlignment="1">
      <alignment horizontal="center" vertical="top"/>
    </xf>
    <xf numFmtId="0" fontId="7" fillId="0" borderId="32" xfId="1" applyFont="1" applyBorder="1" applyAlignment="1">
      <alignment horizontal="center" vertical="top"/>
    </xf>
    <xf numFmtId="0" fontId="7" fillId="0" borderId="39" xfId="1" applyFont="1" applyBorder="1" applyAlignment="1">
      <alignment horizontal="center" vertical="top"/>
    </xf>
    <xf numFmtId="0" fontId="7" fillId="0" borderId="40" xfId="1" applyFont="1" applyBorder="1" applyAlignment="1">
      <alignment horizontal="center" vertical="top"/>
    </xf>
    <xf numFmtId="4" fontId="7" fillId="0" borderId="27" xfId="1" applyNumberFormat="1" applyFont="1" applyBorder="1" applyAlignment="1">
      <alignment horizontal="center"/>
    </xf>
    <xf numFmtId="3" fontId="7" fillId="0" borderId="27" xfId="1" applyNumberFormat="1" applyFont="1" applyBorder="1" applyAlignment="1">
      <alignment horizontal="center"/>
    </xf>
    <xf numFmtId="3" fontId="10" fillId="0" borderId="0" xfId="1" applyNumberFormat="1" applyFont="1" applyAlignment="1">
      <alignment horizontal="center" vertical="center"/>
    </xf>
    <xf numFmtId="0" fontId="22" fillId="5" borderId="1" xfId="1" applyFont="1" applyFill="1" applyBorder="1" applyAlignment="1">
      <alignment horizontal="center" vertical="center" wrapText="1"/>
    </xf>
    <xf numFmtId="4" fontId="7" fillId="0" borderId="0" xfId="1" applyNumberFormat="1" applyFont="1"/>
    <xf numFmtId="4" fontId="19" fillId="0" borderId="8" xfId="3" applyNumberFormat="1" applyFont="1" applyBorder="1" applyAlignment="1">
      <alignment horizontal="center" vertical="top"/>
    </xf>
    <xf numFmtId="4" fontId="19" fillId="0" borderId="2" xfId="3" applyNumberFormat="1" applyFont="1" applyBorder="1" applyAlignment="1">
      <alignment horizontal="center" vertical="top"/>
    </xf>
    <xf numFmtId="4" fontId="19" fillId="0" borderId="2" xfId="1" applyNumberFormat="1" applyFont="1" applyBorder="1" applyAlignment="1">
      <alignment horizontal="center" vertical="top"/>
    </xf>
    <xf numFmtId="4" fontId="19" fillId="0" borderId="1" xfId="1" applyNumberFormat="1" applyFont="1" applyBorder="1" applyAlignment="1">
      <alignment horizontal="center" vertical="top"/>
    </xf>
    <xf numFmtId="4" fontId="19" fillId="0" borderId="32" xfId="1" applyNumberFormat="1" applyFont="1" applyBorder="1" applyAlignment="1">
      <alignment horizontal="center" vertical="top"/>
    </xf>
    <xf numFmtId="4" fontId="19" fillId="0" borderId="8" xfId="1" applyNumberFormat="1" applyFont="1" applyBorder="1" applyAlignment="1">
      <alignment horizontal="center" vertical="top"/>
    </xf>
    <xf numFmtId="4" fontId="19" fillId="0" borderId="8" xfId="1" applyNumberFormat="1" applyFont="1" applyBorder="1" applyAlignment="1">
      <alignment horizontal="center"/>
    </xf>
    <xf numFmtId="4" fontId="19" fillId="0" borderId="2" xfId="1" applyNumberFormat="1" applyFont="1" applyBorder="1" applyAlignment="1">
      <alignment horizontal="center"/>
    </xf>
    <xf numFmtId="4" fontId="19" fillId="0" borderId="27" xfId="1" applyNumberFormat="1" applyFont="1" applyBorder="1" applyAlignment="1">
      <alignment horizontal="center" vertical="top"/>
    </xf>
    <xf numFmtId="4" fontId="19" fillId="0" borderId="27" xfId="1" applyNumberFormat="1" applyFont="1" applyBorder="1" applyAlignment="1">
      <alignment horizontal="center"/>
    </xf>
    <xf numFmtId="0" fontId="4" fillId="0" borderId="0" xfId="0" applyFont="1" applyAlignment="1">
      <alignment horizontal="center" wrapText="1"/>
    </xf>
    <xf numFmtId="0" fontId="7" fillId="0" borderId="0" xfId="0" applyFont="1" applyAlignment="1">
      <alignment horizontal="center" vertical="center"/>
    </xf>
    <xf numFmtId="0" fontId="5" fillId="0" borderId="0" xfId="8" applyFont="1" applyAlignment="1">
      <alignment horizontal="center" vertical="center"/>
    </xf>
    <xf numFmtId="3" fontId="7" fillId="0" borderId="0" xfId="0" applyNumberFormat="1" applyFont="1" applyAlignment="1">
      <alignment horizontal="center" vertical="center"/>
    </xf>
    <xf numFmtId="0" fontId="7" fillId="0" borderId="0" xfId="0" applyFont="1" applyAlignment="1">
      <alignment wrapText="1"/>
    </xf>
    <xf numFmtId="0" fontId="4" fillId="0" borderId="0" xfId="0" applyFont="1" applyAlignment="1">
      <alignment horizontal="center" vertical="center" wrapText="1"/>
    </xf>
    <xf numFmtId="0" fontId="5" fillId="0" borderId="0" xfId="8" applyFont="1" applyAlignment="1">
      <alignment wrapText="1"/>
    </xf>
    <xf numFmtId="0" fontId="17" fillId="0" borderId="0" xfId="0" applyFont="1" applyAlignment="1">
      <alignment horizontal="right"/>
    </xf>
    <xf numFmtId="3" fontId="17" fillId="0" borderId="0" xfId="0" applyNumberFormat="1" applyFont="1" applyAlignment="1">
      <alignment horizontal="center"/>
    </xf>
    <xf numFmtId="0" fontId="7" fillId="4" borderId="2" xfId="1" applyFont="1" applyFill="1" applyBorder="1" applyAlignment="1">
      <alignment horizontal="center" vertical="top"/>
    </xf>
    <xf numFmtId="164" fontId="10" fillId="4" borderId="2" xfId="3" applyNumberFormat="1" applyFont="1" applyFill="1" applyBorder="1" applyAlignment="1">
      <alignment horizontal="center" vertical="top"/>
    </xf>
    <xf numFmtId="0" fontId="39" fillId="0" borderId="3" xfId="1" applyFont="1" applyBorder="1"/>
    <xf numFmtId="0" fontId="10" fillId="0" borderId="0" xfId="0" applyFont="1"/>
    <xf numFmtId="0" fontId="10" fillId="0" borderId="0" xfId="0" applyFont="1" applyAlignment="1">
      <alignment horizontal="left"/>
    </xf>
    <xf numFmtId="0" fontId="9" fillId="0" borderId="0" xfId="1" applyFont="1" applyAlignment="1">
      <alignment vertical="center"/>
    </xf>
    <xf numFmtId="0" fontId="9" fillId="0" borderId="0" xfId="5" applyFont="1" applyAlignment="1">
      <alignment horizontal="left" vertical="center"/>
    </xf>
    <xf numFmtId="0" fontId="9" fillId="0" borderId="0" xfId="1" applyFont="1" applyAlignment="1">
      <alignment horizontal="right" vertical="center"/>
    </xf>
    <xf numFmtId="0" fontId="40" fillId="0" borderId="0" xfId="1" applyFont="1" applyAlignment="1">
      <alignment horizontal="right" vertical="center"/>
    </xf>
    <xf numFmtId="3" fontId="40" fillId="0" borderId="0" xfId="1" applyNumberFormat="1" applyFont="1" applyAlignment="1">
      <alignment horizontal="center" vertical="center"/>
    </xf>
    <xf numFmtId="4" fontId="17" fillId="0" borderId="0" xfId="1" applyNumberFormat="1" applyFont="1" applyAlignment="1">
      <alignment horizontal="center" vertical="top"/>
    </xf>
    <xf numFmtId="4" fontId="40" fillId="0" borderId="0" xfId="1" applyNumberFormat="1" applyFont="1" applyAlignment="1">
      <alignment horizontal="right" vertical="top"/>
    </xf>
    <xf numFmtId="3" fontId="40" fillId="0" borderId="0" xfId="1" applyNumberFormat="1" applyFont="1" applyAlignment="1">
      <alignment horizontal="center"/>
    </xf>
    <xf numFmtId="3" fontId="17" fillId="3" borderId="2" xfId="1" applyNumberFormat="1" applyFont="1" applyFill="1" applyBorder="1" applyAlignment="1">
      <alignment horizontal="center" vertical="center"/>
    </xf>
    <xf numFmtId="4" fontId="12" fillId="0" borderId="0" xfId="5" applyNumberFormat="1" applyFont="1" applyAlignment="1">
      <alignment horizontal="center" vertical="center"/>
    </xf>
    <xf numFmtId="3" fontId="7" fillId="0" borderId="0" xfId="5" applyNumberFormat="1" applyFont="1" applyAlignment="1">
      <alignment horizontal="center" vertical="center"/>
    </xf>
    <xf numFmtId="3" fontId="41" fillId="0" borderId="0" xfId="5" applyNumberFormat="1" applyFont="1" applyAlignment="1">
      <alignment horizontal="center"/>
    </xf>
    <xf numFmtId="3" fontId="40" fillId="0" borderId="0" xfId="5" applyNumberFormat="1" applyFont="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7" fillId="0" borderId="2" xfId="0" applyFont="1" applyBorder="1" applyAlignment="1">
      <alignment vertical="center"/>
    </xf>
    <xf numFmtId="9" fontId="10" fillId="0" borderId="2" xfId="7" applyFont="1" applyBorder="1" applyAlignment="1">
      <alignment horizontal="center" vertical="center"/>
    </xf>
    <xf numFmtId="0" fontId="17" fillId="0" borderId="2" xfId="0" applyFont="1" applyBorder="1" applyAlignment="1">
      <alignment horizontal="right" vertical="center"/>
    </xf>
    <xf numFmtId="3" fontId="17" fillId="0" borderId="2" xfId="0" applyNumberFormat="1" applyFont="1" applyBorder="1" applyAlignment="1">
      <alignment horizontal="center" vertical="center"/>
    </xf>
    <xf numFmtId="4" fontId="10" fillId="0" borderId="0" xfId="0" applyNumberFormat="1" applyFont="1" applyAlignment="1">
      <alignment vertical="center"/>
    </xf>
    <xf numFmtId="0" fontId="7" fillId="0" borderId="0" xfId="0" applyFont="1" applyAlignment="1">
      <alignment vertical="center"/>
    </xf>
    <xf numFmtId="3" fontId="12" fillId="0" borderId="0" xfId="0" applyNumberFormat="1" applyFont="1" applyAlignment="1">
      <alignment horizontal="center"/>
    </xf>
    <xf numFmtId="3" fontId="40" fillId="0" borderId="0" xfId="1" applyNumberFormat="1" applyFont="1" applyAlignment="1">
      <alignment horizontal="center" vertical="center" wrapText="1"/>
    </xf>
    <xf numFmtId="0" fontId="7" fillId="0" borderId="0" xfId="0" applyFont="1" applyAlignment="1">
      <alignment horizontal="right" vertical="center" wrapText="1"/>
    </xf>
    <xf numFmtId="0" fontId="8" fillId="0" borderId="0" xfId="1" applyFont="1" applyAlignment="1">
      <alignment horizontal="center" vertical="center" wrapText="1"/>
    </xf>
    <xf numFmtId="0" fontId="14" fillId="0" borderId="2" xfId="3" applyFont="1" applyBorder="1" applyAlignment="1">
      <alignment horizontal="center" vertical="center"/>
    </xf>
    <xf numFmtId="0" fontId="7" fillId="0" borderId="2" xfId="1" applyFont="1" applyBorder="1" applyAlignment="1">
      <alignment horizontal="center"/>
    </xf>
    <xf numFmtId="3" fontId="12" fillId="2" borderId="6" xfId="1" applyNumberFormat="1" applyFont="1" applyFill="1" applyBorder="1" applyAlignment="1">
      <alignment horizontal="right"/>
    </xf>
    <xf numFmtId="0" fontId="17" fillId="3" borderId="2" xfId="1" applyFont="1" applyFill="1" applyBorder="1" applyAlignment="1">
      <alignment horizontal="right" vertical="center"/>
    </xf>
    <xf numFmtId="3" fontId="7" fillId="0" borderId="30" xfId="1" applyNumberFormat="1" applyFont="1" applyBorder="1" applyAlignment="1">
      <alignment horizontal="center" vertical="center"/>
    </xf>
    <xf numFmtId="3" fontId="7" fillId="0" borderId="33" xfId="1" applyNumberFormat="1" applyFont="1" applyBorder="1" applyAlignment="1">
      <alignment horizontal="center" vertical="center"/>
    </xf>
    <xf numFmtId="3" fontId="7" fillId="0" borderId="34" xfId="1" applyNumberFormat="1" applyFont="1" applyBorder="1" applyAlignment="1">
      <alignment horizontal="center" vertical="center"/>
    </xf>
    <xf numFmtId="0" fontId="7" fillId="0" borderId="9" xfId="1" applyFont="1" applyBorder="1" applyAlignment="1">
      <alignment horizontal="center" vertical="center"/>
    </xf>
    <xf numFmtId="0" fontId="7" fillId="0" borderId="32" xfId="1" applyFont="1" applyBorder="1" applyAlignment="1">
      <alignment horizontal="center" vertical="center"/>
    </xf>
    <xf numFmtId="0" fontId="7" fillId="0" borderId="27" xfId="1" applyFont="1" applyBorder="1" applyAlignment="1">
      <alignment horizontal="center" vertical="center"/>
    </xf>
    <xf numFmtId="3" fontId="7" fillId="0" borderId="9" xfId="1" applyNumberFormat="1" applyFont="1" applyBorder="1" applyAlignment="1">
      <alignment horizontal="center" vertical="center" wrapText="1"/>
    </xf>
    <xf numFmtId="3" fontId="7" fillId="0" borderId="32" xfId="1" applyNumberFormat="1" applyFont="1" applyBorder="1" applyAlignment="1">
      <alignment horizontal="center" vertical="center" wrapText="1"/>
    </xf>
    <xf numFmtId="3" fontId="7" fillId="0" borderId="27" xfId="1" applyNumberFormat="1" applyFont="1" applyBorder="1" applyAlignment="1">
      <alignment horizontal="center" vertical="center" wrapText="1"/>
    </xf>
    <xf numFmtId="4" fontId="7" fillId="0" borderId="9" xfId="1" applyNumberFormat="1" applyFont="1" applyBorder="1" applyAlignment="1">
      <alignment horizontal="center" vertical="center" wrapText="1"/>
    </xf>
    <xf numFmtId="4" fontId="7" fillId="0" borderId="32" xfId="1" applyNumberFormat="1" applyFont="1" applyBorder="1" applyAlignment="1">
      <alignment horizontal="center" vertical="center" wrapText="1"/>
    </xf>
    <xf numFmtId="4" fontId="7" fillId="0" borderId="27" xfId="1" applyNumberFormat="1" applyFont="1" applyBorder="1" applyAlignment="1">
      <alignment horizontal="center" vertical="center" wrapText="1"/>
    </xf>
    <xf numFmtId="0" fontId="14" fillId="0" borderId="20" xfId="1" applyFont="1" applyBorder="1" applyAlignment="1">
      <alignment horizontal="center" vertical="center" wrapText="1"/>
    </xf>
    <xf numFmtId="0" fontId="14" fillId="0" borderId="24" xfId="1" applyFont="1" applyBorder="1" applyAlignment="1">
      <alignment horizontal="center" vertical="center" wrapText="1"/>
    </xf>
    <xf numFmtId="0" fontId="14" fillId="0" borderId="25" xfId="1" applyFont="1" applyBorder="1" applyAlignment="1">
      <alignment horizontal="center" vertical="center" wrapText="1"/>
    </xf>
    <xf numFmtId="0" fontId="14" fillId="0" borderId="17"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26" xfId="1" applyFont="1" applyBorder="1" applyAlignment="1">
      <alignment horizontal="center" vertical="center" wrapText="1"/>
    </xf>
    <xf numFmtId="3" fontId="12" fillId="2" borderId="2" xfId="1" applyNumberFormat="1" applyFont="1" applyFill="1" applyBorder="1" applyAlignment="1">
      <alignment horizontal="right"/>
    </xf>
    <xf numFmtId="0" fontId="14" fillId="0" borderId="2" xfId="1" applyFont="1" applyBorder="1" applyAlignment="1">
      <alignment horizontal="center" vertical="center" wrapText="1"/>
    </xf>
    <xf numFmtId="3" fontId="17" fillId="2" borderId="22" xfId="1" applyNumberFormat="1" applyFont="1" applyFill="1" applyBorder="1" applyAlignment="1">
      <alignment horizontal="right" vertical="center"/>
    </xf>
    <xf numFmtId="3" fontId="17" fillId="2" borderId="41" xfId="1" applyNumberFormat="1" applyFont="1" applyFill="1" applyBorder="1" applyAlignment="1">
      <alignment horizontal="right" vertical="center"/>
    </xf>
    <xf numFmtId="3" fontId="17" fillId="2" borderId="42" xfId="1" applyNumberFormat="1" applyFont="1" applyFill="1" applyBorder="1" applyAlignment="1">
      <alignment horizontal="right" vertical="center"/>
    </xf>
    <xf numFmtId="0" fontId="10" fillId="0" borderId="1" xfId="3" applyFont="1" applyBorder="1" applyAlignment="1">
      <alignment horizontal="center" vertical="center"/>
    </xf>
    <xf numFmtId="0" fontId="10" fillId="0" borderId="6" xfId="3" applyFont="1" applyBorder="1" applyAlignment="1">
      <alignment horizontal="center" vertical="center"/>
    </xf>
    <xf numFmtId="3" fontId="10" fillId="0" borderId="1" xfId="3" applyNumberFormat="1" applyFont="1" applyBorder="1" applyAlignment="1">
      <alignment horizontal="center" vertical="center"/>
    </xf>
    <xf numFmtId="3" fontId="10" fillId="0" borderId="6" xfId="3" applyNumberFormat="1" applyFont="1" applyBorder="1" applyAlignment="1">
      <alignment horizontal="center" vertical="center"/>
    </xf>
    <xf numFmtId="4" fontId="10" fillId="0" borderId="1" xfId="3" applyNumberFormat="1" applyFont="1" applyBorder="1" applyAlignment="1">
      <alignment horizontal="center" vertical="center"/>
    </xf>
    <xf numFmtId="4" fontId="10" fillId="0" borderId="6" xfId="3" applyNumberFormat="1" applyFont="1" applyBorder="1" applyAlignment="1">
      <alignment horizontal="center" vertical="center"/>
    </xf>
    <xf numFmtId="3" fontId="7" fillId="0" borderId="9" xfId="1" applyNumberFormat="1" applyFont="1" applyBorder="1" applyAlignment="1">
      <alignment horizontal="center" vertical="center"/>
    </xf>
    <xf numFmtId="3" fontId="7" fillId="0" borderId="32" xfId="1" applyNumberFormat="1" applyFont="1" applyBorder="1" applyAlignment="1">
      <alignment horizontal="center" vertical="center"/>
    </xf>
    <xf numFmtId="3" fontId="7" fillId="0" borderId="27" xfId="1" applyNumberFormat="1" applyFont="1" applyBorder="1" applyAlignment="1">
      <alignment horizontal="center" vertical="center"/>
    </xf>
    <xf numFmtId="4" fontId="7" fillId="0" borderId="9" xfId="1" applyNumberFormat="1" applyFont="1" applyBorder="1" applyAlignment="1">
      <alignment horizontal="center" vertical="center"/>
    </xf>
    <xf numFmtId="4" fontId="7" fillId="0" borderId="32" xfId="1" applyNumberFormat="1" applyFont="1" applyBorder="1" applyAlignment="1">
      <alignment horizontal="center" vertical="center"/>
    </xf>
    <xf numFmtId="4" fontId="7" fillId="0" borderId="27" xfId="1" applyNumberFormat="1" applyFont="1" applyBorder="1" applyAlignment="1">
      <alignment horizontal="center" vertical="center"/>
    </xf>
    <xf numFmtId="3" fontId="10" fillId="0" borderId="9" xfId="3" applyNumberFormat="1" applyFont="1" applyBorder="1" applyAlignment="1">
      <alignment horizontal="center" vertical="center"/>
    </xf>
    <xf numFmtId="3" fontId="10" fillId="0" borderId="32" xfId="3" applyNumberFormat="1" applyFont="1" applyBorder="1" applyAlignment="1">
      <alignment horizontal="center" vertical="center"/>
    </xf>
    <xf numFmtId="3" fontId="10" fillId="0" borderId="27" xfId="3" applyNumberFormat="1" applyFont="1" applyBorder="1" applyAlignment="1">
      <alignment horizontal="center" vertical="center"/>
    </xf>
    <xf numFmtId="3" fontId="10" fillId="0" borderId="9" xfId="3" applyNumberFormat="1" applyFont="1" applyBorder="1" applyAlignment="1">
      <alignment horizontal="center" vertical="center" wrapText="1"/>
    </xf>
    <xf numFmtId="3" fontId="10" fillId="0" borderId="32" xfId="3" applyNumberFormat="1" applyFont="1" applyBorder="1" applyAlignment="1">
      <alignment horizontal="center" vertical="center" wrapText="1"/>
    </xf>
    <xf numFmtId="3" fontId="10" fillId="0" borderId="27" xfId="3" applyNumberFormat="1" applyFont="1" applyBorder="1" applyAlignment="1">
      <alignment horizontal="center" vertical="center" wrapText="1"/>
    </xf>
    <xf numFmtId="3" fontId="7" fillId="0" borderId="30" xfId="1" applyNumberFormat="1" applyFont="1" applyBorder="1" applyAlignment="1">
      <alignment horizontal="center" vertical="center" wrapText="1"/>
    </xf>
    <xf numFmtId="3" fontId="7" fillId="0" borderId="33" xfId="1" applyNumberFormat="1" applyFont="1" applyBorder="1" applyAlignment="1">
      <alignment horizontal="center" vertical="center" wrapText="1"/>
    </xf>
    <xf numFmtId="3" fontId="7" fillId="0" borderId="34" xfId="1" applyNumberFormat="1" applyFont="1" applyBorder="1" applyAlignment="1">
      <alignment horizontal="center" vertical="center" wrapText="1"/>
    </xf>
    <xf numFmtId="3" fontId="12" fillId="2" borderId="22" xfId="1" applyNumberFormat="1" applyFont="1" applyFill="1" applyBorder="1" applyAlignment="1">
      <alignment horizontal="right" vertical="center" wrapText="1"/>
    </xf>
    <xf numFmtId="3" fontId="12" fillId="2" borderId="41" xfId="1" applyNumberFormat="1" applyFont="1" applyFill="1" applyBorder="1" applyAlignment="1">
      <alignment horizontal="right" vertical="center" wrapText="1"/>
    </xf>
    <xf numFmtId="3" fontId="12" fillId="2" borderId="42" xfId="1" applyNumberFormat="1" applyFont="1" applyFill="1" applyBorder="1" applyAlignment="1">
      <alignment horizontal="right" vertical="center" wrapText="1"/>
    </xf>
    <xf numFmtId="0" fontId="7" fillId="0" borderId="1" xfId="1" applyFont="1" applyBorder="1" applyAlignment="1">
      <alignment horizontal="center" vertical="center"/>
    </xf>
    <xf numFmtId="0" fontId="7" fillId="0" borderId="6" xfId="1" applyFont="1" applyBorder="1" applyAlignment="1">
      <alignment horizontal="center" vertical="center"/>
    </xf>
    <xf numFmtId="0" fontId="22" fillId="7" borderId="4" xfId="5" applyFont="1" applyFill="1" applyBorder="1" applyAlignment="1">
      <alignment horizontal="right" vertical="center"/>
    </xf>
    <xf numFmtId="0" fontId="22" fillId="7" borderId="28" xfId="5" applyFont="1" applyFill="1" applyBorder="1" applyAlignment="1">
      <alignment horizontal="right" vertical="center"/>
    </xf>
    <xf numFmtId="0" fontId="22" fillId="7" borderId="5" xfId="5" applyFont="1" applyFill="1" applyBorder="1" applyAlignment="1">
      <alignment horizontal="right" vertical="center"/>
    </xf>
    <xf numFmtId="0" fontId="14" fillId="0" borderId="2" xfId="5" applyFont="1" applyBorder="1" applyAlignment="1">
      <alignment horizontal="center" vertical="center" wrapText="1"/>
    </xf>
    <xf numFmtId="0" fontId="14" fillId="0" borderId="1" xfId="5" applyFont="1" applyBorder="1" applyAlignment="1">
      <alignment horizontal="center" vertical="center" wrapText="1"/>
    </xf>
    <xf numFmtId="3" fontId="12" fillId="2" borderId="43" xfId="5" applyNumberFormat="1" applyFont="1" applyFill="1" applyBorder="1" applyAlignment="1">
      <alignment horizontal="right" vertical="center"/>
    </xf>
    <xf numFmtId="3" fontId="12" fillId="2" borderId="44" xfId="5" applyNumberFormat="1" applyFont="1" applyFill="1" applyBorder="1" applyAlignment="1">
      <alignment horizontal="right" vertical="center"/>
    </xf>
    <xf numFmtId="3" fontId="12" fillId="2" borderId="45" xfId="5" applyNumberFormat="1" applyFont="1" applyFill="1" applyBorder="1" applyAlignment="1">
      <alignment horizontal="right" vertical="center"/>
    </xf>
    <xf numFmtId="0" fontId="8" fillId="0" borderId="0" xfId="5" applyFont="1" applyAlignment="1">
      <alignment horizontal="center"/>
    </xf>
    <xf numFmtId="0" fontId="23" fillId="0" borderId="46" xfId="5" applyFont="1" applyBorder="1" applyAlignment="1">
      <alignment horizontal="center" vertical="center" wrapText="1"/>
    </xf>
    <xf numFmtId="0" fontId="4" fillId="0" borderId="0" xfId="0" applyFont="1" applyAlignment="1">
      <alignment horizontal="center" vertical="center" wrapText="1"/>
    </xf>
    <xf numFmtId="0" fontId="12" fillId="0" borderId="0" xfId="0" applyFont="1" applyAlignment="1">
      <alignment horizontal="left"/>
    </xf>
    <xf numFmtId="0" fontId="7" fillId="0" borderId="0" xfId="0" applyFont="1" applyAlignment="1">
      <alignment horizontal="left" wrapText="1"/>
    </xf>
    <xf numFmtId="0" fontId="7" fillId="0" borderId="0" xfId="5" applyFont="1" applyAlignment="1">
      <alignment horizontal="right" vertical="center" wrapText="1"/>
    </xf>
    <xf numFmtId="4" fontId="10" fillId="0" borderId="0" xfId="0" applyNumberFormat="1" applyFont="1" applyAlignment="1">
      <alignment horizontal="right" wrapText="1"/>
    </xf>
    <xf numFmtId="0" fontId="28" fillId="0" borderId="0" xfId="9" applyFont="1" applyAlignment="1">
      <alignment horizontal="left"/>
    </xf>
    <xf numFmtId="0" fontId="30" fillId="0" borderId="0" xfId="9" applyFont="1" applyAlignment="1">
      <alignment horizontal="left" vertical="center" wrapText="1"/>
    </xf>
    <xf numFmtId="0" fontId="23" fillId="0" borderId="2" xfId="9" applyFont="1" applyBorder="1" applyAlignment="1">
      <alignment horizontal="center" vertical="center" wrapText="1"/>
    </xf>
    <xf numFmtId="0" fontId="19" fillId="0" borderId="0" xfId="10" applyFont="1" applyAlignment="1">
      <alignment horizontal="left" wrapText="1"/>
    </xf>
    <xf numFmtId="0" fontId="19" fillId="6" borderId="2" xfId="11" applyFont="1" applyFill="1" applyBorder="1" applyAlignment="1">
      <alignment horizontal="center" vertical="center" wrapText="1"/>
    </xf>
    <xf numFmtId="0" fontId="19" fillId="6" borderId="2" xfId="11" applyFont="1" applyFill="1" applyBorder="1" applyAlignment="1">
      <alignment horizontal="center" vertical="center"/>
    </xf>
    <xf numFmtId="0" fontId="19" fillId="0" borderId="0" xfId="11" applyFont="1" applyAlignment="1">
      <alignment horizontal="right"/>
    </xf>
    <xf numFmtId="0" fontId="19" fillId="9" borderId="35" xfId="11" applyFont="1" applyFill="1" applyBorder="1" applyAlignment="1">
      <alignment horizontal="center" vertical="center" wrapText="1"/>
    </xf>
    <xf numFmtId="0" fontId="19" fillId="9" borderId="36" xfId="11" applyFont="1" applyFill="1" applyBorder="1" applyAlignment="1">
      <alignment horizontal="center" vertical="center" wrapText="1"/>
    </xf>
    <xf numFmtId="0" fontId="19" fillId="9" borderId="37" xfId="11" applyFont="1" applyFill="1" applyBorder="1" applyAlignment="1">
      <alignment horizontal="center" vertical="center" wrapText="1"/>
    </xf>
    <xf numFmtId="0" fontId="19" fillId="9" borderId="38" xfId="11" applyFont="1" applyFill="1" applyBorder="1" applyAlignment="1">
      <alignment horizontal="center" vertical="center" wrapText="1"/>
    </xf>
    <xf numFmtId="0" fontId="19" fillId="6" borderId="35" xfId="11" applyFont="1" applyFill="1" applyBorder="1" applyAlignment="1">
      <alignment horizontal="center" vertical="center" wrapText="1"/>
    </xf>
    <xf numFmtId="0" fontId="19" fillId="6" borderId="35" xfId="11" applyFont="1" applyFill="1" applyBorder="1" applyAlignment="1">
      <alignment horizontal="center" vertical="center"/>
    </xf>
    <xf numFmtId="3" fontId="17" fillId="0" borderId="0" xfId="1" applyNumberFormat="1" applyFont="1" applyAlignment="1">
      <alignment horizontal="center" vertical="center"/>
    </xf>
    <xf numFmtId="3" fontId="40" fillId="0" borderId="0" xfId="1" applyNumberFormat="1" applyFont="1" applyAlignment="1">
      <alignment horizontal="right" vertical="center"/>
    </xf>
    <xf numFmtId="4" fontId="17" fillId="0" borderId="0" xfId="3" applyNumberFormat="1" applyFont="1" applyAlignment="1">
      <alignment horizontal="center" vertical="top"/>
    </xf>
    <xf numFmtId="0" fontId="10" fillId="0" borderId="2" xfId="1" applyFont="1" applyBorder="1" applyAlignment="1">
      <alignment horizontal="center"/>
    </xf>
    <xf numFmtId="0" fontId="10" fillId="4" borderId="2" xfId="1" applyFont="1" applyFill="1" applyBorder="1" applyAlignment="1">
      <alignment horizontal="center" vertical="top"/>
    </xf>
    <xf numFmtId="0" fontId="10" fillId="5" borderId="1" xfId="1" applyFont="1" applyFill="1" applyBorder="1" applyAlignment="1">
      <alignment horizontal="center" vertical="center" wrapText="1"/>
    </xf>
    <xf numFmtId="0" fontId="17" fillId="5" borderId="1" xfId="1" applyFont="1" applyFill="1" applyBorder="1" applyAlignment="1">
      <alignment horizontal="center" vertical="center" wrapText="1"/>
    </xf>
    <xf numFmtId="3" fontId="10" fillId="0" borderId="30" xfId="1" applyNumberFormat="1" applyFont="1" applyBorder="1" applyAlignment="1">
      <alignment horizontal="center" vertical="center" wrapText="1"/>
    </xf>
    <xf numFmtId="4" fontId="17" fillId="0" borderId="2" xfId="3" applyNumberFormat="1" applyFont="1" applyBorder="1" applyAlignment="1">
      <alignment horizontal="center" vertical="top"/>
    </xf>
    <xf numFmtId="3" fontId="10" fillId="0" borderId="33" xfId="1" applyNumberFormat="1" applyFont="1" applyBorder="1" applyAlignment="1">
      <alignment horizontal="center" vertical="center" wrapText="1"/>
    </xf>
    <xf numFmtId="0" fontId="10" fillId="0" borderId="11" xfId="1" applyFont="1" applyBorder="1" applyAlignment="1">
      <alignment horizontal="center" vertical="top"/>
    </xf>
    <xf numFmtId="0" fontId="10" fillId="0" borderId="2" xfId="1" applyFont="1" applyBorder="1" applyAlignment="1">
      <alignment horizontal="left" vertical="top"/>
    </xf>
    <xf numFmtId="4" fontId="17" fillId="0" borderId="2" xfId="1" applyNumberFormat="1" applyFont="1" applyBorder="1" applyAlignment="1">
      <alignment horizontal="center" vertical="top"/>
    </xf>
    <xf numFmtId="4" fontId="10" fillId="0" borderId="2" xfId="1" applyNumberFormat="1" applyFont="1" applyBorder="1" applyAlignment="1">
      <alignment horizontal="center" vertical="top"/>
    </xf>
    <xf numFmtId="3" fontId="10" fillId="0" borderId="2" xfId="1" applyNumberFormat="1" applyFont="1" applyBorder="1" applyAlignment="1">
      <alignment horizontal="center" vertical="top"/>
    </xf>
    <xf numFmtId="0" fontId="10" fillId="0" borderId="2" xfId="1" applyFont="1" applyBorder="1" applyAlignment="1">
      <alignment horizontal="center" vertical="top"/>
    </xf>
    <xf numFmtId="0" fontId="10" fillId="0" borderId="19" xfId="1" applyFont="1" applyBorder="1" applyAlignment="1">
      <alignment horizontal="center" vertical="top"/>
    </xf>
    <xf numFmtId="0" fontId="10" fillId="0" borderId="1" xfId="1" applyFont="1" applyBorder="1" applyAlignment="1">
      <alignment horizontal="left" vertical="top"/>
    </xf>
    <xf numFmtId="0" fontId="10" fillId="0" borderId="1" xfId="1" applyFont="1" applyBorder="1" applyAlignment="1">
      <alignment horizontal="center" vertical="center"/>
    </xf>
    <xf numFmtId="4" fontId="10" fillId="0" borderId="1" xfId="1" applyNumberFormat="1" applyFont="1" applyBorder="1" applyAlignment="1">
      <alignment horizontal="center" vertical="top"/>
    </xf>
    <xf numFmtId="3" fontId="10" fillId="0" borderId="1" xfId="1" applyNumberFormat="1" applyFont="1" applyBorder="1" applyAlignment="1">
      <alignment horizontal="center" vertical="top"/>
    </xf>
    <xf numFmtId="0" fontId="10" fillId="0" borderId="6" xfId="1" applyFont="1" applyBorder="1" applyAlignment="1">
      <alignment horizontal="center" vertical="center"/>
    </xf>
    <xf numFmtId="0" fontId="10" fillId="0" borderId="40" xfId="1" applyFont="1" applyBorder="1" applyAlignment="1">
      <alignment horizontal="center" vertical="top"/>
    </xf>
    <xf numFmtId="0" fontId="10" fillId="0" borderId="32" xfId="1" applyFont="1" applyBorder="1" applyAlignment="1">
      <alignment horizontal="left" vertical="top"/>
    </xf>
    <xf numFmtId="0" fontId="10" fillId="0" borderId="32" xfId="1" applyFont="1" applyBorder="1" applyAlignment="1">
      <alignment horizontal="center" vertical="top"/>
    </xf>
    <xf numFmtId="4" fontId="10" fillId="0" borderId="32" xfId="1" applyNumberFormat="1" applyFont="1" applyBorder="1" applyAlignment="1">
      <alignment horizontal="center" vertical="top"/>
    </xf>
    <xf numFmtId="3" fontId="10" fillId="0" borderId="32" xfId="1" applyNumberFormat="1" applyFont="1" applyBorder="1" applyAlignment="1">
      <alignment horizontal="center" vertical="top"/>
    </xf>
    <xf numFmtId="3" fontId="10" fillId="0" borderId="34" xfId="1" applyNumberFormat="1" applyFont="1" applyBorder="1" applyAlignment="1">
      <alignment horizontal="center" vertical="center" wrapText="1"/>
    </xf>
    <xf numFmtId="0" fontId="10" fillId="0" borderId="7" xfId="1" applyFont="1" applyBorder="1" applyAlignment="1">
      <alignment horizontal="center"/>
    </xf>
    <xf numFmtId="0" fontId="10" fillId="0" borderId="9" xfId="1" applyFont="1" applyBorder="1" applyAlignment="1">
      <alignment horizontal="center" vertical="center"/>
    </xf>
    <xf numFmtId="4" fontId="10" fillId="0" borderId="8" xfId="1" applyNumberFormat="1" applyFont="1" applyBorder="1" applyAlignment="1">
      <alignment horizontal="center" vertical="top"/>
    </xf>
    <xf numFmtId="3" fontId="10" fillId="0" borderId="8" xfId="1" applyNumberFormat="1" applyFont="1" applyBorder="1" applyAlignment="1">
      <alignment horizontal="center"/>
    </xf>
    <xf numFmtId="3" fontId="10" fillId="0" borderId="8" xfId="1" applyNumberFormat="1" applyFont="1" applyBorder="1" applyAlignment="1">
      <alignment horizontal="center" vertical="top"/>
    </xf>
    <xf numFmtId="3" fontId="10" fillId="0" borderId="30" xfId="1" applyNumberFormat="1" applyFont="1" applyBorder="1" applyAlignment="1">
      <alignment horizontal="center" vertical="center"/>
    </xf>
    <xf numFmtId="0" fontId="10" fillId="0" borderId="11" xfId="1" applyFont="1" applyBorder="1" applyAlignment="1">
      <alignment horizontal="center"/>
    </xf>
    <xf numFmtId="0" fontId="10" fillId="0" borderId="32" xfId="1" applyFont="1" applyBorder="1" applyAlignment="1">
      <alignment horizontal="center" vertical="center"/>
    </xf>
    <xf numFmtId="3" fontId="10" fillId="0" borderId="2" xfId="1" applyNumberFormat="1" applyFont="1" applyBorder="1" applyAlignment="1">
      <alignment horizontal="center"/>
    </xf>
    <xf numFmtId="3" fontId="10" fillId="0" borderId="33" xfId="1" applyNumberFormat="1" applyFont="1" applyBorder="1" applyAlignment="1">
      <alignment horizontal="center" vertical="center"/>
    </xf>
    <xf numFmtId="3" fontId="10" fillId="0" borderId="1" xfId="1" applyNumberFormat="1" applyFont="1" applyBorder="1" applyAlignment="1">
      <alignment horizontal="center"/>
    </xf>
    <xf numFmtId="4" fontId="10" fillId="0" borderId="8" xfId="1" applyNumberFormat="1" applyFont="1" applyBorder="1" applyAlignment="1">
      <alignment horizontal="center"/>
    </xf>
    <xf numFmtId="3" fontId="10" fillId="0" borderId="9" xfId="1" applyNumberFormat="1" applyFont="1" applyBorder="1" applyAlignment="1">
      <alignment horizontal="center" vertical="center" wrapText="1"/>
    </xf>
    <xf numFmtId="4" fontId="10" fillId="0" borderId="9" xfId="1" applyNumberFormat="1" applyFont="1" applyBorder="1" applyAlignment="1">
      <alignment horizontal="center" vertical="center" wrapText="1"/>
    </xf>
    <xf numFmtId="4" fontId="10" fillId="0" borderId="8" xfId="1" applyNumberFormat="1" applyFont="1" applyBorder="1" applyAlignment="1">
      <alignment horizontal="center" vertical="center" wrapText="1"/>
    </xf>
    <xf numFmtId="4" fontId="10" fillId="0" borderId="2" xfId="1" applyNumberFormat="1" applyFont="1" applyBorder="1" applyAlignment="1">
      <alignment horizontal="center"/>
    </xf>
    <xf numFmtId="3" fontId="10" fillId="0" borderId="32" xfId="1" applyNumberFormat="1" applyFont="1" applyBorder="1" applyAlignment="1">
      <alignment horizontal="center" vertical="center" wrapText="1"/>
    </xf>
    <xf numFmtId="4" fontId="10" fillId="0" borderId="32" xfId="1" applyNumberFormat="1" applyFont="1" applyBorder="1" applyAlignment="1">
      <alignment horizontal="center" vertical="center" wrapText="1"/>
    </xf>
    <xf numFmtId="4" fontId="10" fillId="0" borderId="2" xfId="1" applyNumberFormat="1" applyFont="1" applyBorder="1" applyAlignment="1">
      <alignment horizontal="center" vertical="center" wrapText="1"/>
    </xf>
    <xf numFmtId="4" fontId="10" fillId="0" borderId="1" xfId="1" applyNumberFormat="1" applyFont="1" applyBorder="1" applyAlignment="1">
      <alignment horizontal="center" vertical="center" wrapText="1"/>
    </xf>
    <xf numFmtId="0" fontId="10" fillId="0" borderId="39" xfId="1" applyFont="1" applyBorder="1" applyAlignment="1">
      <alignment horizontal="center" vertical="top"/>
    </xf>
    <xf numFmtId="0" fontId="10" fillId="0" borderId="27" xfId="1" applyFont="1" applyBorder="1" applyAlignment="1">
      <alignment horizontal="left" vertical="top"/>
    </xf>
    <xf numFmtId="0" fontId="10" fillId="0" borderId="27" xfId="1" applyFont="1" applyBorder="1" applyAlignment="1">
      <alignment horizontal="center" vertical="center"/>
    </xf>
    <xf numFmtId="4" fontId="10" fillId="0" borderId="27" xfId="1" applyNumberFormat="1" applyFont="1" applyBorder="1" applyAlignment="1">
      <alignment horizontal="center" vertical="top"/>
    </xf>
    <xf numFmtId="4" fontId="10" fillId="0" borderId="27" xfId="1" applyNumberFormat="1" applyFont="1" applyBorder="1" applyAlignment="1">
      <alignment horizontal="center"/>
    </xf>
    <xf numFmtId="3" fontId="10" fillId="0" borderId="27" xfId="1" applyNumberFormat="1" applyFont="1" applyBorder="1" applyAlignment="1">
      <alignment horizontal="center"/>
    </xf>
    <xf numFmtId="3" fontId="10" fillId="0" borderId="27" xfId="1" applyNumberFormat="1" applyFont="1" applyBorder="1" applyAlignment="1">
      <alignment horizontal="center" vertical="top"/>
    </xf>
    <xf numFmtId="3" fontId="10" fillId="0" borderId="27" xfId="1" applyNumberFormat="1" applyFont="1" applyBorder="1" applyAlignment="1">
      <alignment horizontal="center" vertical="center" wrapText="1"/>
    </xf>
    <xf numFmtId="4" fontId="10" fillId="0" borderId="27" xfId="1" applyNumberFormat="1" applyFont="1" applyBorder="1" applyAlignment="1">
      <alignment horizontal="center" vertical="center" wrapText="1"/>
    </xf>
    <xf numFmtId="4" fontId="10" fillId="0" borderId="14" xfId="1" applyNumberFormat="1" applyFont="1" applyBorder="1" applyAlignment="1">
      <alignment horizontal="center" vertical="center" wrapText="1"/>
    </xf>
    <xf numFmtId="3" fontId="10" fillId="0" borderId="34" xfId="1" applyNumberFormat="1" applyFont="1" applyBorder="1" applyAlignment="1">
      <alignment horizontal="center" vertical="center"/>
    </xf>
    <xf numFmtId="0" fontId="10" fillId="0" borderId="13" xfId="1" applyFont="1" applyBorder="1" applyAlignment="1">
      <alignment horizontal="center"/>
    </xf>
    <xf numFmtId="4" fontId="10" fillId="0" borderId="14" xfId="1" applyNumberFormat="1" applyFont="1" applyBorder="1" applyAlignment="1">
      <alignment horizontal="center" vertical="top"/>
    </xf>
    <xf numFmtId="3" fontId="10" fillId="0" borderId="14" xfId="1" applyNumberFormat="1" applyFont="1" applyBorder="1" applyAlignment="1">
      <alignment horizontal="center"/>
    </xf>
    <xf numFmtId="3" fontId="10" fillId="0" borderId="14" xfId="1" applyNumberFormat="1" applyFont="1" applyBorder="1" applyAlignment="1">
      <alignment horizontal="center" vertical="top"/>
    </xf>
    <xf numFmtId="3" fontId="10" fillId="0" borderId="9" xfId="1" applyNumberFormat="1" applyFont="1" applyBorder="1" applyAlignment="1">
      <alignment horizontal="center" vertical="center"/>
    </xf>
    <xf numFmtId="4" fontId="10" fillId="0" borderId="9" xfId="1" applyNumberFormat="1" applyFont="1" applyBorder="1" applyAlignment="1">
      <alignment horizontal="center" vertical="center"/>
    </xf>
    <xf numFmtId="4" fontId="10" fillId="0" borderId="8" xfId="1" applyNumberFormat="1" applyFont="1" applyBorder="1" applyAlignment="1">
      <alignment horizontal="center" vertical="center"/>
    </xf>
    <xf numFmtId="3" fontId="10" fillId="0" borderId="32" xfId="1" applyNumberFormat="1" applyFont="1" applyBorder="1" applyAlignment="1">
      <alignment horizontal="center" vertical="center"/>
    </xf>
    <xf numFmtId="4" fontId="10" fillId="0" borderId="32" xfId="1" applyNumberFormat="1" applyFont="1" applyBorder="1" applyAlignment="1">
      <alignment horizontal="center" vertical="center"/>
    </xf>
    <xf numFmtId="4" fontId="10" fillId="0" borderId="2" xfId="1" applyNumberFormat="1" applyFont="1" applyBorder="1" applyAlignment="1">
      <alignment horizontal="center" vertical="center"/>
    </xf>
    <xf numFmtId="4" fontId="10" fillId="0" borderId="14" xfId="1" applyNumberFormat="1" applyFont="1" applyBorder="1" applyAlignment="1">
      <alignment horizontal="center"/>
    </xf>
    <xf numFmtId="3" fontId="10" fillId="0" borderId="27" xfId="1" applyNumberFormat="1" applyFont="1" applyBorder="1" applyAlignment="1">
      <alignment horizontal="center" vertical="center"/>
    </xf>
    <xf numFmtId="4" fontId="10" fillId="0" borderId="27" xfId="1" applyNumberFormat="1" applyFont="1" applyBorder="1" applyAlignment="1">
      <alignment horizontal="center" vertical="center"/>
    </xf>
    <xf numFmtId="4" fontId="10" fillId="0" borderId="14" xfId="1" applyNumberFormat="1" applyFont="1" applyBorder="1" applyAlignment="1">
      <alignment horizontal="center" vertical="center"/>
    </xf>
    <xf numFmtId="0" fontId="10" fillId="0" borderId="14" xfId="1" applyFont="1" applyBorder="1" applyAlignment="1">
      <alignment horizontal="left" vertical="top"/>
    </xf>
    <xf numFmtId="0" fontId="10" fillId="0" borderId="8" xfId="1" applyFont="1" applyBorder="1" applyAlignment="1">
      <alignment horizontal="left" vertical="top"/>
    </xf>
    <xf numFmtId="0" fontId="10" fillId="0" borderId="39" xfId="1" applyFont="1" applyBorder="1" applyAlignment="1">
      <alignment horizontal="center"/>
    </xf>
    <xf numFmtId="0" fontId="17" fillId="0" borderId="0" xfId="1" applyFont="1" applyAlignment="1">
      <alignment horizontal="center" vertical="center"/>
    </xf>
    <xf numFmtId="0" fontId="17" fillId="0" borderId="0" xfId="1" applyFont="1" applyAlignment="1">
      <alignment horizontal="left" vertical="center"/>
    </xf>
    <xf numFmtId="4" fontId="17" fillId="0" borderId="0" xfId="3" applyNumberFormat="1" applyFont="1" applyAlignment="1">
      <alignment horizontal="center" vertical="center"/>
    </xf>
    <xf numFmtId="4" fontId="17" fillId="0" borderId="0" xfId="1" applyNumberFormat="1" applyFont="1" applyAlignment="1">
      <alignment horizontal="center" vertical="center"/>
    </xf>
    <xf numFmtId="3" fontId="17" fillId="2" borderId="17" xfId="1" applyNumberFormat="1" applyFont="1" applyFill="1" applyBorder="1" applyAlignment="1">
      <alignment horizontal="right" vertical="center"/>
    </xf>
    <xf numFmtId="3" fontId="17" fillId="2" borderId="3" xfId="1" applyNumberFormat="1" applyFont="1" applyFill="1" applyBorder="1" applyAlignment="1">
      <alignment horizontal="right" vertical="center"/>
    </xf>
    <xf numFmtId="3" fontId="17" fillId="2" borderId="26" xfId="1" applyNumberFormat="1" applyFont="1" applyFill="1" applyBorder="1" applyAlignment="1">
      <alignment horizontal="right" vertical="center"/>
    </xf>
    <xf numFmtId="0" fontId="17" fillId="0" borderId="0" xfId="1" applyFont="1" applyAlignment="1">
      <alignment horizontal="center"/>
    </xf>
    <xf numFmtId="0" fontId="17" fillId="0" borderId="0" xfId="1" applyFont="1" applyAlignment="1">
      <alignment horizontal="left" vertical="top"/>
    </xf>
    <xf numFmtId="4" fontId="17" fillId="0" borderId="0" xfId="1" applyNumberFormat="1" applyFont="1" applyAlignment="1">
      <alignment horizontal="center"/>
    </xf>
    <xf numFmtId="0" fontId="10" fillId="0" borderId="0" xfId="1" applyFont="1" applyAlignment="1">
      <alignment vertical="center"/>
    </xf>
    <xf numFmtId="4" fontId="12" fillId="0" borderId="0" xfId="1" applyNumberFormat="1" applyFont="1" applyAlignment="1">
      <alignment horizontal="center"/>
    </xf>
    <xf numFmtId="0" fontId="7" fillId="0" borderId="0" xfId="1" applyFont="1" applyFill="1" applyAlignment="1">
      <alignment horizontal="center" vertical="center"/>
    </xf>
    <xf numFmtId="0" fontId="9" fillId="0" borderId="0" xfId="1" applyFont="1" applyFill="1" applyAlignment="1">
      <alignment horizontal="left" vertical="center"/>
    </xf>
    <xf numFmtId="0" fontId="9" fillId="0" borderId="0" xfId="3" applyFont="1" applyFill="1" applyAlignment="1">
      <alignment horizontal="center" vertical="center"/>
    </xf>
    <xf numFmtId="3" fontId="10" fillId="0" borderId="0" xfId="1" applyNumberFormat="1" applyFont="1" applyFill="1" applyAlignment="1">
      <alignment horizontal="center" vertical="center"/>
    </xf>
    <xf numFmtId="4" fontId="10" fillId="0" borderId="0" xfId="1" applyNumberFormat="1" applyFont="1" applyFill="1" applyAlignment="1">
      <alignment horizontal="center" vertical="center"/>
    </xf>
    <xf numFmtId="4" fontId="17" fillId="0" borderId="0" xfId="1" applyNumberFormat="1" applyFont="1" applyFill="1" applyAlignment="1">
      <alignment horizontal="center" vertical="center"/>
    </xf>
    <xf numFmtId="3" fontId="12" fillId="0" borderId="0" xfId="1" applyNumberFormat="1" applyFont="1" applyFill="1" applyBorder="1" applyAlignment="1">
      <alignment horizontal="right" vertical="center" wrapText="1"/>
    </xf>
    <xf numFmtId="3" fontId="17" fillId="0" borderId="0" xfId="1" applyNumberFormat="1" applyFont="1" applyFill="1" applyBorder="1" applyAlignment="1">
      <alignment horizontal="center" vertical="center"/>
    </xf>
    <xf numFmtId="4" fontId="9" fillId="0" borderId="0" xfId="1" applyNumberFormat="1" applyFont="1" applyFill="1" applyAlignment="1">
      <alignment vertical="center"/>
    </xf>
    <xf numFmtId="0" fontId="7" fillId="0" borderId="0" xfId="1" applyFont="1" applyFill="1" applyAlignment="1">
      <alignment vertical="center"/>
    </xf>
    <xf numFmtId="4" fontId="17" fillId="0" borderId="0" xfId="5" applyNumberFormat="1" applyFont="1" applyAlignment="1">
      <alignment horizontal="center" vertical="center"/>
    </xf>
    <xf numFmtId="3" fontId="40" fillId="0" borderId="0" xfId="1" applyNumberFormat="1" applyFont="1" applyAlignment="1">
      <alignment horizontal="center" vertical="top"/>
    </xf>
  </cellXfs>
  <cellStyles count="14">
    <cellStyle name="Normal" xfId="0" builtinId="0"/>
    <cellStyle name="Normal 10 2 2" xfId="12" xr:uid="{4131EB24-8664-463D-AEB9-A2DE0F296FE4}"/>
    <cellStyle name="Normal 10 7" xfId="10" xr:uid="{4330E6EF-F642-481B-B7B6-95D9715DEA2B}"/>
    <cellStyle name="Normal 2" xfId="1" xr:uid="{2835F3E4-2C4B-41BB-AA93-608E850A9936}"/>
    <cellStyle name="Normal 2 2 2 2" xfId="4" xr:uid="{3890ACAC-5E69-4890-BD5D-BF55FDE55299}"/>
    <cellStyle name="Normal 2 5" xfId="5" xr:uid="{965DE172-3E00-44EB-868E-3A34470D8A2D}"/>
    <cellStyle name="Normal 3" xfId="9" xr:uid="{3E626ED2-989C-4C7E-A501-D9E4C69CF7BC}"/>
    <cellStyle name="Normal 3 2" xfId="11" xr:uid="{B99433BD-CD5B-494E-A25D-22C5683CB03B}"/>
    <cellStyle name="Normal 3 3" xfId="13" xr:uid="{10706BCF-518E-4651-AA60-1BCD3D0752A4}"/>
    <cellStyle name="Normal 5" xfId="3" xr:uid="{53B0D21B-5268-426E-9AE4-0966A5B68FE2}"/>
    <cellStyle name="Normal 5 3" xfId="6" xr:uid="{B37AE697-CF55-4650-8BF1-1A3A443C6ACE}"/>
    <cellStyle name="Normal 6" xfId="2" xr:uid="{0431F2AB-E86D-4587-ADEF-0B96F397C92B}"/>
    <cellStyle name="Normal 6 11" xfId="8" xr:uid="{8C890E3F-6C95-45D2-BD3A-2B90CC40FF9D}"/>
    <cellStyle name="Percent"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FFE1C-0331-475E-A737-C52BD1A47C8D}">
  <dimension ref="A1:Y201"/>
  <sheetViews>
    <sheetView tabSelected="1" topLeftCell="A97" zoomScale="80" zoomScaleNormal="80" workbookViewId="0">
      <selection activeCell="V128" sqref="V128"/>
    </sheetView>
  </sheetViews>
  <sheetFormatPr defaultColWidth="9.1796875" defaultRowHeight="14.5" x14ac:dyDescent="0.35"/>
  <cols>
    <col min="1" max="1" width="13.7265625" style="7" customWidth="1"/>
    <col min="2" max="2" width="42.54296875" style="8" customWidth="1"/>
    <col min="3" max="3" width="15.1796875" style="7" customWidth="1"/>
    <col min="4" max="4" width="11.81640625" style="7" customWidth="1"/>
    <col min="5" max="5" width="12.1796875" style="7" customWidth="1"/>
    <col min="6" max="6" width="12" style="7" customWidth="1"/>
    <col min="7" max="7" width="15.54296875" style="7" customWidth="1"/>
    <col min="8" max="8" width="16.1796875" style="7" customWidth="1"/>
    <col min="9" max="9" width="12.7265625" style="7" hidden="1" customWidth="1"/>
    <col min="10" max="10" width="14.81640625" style="7" customWidth="1"/>
    <col min="11" max="11" width="12.7265625" style="7" hidden="1" customWidth="1"/>
    <col min="12" max="13" width="12.7265625" style="7" customWidth="1"/>
    <col min="14" max="14" width="16.26953125" style="7" customWidth="1"/>
    <col min="15" max="15" width="16.54296875" style="7" customWidth="1"/>
    <col min="16" max="16" width="11.54296875" style="7" hidden="1" customWidth="1"/>
    <col min="17" max="17" width="13.81640625" style="7" hidden="1" customWidth="1"/>
    <col min="18" max="18" width="18.1796875" style="7" customWidth="1"/>
    <col min="19" max="19" width="16.453125" style="7" customWidth="1"/>
    <col min="20" max="20" width="16.54296875" style="7" customWidth="1"/>
    <col min="21" max="21" width="17.7265625" style="7" customWidth="1"/>
    <col min="22" max="22" width="14.26953125" style="10" customWidth="1"/>
    <col min="24" max="16384" width="9.1796875" style="8"/>
  </cols>
  <sheetData>
    <row r="1" spans="1:22" x14ac:dyDescent="0.35">
      <c r="O1" s="308" t="s">
        <v>0</v>
      </c>
      <c r="P1" s="308"/>
      <c r="Q1" s="308"/>
      <c r="R1" s="308"/>
      <c r="S1" s="308"/>
      <c r="T1" s="308"/>
      <c r="U1" s="308"/>
      <c r="V1" s="1"/>
    </row>
    <row r="2" spans="1:22" s="12" customFormat="1" ht="17.5" x14ac:dyDescent="0.3">
      <c r="A2" s="309" t="s">
        <v>1</v>
      </c>
      <c r="B2" s="309"/>
      <c r="C2" s="309"/>
      <c r="D2" s="309"/>
      <c r="E2" s="309"/>
      <c r="F2" s="309"/>
      <c r="G2" s="309"/>
      <c r="H2" s="309"/>
      <c r="I2" s="309"/>
      <c r="J2" s="309"/>
      <c r="K2" s="309"/>
      <c r="L2" s="309"/>
      <c r="M2" s="309"/>
      <c r="N2" s="309"/>
      <c r="O2" s="309"/>
      <c r="P2" s="309"/>
      <c r="Q2" s="309"/>
      <c r="R2" s="309"/>
      <c r="S2" s="309"/>
      <c r="T2" s="309"/>
      <c r="U2" s="309"/>
      <c r="V2" s="10"/>
    </row>
    <row r="3" spans="1:22" s="12" customFormat="1" ht="17.5" x14ac:dyDescent="0.3">
      <c r="A3" s="154"/>
      <c r="B3" s="154"/>
      <c r="C3" s="154"/>
      <c r="D3" s="154"/>
      <c r="E3" s="154"/>
      <c r="F3" s="154"/>
      <c r="G3" s="154"/>
      <c r="H3" s="154"/>
      <c r="I3" s="154"/>
      <c r="J3" s="154"/>
      <c r="K3" s="154"/>
      <c r="L3" s="154"/>
      <c r="M3" s="154"/>
      <c r="N3" s="154"/>
      <c r="O3" s="154"/>
      <c r="P3" s="154"/>
      <c r="Q3" s="154"/>
      <c r="R3" s="154"/>
      <c r="S3" s="154"/>
      <c r="T3" s="154"/>
      <c r="U3" s="154"/>
      <c r="V3" s="10"/>
    </row>
    <row r="4" spans="1:22" s="12" customFormat="1" ht="15" customHeight="1" x14ac:dyDescent="0.3">
      <c r="A4" s="161" t="s">
        <v>2</v>
      </c>
      <c r="B4" s="14"/>
      <c r="C4" s="15"/>
      <c r="D4" s="15"/>
      <c r="E4" s="15"/>
      <c r="F4" s="15"/>
      <c r="G4" s="15"/>
      <c r="H4" s="15"/>
      <c r="I4" s="15"/>
      <c r="J4" s="15"/>
      <c r="K4" s="13"/>
      <c r="M4" s="13"/>
      <c r="N4" s="13"/>
      <c r="O4" s="13"/>
      <c r="S4" s="13"/>
      <c r="T4" s="13"/>
      <c r="U4" s="13"/>
      <c r="V4" s="10"/>
    </row>
    <row r="5" spans="1:22" s="155" customFormat="1" ht="15.5" x14ac:dyDescent="0.35">
      <c r="A5" s="156" t="s">
        <v>3</v>
      </c>
      <c r="C5" s="157"/>
      <c r="D5" s="157"/>
      <c r="E5" s="157"/>
      <c r="F5" s="157"/>
      <c r="G5" s="158"/>
      <c r="H5" s="158"/>
      <c r="I5" s="158"/>
    </row>
    <row r="6" spans="1:22" s="155" customFormat="1" ht="15.5" x14ac:dyDescent="0.35">
      <c r="A6" s="159" t="s">
        <v>4</v>
      </c>
      <c r="C6" s="160"/>
      <c r="D6" s="160"/>
      <c r="E6" s="160"/>
      <c r="F6" s="160"/>
      <c r="G6" s="158"/>
      <c r="H6" s="158"/>
      <c r="I6" s="158"/>
    </row>
    <row r="7" spans="1:22" s="5" customFormat="1" ht="13" x14ac:dyDescent="0.3">
      <c r="E7" s="6"/>
    </row>
    <row r="8" spans="1:22" s="18" customFormat="1" ht="14" x14ac:dyDescent="0.3">
      <c r="A8" s="12" t="s">
        <v>5</v>
      </c>
      <c r="B8" s="12"/>
      <c r="C8" s="13"/>
      <c r="D8" s="13"/>
      <c r="E8" s="13"/>
      <c r="F8" s="17"/>
      <c r="G8" s="17"/>
      <c r="H8" s="17"/>
      <c r="I8" s="17"/>
      <c r="J8" s="17"/>
      <c r="K8" s="17"/>
      <c r="M8" s="17"/>
      <c r="N8" s="17"/>
      <c r="O8" s="17"/>
      <c r="S8" s="17"/>
      <c r="T8" s="17"/>
      <c r="U8" s="17"/>
      <c r="V8" s="19"/>
    </row>
    <row r="9" spans="1:22" x14ac:dyDescent="0.35">
      <c r="A9" s="12" t="s">
        <v>6</v>
      </c>
    </row>
    <row r="10" spans="1:22" x14ac:dyDescent="0.35">
      <c r="A10" s="12" t="s">
        <v>7</v>
      </c>
    </row>
    <row r="11" spans="1:22" x14ac:dyDescent="0.35">
      <c r="A11" s="12" t="s">
        <v>8</v>
      </c>
    </row>
    <row r="12" spans="1:22" x14ac:dyDescent="0.35">
      <c r="A12" s="12"/>
    </row>
    <row r="13" spans="1:22" x14ac:dyDescent="0.35">
      <c r="A13" s="310" t="s">
        <v>9</v>
      </c>
      <c r="B13" s="310"/>
      <c r="C13" s="310"/>
      <c r="D13" s="310"/>
      <c r="E13" s="310"/>
      <c r="F13" s="310"/>
      <c r="G13" s="311" t="s">
        <v>10</v>
      </c>
      <c r="H13" s="311"/>
      <c r="I13" s="311"/>
      <c r="J13" s="311"/>
      <c r="K13" s="311"/>
      <c r="L13" s="311"/>
      <c r="M13" s="311"/>
    </row>
    <row r="14" spans="1:22" s="28" customFormat="1" ht="14" x14ac:dyDescent="0.35">
      <c r="A14" s="310"/>
      <c r="B14" s="310"/>
      <c r="C14" s="310"/>
      <c r="D14" s="310"/>
      <c r="E14" s="310"/>
      <c r="F14" s="310"/>
      <c r="G14" s="20">
        <v>1963</v>
      </c>
      <c r="H14" s="20"/>
      <c r="I14" s="21">
        <v>405</v>
      </c>
      <c r="J14" s="20">
        <v>1183</v>
      </c>
      <c r="K14" s="21">
        <v>243</v>
      </c>
      <c r="L14" s="22"/>
      <c r="M14" s="23">
        <v>0.2359</v>
      </c>
      <c r="N14" s="24"/>
      <c r="O14" s="25"/>
      <c r="P14" s="25"/>
      <c r="Q14" s="25"/>
      <c r="R14" s="25"/>
      <c r="S14" s="25"/>
      <c r="T14" s="25"/>
      <c r="U14" s="26"/>
      <c r="V14" s="27"/>
    </row>
    <row r="15" spans="1:22" s="9" customFormat="1" ht="75" customHeight="1" thickBot="1" x14ac:dyDescent="0.4">
      <c r="A15" s="29" t="s">
        <v>11</v>
      </c>
      <c r="B15" s="29" t="s">
        <v>12</v>
      </c>
      <c r="C15" s="29" t="s">
        <v>13</v>
      </c>
      <c r="D15" s="29" t="s">
        <v>14</v>
      </c>
      <c r="E15" s="29" t="s">
        <v>15</v>
      </c>
      <c r="F15" s="30" t="s">
        <v>16</v>
      </c>
      <c r="G15" s="30" t="s">
        <v>17</v>
      </c>
      <c r="H15" s="29" t="s">
        <v>18</v>
      </c>
      <c r="I15" s="29" t="s">
        <v>19</v>
      </c>
      <c r="J15" s="29" t="s">
        <v>20</v>
      </c>
      <c r="K15" s="31" t="s">
        <v>21</v>
      </c>
      <c r="L15" s="30" t="s">
        <v>22</v>
      </c>
      <c r="M15" s="31" t="s">
        <v>23</v>
      </c>
      <c r="N15" s="30" t="s">
        <v>24</v>
      </c>
      <c r="O15" s="30" t="s">
        <v>25</v>
      </c>
      <c r="P15" s="30" t="s">
        <v>26</v>
      </c>
      <c r="Q15" s="30" t="s">
        <v>27</v>
      </c>
      <c r="R15" s="31" t="s">
        <v>28</v>
      </c>
      <c r="S15" s="32" t="s">
        <v>29</v>
      </c>
      <c r="T15" s="32" t="s">
        <v>30</v>
      </c>
      <c r="U15" s="259" t="s">
        <v>31</v>
      </c>
      <c r="V15" s="33"/>
    </row>
    <row r="16" spans="1:22" s="28" customFormat="1" ht="14" x14ac:dyDescent="0.35">
      <c r="A16" s="34" t="s">
        <v>32</v>
      </c>
      <c r="B16" s="35" t="s">
        <v>33</v>
      </c>
      <c r="C16" s="36">
        <v>12</v>
      </c>
      <c r="D16" s="36">
        <v>1</v>
      </c>
      <c r="E16" s="37"/>
      <c r="F16" s="37">
        <v>1</v>
      </c>
      <c r="G16" s="38">
        <f>ROUND(C16*E16*$G$14,2)</f>
        <v>0</v>
      </c>
      <c r="H16" s="38"/>
      <c r="I16" s="38"/>
      <c r="J16" s="38">
        <f>ROUND(C16*F16*$J$14,2)</f>
        <v>14196</v>
      </c>
      <c r="K16" s="38"/>
      <c r="L16" s="38">
        <f>G16+H16+I16+J16+K16</f>
        <v>14196</v>
      </c>
      <c r="M16" s="38">
        <f>ROUND(L16*$M$14,2)</f>
        <v>3348.84</v>
      </c>
      <c r="N16" s="38">
        <v>3673</v>
      </c>
      <c r="O16" s="37">
        <v>306.08</v>
      </c>
      <c r="P16" s="37"/>
      <c r="Q16" s="37"/>
      <c r="R16" s="38">
        <f>ROUND(C16*F16*O16,2)</f>
        <v>3672.96</v>
      </c>
      <c r="S16" s="39">
        <f>L16+M16</f>
        <v>17544.84</v>
      </c>
      <c r="T16" s="38"/>
      <c r="U16" s="40">
        <f>S16+R16</f>
        <v>21217.8</v>
      </c>
      <c r="V16" s="41"/>
    </row>
    <row r="17" spans="1:22" s="28" customFormat="1" ht="14" x14ac:dyDescent="0.35">
      <c r="A17" s="42" t="s">
        <v>32</v>
      </c>
      <c r="B17" s="43" t="s">
        <v>34</v>
      </c>
      <c r="C17" s="44">
        <v>12</v>
      </c>
      <c r="D17" s="44">
        <v>1</v>
      </c>
      <c r="E17" s="45">
        <v>2.7</v>
      </c>
      <c r="F17" s="45"/>
      <c r="G17" s="20">
        <f>ROUND(C17*E17*$G$14,2)</f>
        <v>63601.2</v>
      </c>
      <c r="H17" s="20"/>
      <c r="I17" s="20"/>
      <c r="J17" s="20">
        <f>ROUND(C17*F17*$J$14,2)</f>
        <v>0</v>
      </c>
      <c r="K17" s="20"/>
      <c r="L17" s="20">
        <f>G17+H17+I17+J17+K17</f>
        <v>63601.2</v>
      </c>
      <c r="M17" s="20">
        <f>ROUND(L17*$M$14,2)</f>
        <v>15003.52</v>
      </c>
      <c r="N17" s="20">
        <v>3673</v>
      </c>
      <c r="O17" s="45">
        <v>306.08</v>
      </c>
      <c r="P17" s="45"/>
      <c r="Q17" s="45"/>
      <c r="R17" s="20">
        <f>ROUND(C17*E17*O17,2)</f>
        <v>9916.99</v>
      </c>
      <c r="S17" s="20">
        <f>L17+M17</f>
        <v>78604.72</v>
      </c>
      <c r="T17" s="20"/>
      <c r="U17" s="46">
        <f>S17+R17</f>
        <v>88521.71</v>
      </c>
      <c r="V17" s="41"/>
    </row>
    <row r="18" spans="1:22" s="28" customFormat="1" ht="14" x14ac:dyDescent="0.35">
      <c r="A18" s="47" t="s">
        <v>32</v>
      </c>
      <c r="B18" s="48" t="s">
        <v>35</v>
      </c>
      <c r="C18" s="44">
        <v>12</v>
      </c>
      <c r="D18" s="22">
        <v>1</v>
      </c>
      <c r="E18" s="49">
        <v>5.5</v>
      </c>
      <c r="F18" s="49"/>
      <c r="G18" s="20">
        <f>ROUND(C18*E18*$G$14,2)</f>
        <v>129558</v>
      </c>
      <c r="H18" s="50">
        <f>ROUND(C18*E18*540,2)</f>
        <v>35640</v>
      </c>
      <c r="I18" s="50"/>
      <c r="J18" s="20">
        <f>ROUND(C18*F18*$J$14,2)</f>
        <v>0</v>
      </c>
      <c r="K18" s="50"/>
      <c r="L18" s="50">
        <f>G18+H18+I18+J18+K18</f>
        <v>165198</v>
      </c>
      <c r="M18" s="20">
        <f>ROUND(L18*$M$14,2)</f>
        <v>38970.21</v>
      </c>
      <c r="N18" s="50">
        <v>3673</v>
      </c>
      <c r="O18" s="49">
        <v>306.08</v>
      </c>
      <c r="P18" s="49"/>
      <c r="Q18" s="49"/>
      <c r="R18" s="20">
        <f>ROUND(C18*E18*O18,2)</f>
        <v>20201.28</v>
      </c>
      <c r="S18" s="20">
        <f>L18+M18</f>
        <v>204168.21</v>
      </c>
      <c r="T18" s="50"/>
      <c r="U18" s="46">
        <f>S18+R18</f>
        <v>224369.49</v>
      </c>
      <c r="V18" s="41"/>
    </row>
    <row r="19" spans="1:22" s="28" customFormat="1" ht="14" x14ac:dyDescent="0.35">
      <c r="A19" s="47" t="s">
        <v>32</v>
      </c>
      <c r="B19" s="48" t="s">
        <v>36</v>
      </c>
      <c r="C19" s="44">
        <v>12</v>
      </c>
      <c r="D19" s="22">
        <v>1</v>
      </c>
      <c r="E19" s="49">
        <v>0.35</v>
      </c>
      <c r="F19" s="49"/>
      <c r="G19" s="20">
        <f>ROUND(C19*E19*$G$14,2)</f>
        <v>8244.6</v>
      </c>
      <c r="H19" s="50"/>
      <c r="I19" s="50"/>
      <c r="J19" s="20">
        <f>ROUND(C19*F19*$J$14,2)</f>
        <v>0</v>
      </c>
      <c r="K19" s="50"/>
      <c r="L19" s="50">
        <f>ROUNDDOWN(G19+H19+I19+J19+K19,0)</f>
        <v>8244</v>
      </c>
      <c r="M19" s="20">
        <f>ROUND(L19*$M$14,2)</f>
        <v>1944.76</v>
      </c>
      <c r="N19" s="50">
        <v>3673</v>
      </c>
      <c r="O19" s="49">
        <v>306.08</v>
      </c>
      <c r="P19" s="49"/>
      <c r="Q19" s="49"/>
      <c r="R19" s="20">
        <f>ROUND(C19*E19*O19,2)</f>
        <v>1285.54</v>
      </c>
      <c r="S19" s="20">
        <f>L19+M19</f>
        <v>10188.76</v>
      </c>
      <c r="T19" s="50"/>
      <c r="U19" s="46">
        <f>S19+R19</f>
        <v>11474.3</v>
      </c>
      <c r="V19" s="41"/>
    </row>
    <row r="20" spans="1:22" s="28" customFormat="1" ht="15.75" customHeight="1" x14ac:dyDescent="0.35">
      <c r="A20" s="47" t="s">
        <v>32</v>
      </c>
      <c r="B20" s="48" t="s">
        <v>37</v>
      </c>
      <c r="C20" s="44">
        <v>12</v>
      </c>
      <c r="D20" s="22">
        <v>1</v>
      </c>
      <c r="E20" s="49">
        <v>0.65</v>
      </c>
      <c r="F20" s="49"/>
      <c r="G20" s="20">
        <f>ROUND(C20*E20*$G$14,2)</f>
        <v>15311.4</v>
      </c>
      <c r="H20" s="50">
        <f>ROUND(C20*E20*540,2)</f>
        <v>4212</v>
      </c>
      <c r="I20" s="50"/>
      <c r="J20" s="20">
        <f>ROUND(C20*F20*$J$14,2)</f>
        <v>0</v>
      </c>
      <c r="K20" s="50"/>
      <c r="L20" s="50">
        <f>ROUNDDOWN(G20+H20+I20+J20+K20,0)</f>
        <v>19523</v>
      </c>
      <c r="M20" s="20">
        <f>ROUND(L20*$M$14,2)</f>
        <v>4605.4799999999996</v>
      </c>
      <c r="N20" s="50">
        <v>3673</v>
      </c>
      <c r="O20" s="49">
        <v>306.08</v>
      </c>
      <c r="P20" s="49"/>
      <c r="Q20" s="49"/>
      <c r="R20" s="20">
        <f>ROUND(C20*E20*O20,2)</f>
        <v>2387.42</v>
      </c>
      <c r="S20" s="51">
        <f>L20+M20</f>
        <v>24128.48</v>
      </c>
      <c r="T20" s="50"/>
      <c r="U20" s="46">
        <f>S20+R20</f>
        <v>26515.9</v>
      </c>
      <c r="V20" s="52"/>
    </row>
    <row r="21" spans="1:22" s="28" customFormat="1" ht="15.75" customHeight="1" thickBot="1" x14ac:dyDescent="0.4">
      <c r="A21" s="53" t="s">
        <v>32</v>
      </c>
      <c r="B21" s="54" t="s">
        <v>38</v>
      </c>
      <c r="C21" s="55"/>
      <c r="D21" s="56"/>
      <c r="E21" s="57"/>
      <c r="F21" s="57"/>
      <c r="G21" s="58"/>
      <c r="H21" s="59"/>
      <c r="I21" s="59"/>
      <c r="J21" s="58"/>
      <c r="K21" s="59"/>
      <c r="L21" s="59"/>
      <c r="M21" s="58"/>
      <c r="N21" s="59"/>
      <c r="O21" s="57"/>
      <c r="P21" s="57"/>
      <c r="Q21" s="57"/>
      <c r="R21" s="58"/>
      <c r="S21" s="59"/>
      <c r="T21" s="59">
        <v>17280</v>
      </c>
      <c r="U21" s="60">
        <f>T21</f>
        <v>17280</v>
      </c>
      <c r="V21" s="41"/>
    </row>
    <row r="22" spans="1:22" x14ac:dyDescent="0.35">
      <c r="A22" s="61" t="s">
        <v>39</v>
      </c>
      <c r="B22" s="35" t="s">
        <v>33</v>
      </c>
      <c r="C22" s="36">
        <v>12</v>
      </c>
      <c r="D22" s="62">
        <v>1</v>
      </c>
      <c r="E22" s="63"/>
      <c r="F22" s="63">
        <v>0.5</v>
      </c>
      <c r="G22" s="38">
        <f>ROUND(C22*E22*$G$14,2)</f>
        <v>0</v>
      </c>
      <c r="H22" s="64"/>
      <c r="I22" s="64"/>
      <c r="J22" s="38">
        <f>ROUND(C22*F22*$J$14,2)</f>
        <v>7098</v>
      </c>
      <c r="K22" s="64"/>
      <c r="L22" s="65">
        <f>ROUNDDOWN(G22+H22+I22+J22+K22,0)</f>
        <v>7098</v>
      </c>
      <c r="M22" s="38">
        <f>ROUND(L22*$M$14,2)</f>
        <v>1674.42</v>
      </c>
      <c r="N22" s="65">
        <v>3673</v>
      </c>
      <c r="O22" s="63">
        <v>306.08</v>
      </c>
      <c r="P22" s="63"/>
      <c r="Q22" s="63"/>
      <c r="R22" s="38">
        <f>ROUND(C22*F22*O22,2)</f>
        <v>1836.48</v>
      </c>
      <c r="S22" s="65">
        <f>L22+M22</f>
        <v>8772.42</v>
      </c>
      <c r="T22" s="65"/>
      <c r="U22" s="40">
        <f>S22+R22</f>
        <v>10608.9</v>
      </c>
    </row>
    <row r="23" spans="1:22" x14ac:dyDescent="0.35">
      <c r="A23" s="47" t="s">
        <v>39</v>
      </c>
      <c r="B23" s="43" t="s">
        <v>34</v>
      </c>
      <c r="C23" s="44">
        <v>12</v>
      </c>
      <c r="D23" s="22">
        <v>1</v>
      </c>
      <c r="E23" s="49">
        <v>0.75</v>
      </c>
      <c r="F23" s="49"/>
      <c r="G23" s="20">
        <f>ROUND(C23*E23*$G$14,2)</f>
        <v>17667</v>
      </c>
      <c r="H23" s="66"/>
      <c r="I23" s="66"/>
      <c r="J23" s="20">
        <f>ROUND(C23*F23*$J$14,2)</f>
        <v>0</v>
      </c>
      <c r="K23" s="66"/>
      <c r="L23" s="50">
        <f>ROUNDDOWN(G23+H23+I23+J23+K23,0)</f>
        <v>17667</v>
      </c>
      <c r="M23" s="20">
        <f>ROUND(L23*$M$14,2)</f>
        <v>4167.6499999999996</v>
      </c>
      <c r="N23" s="50">
        <v>3673</v>
      </c>
      <c r="O23" s="49">
        <v>306.08</v>
      </c>
      <c r="P23" s="49"/>
      <c r="Q23" s="49"/>
      <c r="R23" s="20">
        <f>ROUND(C23*E23*O23,2)</f>
        <v>2754.72</v>
      </c>
      <c r="S23" s="50">
        <f>L23+M23</f>
        <v>21834.65</v>
      </c>
      <c r="T23" s="50"/>
      <c r="U23" s="46">
        <f>S23+R23</f>
        <v>24589.370000000003</v>
      </c>
    </row>
    <row r="24" spans="1:22" x14ac:dyDescent="0.35">
      <c r="A24" s="47" t="s">
        <v>39</v>
      </c>
      <c r="B24" s="48" t="s">
        <v>35</v>
      </c>
      <c r="C24" s="44">
        <v>12</v>
      </c>
      <c r="D24" s="22">
        <v>1</v>
      </c>
      <c r="E24" s="49">
        <v>2</v>
      </c>
      <c r="F24" s="49"/>
      <c r="G24" s="20">
        <f>ROUND(C24*E24*$G$14,2)</f>
        <v>47112</v>
      </c>
      <c r="H24" s="50">
        <f>ROUND(C24*E24*540,2)</f>
        <v>12960</v>
      </c>
      <c r="I24" s="66"/>
      <c r="J24" s="20">
        <f>ROUND(C24*F24*$J$14,2)</f>
        <v>0</v>
      </c>
      <c r="K24" s="66"/>
      <c r="L24" s="50">
        <f>ROUNDDOWN(G24+H24+I24+J24+K24,0)</f>
        <v>60072</v>
      </c>
      <c r="M24" s="20">
        <f>ROUND(L24*$M$14,2)</f>
        <v>14170.98</v>
      </c>
      <c r="N24" s="50">
        <v>3673</v>
      </c>
      <c r="O24" s="49">
        <v>306.08</v>
      </c>
      <c r="P24" s="49"/>
      <c r="Q24" s="49"/>
      <c r="R24" s="20">
        <f>ROUND(C24*E24*O24,2)</f>
        <v>7345.92</v>
      </c>
      <c r="S24" s="50">
        <f>L24+M24</f>
        <v>74242.98</v>
      </c>
      <c r="T24" s="50"/>
      <c r="U24" s="46">
        <f>S24+R24</f>
        <v>81588.899999999994</v>
      </c>
      <c r="V24" s="67"/>
    </row>
    <row r="25" spans="1:22" ht="15" thickBot="1" x14ac:dyDescent="0.4">
      <c r="A25" s="53" t="s">
        <v>39</v>
      </c>
      <c r="B25" s="54" t="s">
        <v>38</v>
      </c>
      <c r="C25" s="55"/>
      <c r="D25" s="56"/>
      <c r="E25" s="57"/>
      <c r="F25" s="57"/>
      <c r="G25" s="58"/>
      <c r="H25" s="68"/>
      <c r="I25" s="68"/>
      <c r="J25" s="58"/>
      <c r="K25" s="68"/>
      <c r="L25" s="59"/>
      <c r="M25" s="58"/>
      <c r="N25" s="59"/>
      <c r="O25" s="57"/>
      <c r="P25" s="57"/>
      <c r="Q25" s="57"/>
      <c r="R25" s="58"/>
      <c r="S25" s="59"/>
      <c r="T25" s="59">
        <f>6600+755.58</f>
        <v>7355.58</v>
      </c>
      <c r="U25" s="60">
        <f>T25</f>
        <v>7355.58</v>
      </c>
      <c r="V25" s="67"/>
    </row>
    <row r="26" spans="1:22" x14ac:dyDescent="0.35">
      <c r="A26" s="61" t="s">
        <v>40</v>
      </c>
      <c r="B26" s="35" t="s">
        <v>33</v>
      </c>
      <c r="C26" s="36">
        <v>12</v>
      </c>
      <c r="D26" s="62">
        <v>1</v>
      </c>
      <c r="E26" s="69"/>
      <c r="F26" s="63">
        <v>0.5</v>
      </c>
      <c r="G26" s="38">
        <f>ROUND(C26*E26*$G$14,2)</f>
        <v>0</v>
      </c>
      <c r="H26" s="64"/>
      <c r="I26" s="64"/>
      <c r="J26" s="38">
        <f>ROUND(C26*F26*$J$14,2)</f>
        <v>7098</v>
      </c>
      <c r="K26" s="64"/>
      <c r="L26" s="65">
        <f>ROUNDDOWN(G26+H26+I26+J26+K26,0)</f>
        <v>7098</v>
      </c>
      <c r="M26" s="38">
        <f>ROUND(L26*$M$14,2)</f>
        <v>1674.42</v>
      </c>
      <c r="N26" s="65">
        <v>3673</v>
      </c>
      <c r="O26" s="63">
        <v>306.08</v>
      </c>
      <c r="P26" s="63"/>
      <c r="Q26" s="63"/>
      <c r="R26" s="38">
        <f>ROUND(C26*F26*O26,2)</f>
        <v>1836.48</v>
      </c>
      <c r="S26" s="65">
        <f>L26+M26</f>
        <v>8772.42</v>
      </c>
      <c r="T26" s="65"/>
      <c r="U26" s="40">
        <f>S26+R26</f>
        <v>10608.9</v>
      </c>
    </row>
    <row r="27" spans="1:22" x14ac:dyDescent="0.35">
      <c r="A27" s="47" t="s">
        <v>40</v>
      </c>
      <c r="B27" s="43" t="s">
        <v>34</v>
      </c>
      <c r="C27" s="44">
        <v>12</v>
      </c>
      <c r="D27" s="22">
        <v>1</v>
      </c>
      <c r="E27" s="49">
        <v>0.75</v>
      </c>
      <c r="F27" s="70"/>
      <c r="G27" s="20">
        <f>ROUND(C27*E27*$G$14,2)</f>
        <v>17667</v>
      </c>
      <c r="H27" s="66"/>
      <c r="I27" s="66"/>
      <c r="J27" s="20">
        <f>ROUND(C27*F27*$J$14,2)</f>
        <v>0</v>
      </c>
      <c r="K27" s="66"/>
      <c r="L27" s="50">
        <f>ROUNDDOWN(G27+H27+I27+J27+K27,0)</f>
        <v>17667</v>
      </c>
      <c r="M27" s="20">
        <f>ROUND(L27*$M$14,2)</f>
        <v>4167.6499999999996</v>
      </c>
      <c r="N27" s="50">
        <v>3673</v>
      </c>
      <c r="O27" s="49">
        <v>306.08</v>
      </c>
      <c r="P27" s="49"/>
      <c r="Q27" s="49"/>
      <c r="R27" s="20">
        <f>ROUND(C27*E27*O27,2)</f>
        <v>2754.72</v>
      </c>
      <c r="S27" s="50">
        <f>L27+M27</f>
        <v>21834.65</v>
      </c>
      <c r="T27" s="50"/>
      <c r="U27" s="46">
        <f>S27+R27</f>
        <v>24589.370000000003</v>
      </c>
    </row>
    <row r="28" spans="1:22" x14ac:dyDescent="0.35">
      <c r="A28" s="47" t="s">
        <v>40</v>
      </c>
      <c r="B28" s="48" t="s">
        <v>35</v>
      </c>
      <c r="C28" s="44">
        <v>12</v>
      </c>
      <c r="D28" s="22">
        <v>1</v>
      </c>
      <c r="E28" s="49">
        <v>2</v>
      </c>
      <c r="F28" s="70"/>
      <c r="G28" s="20">
        <f>ROUND(C28*E28*$G$14,2)</f>
        <v>47112</v>
      </c>
      <c r="H28" s="50">
        <f>ROUND(C28*E28*540,2)</f>
        <v>12960</v>
      </c>
      <c r="I28" s="66"/>
      <c r="J28" s="20">
        <f>ROUND(C28*F28*$J$14,2)</f>
        <v>0</v>
      </c>
      <c r="K28" s="66"/>
      <c r="L28" s="50">
        <f>ROUNDDOWN(G28+H28+I28+J28+K28,0)</f>
        <v>60072</v>
      </c>
      <c r="M28" s="20">
        <f>ROUND(L28*$M$14,2)</f>
        <v>14170.98</v>
      </c>
      <c r="N28" s="50">
        <v>3673</v>
      </c>
      <c r="O28" s="49">
        <v>306.08</v>
      </c>
      <c r="P28" s="49"/>
      <c r="Q28" s="49"/>
      <c r="R28" s="20">
        <f>ROUND(C28*E28*O28,2)</f>
        <v>7345.92</v>
      </c>
      <c r="S28" s="50">
        <f>L28+M28</f>
        <v>74242.98</v>
      </c>
      <c r="T28" s="50"/>
      <c r="U28" s="46">
        <f>S28+R28</f>
        <v>81588.899999999994</v>
      </c>
      <c r="V28" s="67"/>
    </row>
    <row r="29" spans="1:22" ht="15" thickBot="1" x14ac:dyDescent="0.4">
      <c r="A29" s="53" t="s">
        <v>40</v>
      </c>
      <c r="B29" s="54" t="s">
        <v>38</v>
      </c>
      <c r="C29" s="55"/>
      <c r="D29" s="56"/>
      <c r="E29" s="57"/>
      <c r="F29" s="71"/>
      <c r="G29" s="58"/>
      <c r="H29" s="68"/>
      <c r="I29" s="68"/>
      <c r="J29" s="58"/>
      <c r="K29" s="68"/>
      <c r="L29" s="59"/>
      <c r="M29" s="58"/>
      <c r="N29" s="59"/>
      <c r="O29" s="57"/>
      <c r="P29" s="57"/>
      <c r="Q29" s="57"/>
      <c r="R29" s="58"/>
      <c r="S29" s="59"/>
      <c r="T29" s="59">
        <f>4440-(-1026.496)</f>
        <v>5466.4960000000001</v>
      </c>
      <c r="U29" s="60">
        <f>T29</f>
        <v>5466.4960000000001</v>
      </c>
    </row>
    <row r="30" spans="1:22" x14ac:dyDescent="0.35">
      <c r="A30" s="72" t="s">
        <v>41</v>
      </c>
      <c r="B30" s="73" t="s">
        <v>33</v>
      </c>
      <c r="C30" s="74">
        <v>12</v>
      </c>
      <c r="D30" s="75">
        <v>1</v>
      </c>
      <c r="E30" s="76"/>
      <c r="F30" s="77">
        <v>0.5</v>
      </c>
      <c r="G30" s="51">
        <f t="shared" ref="G30:G35" si="0">ROUND(C30*E30*$G$14,2)</f>
        <v>0</v>
      </c>
      <c r="H30" s="78"/>
      <c r="I30" s="78"/>
      <c r="J30" s="51">
        <f t="shared" ref="J30:J35" si="1">ROUND(C30*F30*$J$14,2)</f>
        <v>7098</v>
      </c>
      <c r="K30" s="78"/>
      <c r="L30" s="79">
        <f t="shared" ref="L30:L35" si="2">ROUNDDOWN(G30+H30+I30+J30+K30,0)</f>
        <v>7098</v>
      </c>
      <c r="M30" s="51">
        <f t="shared" ref="M30:M35" si="3">ROUND(L30*$M$14,2)</f>
        <v>1674.42</v>
      </c>
      <c r="N30" s="79">
        <v>3673</v>
      </c>
      <c r="O30" s="77">
        <v>306.08</v>
      </c>
      <c r="P30" s="77"/>
      <c r="Q30" s="77"/>
      <c r="R30" s="38">
        <f>ROUND(C30*F30*O30,2)</f>
        <v>1836.48</v>
      </c>
      <c r="S30" s="79">
        <f t="shared" ref="S30:S35" si="4">L30+M30</f>
        <v>8772.42</v>
      </c>
      <c r="T30" s="80"/>
      <c r="U30" s="81">
        <f t="shared" ref="U30:U35" si="5">S30+R30</f>
        <v>10608.9</v>
      </c>
    </row>
    <row r="31" spans="1:22" x14ac:dyDescent="0.35">
      <c r="A31" s="47" t="s">
        <v>41</v>
      </c>
      <c r="B31" s="43" t="s">
        <v>34</v>
      </c>
      <c r="C31" s="44">
        <v>12</v>
      </c>
      <c r="D31" s="22">
        <v>1</v>
      </c>
      <c r="E31" s="49">
        <v>0.75</v>
      </c>
      <c r="F31" s="70"/>
      <c r="G31" s="20">
        <f t="shared" si="0"/>
        <v>17667</v>
      </c>
      <c r="H31" s="66"/>
      <c r="I31" s="66"/>
      <c r="J31" s="20">
        <f t="shared" si="1"/>
        <v>0</v>
      </c>
      <c r="K31" s="66"/>
      <c r="L31" s="50">
        <f t="shared" si="2"/>
        <v>17667</v>
      </c>
      <c r="M31" s="20">
        <f t="shared" si="3"/>
        <v>4167.6499999999996</v>
      </c>
      <c r="N31" s="50">
        <v>3673</v>
      </c>
      <c r="O31" s="49">
        <v>306.08</v>
      </c>
      <c r="P31" s="49"/>
      <c r="Q31" s="49"/>
      <c r="R31" s="20">
        <f>ROUND(C31*E31*O31,2)</f>
        <v>2754.72</v>
      </c>
      <c r="S31" s="50">
        <f t="shared" si="4"/>
        <v>21834.65</v>
      </c>
      <c r="T31" s="82"/>
      <c r="U31" s="46">
        <f t="shared" si="5"/>
        <v>24589.370000000003</v>
      </c>
    </row>
    <row r="32" spans="1:22" ht="15" thickBot="1" x14ac:dyDescent="0.4">
      <c r="A32" s="83" t="s">
        <v>41</v>
      </c>
      <c r="B32" s="84" t="s">
        <v>35</v>
      </c>
      <c r="C32" s="85">
        <v>12</v>
      </c>
      <c r="D32" s="86">
        <v>1</v>
      </c>
      <c r="E32" s="87">
        <v>2</v>
      </c>
      <c r="F32" s="88"/>
      <c r="G32" s="89">
        <f t="shared" si="0"/>
        <v>47112</v>
      </c>
      <c r="H32" s="50">
        <f>ROUND(C32*E32*540,2)</f>
        <v>12960</v>
      </c>
      <c r="I32" s="90"/>
      <c r="J32" s="89">
        <f t="shared" si="1"/>
        <v>0</v>
      </c>
      <c r="K32" s="90"/>
      <c r="L32" s="91">
        <f t="shared" si="2"/>
        <v>60072</v>
      </c>
      <c r="M32" s="89">
        <f t="shared" si="3"/>
        <v>14170.98</v>
      </c>
      <c r="N32" s="91">
        <v>3673</v>
      </c>
      <c r="O32" s="87">
        <v>306.08</v>
      </c>
      <c r="P32" s="87"/>
      <c r="Q32" s="87"/>
      <c r="R32" s="89">
        <f>ROUND(C32*E32*O32,2)</f>
        <v>7345.92</v>
      </c>
      <c r="S32" s="91">
        <f t="shared" si="4"/>
        <v>74242.98</v>
      </c>
      <c r="T32" s="92"/>
      <c r="U32" s="93">
        <f t="shared" si="5"/>
        <v>81588.899999999994</v>
      </c>
      <c r="V32" s="67"/>
    </row>
    <row r="33" spans="1:23" x14ac:dyDescent="0.35">
      <c r="A33" s="94" t="s">
        <v>42</v>
      </c>
      <c r="B33" s="35" t="s">
        <v>33</v>
      </c>
      <c r="C33" s="36">
        <v>12</v>
      </c>
      <c r="D33" s="62">
        <v>1</v>
      </c>
      <c r="E33" s="69"/>
      <c r="F33" s="63">
        <v>0.5</v>
      </c>
      <c r="G33" s="38">
        <f t="shared" si="0"/>
        <v>0</v>
      </c>
      <c r="H33" s="64"/>
      <c r="I33" s="64"/>
      <c r="J33" s="38">
        <f t="shared" si="1"/>
        <v>7098</v>
      </c>
      <c r="K33" s="64"/>
      <c r="L33" s="65">
        <f t="shared" si="2"/>
        <v>7098</v>
      </c>
      <c r="M33" s="38">
        <f t="shared" si="3"/>
        <v>1674.42</v>
      </c>
      <c r="N33" s="65">
        <v>3673</v>
      </c>
      <c r="O33" s="63">
        <v>306.08</v>
      </c>
      <c r="P33" s="63"/>
      <c r="Q33" s="63"/>
      <c r="R33" s="38">
        <f>ROUND(C33*F33*O33,2)</f>
        <v>1836.48</v>
      </c>
      <c r="S33" s="65">
        <f t="shared" si="4"/>
        <v>8772.42</v>
      </c>
      <c r="T33" s="95"/>
      <c r="U33" s="40">
        <f t="shared" si="5"/>
        <v>10608.9</v>
      </c>
    </row>
    <row r="34" spans="1:23" x14ac:dyDescent="0.35">
      <c r="A34" s="96" t="s">
        <v>42</v>
      </c>
      <c r="B34" s="43" t="s">
        <v>34</v>
      </c>
      <c r="C34" s="44">
        <v>12</v>
      </c>
      <c r="D34" s="22">
        <v>1</v>
      </c>
      <c r="E34" s="49">
        <v>0.75</v>
      </c>
      <c r="F34" s="70"/>
      <c r="G34" s="20">
        <f t="shared" si="0"/>
        <v>17667</v>
      </c>
      <c r="H34" s="66"/>
      <c r="I34" s="66"/>
      <c r="J34" s="20">
        <f t="shared" si="1"/>
        <v>0</v>
      </c>
      <c r="K34" s="66"/>
      <c r="L34" s="50">
        <f t="shared" si="2"/>
        <v>17667</v>
      </c>
      <c r="M34" s="20">
        <f t="shared" si="3"/>
        <v>4167.6499999999996</v>
      </c>
      <c r="N34" s="50">
        <v>3673</v>
      </c>
      <c r="O34" s="49">
        <v>306.08</v>
      </c>
      <c r="P34" s="49"/>
      <c r="Q34" s="49"/>
      <c r="R34" s="20">
        <f>ROUND(C34*E34*O34,2)</f>
        <v>2754.72</v>
      </c>
      <c r="S34" s="50">
        <f t="shared" si="4"/>
        <v>21834.65</v>
      </c>
      <c r="T34" s="82"/>
      <c r="U34" s="46">
        <f t="shared" si="5"/>
        <v>24589.370000000003</v>
      </c>
    </row>
    <row r="35" spans="1:23" ht="15" thickBot="1" x14ac:dyDescent="0.4">
      <c r="A35" s="97" t="s">
        <v>42</v>
      </c>
      <c r="B35" s="54" t="s">
        <v>35</v>
      </c>
      <c r="C35" s="55">
        <v>12</v>
      </c>
      <c r="D35" s="56">
        <v>1</v>
      </c>
      <c r="E35" s="57">
        <v>2</v>
      </c>
      <c r="F35" s="71"/>
      <c r="G35" s="58">
        <f t="shared" si="0"/>
        <v>47112</v>
      </c>
      <c r="H35" s="59">
        <f>ROUND(C35*E35*540,2)</f>
        <v>12960</v>
      </c>
      <c r="I35" s="68"/>
      <c r="J35" s="58">
        <f t="shared" si="1"/>
        <v>0</v>
      </c>
      <c r="K35" s="68"/>
      <c r="L35" s="59">
        <f t="shared" si="2"/>
        <v>60072</v>
      </c>
      <c r="M35" s="58">
        <f t="shared" si="3"/>
        <v>14170.98</v>
      </c>
      <c r="N35" s="59">
        <v>3673</v>
      </c>
      <c r="O35" s="57">
        <v>306.08</v>
      </c>
      <c r="P35" s="57"/>
      <c r="Q35" s="57"/>
      <c r="R35" s="58">
        <f>ROUND(C35*E35*O35,2)</f>
        <v>7345.92</v>
      </c>
      <c r="S35" s="59">
        <f t="shared" si="4"/>
        <v>74242.98</v>
      </c>
      <c r="T35" s="98"/>
      <c r="U35" s="60">
        <f t="shared" si="5"/>
        <v>81588.899999999994</v>
      </c>
      <c r="V35" s="67"/>
    </row>
    <row r="36" spans="1:23" x14ac:dyDescent="0.35">
      <c r="D36" s="127">
        <f>SUM(D16:D35)</f>
        <v>17</v>
      </c>
      <c r="E36" s="99">
        <f>SUM(E16:E35)</f>
        <v>20.2</v>
      </c>
      <c r="F36" s="99">
        <f>SUM(F16:F35)</f>
        <v>3</v>
      </c>
      <c r="R36" s="312" t="s">
        <v>43</v>
      </c>
      <c r="S36" s="312"/>
      <c r="T36" s="312"/>
      <c r="U36" s="100">
        <f>ROUND(SUM(U16:U35),0)</f>
        <v>869350</v>
      </c>
      <c r="V36" s="67"/>
    </row>
    <row r="37" spans="1:23" x14ac:dyDescent="0.35">
      <c r="D37" s="99"/>
      <c r="E37" s="99"/>
      <c r="F37" s="99"/>
      <c r="G37" s="478">
        <f>E36+F36</f>
        <v>23.2</v>
      </c>
      <c r="R37" s="332" t="s">
        <v>44</v>
      </c>
      <c r="S37" s="332"/>
      <c r="T37" s="332"/>
      <c r="U37" s="101">
        <f>U36-T21-T25-T29</f>
        <v>839247.924</v>
      </c>
      <c r="V37" s="67"/>
    </row>
    <row r="38" spans="1:23" x14ac:dyDescent="0.35">
      <c r="U38" s="102"/>
    </row>
    <row r="39" spans="1:23" ht="15" customHeight="1" x14ac:dyDescent="0.35">
      <c r="A39" s="326" t="s">
        <v>45</v>
      </c>
      <c r="B39" s="327"/>
      <c r="C39" s="327"/>
      <c r="D39" s="327"/>
      <c r="E39" s="327"/>
      <c r="F39" s="328"/>
      <c r="G39" s="311" t="s">
        <v>10</v>
      </c>
      <c r="H39" s="311"/>
      <c r="I39" s="311"/>
      <c r="J39" s="311"/>
      <c r="K39" s="311"/>
      <c r="L39" s="311"/>
      <c r="M39" s="311"/>
      <c r="U39" s="102"/>
    </row>
    <row r="40" spans="1:23" ht="21.75" customHeight="1" x14ac:dyDescent="0.35">
      <c r="A40" s="329"/>
      <c r="B40" s="330"/>
      <c r="C40" s="330"/>
      <c r="D40" s="330"/>
      <c r="E40" s="330"/>
      <c r="F40" s="331"/>
      <c r="G40" s="20">
        <v>1963</v>
      </c>
      <c r="H40" s="20"/>
      <c r="I40" s="21">
        <v>405</v>
      </c>
      <c r="J40" s="20">
        <v>1183</v>
      </c>
      <c r="K40" s="21">
        <v>243</v>
      </c>
      <c r="L40" s="22"/>
      <c r="M40" s="23">
        <v>0.2359</v>
      </c>
      <c r="N40" s="103"/>
      <c r="O40" s="103"/>
      <c r="P40" s="103"/>
      <c r="Q40" s="103"/>
      <c r="R40" s="103"/>
      <c r="S40" s="103"/>
      <c r="T40" s="103"/>
      <c r="U40" s="102"/>
    </row>
    <row r="41" spans="1:23" s="105" customFormat="1" ht="78" customHeight="1" thickBot="1" x14ac:dyDescent="0.35">
      <c r="A41" s="29" t="s">
        <v>11</v>
      </c>
      <c r="B41" s="29" t="s">
        <v>12</v>
      </c>
      <c r="C41" s="29" t="s">
        <v>13</v>
      </c>
      <c r="D41" s="29" t="s">
        <v>14</v>
      </c>
      <c r="E41" s="29" t="s">
        <v>15</v>
      </c>
      <c r="F41" s="30" t="s">
        <v>16</v>
      </c>
      <c r="G41" s="30" t="s">
        <v>46</v>
      </c>
      <c r="H41" s="29" t="s">
        <v>47</v>
      </c>
      <c r="I41" s="29" t="s">
        <v>19</v>
      </c>
      <c r="J41" s="29" t="s">
        <v>48</v>
      </c>
      <c r="K41" s="31" t="s">
        <v>21</v>
      </c>
      <c r="L41" s="30" t="s">
        <v>22</v>
      </c>
      <c r="M41" s="31" t="s">
        <v>23</v>
      </c>
      <c r="N41" s="30" t="s">
        <v>24</v>
      </c>
      <c r="O41" s="30" t="s">
        <v>25</v>
      </c>
      <c r="P41" s="30" t="s">
        <v>26</v>
      </c>
      <c r="Q41" s="30" t="s">
        <v>27</v>
      </c>
      <c r="R41" s="31" t="s">
        <v>49</v>
      </c>
      <c r="S41" s="32" t="s">
        <v>50</v>
      </c>
      <c r="T41" s="32" t="s">
        <v>51</v>
      </c>
      <c r="U41" s="259" t="s">
        <v>52</v>
      </c>
      <c r="V41" s="104"/>
    </row>
    <row r="42" spans="1:23" ht="14" x14ac:dyDescent="0.3">
      <c r="A42" s="34" t="s">
        <v>32</v>
      </c>
      <c r="B42" s="35" t="s">
        <v>53</v>
      </c>
      <c r="C42" s="36">
        <v>3</v>
      </c>
      <c r="D42" s="36">
        <v>5</v>
      </c>
      <c r="E42" s="37">
        <v>4.5</v>
      </c>
      <c r="F42" s="37"/>
      <c r="G42" s="38">
        <f>ROUND(C42*E42*$G$14,2)</f>
        <v>26500.5</v>
      </c>
      <c r="H42" s="38"/>
      <c r="I42" s="38"/>
      <c r="J42" s="38"/>
      <c r="K42" s="38"/>
      <c r="L42" s="38">
        <f>ROUND(G42+H42+I42+J42+K42,)</f>
        <v>26501</v>
      </c>
      <c r="M42" s="38">
        <f>ROUND(L42*$M$14,)</f>
        <v>6252</v>
      </c>
      <c r="N42" s="38">
        <v>3673</v>
      </c>
      <c r="O42" s="37">
        <v>306.08</v>
      </c>
      <c r="P42" s="37"/>
      <c r="Q42" s="37"/>
      <c r="R42" s="38">
        <f>ROUND(C42*E42*O42,)</f>
        <v>4132</v>
      </c>
      <c r="S42" s="39">
        <f>L42+M42</f>
        <v>32753</v>
      </c>
      <c r="T42" s="38"/>
      <c r="U42" s="355">
        <f>SUM(R42:T48)</f>
        <v>268689</v>
      </c>
      <c r="W42" s="8"/>
    </row>
    <row r="43" spans="1:23" ht="14" x14ac:dyDescent="0.3">
      <c r="A43" s="42" t="s">
        <v>32</v>
      </c>
      <c r="B43" s="43" t="s">
        <v>33</v>
      </c>
      <c r="C43" s="44">
        <v>3</v>
      </c>
      <c r="D43" s="337">
        <v>2</v>
      </c>
      <c r="E43" s="45"/>
      <c r="F43" s="45">
        <v>3.5</v>
      </c>
      <c r="G43" s="20"/>
      <c r="H43" s="20"/>
      <c r="I43" s="20"/>
      <c r="J43" s="20">
        <f t="shared" ref="J43:J77" si="6">ROUND(C43*F43*$J$14,2)</f>
        <v>12421.5</v>
      </c>
      <c r="K43" s="20"/>
      <c r="L43" s="20">
        <f t="shared" ref="L43:L80" si="7">ROUND(G43+H43+I43+J43+K43,)</f>
        <v>12422</v>
      </c>
      <c r="M43" s="20">
        <f t="shared" ref="M43:M80" si="8">ROUND(L43*$M$14,)</f>
        <v>2930</v>
      </c>
      <c r="N43" s="339">
        <v>3673</v>
      </c>
      <c r="O43" s="341">
        <v>306.08</v>
      </c>
      <c r="P43" s="45"/>
      <c r="Q43" s="45"/>
      <c r="R43" s="339">
        <f>ROUND(C43*D43*O43,)</f>
        <v>1836</v>
      </c>
      <c r="S43" s="20">
        <f t="shared" ref="S43:S80" si="9">L43+M43</f>
        <v>15352</v>
      </c>
      <c r="T43" s="20"/>
      <c r="U43" s="356"/>
      <c r="W43" s="8"/>
    </row>
    <row r="44" spans="1:23" ht="14" x14ac:dyDescent="0.3">
      <c r="A44" s="47" t="s">
        <v>32</v>
      </c>
      <c r="B44" s="48" t="s">
        <v>34</v>
      </c>
      <c r="C44" s="44">
        <v>3</v>
      </c>
      <c r="D44" s="338"/>
      <c r="E44" s="49">
        <v>3</v>
      </c>
      <c r="F44" s="49"/>
      <c r="G44" s="20">
        <f t="shared" ref="G44:G80" si="10">ROUND(C44*E44*$G$14,2)</f>
        <v>17667</v>
      </c>
      <c r="H44" s="50"/>
      <c r="I44" s="50"/>
      <c r="J44" s="20"/>
      <c r="K44" s="50"/>
      <c r="L44" s="50">
        <f t="shared" si="7"/>
        <v>17667</v>
      </c>
      <c r="M44" s="20">
        <f t="shared" si="8"/>
        <v>4168</v>
      </c>
      <c r="N44" s="340"/>
      <c r="O44" s="342"/>
      <c r="P44" s="49"/>
      <c r="Q44" s="49"/>
      <c r="R44" s="340"/>
      <c r="S44" s="20">
        <f t="shared" si="9"/>
        <v>21835</v>
      </c>
      <c r="T44" s="50"/>
      <c r="U44" s="356"/>
      <c r="W44" s="8"/>
    </row>
    <row r="45" spans="1:23" ht="14" x14ac:dyDescent="0.3">
      <c r="A45" s="47" t="s">
        <v>32</v>
      </c>
      <c r="B45" s="48" t="s">
        <v>35</v>
      </c>
      <c r="C45" s="44">
        <v>3</v>
      </c>
      <c r="D45" s="22">
        <v>7</v>
      </c>
      <c r="E45" s="49">
        <v>17.25</v>
      </c>
      <c r="F45" s="49"/>
      <c r="G45" s="20">
        <f t="shared" si="10"/>
        <v>101585.25</v>
      </c>
      <c r="H45" s="50">
        <f>ROUND(C45*E45*540,2)</f>
        <v>27945</v>
      </c>
      <c r="I45" s="50"/>
      <c r="J45" s="20"/>
      <c r="K45" s="50"/>
      <c r="L45" s="50">
        <f t="shared" si="7"/>
        <v>129530</v>
      </c>
      <c r="M45" s="20">
        <f t="shared" si="8"/>
        <v>30556</v>
      </c>
      <c r="N45" s="50">
        <v>3673</v>
      </c>
      <c r="O45" s="49">
        <v>306.08</v>
      </c>
      <c r="P45" s="49"/>
      <c r="Q45" s="49"/>
      <c r="R45" s="20">
        <f>ROUND(C45*D45*O45,)</f>
        <v>6428</v>
      </c>
      <c r="S45" s="20">
        <f t="shared" si="9"/>
        <v>160086</v>
      </c>
      <c r="T45" s="50"/>
      <c r="U45" s="356"/>
      <c r="W45" s="8"/>
    </row>
    <row r="46" spans="1:23" ht="14" x14ac:dyDescent="0.3">
      <c r="A46" s="83" t="s">
        <v>32</v>
      </c>
      <c r="B46" s="84" t="s">
        <v>36</v>
      </c>
      <c r="C46" s="85">
        <v>3</v>
      </c>
      <c r="D46" s="86">
        <v>1</v>
      </c>
      <c r="E46" s="87">
        <v>0.5</v>
      </c>
      <c r="F46" s="87"/>
      <c r="G46" s="89">
        <f t="shared" si="10"/>
        <v>2944.5</v>
      </c>
      <c r="H46" s="91"/>
      <c r="I46" s="91"/>
      <c r="J46" s="89"/>
      <c r="K46" s="91"/>
      <c r="L46" s="91">
        <f t="shared" si="7"/>
        <v>2945</v>
      </c>
      <c r="M46" s="89">
        <f t="shared" si="8"/>
        <v>695</v>
      </c>
      <c r="N46" s="91">
        <v>3673</v>
      </c>
      <c r="O46" s="87">
        <v>306.08</v>
      </c>
      <c r="P46" s="87"/>
      <c r="Q46" s="87"/>
      <c r="R46" s="89">
        <f>ROUND(C46*E46*O46,)</f>
        <v>459</v>
      </c>
      <c r="S46" s="20">
        <f t="shared" si="9"/>
        <v>3640</v>
      </c>
      <c r="T46" s="91"/>
      <c r="U46" s="356"/>
      <c r="W46" s="8"/>
    </row>
    <row r="47" spans="1:23" ht="14" x14ac:dyDescent="0.3">
      <c r="A47" s="47" t="s">
        <v>32</v>
      </c>
      <c r="B47" s="48" t="s">
        <v>37</v>
      </c>
      <c r="C47" s="44">
        <v>3</v>
      </c>
      <c r="D47" s="22">
        <v>2</v>
      </c>
      <c r="E47" s="49">
        <v>1.75</v>
      </c>
      <c r="F47" s="49"/>
      <c r="G47" s="20">
        <f t="shared" si="10"/>
        <v>10305.75</v>
      </c>
      <c r="H47" s="50">
        <f>ROUND(C47*E47*540,2)</f>
        <v>2835</v>
      </c>
      <c r="I47" s="50"/>
      <c r="J47" s="20"/>
      <c r="K47" s="50"/>
      <c r="L47" s="50">
        <f t="shared" si="7"/>
        <v>13141</v>
      </c>
      <c r="M47" s="20">
        <f t="shared" si="8"/>
        <v>3100</v>
      </c>
      <c r="N47" s="50">
        <v>3673</v>
      </c>
      <c r="O47" s="49">
        <v>306.08</v>
      </c>
      <c r="P47" s="49"/>
      <c r="Q47" s="49"/>
      <c r="R47" s="20">
        <f>ROUND(C47*E47*O47,)</f>
        <v>1607</v>
      </c>
      <c r="S47" s="20">
        <f t="shared" si="9"/>
        <v>16241</v>
      </c>
      <c r="T47" s="50"/>
      <c r="U47" s="356"/>
      <c r="W47" s="8"/>
    </row>
    <row r="48" spans="1:23" s="28" customFormat="1" ht="15.75" customHeight="1" thickBot="1" x14ac:dyDescent="0.35">
      <c r="A48" s="255" t="s">
        <v>32</v>
      </c>
      <c r="B48" s="249" t="s">
        <v>38</v>
      </c>
      <c r="C48" s="250">
        <v>3</v>
      </c>
      <c r="D48" s="253"/>
      <c r="E48" s="251"/>
      <c r="F48" s="251"/>
      <c r="G48" s="252"/>
      <c r="H48" s="238"/>
      <c r="I48" s="238"/>
      <c r="J48" s="252"/>
      <c r="K48" s="238"/>
      <c r="L48" s="238"/>
      <c r="M48" s="252"/>
      <c r="N48" s="238"/>
      <c r="O48" s="251"/>
      <c r="P48" s="251"/>
      <c r="Q48" s="251"/>
      <c r="R48" s="252"/>
      <c r="S48" s="238"/>
      <c r="T48" s="238">
        <f>ROUND(T21/12*3,)</f>
        <v>4320</v>
      </c>
      <c r="U48" s="357"/>
      <c r="V48" s="10"/>
    </row>
    <row r="49" spans="1:23" ht="14" x14ac:dyDescent="0.3">
      <c r="A49" s="94" t="s">
        <v>39</v>
      </c>
      <c r="B49" s="35" t="s">
        <v>53</v>
      </c>
      <c r="C49" s="36">
        <v>3</v>
      </c>
      <c r="D49" s="317">
        <v>4</v>
      </c>
      <c r="E49" s="63">
        <v>1</v>
      </c>
      <c r="F49" s="63"/>
      <c r="G49" s="38">
        <f t="shared" si="10"/>
        <v>5889</v>
      </c>
      <c r="H49" s="64"/>
      <c r="I49" s="64"/>
      <c r="J49" s="38"/>
      <c r="K49" s="64"/>
      <c r="L49" s="65">
        <f t="shared" si="7"/>
        <v>5889</v>
      </c>
      <c r="M49" s="38">
        <f t="shared" si="8"/>
        <v>1389</v>
      </c>
      <c r="N49" s="65">
        <v>3673</v>
      </c>
      <c r="O49" s="63">
        <v>306.08</v>
      </c>
      <c r="P49" s="63"/>
      <c r="Q49" s="63"/>
      <c r="R49" s="38">
        <f>ROUND(C49*E49*O49,)</f>
        <v>918</v>
      </c>
      <c r="S49" s="65">
        <f t="shared" si="9"/>
        <v>7278</v>
      </c>
      <c r="T49" s="65"/>
      <c r="U49" s="314">
        <f>SUM(R49:T53)</f>
        <v>29636</v>
      </c>
      <c r="V49" s="67"/>
      <c r="W49" s="8"/>
    </row>
    <row r="50" spans="1:23" ht="14" x14ac:dyDescent="0.3">
      <c r="A50" s="96" t="s">
        <v>39</v>
      </c>
      <c r="B50" s="43" t="s">
        <v>33</v>
      </c>
      <c r="C50" s="44">
        <v>3</v>
      </c>
      <c r="D50" s="318"/>
      <c r="E50" s="49"/>
      <c r="F50" s="49">
        <v>1</v>
      </c>
      <c r="G50" s="20"/>
      <c r="H50" s="66"/>
      <c r="I50" s="66"/>
      <c r="J50" s="20">
        <f t="shared" si="6"/>
        <v>3549</v>
      </c>
      <c r="K50" s="66"/>
      <c r="L50" s="50">
        <f t="shared" si="7"/>
        <v>3549</v>
      </c>
      <c r="M50" s="20">
        <f t="shared" si="8"/>
        <v>837</v>
      </c>
      <c r="N50" s="50">
        <v>3673</v>
      </c>
      <c r="O50" s="49">
        <v>306.08</v>
      </c>
      <c r="P50" s="49"/>
      <c r="Q50" s="49"/>
      <c r="R50" s="20">
        <f>ROUND(C50*F50*O50,)</f>
        <v>918</v>
      </c>
      <c r="S50" s="50">
        <f t="shared" si="9"/>
        <v>4386</v>
      </c>
      <c r="T50" s="50"/>
      <c r="U50" s="315"/>
      <c r="V50" s="41"/>
      <c r="W50" s="8"/>
    </row>
    <row r="51" spans="1:23" ht="14" x14ac:dyDescent="0.3">
      <c r="A51" s="96" t="s">
        <v>39</v>
      </c>
      <c r="B51" s="43" t="s">
        <v>34</v>
      </c>
      <c r="C51" s="44">
        <v>3</v>
      </c>
      <c r="D51" s="318"/>
      <c r="E51" s="49">
        <v>0.5</v>
      </c>
      <c r="F51" s="49"/>
      <c r="G51" s="20">
        <f t="shared" si="10"/>
        <v>2944.5</v>
      </c>
      <c r="H51" s="66"/>
      <c r="I51" s="66"/>
      <c r="J51" s="20"/>
      <c r="K51" s="66"/>
      <c r="L51" s="50">
        <f t="shared" si="7"/>
        <v>2945</v>
      </c>
      <c r="M51" s="20">
        <f t="shared" si="8"/>
        <v>695</v>
      </c>
      <c r="N51" s="50">
        <v>3673</v>
      </c>
      <c r="O51" s="49">
        <v>306.08</v>
      </c>
      <c r="P51" s="49"/>
      <c r="Q51" s="49"/>
      <c r="R51" s="20">
        <f>ROUND(C51*E51*O51,)</f>
        <v>459</v>
      </c>
      <c r="S51" s="50">
        <f t="shared" si="9"/>
        <v>3640</v>
      </c>
      <c r="T51" s="50"/>
      <c r="U51" s="315"/>
      <c r="W51" s="8"/>
    </row>
    <row r="52" spans="1:23" ht="14" x14ac:dyDescent="0.3">
      <c r="A52" s="96" t="s">
        <v>39</v>
      </c>
      <c r="B52" s="48" t="s">
        <v>35</v>
      </c>
      <c r="C52" s="44">
        <v>3</v>
      </c>
      <c r="D52" s="318"/>
      <c r="E52" s="49">
        <v>1</v>
      </c>
      <c r="F52" s="49"/>
      <c r="G52" s="20">
        <f t="shared" si="10"/>
        <v>5889</v>
      </c>
      <c r="H52" s="50">
        <f>ROUND(C52*E52*540,2)</f>
        <v>1620</v>
      </c>
      <c r="I52" s="66"/>
      <c r="J52" s="20"/>
      <c r="K52" s="66"/>
      <c r="L52" s="50">
        <f t="shared" si="7"/>
        <v>7509</v>
      </c>
      <c r="M52" s="20">
        <f t="shared" si="8"/>
        <v>1771</v>
      </c>
      <c r="N52" s="50">
        <v>3673</v>
      </c>
      <c r="O52" s="49">
        <v>306.08</v>
      </c>
      <c r="P52" s="49"/>
      <c r="Q52" s="49"/>
      <c r="R52" s="20">
        <f>ROUND(C52*E52*O52,)</f>
        <v>918</v>
      </c>
      <c r="S52" s="50">
        <f t="shared" si="9"/>
        <v>9280</v>
      </c>
      <c r="T52" s="50"/>
      <c r="U52" s="315"/>
      <c r="W52" s="8"/>
    </row>
    <row r="53" spans="1:23" thickBot="1" x14ac:dyDescent="0.35">
      <c r="A53" s="83" t="s">
        <v>39</v>
      </c>
      <c r="B53" s="84" t="s">
        <v>38</v>
      </c>
      <c r="C53" s="85">
        <v>3</v>
      </c>
      <c r="D53" s="319"/>
      <c r="E53" s="87"/>
      <c r="F53" s="87"/>
      <c r="G53" s="89"/>
      <c r="H53" s="90"/>
      <c r="I53" s="90"/>
      <c r="J53" s="89"/>
      <c r="K53" s="90"/>
      <c r="L53" s="91"/>
      <c r="M53" s="89"/>
      <c r="N53" s="91"/>
      <c r="O53" s="87"/>
      <c r="P53" s="87"/>
      <c r="Q53" s="87"/>
      <c r="R53" s="89"/>
      <c r="S53" s="91"/>
      <c r="T53" s="238">
        <f>ROUND(T25/12*3,)</f>
        <v>1839</v>
      </c>
      <c r="U53" s="316"/>
      <c r="W53" s="8"/>
    </row>
    <row r="54" spans="1:23" ht="14" x14ac:dyDescent="0.3">
      <c r="A54" s="94" t="s">
        <v>40</v>
      </c>
      <c r="B54" s="35" t="s">
        <v>54</v>
      </c>
      <c r="C54" s="36">
        <v>3</v>
      </c>
      <c r="D54" s="317">
        <v>4</v>
      </c>
      <c r="E54" s="69">
        <v>0.75</v>
      </c>
      <c r="F54" s="63"/>
      <c r="G54" s="38">
        <f t="shared" si="10"/>
        <v>4416.75</v>
      </c>
      <c r="H54" s="64"/>
      <c r="I54" s="64"/>
      <c r="J54" s="38"/>
      <c r="K54" s="64"/>
      <c r="L54" s="65">
        <f t="shared" si="7"/>
        <v>4417</v>
      </c>
      <c r="M54" s="38">
        <f t="shared" si="8"/>
        <v>1042</v>
      </c>
      <c r="N54" s="320">
        <v>3673</v>
      </c>
      <c r="O54" s="323">
        <v>306.08</v>
      </c>
      <c r="P54" s="245"/>
      <c r="Q54" s="245"/>
      <c r="R54" s="352">
        <f>ROUND(C54*D54*O54,)</f>
        <v>3673</v>
      </c>
      <c r="S54" s="65">
        <f t="shared" si="9"/>
        <v>5459</v>
      </c>
      <c r="T54" s="65"/>
      <c r="U54" s="314">
        <f>SUM(R54:T58)</f>
        <v>41727</v>
      </c>
      <c r="V54" s="67"/>
      <c r="W54" s="8"/>
    </row>
    <row r="55" spans="1:23" ht="14" x14ac:dyDescent="0.3">
      <c r="A55" s="96" t="s">
        <v>40</v>
      </c>
      <c r="B55" s="43" t="s">
        <v>33</v>
      </c>
      <c r="C55" s="44">
        <v>3</v>
      </c>
      <c r="D55" s="318"/>
      <c r="E55" s="49"/>
      <c r="F55" s="70">
        <v>1</v>
      </c>
      <c r="G55" s="20"/>
      <c r="H55" s="66"/>
      <c r="I55" s="66"/>
      <c r="J55" s="20">
        <f t="shared" si="6"/>
        <v>3549</v>
      </c>
      <c r="K55" s="66"/>
      <c r="L55" s="50">
        <f t="shared" si="7"/>
        <v>3549</v>
      </c>
      <c r="M55" s="20">
        <f t="shared" si="8"/>
        <v>837</v>
      </c>
      <c r="N55" s="321"/>
      <c r="O55" s="324"/>
      <c r="P55" s="246"/>
      <c r="Q55" s="246"/>
      <c r="R55" s="353"/>
      <c r="S55" s="50">
        <f t="shared" si="9"/>
        <v>4386</v>
      </c>
      <c r="T55" s="50"/>
      <c r="U55" s="315"/>
      <c r="V55" s="67"/>
      <c r="W55" s="8"/>
    </row>
    <row r="56" spans="1:23" ht="14" x14ac:dyDescent="0.3">
      <c r="A56" s="96" t="s">
        <v>40</v>
      </c>
      <c r="B56" s="43" t="s">
        <v>34</v>
      </c>
      <c r="C56" s="44">
        <v>3</v>
      </c>
      <c r="D56" s="318"/>
      <c r="E56" s="49">
        <v>0.5</v>
      </c>
      <c r="F56" s="70"/>
      <c r="G56" s="20">
        <f t="shared" si="10"/>
        <v>2944.5</v>
      </c>
      <c r="H56" s="66"/>
      <c r="I56" s="66"/>
      <c r="J56" s="20"/>
      <c r="K56" s="66"/>
      <c r="L56" s="50">
        <f t="shared" si="7"/>
        <v>2945</v>
      </c>
      <c r="M56" s="20">
        <f t="shared" si="8"/>
        <v>695</v>
      </c>
      <c r="N56" s="321"/>
      <c r="O56" s="324"/>
      <c r="P56" s="246"/>
      <c r="Q56" s="246"/>
      <c r="R56" s="353"/>
      <c r="S56" s="50">
        <f t="shared" si="9"/>
        <v>3640</v>
      </c>
      <c r="T56" s="50"/>
      <c r="U56" s="315"/>
      <c r="W56" s="8"/>
    </row>
    <row r="57" spans="1:23" ht="14" x14ac:dyDescent="0.3">
      <c r="A57" s="96" t="s">
        <v>40</v>
      </c>
      <c r="B57" s="48" t="s">
        <v>35</v>
      </c>
      <c r="C57" s="44">
        <v>3</v>
      </c>
      <c r="D57" s="318"/>
      <c r="E57" s="49">
        <v>2.5</v>
      </c>
      <c r="F57" s="70"/>
      <c r="G57" s="20">
        <f t="shared" si="10"/>
        <v>14722.5</v>
      </c>
      <c r="H57" s="50">
        <f>ROUND(C57*E57*540,2)</f>
        <v>4050</v>
      </c>
      <c r="I57" s="66"/>
      <c r="J57" s="20"/>
      <c r="K57" s="66"/>
      <c r="L57" s="50">
        <f t="shared" si="7"/>
        <v>18773</v>
      </c>
      <c r="M57" s="20">
        <f t="shared" si="8"/>
        <v>4429</v>
      </c>
      <c r="N57" s="321"/>
      <c r="O57" s="324"/>
      <c r="P57" s="246"/>
      <c r="Q57" s="246"/>
      <c r="R57" s="353"/>
      <c r="S57" s="50">
        <f t="shared" si="9"/>
        <v>23202</v>
      </c>
      <c r="T57" s="50"/>
      <c r="U57" s="315"/>
      <c r="W57" s="8"/>
    </row>
    <row r="58" spans="1:23" thickBot="1" x14ac:dyDescent="0.35">
      <c r="A58" s="254" t="s">
        <v>40</v>
      </c>
      <c r="B58" s="240" t="s">
        <v>38</v>
      </c>
      <c r="C58" s="241">
        <v>3</v>
      </c>
      <c r="D58" s="319"/>
      <c r="E58" s="242"/>
      <c r="F58" s="256"/>
      <c r="G58" s="106"/>
      <c r="H58" s="257"/>
      <c r="I58" s="257"/>
      <c r="J58" s="106"/>
      <c r="K58" s="257"/>
      <c r="L58" s="243"/>
      <c r="M58" s="106"/>
      <c r="N58" s="322"/>
      <c r="O58" s="325"/>
      <c r="P58" s="242"/>
      <c r="Q58" s="242"/>
      <c r="R58" s="354"/>
      <c r="S58" s="243"/>
      <c r="T58" s="238">
        <f>ROUND(T29/12*3,)</f>
        <v>1367</v>
      </c>
      <c r="U58" s="316"/>
      <c r="W58" s="8"/>
    </row>
    <row r="59" spans="1:23" ht="14" x14ac:dyDescent="0.3">
      <c r="A59" s="94" t="s">
        <v>55</v>
      </c>
      <c r="B59" s="35" t="s">
        <v>53</v>
      </c>
      <c r="C59" s="36">
        <v>3</v>
      </c>
      <c r="D59" s="317">
        <v>3</v>
      </c>
      <c r="E59" s="63">
        <v>1.5</v>
      </c>
      <c r="F59" s="63"/>
      <c r="G59" s="38">
        <f t="shared" si="10"/>
        <v>8833.5</v>
      </c>
      <c r="H59" s="64"/>
      <c r="I59" s="64"/>
      <c r="J59" s="38"/>
      <c r="K59" s="64"/>
      <c r="L59" s="65">
        <f t="shared" si="7"/>
        <v>8834</v>
      </c>
      <c r="M59" s="38">
        <f t="shared" si="8"/>
        <v>2084</v>
      </c>
      <c r="N59" s="320">
        <v>3673</v>
      </c>
      <c r="O59" s="323">
        <v>306.08</v>
      </c>
      <c r="P59" s="245"/>
      <c r="Q59" s="245"/>
      <c r="R59" s="352">
        <f>ROUND(C59*D59*O59,)</f>
        <v>2755</v>
      </c>
      <c r="S59" s="65">
        <f t="shared" si="9"/>
        <v>10918</v>
      </c>
      <c r="T59" s="65"/>
      <c r="U59" s="314">
        <f>SUM(R59:T62)</f>
        <v>42580</v>
      </c>
      <c r="V59" s="67"/>
      <c r="W59" s="8"/>
    </row>
    <row r="60" spans="1:23" ht="14" x14ac:dyDescent="0.3">
      <c r="A60" s="96" t="s">
        <v>55</v>
      </c>
      <c r="B60" s="43" t="s">
        <v>33</v>
      </c>
      <c r="C60" s="44">
        <v>3</v>
      </c>
      <c r="D60" s="318"/>
      <c r="E60" s="49"/>
      <c r="F60" s="49">
        <v>1</v>
      </c>
      <c r="G60" s="20"/>
      <c r="H60" s="66"/>
      <c r="I60" s="66"/>
      <c r="J60" s="20">
        <f t="shared" si="6"/>
        <v>3549</v>
      </c>
      <c r="K60" s="66"/>
      <c r="L60" s="50">
        <f t="shared" si="7"/>
        <v>3549</v>
      </c>
      <c r="M60" s="20">
        <f t="shared" si="8"/>
        <v>837</v>
      </c>
      <c r="N60" s="321"/>
      <c r="O60" s="324"/>
      <c r="P60" s="246"/>
      <c r="Q60" s="246"/>
      <c r="R60" s="353"/>
      <c r="S60" s="50">
        <f t="shared" si="9"/>
        <v>4386</v>
      </c>
      <c r="T60" s="50"/>
      <c r="U60" s="315"/>
      <c r="W60" s="8"/>
    </row>
    <row r="61" spans="1:23" ht="14" x14ac:dyDescent="0.3">
      <c r="A61" s="96" t="s">
        <v>55</v>
      </c>
      <c r="B61" s="43" t="s">
        <v>34</v>
      </c>
      <c r="C61" s="44">
        <v>3</v>
      </c>
      <c r="D61" s="318"/>
      <c r="E61" s="49">
        <v>0.5</v>
      </c>
      <c r="F61" s="49"/>
      <c r="G61" s="20">
        <f t="shared" si="10"/>
        <v>2944.5</v>
      </c>
      <c r="H61" s="66"/>
      <c r="I61" s="66"/>
      <c r="J61" s="20"/>
      <c r="K61" s="66"/>
      <c r="L61" s="50">
        <f t="shared" si="7"/>
        <v>2945</v>
      </c>
      <c r="M61" s="20">
        <f t="shared" si="8"/>
        <v>695</v>
      </c>
      <c r="N61" s="321"/>
      <c r="O61" s="324"/>
      <c r="P61" s="247"/>
      <c r="Q61" s="247"/>
      <c r="R61" s="353"/>
      <c r="S61" s="50">
        <f t="shared" si="9"/>
        <v>3640</v>
      </c>
      <c r="T61" s="50"/>
      <c r="U61" s="315"/>
      <c r="W61" s="8"/>
    </row>
    <row r="62" spans="1:23" thickBot="1" x14ac:dyDescent="0.35">
      <c r="A62" s="97" t="s">
        <v>55</v>
      </c>
      <c r="B62" s="244" t="s">
        <v>35</v>
      </c>
      <c r="C62" s="55">
        <v>3</v>
      </c>
      <c r="D62" s="319"/>
      <c r="E62" s="57">
        <v>2.25</v>
      </c>
      <c r="F62" s="57"/>
      <c r="G62" s="58">
        <f t="shared" si="10"/>
        <v>13250.25</v>
      </c>
      <c r="H62" s="68">
        <f>ROUND(C62*E62*540,2)</f>
        <v>3645</v>
      </c>
      <c r="I62" s="68"/>
      <c r="J62" s="58"/>
      <c r="K62" s="68"/>
      <c r="L62" s="59">
        <f t="shared" si="7"/>
        <v>16895</v>
      </c>
      <c r="M62" s="58">
        <f t="shared" si="8"/>
        <v>3986</v>
      </c>
      <c r="N62" s="322"/>
      <c r="O62" s="325"/>
      <c r="P62" s="248"/>
      <c r="Q62" s="248"/>
      <c r="R62" s="354"/>
      <c r="S62" s="59">
        <f t="shared" si="9"/>
        <v>20881</v>
      </c>
      <c r="T62" s="59"/>
      <c r="U62" s="316"/>
      <c r="W62" s="8"/>
    </row>
    <row r="63" spans="1:23" ht="14" x14ac:dyDescent="0.3">
      <c r="A63" s="94" t="s">
        <v>56</v>
      </c>
      <c r="B63" s="35" t="s">
        <v>33</v>
      </c>
      <c r="C63" s="36">
        <v>3</v>
      </c>
      <c r="D63" s="317">
        <v>3</v>
      </c>
      <c r="E63" s="63"/>
      <c r="F63" s="63">
        <v>1</v>
      </c>
      <c r="G63" s="38"/>
      <c r="H63" s="64"/>
      <c r="I63" s="64"/>
      <c r="J63" s="38">
        <f t="shared" si="6"/>
        <v>3549</v>
      </c>
      <c r="K63" s="64"/>
      <c r="L63" s="65">
        <f t="shared" si="7"/>
        <v>3549</v>
      </c>
      <c r="M63" s="38">
        <f t="shared" si="8"/>
        <v>837</v>
      </c>
      <c r="N63" s="343">
        <v>3673</v>
      </c>
      <c r="O63" s="346">
        <v>306.08</v>
      </c>
      <c r="P63" s="170"/>
      <c r="Q63" s="170"/>
      <c r="R63" s="349">
        <f>ROUND(C63*D63*O63,)</f>
        <v>2755</v>
      </c>
      <c r="S63" s="65">
        <f>L63+M63</f>
        <v>4386</v>
      </c>
      <c r="T63" s="65"/>
      <c r="U63" s="314">
        <f>SUM(R63:T65)</f>
        <v>27022</v>
      </c>
      <c r="W63" s="8"/>
    </row>
    <row r="64" spans="1:23" ht="14" x14ac:dyDescent="0.3">
      <c r="A64" s="47" t="s">
        <v>56</v>
      </c>
      <c r="B64" s="48" t="s">
        <v>34</v>
      </c>
      <c r="C64" s="44">
        <v>3</v>
      </c>
      <c r="D64" s="318"/>
      <c r="E64" s="49">
        <v>0.5</v>
      </c>
      <c r="F64" s="49"/>
      <c r="G64" s="20">
        <f t="shared" si="10"/>
        <v>2944.5</v>
      </c>
      <c r="H64" s="50"/>
      <c r="I64" s="50"/>
      <c r="J64" s="20"/>
      <c r="K64" s="50"/>
      <c r="L64" s="50">
        <f t="shared" si="7"/>
        <v>2945</v>
      </c>
      <c r="M64" s="20">
        <f t="shared" si="8"/>
        <v>695</v>
      </c>
      <c r="N64" s="344"/>
      <c r="O64" s="347"/>
      <c r="P64" s="171"/>
      <c r="Q64" s="171"/>
      <c r="R64" s="350"/>
      <c r="S64" s="20">
        <f t="shared" si="9"/>
        <v>3640</v>
      </c>
      <c r="T64" s="50"/>
      <c r="U64" s="315"/>
      <c r="W64" s="8"/>
    </row>
    <row r="65" spans="1:23" thickBot="1" x14ac:dyDescent="0.35">
      <c r="A65" s="97" t="s">
        <v>56</v>
      </c>
      <c r="B65" s="244" t="s">
        <v>35</v>
      </c>
      <c r="C65" s="55">
        <v>3</v>
      </c>
      <c r="D65" s="319"/>
      <c r="E65" s="71">
        <v>1.75</v>
      </c>
      <c r="F65" s="57"/>
      <c r="G65" s="58">
        <f t="shared" si="10"/>
        <v>10305.75</v>
      </c>
      <c r="H65" s="68">
        <f>ROUND(C65*E65*540,2)</f>
        <v>2835</v>
      </c>
      <c r="I65" s="68"/>
      <c r="J65" s="58"/>
      <c r="K65" s="68"/>
      <c r="L65" s="59">
        <f t="shared" si="7"/>
        <v>13141</v>
      </c>
      <c r="M65" s="58">
        <f t="shared" si="8"/>
        <v>3100</v>
      </c>
      <c r="N65" s="345"/>
      <c r="O65" s="348"/>
      <c r="P65" s="172"/>
      <c r="Q65" s="172"/>
      <c r="R65" s="351"/>
      <c r="S65" s="59">
        <f t="shared" si="9"/>
        <v>16241</v>
      </c>
      <c r="T65" s="59"/>
      <c r="U65" s="316"/>
      <c r="W65" s="8"/>
    </row>
    <row r="66" spans="1:23" ht="14" x14ac:dyDescent="0.3">
      <c r="A66" s="94" t="s">
        <v>41</v>
      </c>
      <c r="B66" s="35" t="s">
        <v>53</v>
      </c>
      <c r="C66" s="36">
        <v>3</v>
      </c>
      <c r="D66" s="317">
        <v>4</v>
      </c>
      <c r="E66" s="63">
        <v>0.5</v>
      </c>
      <c r="F66" s="69"/>
      <c r="G66" s="38">
        <f t="shared" si="10"/>
        <v>2944.5</v>
      </c>
      <c r="H66" s="64"/>
      <c r="I66" s="64"/>
      <c r="J66" s="38"/>
      <c r="K66" s="64"/>
      <c r="L66" s="65">
        <f t="shared" si="7"/>
        <v>2945</v>
      </c>
      <c r="M66" s="38">
        <f t="shared" si="8"/>
        <v>695</v>
      </c>
      <c r="N66" s="65">
        <v>3673</v>
      </c>
      <c r="O66" s="63">
        <v>306.08</v>
      </c>
      <c r="P66" s="63"/>
      <c r="Q66" s="63"/>
      <c r="R66" s="38">
        <f>ROUND(C66*E66*O66,)</f>
        <v>459</v>
      </c>
      <c r="S66" s="65">
        <f t="shared" si="9"/>
        <v>3640</v>
      </c>
      <c r="T66" s="65"/>
      <c r="U66" s="314">
        <f>SUM(R66:T69)</f>
        <v>28800</v>
      </c>
      <c r="V66" s="8"/>
      <c r="W66" s="8"/>
    </row>
    <row r="67" spans="1:23" ht="14" x14ac:dyDescent="0.3">
      <c r="A67" s="96" t="s">
        <v>41</v>
      </c>
      <c r="B67" s="48" t="s">
        <v>33</v>
      </c>
      <c r="C67" s="44">
        <v>3</v>
      </c>
      <c r="D67" s="318"/>
      <c r="E67" s="49"/>
      <c r="F67" s="70">
        <v>1</v>
      </c>
      <c r="G67" s="20"/>
      <c r="H67" s="50"/>
      <c r="I67" s="66"/>
      <c r="J67" s="20">
        <f t="shared" si="6"/>
        <v>3549</v>
      </c>
      <c r="K67" s="66"/>
      <c r="L67" s="50">
        <f t="shared" si="7"/>
        <v>3549</v>
      </c>
      <c r="M67" s="20">
        <f t="shared" si="8"/>
        <v>837</v>
      </c>
      <c r="N67" s="50">
        <v>3673</v>
      </c>
      <c r="O67" s="49">
        <v>306.08</v>
      </c>
      <c r="P67" s="49"/>
      <c r="Q67" s="49"/>
      <c r="R67" s="20">
        <f>ROUND(C67*F67*O67,)</f>
        <v>918</v>
      </c>
      <c r="S67" s="50">
        <f t="shared" si="9"/>
        <v>4386</v>
      </c>
      <c r="T67" s="50"/>
      <c r="U67" s="315"/>
      <c r="W67" s="8"/>
    </row>
    <row r="68" spans="1:23" ht="14" x14ac:dyDescent="0.3">
      <c r="A68" s="96" t="s">
        <v>41</v>
      </c>
      <c r="B68" s="43" t="s">
        <v>34</v>
      </c>
      <c r="C68" s="44">
        <v>3</v>
      </c>
      <c r="D68" s="318"/>
      <c r="E68" s="49">
        <v>0.5</v>
      </c>
      <c r="F68" s="70"/>
      <c r="G68" s="20">
        <f t="shared" si="10"/>
        <v>2944.5</v>
      </c>
      <c r="H68" s="66"/>
      <c r="I68" s="66"/>
      <c r="J68" s="20"/>
      <c r="K68" s="66"/>
      <c r="L68" s="50">
        <f t="shared" si="7"/>
        <v>2945</v>
      </c>
      <c r="M68" s="20">
        <f t="shared" si="8"/>
        <v>695</v>
      </c>
      <c r="N68" s="50">
        <v>3673</v>
      </c>
      <c r="O68" s="49">
        <v>306.08</v>
      </c>
      <c r="P68" s="49"/>
      <c r="Q68" s="49"/>
      <c r="R68" s="20">
        <f>ROUND(C68*E68*O68,)</f>
        <v>459</v>
      </c>
      <c r="S68" s="50">
        <f t="shared" si="9"/>
        <v>3640</v>
      </c>
      <c r="T68" s="50"/>
      <c r="U68" s="315"/>
      <c r="W68" s="8"/>
    </row>
    <row r="69" spans="1:23" thickBot="1" x14ac:dyDescent="0.35">
      <c r="A69" s="97" t="s">
        <v>41</v>
      </c>
      <c r="B69" s="54" t="s">
        <v>35</v>
      </c>
      <c r="C69" s="55">
        <v>3</v>
      </c>
      <c r="D69" s="319"/>
      <c r="E69" s="57">
        <v>1.5</v>
      </c>
      <c r="F69" s="71"/>
      <c r="G69" s="58">
        <f t="shared" si="10"/>
        <v>8833.5</v>
      </c>
      <c r="H69" s="58">
        <f>ROUND(C69*E69*540,2)</f>
        <v>2430</v>
      </c>
      <c r="I69" s="68"/>
      <c r="J69" s="58"/>
      <c r="K69" s="68"/>
      <c r="L69" s="59">
        <f t="shared" si="7"/>
        <v>11264</v>
      </c>
      <c r="M69" s="58">
        <f t="shared" si="8"/>
        <v>2657</v>
      </c>
      <c r="N69" s="59">
        <v>3673</v>
      </c>
      <c r="O69" s="57">
        <v>306.08</v>
      </c>
      <c r="P69" s="57"/>
      <c r="Q69" s="57"/>
      <c r="R69" s="20">
        <f>ROUND(C69*E69*O69,)</f>
        <v>1377</v>
      </c>
      <c r="S69" s="59">
        <f t="shared" si="9"/>
        <v>13921</v>
      </c>
      <c r="T69" s="59"/>
      <c r="U69" s="316"/>
      <c r="V69" s="67"/>
      <c r="W69" s="8"/>
    </row>
    <row r="70" spans="1:23" ht="14" x14ac:dyDescent="0.3">
      <c r="A70" s="94" t="s">
        <v>42</v>
      </c>
      <c r="B70" s="123" t="s">
        <v>34</v>
      </c>
      <c r="C70" s="36">
        <v>3</v>
      </c>
      <c r="D70" s="317">
        <v>3</v>
      </c>
      <c r="E70" s="63">
        <v>0.5</v>
      </c>
      <c r="F70" s="69"/>
      <c r="G70" s="38">
        <f t="shared" si="10"/>
        <v>2944.5</v>
      </c>
      <c r="H70" s="38"/>
      <c r="I70" s="64"/>
      <c r="J70" s="38"/>
      <c r="K70" s="64"/>
      <c r="L70" s="65">
        <f t="shared" si="7"/>
        <v>2945</v>
      </c>
      <c r="M70" s="38">
        <f t="shared" si="8"/>
        <v>695</v>
      </c>
      <c r="N70" s="65">
        <v>3673</v>
      </c>
      <c r="O70" s="63">
        <v>306.08</v>
      </c>
      <c r="P70" s="63"/>
      <c r="Q70" s="63"/>
      <c r="R70" s="38">
        <f>ROUND(C70*E70*O70,)</f>
        <v>459</v>
      </c>
      <c r="S70" s="65">
        <f t="shared" si="9"/>
        <v>3640</v>
      </c>
      <c r="T70" s="65"/>
      <c r="U70" s="314">
        <f>SUM(R70:T72)</f>
        <v>27046</v>
      </c>
      <c r="W70" s="8"/>
    </row>
    <row r="71" spans="1:23" ht="14" x14ac:dyDescent="0.3">
      <c r="A71" s="96" t="s">
        <v>42</v>
      </c>
      <c r="B71" s="48" t="s">
        <v>35</v>
      </c>
      <c r="C71" s="44">
        <v>3</v>
      </c>
      <c r="D71" s="318"/>
      <c r="E71" s="49">
        <v>2</v>
      </c>
      <c r="F71" s="70"/>
      <c r="G71" s="20">
        <f t="shared" si="10"/>
        <v>11778</v>
      </c>
      <c r="H71" s="20">
        <f>ROUND(C71*E71*540,2)</f>
        <v>3240</v>
      </c>
      <c r="I71" s="66"/>
      <c r="J71" s="20"/>
      <c r="K71" s="66"/>
      <c r="L71" s="50">
        <f t="shared" si="7"/>
        <v>15018</v>
      </c>
      <c r="M71" s="20">
        <f t="shared" si="8"/>
        <v>3543</v>
      </c>
      <c r="N71" s="50">
        <v>3673</v>
      </c>
      <c r="O71" s="49">
        <v>306.08</v>
      </c>
      <c r="P71" s="49"/>
      <c r="Q71" s="49"/>
      <c r="R71" s="20">
        <f>ROUND(C71*E71*O71,)</f>
        <v>1836</v>
      </c>
      <c r="S71" s="50">
        <f t="shared" si="9"/>
        <v>18561</v>
      </c>
      <c r="T71" s="50"/>
      <c r="U71" s="315"/>
      <c r="V71" s="67"/>
      <c r="W71" s="8"/>
    </row>
    <row r="72" spans="1:23" thickBot="1" x14ac:dyDescent="0.35">
      <c r="A72" s="97" t="s">
        <v>42</v>
      </c>
      <c r="B72" s="54" t="s">
        <v>37</v>
      </c>
      <c r="C72" s="55">
        <v>3</v>
      </c>
      <c r="D72" s="319"/>
      <c r="E72" s="57">
        <v>0.25</v>
      </c>
      <c r="F72" s="71"/>
      <c r="G72" s="58">
        <f t="shared" si="10"/>
        <v>1472.25</v>
      </c>
      <c r="H72" s="58">
        <f>ROUND(C72*E72*540,2)</f>
        <v>405</v>
      </c>
      <c r="I72" s="68"/>
      <c r="J72" s="58"/>
      <c r="K72" s="68"/>
      <c r="L72" s="59">
        <f t="shared" si="7"/>
        <v>1877</v>
      </c>
      <c r="M72" s="58">
        <f t="shared" si="8"/>
        <v>443</v>
      </c>
      <c r="N72" s="59">
        <v>3673</v>
      </c>
      <c r="O72" s="57">
        <v>306.08</v>
      </c>
      <c r="P72" s="57"/>
      <c r="Q72" s="57"/>
      <c r="R72" s="58">
        <f>ROUND(C72*E72*O72,)</f>
        <v>230</v>
      </c>
      <c r="S72" s="59">
        <f t="shared" si="9"/>
        <v>2320</v>
      </c>
      <c r="T72" s="59"/>
      <c r="U72" s="316"/>
      <c r="V72" s="67"/>
      <c r="W72" s="8"/>
    </row>
    <row r="73" spans="1:23" ht="14" x14ac:dyDescent="0.3">
      <c r="A73" s="94" t="s">
        <v>57</v>
      </c>
      <c r="B73" s="123" t="s">
        <v>58</v>
      </c>
      <c r="C73" s="36">
        <v>3</v>
      </c>
      <c r="D73" s="317">
        <v>4</v>
      </c>
      <c r="E73" s="63"/>
      <c r="F73" s="69">
        <v>1</v>
      </c>
      <c r="G73" s="38"/>
      <c r="H73" s="38"/>
      <c r="I73" s="64"/>
      <c r="J73" s="38">
        <f t="shared" si="6"/>
        <v>3549</v>
      </c>
      <c r="K73" s="64"/>
      <c r="L73" s="65">
        <f t="shared" si="7"/>
        <v>3549</v>
      </c>
      <c r="M73" s="38">
        <f t="shared" si="8"/>
        <v>837</v>
      </c>
      <c r="N73" s="320">
        <v>3673</v>
      </c>
      <c r="O73" s="323">
        <v>306.08</v>
      </c>
      <c r="P73" s="245"/>
      <c r="Q73" s="245"/>
      <c r="R73" s="352">
        <f>ROUND(C73*D73*O73,)</f>
        <v>3673</v>
      </c>
      <c r="S73" s="65">
        <f t="shared" si="9"/>
        <v>4386</v>
      </c>
      <c r="T73" s="65"/>
      <c r="U73" s="314">
        <f>SUM(R73:T76)</f>
        <v>50456</v>
      </c>
      <c r="V73" s="67"/>
      <c r="W73" s="8"/>
    </row>
    <row r="74" spans="1:23" ht="14" x14ac:dyDescent="0.3">
      <c r="A74" s="96" t="s">
        <v>57</v>
      </c>
      <c r="B74" s="48" t="s">
        <v>34</v>
      </c>
      <c r="C74" s="44">
        <v>3</v>
      </c>
      <c r="D74" s="318"/>
      <c r="E74" s="49">
        <v>1</v>
      </c>
      <c r="F74" s="70"/>
      <c r="G74" s="20">
        <f t="shared" si="10"/>
        <v>5889</v>
      </c>
      <c r="H74" s="20"/>
      <c r="I74" s="66"/>
      <c r="J74" s="20"/>
      <c r="K74" s="66"/>
      <c r="L74" s="50">
        <f t="shared" si="7"/>
        <v>5889</v>
      </c>
      <c r="M74" s="20">
        <f t="shared" si="8"/>
        <v>1389</v>
      </c>
      <c r="N74" s="321"/>
      <c r="O74" s="324"/>
      <c r="P74" s="246"/>
      <c r="Q74" s="246"/>
      <c r="R74" s="353"/>
      <c r="S74" s="50">
        <f t="shared" si="9"/>
        <v>7278</v>
      </c>
      <c r="T74" s="50"/>
      <c r="U74" s="315"/>
      <c r="V74" s="67"/>
      <c r="W74" s="8"/>
    </row>
    <row r="75" spans="1:23" ht="14" x14ac:dyDescent="0.3">
      <c r="A75" s="96" t="s">
        <v>57</v>
      </c>
      <c r="B75" s="48" t="s">
        <v>59</v>
      </c>
      <c r="C75" s="44">
        <v>3</v>
      </c>
      <c r="D75" s="318"/>
      <c r="E75" s="49">
        <v>3</v>
      </c>
      <c r="F75" s="70"/>
      <c r="G75" s="20">
        <f t="shared" si="10"/>
        <v>17667</v>
      </c>
      <c r="H75" s="20">
        <f>ROUND(C75*E75*540,2)</f>
        <v>4860</v>
      </c>
      <c r="I75" s="66"/>
      <c r="J75" s="20"/>
      <c r="K75" s="66"/>
      <c r="L75" s="50">
        <f t="shared" si="7"/>
        <v>22527</v>
      </c>
      <c r="M75" s="20">
        <f t="shared" si="8"/>
        <v>5314</v>
      </c>
      <c r="N75" s="321"/>
      <c r="O75" s="324"/>
      <c r="P75" s="247"/>
      <c r="Q75" s="247"/>
      <c r="R75" s="353"/>
      <c r="S75" s="50">
        <f t="shared" si="9"/>
        <v>27841</v>
      </c>
      <c r="T75" s="50"/>
      <c r="U75" s="315"/>
      <c r="V75" s="67"/>
      <c r="W75" s="8"/>
    </row>
    <row r="76" spans="1:23" thickBot="1" x14ac:dyDescent="0.35">
      <c r="A76" s="97" t="s">
        <v>57</v>
      </c>
      <c r="B76" s="54" t="s">
        <v>53</v>
      </c>
      <c r="C76" s="55">
        <v>3</v>
      </c>
      <c r="D76" s="319"/>
      <c r="E76" s="57">
        <v>1</v>
      </c>
      <c r="F76" s="71"/>
      <c r="G76" s="58">
        <f t="shared" si="10"/>
        <v>5889</v>
      </c>
      <c r="H76" s="58"/>
      <c r="I76" s="68"/>
      <c r="J76" s="58"/>
      <c r="K76" s="68"/>
      <c r="L76" s="59">
        <f t="shared" si="7"/>
        <v>5889</v>
      </c>
      <c r="M76" s="58">
        <f t="shared" si="8"/>
        <v>1389</v>
      </c>
      <c r="N76" s="322"/>
      <c r="O76" s="325"/>
      <c r="P76" s="248"/>
      <c r="Q76" s="248"/>
      <c r="R76" s="354"/>
      <c r="S76" s="59">
        <f t="shared" si="9"/>
        <v>7278</v>
      </c>
      <c r="T76" s="59"/>
      <c r="U76" s="316"/>
      <c r="V76" s="67"/>
      <c r="W76" s="8"/>
    </row>
    <row r="77" spans="1:23" ht="14" x14ac:dyDescent="0.3">
      <c r="A77" s="94" t="s">
        <v>60</v>
      </c>
      <c r="B77" s="123" t="s">
        <v>58</v>
      </c>
      <c r="C77" s="36">
        <v>3</v>
      </c>
      <c r="D77" s="317">
        <v>4</v>
      </c>
      <c r="E77" s="63"/>
      <c r="F77" s="69">
        <v>1</v>
      </c>
      <c r="G77" s="38"/>
      <c r="H77" s="38"/>
      <c r="I77" s="64"/>
      <c r="J77" s="38">
        <f t="shared" si="6"/>
        <v>3549</v>
      </c>
      <c r="K77" s="64"/>
      <c r="L77" s="65">
        <f t="shared" si="7"/>
        <v>3549</v>
      </c>
      <c r="M77" s="38">
        <f t="shared" si="8"/>
        <v>837</v>
      </c>
      <c r="N77" s="320">
        <v>3673</v>
      </c>
      <c r="O77" s="323">
        <v>306.08</v>
      </c>
      <c r="P77" s="245"/>
      <c r="Q77" s="245"/>
      <c r="R77" s="352">
        <f>ROUND(C77*D77*O77,)</f>
        <v>3673</v>
      </c>
      <c r="S77" s="65">
        <f>L77+M77</f>
        <v>4386</v>
      </c>
      <c r="T77" s="65"/>
      <c r="U77" s="314">
        <f>SUM(R77:T80)</f>
        <v>50456</v>
      </c>
      <c r="V77" s="67"/>
      <c r="W77" s="8"/>
    </row>
    <row r="78" spans="1:23" ht="14" x14ac:dyDescent="0.3">
      <c r="A78" s="96" t="s">
        <v>60</v>
      </c>
      <c r="B78" s="48" t="s">
        <v>34</v>
      </c>
      <c r="C78" s="44">
        <v>3</v>
      </c>
      <c r="D78" s="318"/>
      <c r="E78" s="49">
        <v>1</v>
      </c>
      <c r="F78" s="70"/>
      <c r="G78" s="20">
        <f t="shared" si="10"/>
        <v>5889</v>
      </c>
      <c r="H78" s="20"/>
      <c r="I78" s="66"/>
      <c r="J78" s="20"/>
      <c r="K78" s="66"/>
      <c r="L78" s="50">
        <f t="shared" si="7"/>
        <v>5889</v>
      </c>
      <c r="M78" s="20">
        <f t="shared" si="8"/>
        <v>1389</v>
      </c>
      <c r="N78" s="321"/>
      <c r="O78" s="324"/>
      <c r="P78" s="246"/>
      <c r="Q78" s="246"/>
      <c r="R78" s="353"/>
      <c r="S78" s="50">
        <f t="shared" si="9"/>
        <v>7278</v>
      </c>
      <c r="T78" s="50"/>
      <c r="U78" s="315"/>
      <c r="V78" s="67"/>
      <c r="W78" s="8"/>
    </row>
    <row r="79" spans="1:23" ht="14" x14ac:dyDescent="0.3">
      <c r="A79" s="96" t="s">
        <v>60</v>
      </c>
      <c r="B79" s="48" t="s">
        <v>59</v>
      </c>
      <c r="C79" s="44">
        <v>3</v>
      </c>
      <c r="D79" s="318"/>
      <c r="E79" s="49">
        <v>3</v>
      </c>
      <c r="F79" s="70"/>
      <c r="G79" s="20">
        <f t="shared" si="10"/>
        <v>17667</v>
      </c>
      <c r="H79" s="20">
        <f>ROUND(C79*E79*540,2)</f>
        <v>4860</v>
      </c>
      <c r="I79" s="66"/>
      <c r="J79" s="20"/>
      <c r="K79" s="66"/>
      <c r="L79" s="50">
        <f t="shared" si="7"/>
        <v>22527</v>
      </c>
      <c r="M79" s="20">
        <f t="shared" si="8"/>
        <v>5314</v>
      </c>
      <c r="N79" s="321"/>
      <c r="O79" s="324"/>
      <c r="P79" s="247"/>
      <c r="Q79" s="247"/>
      <c r="R79" s="353"/>
      <c r="S79" s="50">
        <f t="shared" si="9"/>
        <v>27841</v>
      </c>
      <c r="T79" s="50"/>
      <c r="U79" s="315"/>
      <c r="V79" s="67"/>
      <c r="W79" s="8"/>
    </row>
    <row r="80" spans="1:23" thickBot="1" x14ac:dyDescent="0.35">
      <c r="A80" s="239" t="s">
        <v>60</v>
      </c>
      <c r="B80" s="240" t="s">
        <v>53</v>
      </c>
      <c r="C80" s="241">
        <v>3</v>
      </c>
      <c r="D80" s="319"/>
      <c r="E80" s="242">
        <v>1</v>
      </c>
      <c r="F80" s="242"/>
      <c r="G80" s="106">
        <f t="shared" si="10"/>
        <v>5889</v>
      </c>
      <c r="H80" s="243"/>
      <c r="I80" s="243"/>
      <c r="J80" s="106"/>
      <c r="K80" s="243"/>
      <c r="L80" s="243">
        <f t="shared" si="7"/>
        <v>5889</v>
      </c>
      <c r="M80" s="106">
        <f t="shared" si="8"/>
        <v>1389</v>
      </c>
      <c r="N80" s="322"/>
      <c r="O80" s="325"/>
      <c r="P80" s="248"/>
      <c r="Q80" s="248"/>
      <c r="R80" s="354"/>
      <c r="S80" s="106">
        <f t="shared" si="9"/>
        <v>7278</v>
      </c>
      <c r="T80" s="243"/>
      <c r="U80" s="316"/>
      <c r="V80" s="67"/>
      <c r="W80" s="8"/>
    </row>
    <row r="81" spans="1:23" s="115" customFormat="1" ht="19.5" customHeight="1" x14ac:dyDescent="0.35">
      <c r="A81" s="9"/>
      <c r="B81" s="107"/>
      <c r="C81" s="108"/>
      <c r="D81" s="258">
        <f>SUM(D42:D80)</f>
        <v>46</v>
      </c>
      <c r="E81" s="110">
        <f>SUM(E42:E80)</f>
        <v>55</v>
      </c>
      <c r="F81" s="110">
        <f>SUM(F42:F80)</f>
        <v>10.5</v>
      </c>
      <c r="G81" s="110"/>
      <c r="H81" s="110"/>
      <c r="I81" s="110"/>
      <c r="J81" s="110"/>
      <c r="K81" s="110"/>
      <c r="L81" s="110"/>
      <c r="M81" s="110"/>
      <c r="N81" s="358" t="s">
        <v>61</v>
      </c>
      <c r="O81" s="359"/>
      <c r="P81" s="359"/>
      <c r="Q81" s="359"/>
      <c r="R81" s="359"/>
      <c r="S81" s="359"/>
      <c r="T81" s="360"/>
      <c r="U81" s="112">
        <f>SUM(U42:U80)</f>
        <v>566412</v>
      </c>
      <c r="V81" s="113"/>
    </row>
    <row r="82" spans="1:23" s="488" customFormat="1" ht="19.5" customHeight="1" x14ac:dyDescent="0.35">
      <c r="A82" s="479"/>
      <c r="B82" s="480"/>
      <c r="C82" s="481"/>
      <c r="D82" s="482"/>
      <c r="E82" s="483"/>
      <c r="F82" s="483"/>
      <c r="G82" s="484">
        <f>E81+F81</f>
        <v>65.5</v>
      </c>
      <c r="H82" s="483"/>
      <c r="I82" s="483"/>
      <c r="J82" s="483"/>
      <c r="K82" s="483"/>
      <c r="L82" s="483"/>
      <c r="M82" s="483"/>
      <c r="N82" s="485"/>
      <c r="O82" s="485"/>
      <c r="P82" s="485"/>
      <c r="Q82" s="485"/>
      <c r="R82" s="485"/>
      <c r="S82" s="485"/>
      <c r="T82" s="485"/>
      <c r="U82" s="486"/>
      <c r="V82" s="487"/>
    </row>
    <row r="83" spans="1:23" x14ac:dyDescent="0.35">
      <c r="B83" s="41"/>
      <c r="C83" s="116"/>
      <c r="D83" s="117"/>
      <c r="E83" s="118"/>
      <c r="F83" s="118"/>
      <c r="G83" s="119"/>
      <c r="H83" s="117"/>
      <c r="I83" s="117"/>
      <c r="J83" s="119"/>
      <c r="K83" s="120"/>
      <c r="L83" s="117"/>
      <c r="M83" s="119"/>
      <c r="N83" s="117"/>
      <c r="O83" s="117"/>
      <c r="P83" s="121"/>
      <c r="Q83" s="121"/>
      <c r="R83" s="119"/>
      <c r="S83" s="119"/>
      <c r="T83" s="119"/>
      <c r="U83" s="114"/>
      <c r="V83" s="67"/>
    </row>
    <row r="84" spans="1:23" x14ac:dyDescent="0.35">
      <c r="A84" s="333" t="s">
        <v>62</v>
      </c>
      <c r="B84" s="333"/>
      <c r="C84" s="333"/>
      <c r="D84" s="333"/>
      <c r="E84" s="333"/>
      <c r="F84" s="333"/>
      <c r="G84" s="311" t="s">
        <v>10</v>
      </c>
      <c r="H84" s="311"/>
      <c r="I84" s="311"/>
      <c r="J84" s="311"/>
      <c r="K84" s="311"/>
      <c r="L84" s="311"/>
      <c r="M84" s="311"/>
      <c r="N84" s="117"/>
      <c r="O84" s="117"/>
      <c r="P84" s="117"/>
      <c r="Q84" s="117"/>
      <c r="R84" s="119"/>
      <c r="S84" s="117"/>
      <c r="T84" s="117"/>
      <c r="U84" s="114"/>
      <c r="V84" s="67"/>
    </row>
    <row r="85" spans="1:23" ht="16.5" x14ac:dyDescent="0.35">
      <c r="A85" s="333"/>
      <c r="B85" s="333"/>
      <c r="C85" s="333"/>
      <c r="D85" s="333"/>
      <c r="E85" s="333"/>
      <c r="F85" s="333"/>
      <c r="G85" s="21">
        <v>2083</v>
      </c>
      <c r="H85" s="21"/>
      <c r="I85" s="21">
        <v>405</v>
      </c>
      <c r="J85" s="21">
        <v>1303</v>
      </c>
      <c r="K85" s="21">
        <v>243</v>
      </c>
      <c r="L85" s="280"/>
      <c r="M85" s="281">
        <v>0.2359</v>
      </c>
      <c r="N85" s="282"/>
      <c r="O85" s="103"/>
      <c r="P85" s="103"/>
      <c r="Q85" s="103"/>
      <c r="R85" s="103"/>
      <c r="S85" s="103"/>
      <c r="T85" s="103"/>
      <c r="U85" s="114"/>
      <c r="V85" s="67"/>
    </row>
    <row r="86" spans="1:23" s="105" customFormat="1" ht="84.5" thickBot="1" x14ac:dyDescent="0.35">
      <c r="A86" s="29" t="s">
        <v>11</v>
      </c>
      <c r="B86" s="29" t="s">
        <v>12</v>
      </c>
      <c r="C86" s="29" t="s">
        <v>13</v>
      </c>
      <c r="D86" s="29" t="s">
        <v>14</v>
      </c>
      <c r="E86" s="29" t="s">
        <v>15</v>
      </c>
      <c r="F86" s="30" t="s">
        <v>16</v>
      </c>
      <c r="G86" s="30" t="s">
        <v>63</v>
      </c>
      <c r="H86" s="29" t="s">
        <v>64</v>
      </c>
      <c r="I86" s="29" t="s">
        <v>19</v>
      </c>
      <c r="J86" s="29" t="s">
        <v>65</v>
      </c>
      <c r="K86" s="31" t="s">
        <v>21</v>
      </c>
      <c r="L86" s="30" t="s">
        <v>22</v>
      </c>
      <c r="M86" s="31" t="s">
        <v>23</v>
      </c>
      <c r="N86" s="30" t="s">
        <v>24</v>
      </c>
      <c r="O86" s="30" t="s">
        <v>25</v>
      </c>
      <c r="P86" s="30" t="s">
        <v>26</v>
      </c>
      <c r="Q86" s="30" t="s">
        <v>27</v>
      </c>
      <c r="R86" s="31" t="s">
        <v>66</v>
      </c>
      <c r="S86" s="32" t="s">
        <v>67</v>
      </c>
      <c r="T86" s="32" t="s">
        <v>68</v>
      </c>
      <c r="U86" s="259" t="s">
        <v>69</v>
      </c>
      <c r="V86" s="104"/>
    </row>
    <row r="87" spans="1:23" ht="14" x14ac:dyDescent="0.3">
      <c r="A87" s="34" t="s">
        <v>32</v>
      </c>
      <c r="B87" s="35" t="s">
        <v>54</v>
      </c>
      <c r="C87" s="36">
        <v>9</v>
      </c>
      <c r="D87" s="317">
        <v>1</v>
      </c>
      <c r="E87" s="37"/>
      <c r="F87" s="37"/>
      <c r="G87" s="38">
        <f>ROUND(C87*E87*$G$14,2)</f>
        <v>0</v>
      </c>
      <c r="H87" s="38"/>
      <c r="I87" s="38"/>
      <c r="J87" s="38"/>
      <c r="K87" s="38"/>
      <c r="L87" s="38">
        <f>ROUND(G87+H87+I87+J87+K87,)</f>
        <v>0</v>
      </c>
      <c r="M87" s="38">
        <f>ROUND(L87*$M$14,)</f>
        <v>0</v>
      </c>
      <c r="N87" s="38">
        <v>3673</v>
      </c>
      <c r="O87" s="37">
        <v>306.08</v>
      </c>
      <c r="P87" s="37"/>
      <c r="Q87" s="37"/>
      <c r="R87" s="349">
        <f>ROUND(C87*D87*O87,)</f>
        <v>2755</v>
      </c>
      <c r="S87" s="39">
        <f>L87+M87</f>
        <v>0</v>
      </c>
      <c r="T87" s="38"/>
      <c r="U87" s="355">
        <f>SUM(R87:T93)</f>
        <v>250269</v>
      </c>
      <c r="W87" s="8"/>
    </row>
    <row r="88" spans="1:23" ht="14" x14ac:dyDescent="0.3">
      <c r="A88" s="42" t="s">
        <v>32</v>
      </c>
      <c r="B88" s="43" t="s">
        <v>33</v>
      </c>
      <c r="C88" s="44">
        <v>9</v>
      </c>
      <c r="D88" s="318"/>
      <c r="E88" s="45"/>
      <c r="F88" s="45">
        <v>1.5</v>
      </c>
      <c r="G88" s="20"/>
      <c r="H88" s="20"/>
      <c r="I88" s="20"/>
      <c r="J88" s="20">
        <f>ROUND(C88*F88*$J$85,2)</f>
        <v>17590.5</v>
      </c>
      <c r="K88" s="20"/>
      <c r="L88" s="20">
        <f t="shared" ref="L88:L92" si="11">ROUND(G88+H88+I88+J88+K88,)</f>
        <v>17591</v>
      </c>
      <c r="M88" s="20">
        <f t="shared" ref="M88:M125" si="12">ROUND(L88*$M$14,)</f>
        <v>4150</v>
      </c>
      <c r="N88" s="339">
        <v>3673</v>
      </c>
      <c r="O88" s="341">
        <v>306.08</v>
      </c>
      <c r="P88" s="45"/>
      <c r="Q88" s="45"/>
      <c r="R88" s="350"/>
      <c r="S88" s="20">
        <f t="shared" ref="S88:S92" si="13">L88+M88</f>
        <v>21741</v>
      </c>
      <c r="T88" s="20"/>
      <c r="U88" s="356"/>
      <c r="W88" s="8"/>
    </row>
    <row r="89" spans="1:23" ht="14" x14ac:dyDescent="0.3">
      <c r="A89" s="47" t="s">
        <v>32</v>
      </c>
      <c r="B89" s="48" t="s">
        <v>34</v>
      </c>
      <c r="C89" s="44">
        <v>9</v>
      </c>
      <c r="D89" s="318"/>
      <c r="E89" s="49">
        <v>1</v>
      </c>
      <c r="F89" s="49"/>
      <c r="G89" s="20">
        <f>ROUND(C89*E89*$G$85,2)</f>
        <v>18747</v>
      </c>
      <c r="H89" s="50"/>
      <c r="I89" s="50"/>
      <c r="J89" s="20"/>
      <c r="K89" s="50"/>
      <c r="L89" s="50">
        <f t="shared" si="11"/>
        <v>18747</v>
      </c>
      <c r="M89" s="20">
        <f t="shared" si="12"/>
        <v>4422</v>
      </c>
      <c r="N89" s="340"/>
      <c r="O89" s="342"/>
      <c r="P89" s="49"/>
      <c r="Q89" s="49"/>
      <c r="R89" s="350"/>
      <c r="S89" s="20">
        <f t="shared" si="13"/>
        <v>23169</v>
      </c>
      <c r="T89" s="50"/>
      <c r="U89" s="356"/>
      <c r="W89" s="8"/>
    </row>
    <row r="90" spans="1:23" ht="14" x14ac:dyDescent="0.3">
      <c r="A90" s="47" t="s">
        <v>32</v>
      </c>
      <c r="B90" s="48" t="s">
        <v>35</v>
      </c>
      <c r="C90" s="44">
        <v>9</v>
      </c>
      <c r="D90" s="318"/>
      <c r="E90" s="49">
        <v>6.5</v>
      </c>
      <c r="F90" s="49"/>
      <c r="G90" s="20">
        <f>ROUND(C90*E90*$G$85,2)</f>
        <v>121855.5</v>
      </c>
      <c r="H90" s="50">
        <f>ROUND(C90*E90*540,2)</f>
        <v>31590</v>
      </c>
      <c r="I90" s="50"/>
      <c r="J90" s="20"/>
      <c r="K90" s="50"/>
      <c r="L90" s="50">
        <f t="shared" si="11"/>
        <v>153446</v>
      </c>
      <c r="M90" s="20">
        <f t="shared" si="12"/>
        <v>36198</v>
      </c>
      <c r="N90" s="50">
        <v>3673</v>
      </c>
      <c r="O90" s="49">
        <v>306.08</v>
      </c>
      <c r="P90" s="49"/>
      <c r="Q90" s="49"/>
      <c r="R90" s="350"/>
      <c r="S90" s="20">
        <f t="shared" si="13"/>
        <v>189644</v>
      </c>
      <c r="T90" s="50"/>
      <c r="U90" s="356"/>
      <c r="W90" s="8"/>
    </row>
    <row r="91" spans="1:23" ht="14" x14ac:dyDescent="0.3">
      <c r="A91" s="83" t="s">
        <v>32</v>
      </c>
      <c r="B91" s="84" t="s">
        <v>36</v>
      </c>
      <c r="C91" s="85">
        <v>9</v>
      </c>
      <c r="D91" s="318"/>
      <c r="E91" s="87"/>
      <c r="F91" s="87"/>
      <c r="G91" s="89">
        <f t="shared" ref="G91:G92" si="14">ROUND(C91*E91*$G$14,2)</f>
        <v>0</v>
      </c>
      <c r="H91" s="91"/>
      <c r="I91" s="91"/>
      <c r="J91" s="89"/>
      <c r="K91" s="91"/>
      <c r="L91" s="91">
        <f t="shared" si="11"/>
        <v>0</v>
      </c>
      <c r="M91" s="89">
        <f t="shared" si="12"/>
        <v>0</v>
      </c>
      <c r="N91" s="91">
        <v>3673</v>
      </c>
      <c r="O91" s="87">
        <v>306.08</v>
      </c>
      <c r="P91" s="87"/>
      <c r="Q91" s="87"/>
      <c r="R91" s="350"/>
      <c r="S91" s="20">
        <f t="shared" si="13"/>
        <v>0</v>
      </c>
      <c r="T91" s="91"/>
      <c r="U91" s="356"/>
      <c r="W91" s="8"/>
    </row>
    <row r="92" spans="1:23" ht="14" x14ac:dyDescent="0.3">
      <c r="A92" s="47" t="s">
        <v>32</v>
      </c>
      <c r="B92" s="48" t="s">
        <v>37</v>
      </c>
      <c r="C92" s="44">
        <v>9</v>
      </c>
      <c r="D92" s="318"/>
      <c r="E92" s="49"/>
      <c r="F92" s="49"/>
      <c r="G92" s="20">
        <f t="shared" si="14"/>
        <v>0</v>
      </c>
      <c r="H92" s="50">
        <f>ROUND(C92*E92*540,2)</f>
        <v>0</v>
      </c>
      <c r="I92" s="50"/>
      <c r="J92" s="20"/>
      <c r="K92" s="50"/>
      <c r="L92" s="50">
        <f t="shared" si="11"/>
        <v>0</v>
      </c>
      <c r="M92" s="20">
        <f t="shared" si="12"/>
        <v>0</v>
      </c>
      <c r="N92" s="50">
        <v>3673</v>
      </c>
      <c r="O92" s="49">
        <v>306.08</v>
      </c>
      <c r="P92" s="49"/>
      <c r="Q92" s="49"/>
      <c r="R92" s="340"/>
      <c r="S92" s="20">
        <f t="shared" si="13"/>
        <v>0</v>
      </c>
      <c r="T92" s="50"/>
      <c r="U92" s="356"/>
      <c r="W92" s="8"/>
    </row>
    <row r="93" spans="1:23" s="28" customFormat="1" ht="15.75" customHeight="1" thickBot="1" x14ac:dyDescent="0.35">
      <c r="A93" s="255" t="s">
        <v>32</v>
      </c>
      <c r="B93" s="249" t="s">
        <v>38</v>
      </c>
      <c r="C93" s="250">
        <v>9</v>
      </c>
      <c r="D93" s="319"/>
      <c r="E93" s="251"/>
      <c r="F93" s="251"/>
      <c r="G93" s="252"/>
      <c r="H93" s="238"/>
      <c r="I93" s="238"/>
      <c r="J93" s="252"/>
      <c r="K93" s="238"/>
      <c r="L93" s="238"/>
      <c r="M93" s="252"/>
      <c r="N93" s="238"/>
      <c r="O93" s="251"/>
      <c r="P93" s="251"/>
      <c r="Q93" s="251"/>
      <c r="R93" s="252"/>
      <c r="S93" s="238"/>
      <c r="T93" s="238">
        <f>T21-T48</f>
        <v>12960</v>
      </c>
      <c r="U93" s="357"/>
      <c r="V93" s="10"/>
    </row>
    <row r="94" spans="1:23" ht="14" x14ac:dyDescent="0.3">
      <c r="A94" s="94" t="s">
        <v>39</v>
      </c>
      <c r="B94" s="35" t="s">
        <v>54</v>
      </c>
      <c r="C94" s="36">
        <v>9</v>
      </c>
      <c r="D94" s="317"/>
      <c r="E94" s="63"/>
      <c r="F94" s="63"/>
      <c r="G94" s="38">
        <f t="shared" ref="G94" si="15">ROUND(C94*E94*$G$14,2)</f>
        <v>0</v>
      </c>
      <c r="H94" s="64"/>
      <c r="I94" s="64"/>
      <c r="J94" s="38"/>
      <c r="K94" s="64"/>
      <c r="L94" s="65">
        <f t="shared" ref="L94:L97" si="16">ROUND(G94+H94+I94+J94+K94,)</f>
        <v>0</v>
      </c>
      <c r="M94" s="38">
        <f t="shared" si="12"/>
        <v>0</v>
      </c>
      <c r="N94" s="65">
        <v>3673</v>
      </c>
      <c r="O94" s="63">
        <v>306.08</v>
      </c>
      <c r="P94" s="63"/>
      <c r="Q94" s="63"/>
      <c r="R94" s="38">
        <v>0</v>
      </c>
      <c r="S94" s="65">
        <f>L94+M94</f>
        <v>0</v>
      </c>
      <c r="T94" s="65"/>
      <c r="U94" s="314">
        <f>SUM(R94:T98)</f>
        <v>37447.58</v>
      </c>
      <c r="V94" s="67"/>
      <c r="W94" s="8"/>
    </row>
    <row r="95" spans="1:23" ht="14" x14ac:dyDescent="0.3">
      <c r="A95" s="96" t="s">
        <v>39</v>
      </c>
      <c r="B95" s="43" t="s">
        <v>33</v>
      </c>
      <c r="C95" s="44">
        <v>9</v>
      </c>
      <c r="D95" s="318"/>
      <c r="E95" s="49"/>
      <c r="F95" s="49"/>
      <c r="G95" s="20"/>
      <c r="H95" s="66"/>
      <c r="I95" s="66"/>
      <c r="J95" s="20">
        <f t="shared" ref="J95" si="17">ROUND(C95*F95*$J$14,2)</f>
        <v>0</v>
      </c>
      <c r="K95" s="66"/>
      <c r="L95" s="50">
        <f t="shared" si="16"/>
        <v>0</v>
      </c>
      <c r="M95" s="20">
        <f t="shared" si="12"/>
        <v>0</v>
      </c>
      <c r="N95" s="50">
        <v>3673</v>
      </c>
      <c r="O95" s="49">
        <v>306.08</v>
      </c>
      <c r="P95" s="49"/>
      <c r="Q95" s="49"/>
      <c r="R95" s="20">
        <v>0</v>
      </c>
      <c r="S95" s="50">
        <f t="shared" ref="S95:S97" si="18">L95+M95</f>
        <v>0</v>
      </c>
      <c r="T95" s="50"/>
      <c r="U95" s="315"/>
      <c r="V95" s="41"/>
      <c r="W95" s="8"/>
    </row>
    <row r="96" spans="1:23" ht="14" x14ac:dyDescent="0.3">
      <c r="A96" s="96" t="s">
        <v>39</v>
      </c>
      <c r="B96" s="43" t="s">
        <v>34</v>
      </c>
      <c r="C96" s="44">
        <v>9</v>
      </c>
      <c r="D96" s="318"/>
      <c r="E96" s="49"/>
      <c r="F96" s="49"/>
      <c r="G96" s="20">
        <f t="shared" ref="G96" si="19">ROUND(C96*E96*$G$14,2)</f>
        <v>0</v>
      </c>
      <c r="H96" s="66"/>
      <c r="I96" s="66"/>
      <c r="J96" s="20"/>
      <c r="K96" s="66"/>
      <c r="L96" s="50">
        <f t="shared" si="16"/>
        <v>0</v>
      </c>
      <c r="M96" s="20">
        <f t="shared" si="12"/>
        <v>0</v>
      </c>
      <c r="N96" s="50">
        <v>3673</v>
      </c>
      <c r="O96" s="49">
        <v>306.08</v>
      </c>
      <c r="P96" s="49"/>
      <c r="Q96" s="49"/>
      <c r="R96" s="20">
        <v>0</v>
      </c>
      <c r="S96" s="50">
        <f t="shared" si="18"/>
        <v>0</v>
      </c>
      <c r="T96" s="50"/>
      <c r="U96" s="315"/>
      <c r="W96" s="8"/>
    </row>
    <row r="97" spans="1:23" ht="14" x14ac:dyDescent="0.3">
      <c r="A97" s="96" t="s">
        <v>39</v>
      </c>
      <c r="B97" s="48" t="s">
        <v>35</v>
      </c>
      <c r="C97" s="44">
        <v>9</v>
      </c>
      <c r="D97" s="318"/>
      <c r="E97" s="49">
        <v>1</v>
      </c>
      <c r="F97" s="49"/>
      <c r="G97" s="20">
        <f>ROUND(C97*E97*$G$85,2)</f>
        <v>18747</v>
      </c>
      <c r="H97" s="50">
        <f>ROUND(C97*E97*540,2)</f>
        <v>4860</v>
      </c>
      <c r="I97" s="66"/>
      <c r="J97" s="20"/>
      <c r="K97" s="66"/>
      <c r="L97" s="50">
        <f t="shared" si="16"/>
        <v>23607</v>
      </c>
      <c r="M97" s="20">
        <f t="shared" si="12"/>
        <v>5569</v>
      </c>
      <c r="N97" s="50">
        <v>3673</v>
      </c>
      <c r="O97" s="49">
        <v>306.08</v>
      </c>
      <c r="P97" s="49"/>
      <c r="Q97" s="49"/>
      <c r="R97" s="20">
        <f>ROUND(C97*E97*O97,)</f>
        <v>2755</v>
      </c>
      <c r="S97" s="50">
        <f t="shared" si="18"/>
        <v>29176</v>
      </c>
      <c r="T97" s="50"/>
      <c r="U97" s="315"/>
      <c r="W97" s="8"/>
    </row>
    <row r="98" spans="1:23" thickBot="1" x14ac:dyDescent="0.35">
      <c r="A98" s="83" t="s">
        <v>39</v>
      </c>
      <c r="B98" s="84" t="s">
        <v>38</v>
      </c>
      <c r="C98" s="85">
        <v>9</v>
      </c>
      <c r="D98" s="319"/>
      <c r="E98" s="87"/>
      <c r="F98" s="87"/>
      <c r="G98" s="89"/>
      <c r="H98" s="90"/>
      <c r="I98" s="90"/>
      <c r="J98" s="89"/>
      <c r="K98" s="90"/>
      <c r="L98" s="91"/>
      <c r="M98" s="89"/>
      <c r="N98" s="91"/>
      <c r="O98" s="87"/>
      <c r="P98" s="87"/>
      <c r="Q98" s="87"/>
      <c r="R98" s="89"/>
      <c r="S98" s="91"/>
      <c r="T98" s="238">
        <f>T25-T53</f>
        <v>5516.58</v>
      </c>
      <c r="U98" s="316"/>
      <c r="W98" s="8"/>
    </row>
    <row r="99" spans="1:23" ht="14" x14ac:dyDescent="0.3">
      <c r="A99" s="94" t="s">
        <v>40</v>
      </c>
      <c r="B99" s="35" t="s">
        <v>54</v>
      </c>
      <c r="C99" s="36">
        <v>9</v>
      </c>
      <c r="D99" s="317"/>
      <c r="E99" s="69"/>
      <c r="F99" s="63"/>
      <c r="G99" s="38">
        <f t="shared" ref="G99" si="20">ROUND(C99*E99*$G$14,2)</f>
        <v>0</v>
      </c>
      <c r="H99" s="64"/>
      <c r="I99" s="64"/>
      <c r="J99" s="38"/>
      <c r="K99" s="64"/>
      <c r="L99" s="65">
        <f t="shared" ref="L99:L102" si="21">ROUND(G99+H99+I99+J99+K99,)</f>
        <v>0</v>
      </c>
      <c r="M99" s="38">
        <f t="shared" si="12"/>
        <v>0</v>
      </c>
      <c r="N99" s="320">
        <v>3673</v>
      </c>
      <c r="O99" s="323">
        <v>306.08</v>
      </c>
      <c r="P99" s="245"/>
      <c r="Q99" s="245"/>
      <c r="R99" s="352">
        <f>ROUND(C99*D99*O99,)</f>
        <v>0</v>
      </c>
      <c r="S99" s="65">
        <f t="shared" ref="S99:S102" si="22">L99+M99</f>
        <v>0</v>
      </c>
      <c r="T99" s="65"/>
      <c r="U99" s="314">
        <f>SUM(R99:T103)</f>
        <v>62451.495999999999</v>
      </c>
      <c r="V99" s="67"/>
      <c r="W99" s="8"/>
    </row>
    <row r="100" spans="1:23" ht="14" x14ac:dyDescent="0.3">
      <c r="A100" s="96" t="s">
        <v>40</v>
      </c>
      <c r="B100" s="43" t="s">
        <v>33</v>
      </c>
      <c r="C100" s="44">
        <v>9</v>
      </c>
      <c r="D100" s="318"/>
      <c r="E100" s="49"/>
      <c r="F100" s="70"/>
      <c r="G100" s="20"/>
      <c r="H100" s="66"/>
      <c r="I100" s="66"/>
      <c r="J100" s="20">
        <f t="shared" ref="J100" si="23">ROUND(C100*F100*$J$14,2)</f>
        <v>0</v>
      </c>
      <c r="K100" s="66"/>
      <c r="L100" s="50">
        <f t="shared" si="21"/>
        <v>0</v>
      </c>
      <c r="M100" s="20">
        <f t="shared" si="12"/>
        <v>0</v>
      </c>
      <c r="N100" s="321"/>
      <c r="O100" s="324"/>
      <c r="P100" s="246"/>
      <c r="Q100" s="246"/>
      <c r="R100" s="353"/>
      <c r="S100" s="50">
        <f t="shared" si="22"/>
        <v>0</v>
      </c>
      <c r="T100" s="50"/>
      <c r="U100" s="315"/>
      <c r="V100" s="67"/>
      <c r="W100" s="8"/>
    </row>
    <row r="101" spans="1:23" ht="14" x14ac:dyDescent="0.3">
      <c r="A101" s="96" t="s">
        <v>40</v>
      </c>
      <c r="B101" s="43" t="s">
        <v>34</v>
      </c>
      <c r="C101" s="44">
        <v>9</v>
      </c>
      <c r="D101" s="318"/>
      <c r="E101" s="49"/>
      <c r="F101" s="70"/>
      <c r="G101" s="20">
        <f t="shared" ref="G101" si="24">ROUND(C101*E101*$G$14,2)</f>
        <v>0</v>
      </c>
      <c r="H101" s="66"/>
      <c r="I101" s="66"/>
      <c r="J101" s="20"/>
      <c r="K101" s="66"/>
      <c r="L101" s="50">
        <f t="shared" si="21"/>
        <v>0</v>
      </c>
      <c r="M101" s="20">
        <f t="shared" si="12"/>
        <v>0</v>
      </c>
      <c r="N101" s="321"/>
      <c r="O101" s="324"/>
      <c r="P101" s="246"/>
      <c r="Q101" s="246"/>
      <c r="R101" s="353"/>
      <c r="S101" s="50">
        <f t="shared" si="22"/>
        <v>0</v>
      </c>
      <c r="T101" s="50"/>
      <c r="U101" s="315"/>
      <c r="W101" s="8"/>
    </row>
    <row r="102" spans="1:23" ht="14" x14ac:dyDescent="0.3">
      <c r="A102" s="96" t="s">
        <v>40</v>
      </c>
      <c r="B102" s="48" t="s">
        <v>35</v>
      </c>
      <c r="C102" s="44">
        <v>9</v>
      </c>
      <c r="D102" s="318"/>
      <c r="E102" s="49">
        <v>2</v>
      </c>
      <c r="F102" s="70"/>
      <c r="G102" s="20">
        <f>ROUND(C102*E102*$G$85,2)</f>
        <v>37494</v>
      </c>
      <c r="H102" s="50">
        <f>ROUND(C102*E102*540,2)</f>
        <v>9720</v>
      </c>
      <c r="I102" s="66"/>
      <c r="J102" s="20"/>
      <c r="K102" s="66"/>
      <c r="L102" s="50">
        <f t="shared" si="21"/>
        <v>47214</v>
      </c>
      <c r="M102" s="20">
        <f t="shared" si="12"/>
        <v>11138</v>
      </c>
      <c r="N102" s="321"/>
      <c r="O102" s="324"/>
      <c r="P102" s="246"/>
      <c r="Q102" s="246"/>
      <c r="R102" s="353"/>
      <c r="S102" s="50">
        <f t="shared" si="22"/>
        <v>58352</v>
      </c>
      <c r="T102" s="50"/>
      <c r="U102" s="315"/>
      <c r="W102" s="8"/>
    </row>
    <row r="103" spans="1:23" thickBot="1" x14ac:dyDescent="0.35">
      <c r="A103" s="254" t="s">
        <v>40</v>
      </c>
      <c r="B103" s="240" t="s">
        <v>38</v>
      </c>
      <c r="C103" s="241">
        <v>9</v>
      </c>
      <c r="D103" s="319"/>
      <c r="E103" s="242"/>
      <c r="F103" s="256"/>
      <c r="G103" s="106"/>
      <c r="H103" s="257"/>
      <c r="I103" s="257"/>
      <c r="J103" s="106"/>
      <c r="K103" s="257"/>
      <c r="L103" s="243"/>
      <c r="M103" s="106"/>
      <c r="N103" s="322"/>
      <c r="O103" s="325"/>
      <c r="P103" s="242"/>
      <c r="Q103" s="242"/>
      <c r="R103" s="354"/>
      <c r="S103" s="243"/>
      <c r="T103" s="238">
        <f>T29-T58</f>
        <v>4099.4960000000001</v>
      </c>
      <c r="U103" s="316"/>
      <c r="W103" s="8"/>
    </row>
    <row r="104" spans="1:23" ht="14" x14ac:dyDescent="0.3">
      <c r="A104" s="94" t="s">
        <v>55</v>
      </c>
      <c r="B104" s="35" t="s">
        <v>54</v>
      </c>
      <c r="C104" s="36">
        <v>9</v>
      </c>
      <c r="D104" s="317"/>
      <c r="E104" s="63"/>
      <c r="F104" s="63"/>
      <c r="G104" s="38">
        <f t="shared" ref="G104" si="25">ROUND(C104*E104*$G$14,2)</f>
        <v>0</v>
      </c>
      <c r="H104" s="64"/>
      <c r="I104" s="64"/>
      <c r="J104" s="38"/>
      <c r="K104" s="64"/>
      <c r="L104" s="65">
        <f t="shared" ref="L104:L125" si="26">ROUND(G104+H104+I104+J104+K104,)</f>
        <v>0</v>
      </c>
      <c r="M104" s="38">
        <f t="shared" si="12"/>
        <v>0</v>
      </c>
      <c r="N104" s="320">
        <v>3673</v>
      </c>
      <c r="O104" s="323">
        <v>306.08</v>
      </c>
      <c r="P104" s="245"/>
      <c r="Q104" s="245"/>
      <c r="R104" s="352">
        <v>0</v>
      </c>
      <c r="S104" s="65">
        <f t="shared" ref="S104:S107" si="27">L104+M104</f>
        <v>0</v>
      </c>
      <c r="T104" s="65"/>
      <c r="U104" s="314">
        <f>SUM(R104:T107)</f>
        <v>0</v>
      </c>
      <c r="V104" s="67"/>
      <c r="W104" s="8"/>
    </row>
    <row r="105" spans="1:23" ht="14" x14ac:dyDescent="0.3">
      <c r="A105" s="96" t="s">
        <v>55</v>
      </c>
      <c r="B105" s="43" t="s">
        <v>33</v>
      </c>
      <c r="C105" s="44">
        <v>9</v>
      </c>
      <c r="D105" s="318"/>
      <c r="E105" s="49"/>
      <c r="F105" s="49"/>
      <c r="G105" s="20"/>
      <c r="H105" s="66"/>
      <c r="I105" s="66"/>
      <c r="J105" s="20">
        <f t="shared" ref="J105" si="28">ROUND(C105*F105*$J$14,2)</f>
        <v>0</v>
      </c>
      <c r="K105" s="66"/>
      <c r="L105" s="50">
        <f t="shared" si="26"/>
        <v>0</v>
      </c>
      <c r="M105" s="20">
        <f t="shared" si="12"/>
        <v>0</v>
      </c>
      <c r="N105" s="321"/>
      <c r="O105" s="324"/>
      <c r="P105" s="246"/>
      <c r="Q105" s="246"/>
      <c r="R105" s="353"/>
      <c r="S105" s="50">
        <f t="shared" si="27"/>
        <v>0</v>
      </c>
      <c r="T105" s="50"/>
      <c r="U105" s="315"/>
      <c r="W105" s="8"/>
    </row>
    <row r="106" spans="1:23" ht="14" x14ac:dyDescent="0.3">
      <c r="A106" s="96" t="s">
        <v>55</v>
      </c>
      <c r="B106" s="43" t="s">
        <v>34</v>
      </c>
      <c r="C106" s="44">
        <v>9</v>
      </c>
      <c r="D106" s="318"/>
      <c r="E106" s="49"/>
      <c r="F106" s="49"/>
      <c r="G106" s="20">
        <f t="shared" ref="G106:G107" si="29">ROUND(C106*E106*$G$14,2)</f>
        <v>0</v>
      </c>
      <c r="H106" s="66"/>
      <c r="I106" s="66"/>
      <c r="J106" s="20"/>
      <c r="K106" s="66"/>
      <c r="L106" s="50">
        <f t="shared" si="26"/>
        <v>0</v>
      </c>
      <c r="M106" s="20">
        <f t="shared" si="12"/>
        <v>0</v>
      </c>
      <c r="N106" s="321"/>
      <c r="O106" s="324"/>
      <c r="P106" s="247"/>
      <c r="Q106" s="247"/>
      <c r="R106" s="353"/>
      <c r="S106" s="50">
        <f t="shared" si="27"/>
        <v>0</v>
      </c>
      <c r="T106" s="50"/>
      <c r="U106" s="315"/>
      <c r="W106" s="8"/>
    </row>
    <row r="107" spans="1:23" thickBot="1" x14ac:dyDescent="0.35">
      <c r="A107" s="97" t="s">
        <v>55</v>
      </c>
      <c r="B107" s="244" t="s">
        <v>35</v>
      </c>
      <c r="C107" s="55">
        <v>9</v>
      </c>
      <c r="D107" s="319"/>
      <c r="E107" s="57"/>
      <c r="F107" s="57"/>
      <c r="G107" s="58">
        <f t="shared" si="29"/>
        <v>0</v>
      </c>
      <c r="H107" s="68">
        <f>ROUND(C107*E107*540,2)</f>
        <v>0</v>
      </c>
      <c r="I107" s="68"/>
      <c r="J107" s="58"/>
      <c r="K107" s="68"/>
      <c r="L107" s="59">
        <f t="shared" si="26"/>
        <v>0</v>
      </c>
      <c r="M107" s="58">
        <f t="shared" si="12"/>
        <v>0</v>
      </c>
      <c r="N107" s="322"/>
      <c r="O107" s="325"/>
      <c r="P107" s="248"/>
      <c r="Q107" s="248"/>
      <c r="R107" s="354"/>
      <c r="S107" s="59">
        <f t="shared" si="27"/>
        <v>0</v>
      </c>
      <c r="T107" s="59"/>
      <c r="U107" s="316"/>
      <c r="W107" s="8"/>
    </row>
    <row r="108" spans="1:23" ht="14" x14ac:dyDescent="0.3">
      <c r="A108" s="94" t="s">
        <v>56</v>
      </c>
      <c r="B108" s="35" t="s">
        <v>33</v>
      </c>
      <c r="C108" s="36">
        <v>9</v>
      </c>
      <c r="D108" s="317"/>
      <c r="E108" s="63"/>
      <c r="F108" s="63"/>
      <c r="G108" s="38"/>
      <c r="H108" s="64"/>
      <c r="I108" s="64"/>
      <c r="J108" s="38">
        <f t="shared" ref="J108" si="30">ROUND(C108*F108*$J$14,2)</f>
        <v>0</v>
      </c>
      <c r="K108" s="64"/>
      <c r="L108" s="65">
        <f t="shared" si="26"/>
        <v>0</v>
      </c>
      <c r="M108" s="38">
        <f t="shared" si="12"/>
        <v>0</v>
      </c>
      <c r="N108" s="343">
        <v>3673</v>
      </c>
      <c r="O108" s="346">
        <v>306.08</v>
      </c>
      <c r="P108" s="170"/>
      <c r="Q108" s="170"/>
      <c r="R108" s="349">
        <v>0</v>
      </c>
      <c r="S108" s="65">
        <f>L108+M108</f>
        <v>0</v>
      </c>
      <c r="T108" s="65"/>
      <c r="U108" s="314">
        <f>SUM(R108:T110)</f>
        <v>0</v>
      </c>
      <c r="W108" s="8"/>
    </row>
    <row r="109" spans="1:23" ht="14" x14ac:dyDescent="0.3">
      <c r="A109" s="47" t="s">
        <v>56</v>
      </c>
      <c r="B109" s="48" t="s">
        <v>34</v>
      </c>
      <c r="C109" s="44">
        <v>9</v>
      </c>
      <c r="D109" s="318"/>
      <c r="E109" s="49"/>
      <c r="F109" s="49"/>
      <c r="G109" s="20">
        <f t="shared" ref="G109:G111" si="31">ROUND(C109*E109*$G$14,2)</f>
        <v>0</v>
      </c>
      <c r="H109" s="50"/>
      <c r="I109" s="50"/>
      <c r="J109" s="20"/>
      <c r="K109" s="50"/>
      <c r="L109" s="50">
        <f t="shared" si="26"/>
        <v>0</v>
      </c>
      <c r="M109" s="20">
        <f t="shared" si="12"/>
        <v>0</v>
      </c>
      <c r="N109" s="344"/>
      <c r="O109" s="347"/>
      <c r="P109" s="171"/>
      <c r="Q109" s="171"/>
      <c r="R109" s="350"/>
      <c r="S109" s="20">
        <f t="shared" ref="S109:S121" si="32">L109+M109</f>
        <v>0</v>
      </c>
      <c r="T109" s="50"/>
      <c r="U109" s="315"/>
      <c r="W109" s="8"/>
    </row>
    <row r="110" spans="1:23" thickBot="1" x14ac:dyDescent="0.35">
      <c r="A110" s="97" t="s">
        <v>56</v>
      </c>
      <c r="B110" s="244" t="s">
        <v>35</v>
      </c>
      <c r="C110" s="55">
        <v>9</v>
      </c>
      <c r="D110" s="319"/>
      <c r="E110" s="71"/>
      <c r="F110" s="57"/>
      <c r="G110" s="58">
        <f t="shared" si="31"/>
        <v>0</v>
      </c>
      <c r="H110" s="68">
        <f>ROUND(C110*E110*540,2)</f>
        <v>0</v>
      </c>
      <c r="I110" s="68"/>
      <c r="J110" s="58"/>
      <c r="K110" s="68"/>
      <c r="L110" s="59">
        <f t="shared" si="26"/>
        <v>0</v>
      </c>
      <c r="M110" s="58">
        <f t="shared" si="12"/>
        <v>0</v>
      </c>
      <c r="N110" s="345"/>
      <c r="O110" s="348"/>
      <c r="P110" s="172"/>
      <c r="Q110" s="172"/>
      <c r="R110" s="351"/>
      <c r="S110" s="59">
        <f t="shared" si="32"/>
        <v>0</v>
      </c>
      <c r="T110" s="59"/>
      <c r="U110" s="316"/>
      <c r="W110" s="8"/>
    </row>
    <row r="111" spans="1:23" ht="14" x14ac:dyDescent="0.3">
      <c r="A111" s="94" t="s">
        <v>41</v>
      </c>
      <c r="B111" s="35" t="s">
        <v>54</v>
      </c>
      <c r="C111" s="36">
        <v>9</v>
      </c>
      <c r="D111" s="317"/>
      <c r="E111" s="63"/>
      <c r="F111" s="69"/>
      <c r="G111" s="38">
        <f t="shared" si="31"/>
        <v>0</v>
      </c>
      <c r="H111" s="64"/>
      <c r="I111" s="64"/>
      <c r="J111" s="38"/>
      <c r="K111" s="64"/>
      <c r="L111" s="65">
        <f t="shared" si="26"/>
        <v>0</v>
      </c>
      <c r="M111" s="38">
        <f t="shared" si="12"/>
        <v>0</v>
      </c>
      <c r="N111" s="65">
        <v>3673</v>
      </c>
      <c r="O111" s="63">
        <v>306.08</v>
      </c>
      <c r="P111" s="63"/>
      <c r="Q111" s="63"/>
      <c r="R111" s="38">
        <f>ROUND(C111*E111*O111,)</f>
        <v>0</v>
      </c>
      <c r="S111" s="65">
        <f t="shared" si="32"/>
        <v>0</v>
      </c>
      <c r="T111" s="65"/>
      <c r="U111" s="314">
        <f>SUM(R111:T114)</f>
        <v>0</v>
      </c>
      <c r="V111" s="67"/>
      <c r="W111" s="8"/>
    </row>
    <row r="112" spans="1:23" ht="14" x14ac:dyDescent="0.3">
      <c r="A112" s="96" t="s">
        <v>41</v>
      </c>
      <c r="B112" s="48" t="s">
        <v>33</v>
      </c>
      <c r="C112" s="44">
        <v>9</v>
      </c>
      <c r="D112" s="318"/>
      <c r="E112" s="49"/>
      <c r="F112" s="70"/>
      <c r="G112" s="20"/>
      <c r="H112" s="50"/>
      <c r="I112" s="66"/>
      <c r="J112" s="20">
        <f t="shared" ref="J112" si="33">ROUND(C112*F112*$J$14,2)</f>
        <v>0</v>
      </c>
      <c r="K112" s="66"/>
      <c r="L112" s="50">
        <f t="shared" si="26"/>
        <v>0</v>
      </c>
      <c r="M112" s="20">
        <f t="shared" si="12"/>
        <v>0</v>
      </c>
      <c r="N112" s="50">
        <v>3673</v>
      </c>
      <c r="O112" s="49">
        <v>306.08</v>
      </c>
      <c r="P112" s="49"/>
      <c r="Q112" s="49"/>
      <c r="R112" s="20">
        <f>ROUND(C112*F112*O112,)</f>
        <v>0</v>
      </c>
      <c r="S112" s="50">
        <f t="shared" si="32"/>
        <v>0</v>
      </c>
      <c r="T112" s="50"/>
      <c r="U112" s="315"/>
      <c r="W112" s="8"/>
    </row>
    <row r="113" spans="1:23" ht="14" x14ac:dyDescent="0.3">
      <c r="A113" s="96" t="s">
        <v>41</v>
      </c>
      <c r="B113" s="43" t="s">
        <v>34</v>
      </c>
      <c r="C113" s="44">
        <v>9</v>
      </c>
      <c r="D113" s="318"/>
      <c r="E113" s="49"/>
      <c r="F113" s="70"/>
      <c r="G113" s="20">
        <f t="shared" ref="G113:G117" si="34">ROUND(C113*E113*$G$14,2)</f>
        <v>0</v>
      </c>
      <c r="H113" s="66"/>
      <c r="I113" s="66"/>
      <c r="J113" s="20"/>
      <c r="K113" s="66"/>
      <c r="L113" s="50">
        <f t="shared" si="26"/>
        <v>0</v>
      </c>
      <c r="M113" s="20">
        <f t="shared" si="12"/>
        <v>0</v>
      </c>
      <c r="N113" s="50">
        <v>3673</v>
      </c>
      <c r="O113" s="49">
        <v>306.08</v>
      </c>
      <c r="P113" s="49"/>
      <c r="Q113" s="49"/>
      <c r="R113" s="20">
        <f>ROUND(C113*E113*O113,)</f>
        <v>0</v>
      </c>
      <c r="S113" s="50">
        <f t="shared" si="32"/>
        <v>0</v>
      </c>
      <c r="T113" s="50"/>
      <c r="U113" s="315"/>
      <c r="W113" s="8"/>
    </row>
    <row r="114" spans="1:23" thickBot="1" x14ac:dyDescent="0.35">
      <c r="A114" s="97" t="s">
        <v>41</v>
      </c>
      <c r="B114" s="54" t="s">
        <v>35</v>
      </c>
      <c r="C114" s="55">
        <v>9</v>
      </c>
      <c r="D114" s="319"/>
      <c r="E114" s="57"/>
      <c r="F114" s="71"/>
      <c r="G114" s="58">
        <f t="shared" si="34"/>
        <v>0</v>
      </c>
      <c r="H114" s="58">
        <f>ROUND(C114*E114*540,2)</f>
        <v>0</v>
      </c>
      <c r="I114" s="68"/>
      <c r="J114" s="58"/>
      <c r="K114" s="68"/>
      <c r="L114" s="59">
        <f t="shared" si="26"/>
        <v>0</v>
      </c>
      <c r="M114" s="58">
        <f t="shared" si="12"/>
        <v>0</v>
      </c>
      <c r="N114" s="59">
        <v>3673</v>
      </c>
      <c r="O114" s="57">
        <v>306.08</v>
      </c>
      <c r="P114" s="57"/>
      <c r="Q114" s="57"/>
      <c r="R114" s="20">
        <f>ROUND(C114*E114*O114,)</f>
        <v>0</v>
      </c>
      <c r="S114" s="59">
        <f t="shared" si="32"/>
        <v>0</v>
      </c>
      <c r="T114" s="59"/>
      <c r="U114" s="316"/>
      <c r="V114" s="67"/>
      <c r="W114" s="8"/>
    </row>
    <row r="115" spans="1:23" ht="14" x14ac:dyDescent="0.3">
      <c r="A115" s="94" t="s">
        <v>42</v>
      </c>
      <c r="B115" s="123" t="s">
        <v>34</v>
      </c>
      <c r="C115" s="36">
        <v>9</v>
      </c>
      <c r="D115" s="317"/>
      <c r="E115" s="63"/>
      <c r="F115" s="69"/>
      <c r="G115" s="38">
        <f t="shared" si="34"/>
        <v>0</v>
      </c>
      <c r="H115" s="38"/>
      <c r="I115" s="64"/>
      <c r="J115" s="38"/>
      <c r="K115" s="64"/>
      <c r="L115" s="65">
        <f t="shared" si="26"/>
        <v>0</v>
      </c>
      <c r="M115" s="38">
        <f t="shared" si="12"/>
        <v>0</v>
      </c>
      <c r="N115" s="65">
        <v>3673</v>
      </c>
      <c r="O115" s="63">
        <v>306.08</v>
      </c>
      <c r="P115" s="63"/>
      <c r="Q115" s="63"/>
      <c r="R115" s="38">
        <f>ROUND(C115*E115*O115,)</f>
        <v>0</v>
      </c>
      <c r="S115" s="65">
        <f t="shared" si="32"/>
        <v>0</v>
      </c>
      <c r="T115" s="65"/>
      <c r="U115" s="314">
        <f>SUM(R115:T117)</f>
        <v>0</v>
      </c>
      <c r="W115" s="8"/>
    </row>
    <row r="116" spans="1:23" ht="14" x14ac:dyDescent="0.3">
      <c r="A116" s="96" t="s">
        <v>42</v>
      </c>
      <c r="B116" s="48" t="s">
        <v>35</v>
      </c>
      <c r="C116" s="44">
        <v>9</v>
      </c>
      <c r="D116" s="318"/>
      <c r="E116" s="49"/>
      <c r="F116" s="70"/>
      <c r="G116" s="20">
        <f t="shared" si="34"/>
        <v>0</v>
      </c>
      <c r="H116" s="20">
        <f>ROUND(C116*E116*540,2)</f>
        <v>0</v>
      </c>
      <c r="I116" s="66"/>
      <c r="J116" s="20"/>
      <c r="K116" s="66"/>
      <c r="L116" s="50">
        <f t="shared" si="26"/>
        <v>0</v>
      </c>
      <c r="M116" s="20">
        <f t="shared" si="12"/>
        <v>0</v>
      </c>
      <c r="N116" s="50">
        <v>3673</v>
      </c>
      <c r="O116" s="49">
        <v>306.08</v>
      </c>
      <c r="P116" s="49"/>
      <c r="Q116" s="49"/>
      <c r="R116" s="20">
        <f>ROUND(C116*E116*O116,)</f>
        <v>0</v>
      </c>
      <c r="S116" s="50">
        <f t="shared" si="32"/>
        <v>0</v>
      </c>
      <c r="T116" s="50"/>
      <c r="U116" s="315"/>
      <c r="V116" s="67"/>
      <c r="W116" s="8"/>
    </row>
    <row r="117" spans="1:23" thickBot="1" x14ac:dyDescent="0.35">
      <c r="A117" s="97" t="s">
        <v>42</v>
      </c>
      <c r="B117" s="54" t="s">
        <v>37</v>
      </c>
      <c r="C117" s="55">
        <v>9</v>
      </c>
      <c r="D117" s="319"/>
      <c r="E117" s="57"/>
      <c r="F117" s="71"/>
      <c r="G117" s="58">
        <f t="shared" si="34"/>
        <v>0</v>
      </c>
      <c r="H117" s="58">
        <f>ROUND(C117*E117*540,2)</f>
        <v>0</v>
      </c>
      <c r="I117" s="68"/>
      <c r="J117" s="58"/>
      <c r="K117" s="68"/>
      <c r="L117" s="59">
        <f t="shared" si="26"/>
        <v>0</v>
      </c>
      <c r="M117" s="58">
        <f t="shared" si="12"/>
        <v>0</v>
      </c>
      <c r="N117" s="59">
        <v>3673</v>
      </c>
      <c r="O117" s="57">
        <v>306.08</v>
      </c>
      <c r="P117" s="57"/>
      <c r="Q117" s="57"/>
      <c r="R117" s="58">
        <f>ROUND(C117*E117*O117,)</f>
        <v>0</v>
      </c>
      <c r="S117" s="59">
        <f t="shared" si="32"/>
        <v>0</v>
      </c>
      <c r="T117" s="59"/>
      <c r="U117" s="316"/>
      <c r="V117" s="67"/>
      <c r="W117" s="8"/>
    </row>
    <row r="118" spans="1:23" ht="14" x14ac:dyDescent="0.3">
      <c r="A118" s="94" t="s">
        <v>57</v>
      </c>
      <c r="B118" s="123" t="s">
        <v>58</v>
      </c>
      <c r="C118" s="36">
        <v>9</v>
      </c>
      <c r="D118" s="317"/>
      <c r="E118" s="63"/>
      <c r="F118" s="69"/>
      <c r="G118" s="38"/>
      <c r="H118" s="38"/>
      <c r="I118" s="64"/>
      <c r="J118" s="38">
        <f t="shared" ref="J118" si="35">ROUND(C118*F118*$J$14,2)</f>
        <v>0</v>
      </c>
      <c r="K118" s="64"/>
      <c r="L118" s="65">
        <f t="shared" si="26"/>
        <v>0</v>
      </c>
      <c r="M118" s="38">
        <f t="shared" si="12"/>
        <v>0</v>
      </c>
      <c r="N118" s="320">
        <v>3673</v>
      </c>
      <c r="O118" s="323">
        <v>306.08</v>
      </c>
      <c r="P118" s="245"/>
      <c r="Q118" s="245"/>
      <c r="R118" s="352">
        <v>0</v>
      </c>
      <c r="S118" s="65">
        <f t="shared" si="32"/>
        <v>0</v>
      </c>
      <c r="T118" s="65"/>
      <c r="U118" s="314">
        <f>SUM(R118:T121)</f>
        <v>0</v>
      </c>
      <c r="V118" s="67"/>
      <c r="W118" s="8"/>
    </row>
    <row r="119" spans="1:23" ht="14" x14ac:dyDescent="0.3">
      <c r="A119" s="96" t="s">
        <v>57</v>
      </c>
      <c r="B119" s="48" t="s">
        <v>34</v>
      </c>
      <c r="C119" s="44">
        <v>9</v>
      </c>
      <c r="D119" s="318"/>
      <c r="E119" s="49"/>
      <c r="F119" s="70"/>
      <c r="G119" s="20">
        <f t="shared" ref="G119:G121" si="36">ROUND(C119*E119*$G$14,2)</f>
        <v>0</v>
      </c>
      <c r="H119" s="20"/>
      <c r="I119" s="66"/>
      <c r="J119" s="20"/>
      <c r="K119" s="66"/>
      <c r="L119" s="50">
        <f t="shared" si="26"/>
        <v>0</v>
      </c>
      <c r="M119" s="20">
        <f t="shared" si="12"/>
        <v>0</v>
      </c>
      <c r="N119" s="321"/>
      <c r="O119" s="324"/>
      <c r="P119" s="246"/>
      <c r="Q119" s="246"/>
      <c r="R119" s="353"/>
      <c r="S119" s="50">
        <f t="shared" si="32"/>
        <v>0</v>
      </c>
      <c r="T119" s="50"/>
      <c r="U119" s="315"/>
      <c r="V119" s="67"/>
      <c r="W119" s="8"/>
    </row>
    <row r="120" spans="1:23" ht="14" x14ac:dyDescent="0.3">
      <c r="A120" s="96" t="s">
        <v>57</v>
      </c>
      <c r="B120" s="48" t="s">
        <v>59</v>
      </c>
      <c r="C120" s="44">
        <v>9</v>
      </c>
      <c r="D120" s="318"/>
      <c r="E120" s="49"/>
      <c r="F120" s="70"/>
      <c r="G120" s="20">
        <f t="shared" si="36"/>
        <v>0</v>
      </c>
      <c r="H120" s="20">
        <f>ROUND(C120*E120*540,2)</f>
        <v>0</v>
      </c>
      <c r="I120" s="66"/>
      <c r="J120" s="20"/>
      <c r="K120" s="66"/>
      <c r="L120" s="50">
        <f t="shared" si="26"/>
        <v>0</v>
      </c>
      <c r="M120" s="20">
        <f t="shared" si="12"/>
        <v>0</v>
      </c>
      <c r="N120" s="321"/>
      <c r="O120" s="324"/>
      <c r="P120" s="247"/>
      <c r="Q120" s="247"/>
      <c r="R120" s="353"/>
      <c r="S120" s="50">
        <f t="shared" si="32"/>
        <v>0</v>
      </c>
      <c r="T120" s="50"/>
      <c r="U120" s="315"/>
      <c r="V120" s="67"/>
      <c r="W120" s="8"/>
    </row>
    <row r="121" spans="1:23" thickBot="1" x14ac:dyDescent="0.35">
      <c r="A121" s="97" t="s">
        <v>57</v>
      </c>
      <c r="B121" s="54" t="s">
        <v>53</v>
      </c>
      <c r="C121" s="55">
        <v>9</v>
      </c>
      <c r="D121" s="319"/>
      <c r="E121" s="57"/>
      <c r="F121" s="71"/>
      <c r="G121" s="58">
        <f t="shared" si="36"/>
        <v>0</v>
      </c>
      <c r="H121" s="58"/>
      <c r="I121" s="68"/>
      <c r="J121" s="58"/>
      <c r="K121" s="68"/>
      <c r="L121" s="59">
        <f t="shared" si="26"/>
        <v>0</v>
      </c>
      <c r="M121" s="58">
        <f t="shared" si="12"/>
        <v>0</v>
      </c>
      <c r="N121" s="322"/>
      <c r="O121" s="325"/>
      <c r="P121" s="248"/>
      <c r="Q121" s="248"/>
      <c r="R121" s="354"/>
      <c r="S121" s="59">
        <f t="shared" si="32"/>
        <v>0</v>
      </c>
      <c r="T121" s="59"/>
      <c r="U121" s="316"/>
      <c r="V121" s="67"/>
      <c r="W121" s="8"/>
    </row>
    <row r="122" spans="1:23" ht="14" x14ac:dyDescent="0.3">
      <c r="A122" s="94" t="s">
        <v>60</v>
      </c>
      <c r="B122" s="123" t="s">
        <v>58</v>
      </c>
      <c r="C122" s="36">
        <v>9</v>
      </c>
      <c r="D122" s="317"/>
      <c r="E122" s="63"/>
      <c r="F122" s="69"/>
      <c r="G122" s="38"/>
      <c r="H122" s="38"/>
      <c r="I122" s="64"/>
      <c r="J122" s="38">
        <f t="shared" ref="J122" si="37">ROUND(C122*F122*$J$14,2)</f>
        <v>0</v>
      </c>
      <c r="K122" s="64"/>
      <c r="L122" s="65">
        <f t="shared" si="26"/>
        <v>0</v>
      </c>
      <c r="M122" s="38">
        <f t="shared" si="12"/>
        <v>0</v>
      </c>
      <c r="N122" s="320">
        <v>3673</v>
      </c>
      <c r="O122" s="323">
        <v>306.08</v>
      </c>
      <c r="P122" s="245"/>
      <c r="Q122" s="245"/>
      <c r="R122" s="352">
        <v>0</v>
      </c>
      <c r="S122" s="65">
        <f>L122+M122</f>
        <v>0</v>
      </c>
      <c r="T122" s="65"/>
      <c r="U122" s="314">
        <f>SUM(R122:T125)</f>
        <v>0</v>
      </c>
      <c r="V122" s="67"/>
      <c r="W122" s="8"/>
    </row>
    <row r="123" spans="1:23" ht="14" x14ac:dyDescent="0.3">
      <c r="A123" s="96" t="s">
        <v>60</v>
      </c>
      <c r="B123" s="48" t="s">
        <v>34</v>
      </c>
      <c r="C123" s="44">
        <v>9</v>
      </c>
      <c r="D123" s="318"/>
      <c r="E123" s="49"/>
      <c r="F123" s="70"/>
      <c r="G123" s="20">
        <f t="shared" ref="G123:G125" si="38">ROUND(C123*E123*$G$14,2)</f>
        <v>0</v>
      </c>
      <c r="H123" s="20"/>
      <c r="I123" s="66"/>
      <c r="J123" s="20"/>
      <c r="K123" s="66"/>
      <c r="L123" s="50">
        <f t="shared" si="26"/>
        <v>0</v>
      </c>
      <c r="M123" s="20">
        <f t="shared" si="12"/>
        <v>0</v>
      </c>
      <c r="N123" s="321"/>
      <c r="O123" s="324"/>
      <c r="P123" s="246"/>
      <c r="Q123" s="246"/>
      <c r="R123" s="353"/>
      <c r="S123" s="50">
        <f t="shared" ref="S123:S125" si="39">L123+M123</f>
        <v>0</v>
      </c>
      <c r="T123" s="50"/>
      <c r="U123" s="315"/>
      <c r="V123" s="67"/>
      <c r="W123" s="8"/>
    </row>
    <row r="124" spans="1:23" ht="14" x14ac:dyDescent="0.3">
      <c r="A124" s="96" t="s">
        <v>60</v>
      </c>
      <c r="B124" s="48" t="s">
        <v>59</v>
      </c>
      <c r="C124" s="44">
        <v>9</v>
      </c>
      <c r="D124" s="318"/>
      <c r="E124" s="49"/>
      <c r="F124" s="70"/>
      <c r="G124" s="20">
        <f t="shared" si="38"/>
        <v>0</v>
      </c>
      <c r="H124" s="20">
        <f>ROUND(C124*E124*540,2)</f>
        <v>0</v>
      </c>
      <c r="I124" s="66"/>
      <c r="J124" s="20"/>
      <c r="K124" s="66"/>
      <c r="L124" s="50">
        <f t="shared" si="26"/>
        <v>0</v>
      </c>
      <c r="M124" s="20">
        <f t="shared" si="12"/>
        <v>0</v>
      </c>
      <c r="N124" s="321"/>
      <c r="O124" s="324"/>
      <c r="P124" s="247"/>
      <c r="Q124" s="247"/>
      <c r="R124" s="353"/>
      <c r="S124" s="50">
        <f t="shared" si="39"/>
        <v>0</v>
      </c>
      <c r="T124" s="50"/>
      <c r="U124" s="315"/>
      <c r="V124" s="67"/>
      <c r="W124" s="8"/>
    </row>
    <row r="125" spans="1:23" thickBot="1" x14ac:dyDescent="0.35">
      <c r="A125" s="239" t="s">
        <v>60</v>
      </c>
      <c r="B125" s="240" t="s">
        <v>53</v>
      </c>
      <c r="C125" s="241">
        <v>9</v>
      </c>
      <c r="D125" s="319"/>
      <c r="E125" s="242"/>
      <c r="F125" s="242"/>
      <c r="G125" s="106">
        <f t="shared" si="38"/>
        <v>0</v>
      </c>
      <c r="H125" s="243"/>
      <c r="I125" s="243"/>
      <c r="J125" s="106"/>
      <c r="K125" s="243"/>
      <c r="L125" s="243">
        <f t="shared" si="26"/>
        <v>0</v>
      </c>
      <c r="M125" s="106">
        <f t="shared" si="12"/>
        <v>0</v>
      </c>
      <c r="N125" s="322"/>
      <c r="O125" s="325"/>
      <c r="P125" s="248"/>
      <c r="Q125" s="248"/>
      <c r="R125" s="354"/>
      <c r="S125" s="106">
        <f t="shared" si="39"/>
        <v>0</v>
      </c>
      <c r="T125" s="243"/>
      <c r="U125" s="316"/>
      <c r="V125" s="67"/>
      <c r="W125" s="8"/>
    </row>
    <row r="126" spans="1:23" s="115" customFormat="1" ht="17.25" customHeight="1" x14ac:dyDescent="0.35">
      <c r="A126" s="33"/>
      <c r="B126" s="107"/>
      <c r="C126" s="111"/>
      <c r="D126" s="258">
        <f>SUM(D87:D125)</f>
        <v>1</v>
      </c>
      <c r="E126" s="110">
        <f>SUM(E87:E125)</f>
        <v>10.5</v>
      </c>
      <c r="F126" s="110">
        <f>SUM(F87:F125)</f>
        <v>1.5</v>
      </c>
      <c r="G126" s="111"/>
      <c r="H126" s="109"/>
      <c r="I126" s="109"/>
      <c r="J126" s="111"/>
      <c r="K126" s="109"/>
      <c r="L126" s="109"/>
      <c r="M126" s="111"/>
      <c r="N126" s="109"/>
      <c r="O126" s="334" t="s">
        <v>70</v>
      </c>
      <c r="P126" s="335"/>
      <c r="Q126" s="335"/>
      <c r="R126" s="335"/>
      <c r="S126" s="335"/>
      <c r="T126" s="336"/>
      <c r="U126" s="112">
        <f>SUM(U87:U125)</f>
        <v>350168.076</v>
      </c>
    </row>
    <row r="127" spans="1:23" x14ac:dyDescent="0.35">
      <c r="A127" s="122"/>
      <c r="B127" s="41"/>
      <c r="C127" s="119"/>
      <c r="D127" s="117"/>
      <c r="E127" s="117"/>
      <c r="F127" s="117"/>
      <c r="G127" s="393"/>
      <c r="H127" s="117"/>
      <c r="I127" s="120"/>
      <c r="J127" s="119"/>
      <c r="K127" s="120"/>
      <c r="L127" s="117"/>
      <c r="M127" s="119"/>
      <c r="N127" s="117"/>
      <c r="O127" s="117"/>
      <c r="P127" s="117"/>
      <c r="Q127" s="117"/>
      <c r="R127" s="119"/>
      <c r="S127" s="117"/>
      <c r="T127" s="291" t="s">
        <v>71</v>
      </c>
      <c r="U127" s="490">
        <v>31213.076000000001</v>
      </c>
      <c r="V127" s="128"/>
    </row>
    <row r="128" spans="1:23" ht="14" x14ac:dyDescent="0.3">
      <c r="A128" s="122"/>
      <c r="B128" s="41"/>
      <c r="C128" s="119"/>
      <c r="D128" s="117"/>
      <c r="E128" s="117"/>
      <c r="F128" s="117"/>
      <c r="G128" s="119"/>
      <c r="H128" s="117"/>
      <c r="I128" s="120"/>
      <c r="J128" s="119"/>
      <c r="K128" s="120"/>
      <c r="L128" s="117"/>
      <c r="M128" s="119"/>
      <c r="N128" s="117"/>
      <c r="O128" s="117"/>
      <c r="P128" s="117"/>
      <c r="Q128" s="117"/>
      <c r="R128" s="119"/>
      <c r="S128" s="117"/>
      <c r="T128" s="288" t="s">
        <v>72</v>
      </c>
      <c r="U128" s="307">
        <v>302938</v>
      </c>
      <c r="V128" s="113"/>
      <c r="W128" s="285"/>
    </row>
    <row r="129" spans="1:25" ht="14" x14ac:dyDescent="0.3">
      <c r="A129" s="122"/>
      <c r="B129" s="41"/>
      <c r="C129" s="119"/>
      <c r="D129" s="117"/>
      <c r="E129" s="117"/>
      <c r="F129" s="117"/>
      <c r="G129" s="119"/>
      <c r="H129" s="117"/>
      <c r="I129" s="120"/>
      <c r="J129" s="119"/>
      <c r="K129" s="120"/>
      <c r="L129" s="117"/>
      <c r="M129" s="119"/>
      <c r="N129" s="117"/>
      <c r="O129" s="117"/>
      <c r="P129" s="117"/>
      <c r="Q129" s="117"/>
      <c r="R129" s="119"/>
      <c r="S129" s="117"/>
      <c r="T129" s="288" t="s">
        <v>73</v>
      </c>
      <c r="U129" s="289">
        <v>16017</v>
      </c>
      <c r="V129" s="113"/>
      <c r="W129" s="285"/>
    </row>
    <row r="130" spans="1:25" ht="14" x14ac:dyDescent="0.3">
      <c r="A130" s="122"/>
      <c r="B130" s="41"/>
      <c r="C130" s="119"/>
      <c r="D130" s="117"/>
      <c r="E130" s="117"/>
      <c r="F130" s="117"/>
      <c r="G130" s="119"/>
      <c r="H130" s="117"/>
      <c r="I130" s="120"/>
      <c r="J130" s="119"/>
      <c r="K130" s="120"/>
      <c r="L130" s="117"/>
      <c r="M130" s="119"/>
      <c r="N130" s="117"/>
      <c r="O130" s="117"/>
      <c r="P130" s="117"/>
      <c r="Q130" s="117"/>
      <c r="R130" s="119"/>
      <c r="S130" s="117"/>
      <c r="T130" s="287"/>
      <c r="U130" s="113"/>
      <c r="V130" s="113"/>
      <c r="W130" s="285"/>
    </row>
    <row r="131" spans="1:25" ht="15" customHeight="1" x14ac:dyDescent="0.3">
      <c r="A131" s="326" t="s">
        <v>74</v>
      </c>
      <c r="B131" s="327"/>
      <c r="C131" s="327"/>
      <c r="D131" s="327"/>
      <c r="E131" s="327"/>
      <c r="F131" s="328"/>
      <c r="G131" s="394" t="s">
        <v>10</v>
      </c>
      <c r="H131" s="394"/>
      <c r="I131" s="394"/>
      <c r="J131" s="394"/>
      <c r="K131" s="394"/>
      <c r="L131" s="394"/>
      <c r="M131" s="394"/>
      <c r="N131" s="290"/>
      <c r="O131" s="290"/>
      <c r="P131" s="290"/>
      <c r="Q131" s="290"/>
      <c r="R131" s="393"/>
      <c r="S131" s="290"/>
      <c r="T131" s="290"/>
      <c r="U131" s="290"/>
      <c r="V131" s="67"/>
      <c r="W131" s="8"/>
    </row>
    <row r="132" spans="1:25" ht="16.5" x14ac:dyDescent="0.35">
      <c r="A132" s="329"/>
      <c r="B132" s="330"/>
      <c r="C132" s="330"/>
      <c r="D132" s="330"/>
      <c r="E132" s="330"/>
      <c r="F132" s="331"/>
      <c r="G132" s="21">
        <v>2083</v>
      </c>
      <c r="H132" s="21"/>
      <c r="I132" s="21">
        <v>405</v>
      </c>
      <c r="J132" s="21">
        <v>1303</v>
      </c>
      <c r="K132" s="21">
        <v>243</v>
      </c>
      <c r="L132" s="395"/>
      <c r="M132" s="281">
        <v>0.2359</v>
      </c>
      <c r="N132" s="103"/>
      <c r="O132" s="103"/>
      <c r="P132" s="103"/>
      <c r="Q132" s="103"/>
      <c r="R132" s="103"/>
      <c r="S132" s="103"/>
      <c r="T132" s="103"/>
      <c r="U132" s="290"/>
      <c r="V132" s="67"/>
      <c r="W132" s="8"/>
    </row>
    <row r="133" spans="1:25" s="105" customFormat="1" ht="84.5" thickBot="1" x14ac:dyDescent="0.35">
      <c r="A133" s="29" t="s">
        <v>11</v>
      </c>
      <c r="B133" s="29" t="s">
        <v>12</v>
      </c>
      <c r="C133" s="29" t="s">
        <v>13</v>
      </c>
      <c r="D133" s="29" t="s">
        <v>14</v>
      </c>
      <c r="E133" s="29" t="s">
        <v>15</v>
      </c>
      <c r="F133" s="30" t="s">
        <v>16</v>
      </c>
      <c r="G133" s="30" t="s">
        <v>63</v>
      </c>
      <c r="H133" s="29" t="s">
        <v>64</v>
      </c>
      <c r="I133" s="29" t="s">
        <v>19</v>
      </c>
      <c r="J133" s="29" t="s">
        <v>65</v>
      </c>
      <c r="K133" s="31" t="s">
        <v>21</v>
      </c>
      <c r="L133" s="30" t="s">
        <v>22</v>
      </c>
      <c r="M133" s="31" t="s">
        <v>23</v>
      </c>
      <c r="N133" s="30" t="s">
        <v>24</v>
      </c>
      <c r="O133" s="30" t="s">
        <v>25</v>
      </c>
      <c r="P133" s="30" t="s">
        <v>26</v>
      </c>
      <c r="Q133" s="30" t="s">
        <v>27</v>
      </c>
      <c r="R133" s="31" t="s">
        <v>66</v>
      </c>
      <c r="S133" s="396" t="s">
        <v>67</v>
      </c>
      <c r="T133" s="396" t="s">
        <v>68</v>
      </c>
      <c r="U133" s="397" t="s">
        <v>69</v>
      </c>
      <c r="V133" s="104"/>
    </row>
    <row r="134" spans="1:25" ht="14" x14ac:dyDescent="0.3">
      <c r="A134" s="34" t="s">
        <v>32</v>
      </c>
      <c r="B134" s="35" t="s">
        <v>54</v>
      </c>
      <c r="C134" s="36">
        <v>9</v>
      </c>
      <c r="D134" s="36">
        <v>4</v>
      </c>
      <c r="E134" s="37">
        <v>5.25</v>
      </c>
      <c r="F134" s="37"/>
      <c r="G134" s="38">
        <f>ROUND(C134*E134*$G$132,2)</f>
        <v>98421.75</v>
      </c>
      <c r="H134" s="38"/>
      <c r="I134" s="38"/>
      <c r="J134" s="38"/>
      <c r="K134" s="38"/>
      <c r="L134" s="38">
        <f>ROUND(G134+H134+I134+J134+K134,)</f>
        <v>98422</v>
      </c>
      <c r="M134" s="38">
        <f>ROUND(L134*$M$14,)</f>
        <v>23218</v>
      </c>
      <c r="N134" s="38">
        <v>3673</v>
      </c>
      <c r="O134" s="37">
        <v>306.08</v>
      </c>
      <c r="P134" s="37"/>
      <c r="Q134" s="37"/>
      <c r="R134" s="38">
        <f>ROUND(C134*D134*O134,)</f>
        <v>11019</v>
      </c>
      <c r="S134" s="39">
        <f>L134+M134</f>
        <v>121640</v>
      </c>
      <c r="T134" s="38"/>
      <c r="U134" s="398">
        <f>SUM(R134:T140)</f>
        <v>531676</v>
      </c>
      <c r="W134" s="8"/>
    </row>
    <row r="135" spans="1:25" ht="14" x14ac:dyDescent="0.3">
      <c r="A135" s="42" t="s">
        <v>32</v>
      </c>
      <c r="B135" s="43" t="s">
        <v>33</v>
      </c>
      <c r="C135" s="44">
        <v>9</v>
      </c>
      <c r="D135" s="337">
        <v>2</v>
      </c>
      <c r="E135" s="45"/>
      <c r="F135" s="399">
        <f>2.5-1.5</f>
        <v>1</v>
      </c>
      <c r="G135" s="20"/>
      <c r="H135" s="20"/>
      <c r="I135" s="20"/>
      <c r="J135" s="20">
        <f>ROUND(C135*F135*$J$132,2)</f>
        <v>11727</v>
      </c>
      <c r="K135" s="20"/>
      <c r="L135" s="20">
        <f t="shared" ref="L135:L139" si="40">ROUND(G135+H135+I135+J135+K135,)</f>
        <v>11727</v>
      </c>
      <c r="M135" s="20">
        <f t="shared" ref="M135:M171" si="41">ROUND(L135*$M$14,)</f>
        <v>2766</v>
      </c>
      <c r="N135" s="339">
        <v>3673</v>
      </c>
      <c r="O135" s="341">
        <v>306.08</v>
      </c>
      <c r="P135" s="45"/>
      <c r="Q135" s="45"/>
      <c r="R135" s="339">
        <f>ROUND(C135*D135*O135,)</f>
        <v>5509</v>
      </c>
      <c r="S135" s="20">
        <f t="shared" ref="S135:S139" si="42">L135+M135</f>
        <v>14493</v>
      </c>
      <c r="T135" s="20"/>
      <c r="U135" s="400"/>
      <c r="W135" s="8"/>
    </row>
    <row r="136" spans="1:25" ht="14" x14ac:dyDescent="0.3">
      <c r="A136" s="401" t="s">
        <v>32</v>
      </c>
      <c r="B136" s="402" t="s">
        <v>34</v>
      </c>
      <c r="C136" s="44">
        <v>9</v>
      </c>
      <c r="D136" s="338"/>
      <c r="E136" s="403">
        <f>3-1</f>
        <v>2</v>
      </c>
      <c r="F136" s="404"/>
      <c r="G136" s="20">
        <f t="shared" ref="G136:G171" si="43">ROUND(C136*E136*$G$132,2)</f>
        <v>37494</v>
      </c>
      <c r="H136" s="405"/>
      <c r="I136" s="405"/>
      <c r="J136" s="20"/>
      <c r="K136" s="405"/>
      <c r="L136" s="405">
        <f t="shared" si="40"/>
        <v>37494</v>
      </c>
      <c r="M136" s="20">
        <f t="shared" si="41"/>
        <v>8845</v>
      </c>
      <c r="N136" s="340"/>
      <c r="O136" s="342"/>
      <c r="P136" s="404"/>
      <c r="Q136" s="404"/>
      <c r="R136" s="340"/>
      <c r="S136" s="20">
        <f t="shared" si="42"/>
        <v>46339</v>
      </c>
      <c r="T136" s="405"/>
      <c r="U136" s="400"/>
      <c r="W136" s="8"/>
    </row>
    <row r="137" spans="1:25" ht="14" x14ac:dyDescent="0.3">
      <c r="A137" s="401" t="s">
        <v>32</v>
      </c>
      <c r="B137" s="402" t="s">
        <v>35</v>
      </c>
      <c r="C137" s="44">
        <v>9</v>
      </c>
      <c r="D137" s="406">
        <v>6</v>
      </c>
      <c r="E137" s="403">
        <f>15-6.5</f>
        <v>8.5</v>
      </c>
      <c r="F137" s="404"/>
      <c r="G137" s="20">
        <f t="shared" si="43"/>
        <v>159349.5</v>
      </c>
      <c r="H137" s="405">
        <f>ROUND(C137*E137*540,2)</f>
        <v>41310</v>
      </c>
      <c r="I137" s="405"/>
      <c r="J137" s="20"/>
      <c r="K137" s="405"/>
      <c r="L137" s="405">
        <f t="shared" si="40"/>
        <v>200660</v>
      </c>
      <c r="M137" s="20">
        <f t="shared" si="41"/>
        <v>47336</v>
      </c>
      <c r="N137" s="405">
        <v>3673</v>
      </c>
      <c r="O137" s="404">
        <v>306.08</v>
      </c>
      <c r="P137" s="404"/>
      <c r="Q137" s="404"/>
      <c r="R137" s="20">
        <f>ROUND(C137*D137*O137,)</f>
        <v>16528</v>
      </c>
      <c r="S137" s="20">
        <f t="shared" si="42"/>
        <v>247996</v>
      </c>
      <c r="T137" s="405"/>
      <c r="U137" s="400"/>
      <c r="W137" s="8"/>
    </row>
    <row r="138" spans="1:25" ht="14" x14ac:dyDescent="0.3">
      <c r="A138" s="407" t="s">
        <v>32</v>
      </c>
      <c r="B138" s="408" t="s">
        <v>36</v>
      </c>
      <c r="C138" s="85">
        <v>9</v>
      </c>
      <c r="D138" s="409">
        <v>2</v>
      </c>
      <c r="E138" s="410">
        <v>0.5</v>
      </c>
      <c r="F138" s="410"/>
      <c r="G138" s="89">
        <f t="shared" si="43"/>
        <v>9373.5</v>
      </c>
      <c r="H138" s="411"/>
      <c r="I138" s="411"/>
      <c r="J138" s="89"/>
      <c r="K138" s="411"/>
      <c r="L138" s="411">
        <f t="shared" si="40"/>
        <v>9374</v>
      </c>
      <c r="M138" s="89">
        <f t="shared" si="41"/>
        <v>2211</v>
      </c>
      <c r="N138" s="339">
        <v>3673</v>
      </c>
      <c r="O138" s="341">
        <v>306.08</v>
      </c>
      <c r="P138" s="410"/>
      <c r="Q138" s="410"/>
      <c r="R138" s="339">
        <f>ROUND(C138*D138*O138,)</f>
        <v>5509</v>
      </c>
      <c r="S138" s="20">
        <f t="shared" si="42"/>
        <v>11585</v>
      </c>
      <c r="T138" s="411"/>
      <c r="U138" s="400"/>
      <c r="W138" s="8"/>
    </row>
    <row r="139" spans="1:25" ht="14" x14ac:dyDescent="0.3">
      <c r="A139" s="401" t="s">
        <v>32</v>
      </c>
      <c r="B139" s="402" t="s">
        <v>37</v>
      </c>
      <c r="C139" s="44">
        <v>9</v>
      </c>
      <c r="D139" s="412"/>
      <c r="E139" s="404">
        <v>1.75</v>
      </c>
      <c r="F139" s="404"/>
      <c r="G139" s="20">
        <f t="shared" si="43"/>
        <v>32807.25</v>
      </c>
      <c r="H139" s="405">
        <f>ROUND(C139*E139*540,2)</f>
        <v>8505</v>
      </c>
      <c r="I139" s="405"/>
      <c r="J139" s="20"/>
      <c r="K139" s="405"/>
      <c r="L139" s="405">
        <f t="shared" si="40"/>
        <v>41312</v>
      </c>
      <c r="M139" s="20">
        <f t="shared" si="41"/>
        <v>9746</v>
      </c>
      <c r="N139" s="340"/>
      <c r="O139" s="342"/>
      <c r="P139" s="404"/>
      <c r="Q139" s="404"/>
      <c r="R139" s="340"/>
      <c r="S139" s="20">
        <f t="shared" si="42"/>
        <v>51058</v>
      </c>
      <c r="T139" s="405"/>
      <c r="U139" s="400"/>
      <c r="W139" s="8"/>
    </row>
    <row r="140" spans="1:25" s="28" customFormat="1" ht="15.75" customHeight="1" thickBot="1" x14ac:dyDescent="0.35">
      <c r="A140" s="413" t="s">
        <v>32</v>
      </c>
      <c r="B140" s="414" t="s">
        <v>38</v>
      </c>
      <c r="C140" s="250">
        <v>9</v>
      </c>
      <c r="D140" s="415"/>
      <c r="E140" s="416"/>
      <c r="F140" s="416"/>
      <c r="G140" s="252"/>
      <c r="H140" s="417"/>
      <c r="I140" s="417"/>
      <c r="J140" s="252"/>
      <c r="K140" s="417"/>
      <c r="L140" s="417"/>
      <c r="M140" s="252"/>
      <c r="N140" s="417"/>
      <c r="O140" s="416"/>
      <c r="P140" s="416"/>
      <c r="Q140" s="416"/>
      <c r="R140" s="252"/>
      <c r="S140" s="417"/>
      <c r="T140" s="417">
        <f>ROUND(T110/12*3,)</f>
        <v>0</v>
      </c>
      <c r="U140" s="418"/>
      <c r="V140" s="10"/>
      <c r="W140" s="8"/>
      <c r="X140" s="8"/>
      <c r="Y140" s="8"/>
    </row>
    <row r="141" spans="1:25" ht="14" x14ac:dyDescent="0.3">
      <c r="A141" s="419" t="s">
        <v>39</v>
      </c>
      <c r="B141" s="35" t="s">
        <v>54</v>
      </c>
      <c r="C141" s="36">
        <v>9</v>
      </c>
      <c r="D141" s="420">
        <v>4</v>
      </c>
      <c r="E141" s="421">
        <v>1</v>
      </c>
      <c r="F141" s="421"/>
      <c r="G141" s="38">
        <f t="shared" si="43"/>
        <v>18747</v>
      </c>
      <c r="H141" s="422"/>
      <c r="I141" s="422"/>
      <c r="J141" s="38"/>
      <c r="K141" s="422"/>
      <c r="L141" s="423">
        <f t="shared" ref="L141:L144" si="44">ROUND(G141+H141+I141+J141+K141,)</f>
        <v>18747</v>
      </c>
      <c r="M141" s="38">
        <f t="shared" si="41"/>
        <v>4422</v>
      </c>
      <c r="N141" s="423">
        <v>3673</v>
      </c>
      <c r="O141" s="421">
        <v>306.08</v>
      </c>
      <c r="P141" s="421"/>
      <c r="Q141" s="421"/>
      <c r="R141" s="38">
        <f>ROUND(C141*E141*O141,)</f>
        <v>2755</v>
      </c>
      <c r="S141" s="423">
        <f t="shared" ref="S141:S144" si="45">L141+M141</f>
        <v>23169</v>
      </c>
      <c r="T141" s="423"/>
      <c r="U141" s="424">
        <f>SUM(R141:T145)</f>
        <v>56134</v>
      </c>
      <c r="V141" s="67"/>
      <c r="W141" s="8"/>
    </row>
    <row r="142" spans="1:25" ht="14" x14ac:dyDescent="0.3">
      <c r="A142" s="425" t="s">
        <v>39</v>
      </c>
      <c r="B142" s="43" t="s">
        <v>33</v>
      </c>
      <c r="C142" s="44">
        <v>9</v>
      </c>
      <c r="D142" s="426"/>
      <c r="E142" s="404"/>
      <c r="F142" s="404">
        <v>1</v>
      </c>
      <c r="G142" s="20"/>
      <c r="H142" s="427"/>
      <c r="I142" s="427"/>
      <c r="J142" s="20">
        <f>ROUND(C142*F142*$J$132,2)</f>
        <v>11727</v>
      </c>
      <c r="K142" s="427"/>
      <c r="L142" s="405">
        <f t="shared" si="44"/>
        <v>11727</v>
      </c>
      <c r="M142" s="20">
        <f t="shared" si="41"/>
        <v>2766</v>
      </c>
      <c r="N142" s="405">
        <v>3673</v>
      </c>
      <c r="O142" s="404">
        <v>306.08</v>
      </c>
      <c r="P142" s="404"/>
      <c r="Q142" s="404"/>
      <c r="R142" s="20">
        <f>ROUND(C142*F142*O142,)</f>
        <v>2755</v>
      </c>
      <c r="S142" s="405">
        <f t="shared" si="45"/>
        <v>14493</v>
      </c>
      <c r="T142" s="405"/>
      <c r="U142" s="428"/>
      <c r="V142" s="41"/>
      <c r="W142" s="8"/>
    </row>
    <row r="143" spans="1:25" ht="14" x14ac:dyDescent="0.3">
      <c r="A143" s="425" t="s">
        <v>39</v>
      </c>
      <c r="B143" s="43" t="s">
        <v>34</v>
      </c>
      <c r="C143" s="44">
        <v>9</v>
      </c>
      <c r="D143" s="426"/>
      <c r="E143" s="404">
        <v>0.5</v>
      </c>
      <c r="F143" s="404"/>
      <c r="G143" s="20">
        <f t="shared" si="43"/>
        <v>9373.5</v>
      </c>
      <c r="H143" s="427"/>
      <c r="I143" s="427"/>
      <c r="J143" s="20"/>
      <c r="K143" s="427"/>
      <c r="L143" s="405">
        <f t="shared" si="44"/>
        <v>9374</v>
      </c>
      <c r="M143" s="20">
        <f t="shared" si="41"/>
        <v>2211</v>
      </c>
      <c r="N143" s="405">
        <v>3673</v>
      </c>
      <c r="O143" s="404">
        <v>306.08</v>
      </c>
      <c r="P143" s="404"/>
      <c r="Q143" s="404"/>
      <c r="R143" s="20">
        <f>ROUND(C143*E143*O143,)</f>
        <v>1377</v>
      </c>
      <c r="S143" s="405">
        <f t="shared" si="45"/>
        <v>11585</v>
      </c>
      <c r="T143" s="405"/>
      <c r="U143" s="428"/>
      <c r="W143" s="8"/>
    </row>
    <row r="144" spans="1:25" ht="14" x14ac:dyDescent="0.3">
      <c r="A144" s="425" t="s">
        <v>39</v>
      </c>
      <c r="B144" s="402" t="s">
        <v>35</v>
      </c>
      <c r="C144" s="44">
        <v>9</v>
      </c>
      <c r="D144" s="426"/>
      <c r="E144" s="403">
        <f>1-1</f>
        <v>0</v>
      </c>
      <c r="F144" s="404"/>
      <c r="G144" s="20">
        <f t="shared" si="43"/>
        <v>0</v>
      </c>
      <c r="H144" s="405">
        <f>ROUND(C144*E144*540,2)</f>
        <v>0</v>
      </c>
      <c r="I144" s="427"/>
      <c r="J144" s="20"/>
      <c r="K144" s="427"/>
      <c r="L144" s="405">
        <f t="shared" si="44"/>
        <v>0</v>
      </c>
      <c r="M144" s="20">
        <f t="shared" si="41"/>
        <v>0</v>
      </c>
      <c r="N144" s="405">
        <v>3673</v>
      </c>
      <c r="O144" s="404">
        <v>306.08</v>
      </c>
      <c r="P144" s="404"/>
      <c r="Q144" s="404"/>
      <c r="R144" s="20">
        <f>ROUND(C144*E144*O144,)</f>
        <v>0</v>
      </c>
      <c r="S144" s="405">
        <f t="shared" si="45"/>
        <v>0</v>
      </c>
      <c r="T144" s="405"/>
      <c r="U144" s="428"/>
      <c r="W144" s="8"/>
    </row>
    <row r="145" spans="1:24" thickBot="1" x14ac:dyDescent="0.35">
      <c r="A145" s="407" t="s">
        <v>39</v>
      </c>
      <c r="B145" s="408" t="s">
        <v>38</v>
      </c>
      <c r="C145" s="85">
        <v>9</v>
      </c>
      <c r="D145" s="426"/>
      <c r="E145" s="410"/>
      <c r="F145" s="410"/>
      <c r="G145" s="89"/>
      <c r="H145" s="429"/>
      <c r="I145" s="429"/>
      <c r="J145" s="89"/>
      <c r="K145" s="429"/>
      <c r="L145" s="411"/>
      <c r="M145" s="89"/>
      <c r="N145" s="411"/>
      <c r="O145" s="410"/>
      <c r="P145" s="410"/>
      <c r="Q145" s="410"/>
      <c r="R145" s="89"/>
      <c r="S145" s="411"/>
      <c r="T145" s="417">
        <f>ROUND(T114/12*3,)</f>
        <v>0</v>
      </c>
      <c r="U145" s="428"/>
      <c r="W145" s="8"/>
    </row>
    <row r="146" spans="1:24" ht="14" x14ac:dyDescent="0.3">
      <c r="A146" s="419" t="s">
        <v>40</v>
      </c>
      <c r="B146" s="35" t="s">
        <v>33</v>
      </c>
      <c r="C146" s="36">
        <v>9</v>
      </c>
      <c r="D146" s="420">
        <v>4</v>
      </c>
      <c r="E146" s="421"/>
      <c r="F146" s="430">
        <v>1</v>
      </c>
      <c r="G146" s="38"/>
      <c r="H146" s="422"/>
      <c r="I146" s="422"/>
      <c r="J146" s="38">
        <f>ROUND(C146*F146*$J$132,2)</f>
        <v>11727</v>
      </c>
      <c r="K146" s="422"/>
      <c r="L146" s="423">
        <f t="shared" ref="L146:L148" si="46">ROUND(G146+H146+I146+J146+K146,)</f>
        <v>11727</v>
      </c>
      <c r="M146" s="38">
        <f t="shared" si="41"/>
        <v>2766</v>
      </c>
      <c r="N146" s="431">
        <v>3673</v>
      </c>
      <c r="O146" s="432">
        <v>306.08</v>
      </c>
      <c r="P146" s="433"/>
      <c r="Q146" s="433"/>
      <c r="R146" s="352">
        <f>ROUND(C146*D146*O146,)</f>
        <v>11019</v>
      </c>
      <c r="S146" s="423">
        <f t="shared" ref="S146:S148" si="47">L146+M146</f>
        <v>14493</v>
      </c>
      <c r="T146" s="423"/>
      <c r="U146" s="424">
        <f>SUM(R146:T149)</f>
        <v>66273</v>
      </c>
      <c r="V146" s="67"/>
      <c r="W146" s="8"/>
    </row>
    <row r="147" spans="1:24" ht="14" x14ac:dyDescent="0.3">
      <c r="A147" s="425" t="s">
        <v>40</v>
      </c>
      <c r="B147" s="43" t="s">
        <v>34</v>
      </c>
      <c r="C147" s="44">
        <v>9</v>
      </c>
      <c r="D147" s="426"/>
      <c r="E147" s="404">
        <v>0.5</v>
      </c>
      <c r="F147" s="434"/>
      <c r="G147" s="20">
        <f t="shared" si="43"/>
        <v>9373.5</v>
      </c>
      <c r="H147" s="427"/>
      <c r="I147" s="427"/>
      <c r="J147" s="20"/>
      <c r="K147" s="427"/>
      <c r="L147" s="405">
        <f t="shared" si="46"/>
        <v>9374</v>
      </c>
      <c r="M147" s="20">
        <f t="shared" si="41"/>
        <v>2211</v>
      </c>
      <c r="N147" s="435"/>
      <c r="O147" s="436"/>
      <c r="P147" s="437"/>
      <c r="Q147" s="437"/>
      <c r="R147" s="353"/>
      <c r="S147" s="405">
        <f t="shared" si="47"/>
        <v>11585</v>
      </c>
      <c r="T147" s="405"/>
      <c r="U147" s="428"/>
      <c r="W147" s="8"/>
    </row>
    <row r="148" spans="1:24" ht="14" x14ac:dyDescent="0.3">
      <c r="A148" s="425" t="s">
        <v>40</v>
      </c>
      <c r="B148" s="402" t="s">
        <v>35</v>
      </c>
      <c r="C148" s="44">
        <v>9</v>
      </c>
      <c r="D148" s="426"/>
      <c r="E148" s="403">
        <f>3-2</f>
        <v>1</v>
      </c>
      <c r="F148" s="434"/>
      <c r="G148" s="20">
        <f t="shared" si="43"/>
        <v>18747</v>
      </c>
      <c r="H148" s="405">
        <f>ROUND(C148*E148*540,2)</f>
        <v>4860</v>
      </c>
      <c r="I148" s="427"/>
      <c r="J148" s="20"/>
      <c r="K148" s="427"/>
      <c r="L148" s="405">
        <f t="shared" si="46"/>
        <v>23607</v>
      </c>
      <c r="M148" s="20">
        <f t="shared" si="41"/>
        <v>5569</v>
      </c>
      <c r="N148" s="435"/>
      <c r="O148" s="436"/>
      <c r="P148" s="438"/>
      <c r="Q148" s="438"/>
      <c r="R148" s="353"/>
      <c r="S148" s="405">
        <f t="shared" si="47"/>
        <v>29176</v>
      </c>
      <c r="T148" s="405"/>
      <c r="U148" s="428"/>
      <c r="W148" s="8"/>
    </row>
    <row r="149" spans="1:24" thickBot="1" x14ac:dyDescent="0.35">
      <c r="A149" s="439" t="s">
        <v>40</v>
      </c>
      <c r="B149" s="440" t="s">
        <v>38</v>
      </c>
      <c r="C149" s="241">
        <v>9</v>
      </c>
      <c r="D149" s="441"/>
      <c r="E149" s="442"/>
      <c r="F149" s="443"/>
      <c r="G149" s="106"/>
      <c r="H149" s="444"/>
      <c r="I149" s="444"/>
      <c r="J149" s="106"/>
      <c r="K149" s="444"/>
      <c r="L149" s="445"/>
      <c r="M149" s="106"/>
      <c r="N149" s="446"/>
      <c r="O149" s="447"/>
      <c r="P149" s="448"/>
      <c r="Q149" s="448"/>
      <c r="R149" s="354"/>
      <c r="S149" s="445"/>
      <c r="T149" s="445">
        <f>ROUND(T118/12*3,)</f>
        <v>0</v>
      </c>
      <c r="U149" s="449"/>
      <c r="W149" s="8"/>
    </row>
    <row r="150" spans="1:24" ht="14" x14ac:dyDescent="0.3">
      <c r="A150" s="419" t="s">
        <v>55</v>
      </c>
      <c r="B150" s="35" t="s">
        <v>54</v>
      </c>
      <c r="C150" s="36">
        <v>9</v>
      </c>
      <c r="D150" s="420">
        <v>3</v>
      </c>
      <c r="E150" s="421">
        <v>1.5</v>
      </c>
      <c r="F150" s="421"/>
      <c r="G150" s="38">
        <f t="shared" si="43"/>
        <v>28120.5</v>
      </c>
      <c r="H150" s="422"/>
      <c r="I150" s="422"/>
      <c r="J150" s="38"/>
      <c r="K150" s="422"/>
      <c r="L150" s="423">
        <f t="shared" ref="L150:L171" si="48">ROUND(G150+H150+I150+J150+K150,)</f>
        <v>28121</v>
      </c>
      <c r="M150" s="38">
        <f t="shared" si="41"/>
        <v>6634</v>
      </c>
      <c r="N150" s="431">
        <v>3673</v>
      </c>
      <c r="O150" s="432">
        <v>306.08</v>
      </c>
      <c r="P150" s="433"/>
      <c r="Q150" s="433"/>
      <c r="R150" s="352">
        <f>ROUND(C150*D150*O150,)</f>
        <v>8264</v>
      </c>
      <c r="S150" s="423">
        <f t="shared" ref="S150:S171" si="49">L150+M150</f>
        <v>34755</v>
      </c>
      <c r="T150" s="423"/>
      <c r="U150" s="424">
        <f>SUM(R150:T153)</f>
        <v>134743</v>
      </c>
      <c r="V150" s="67"/>
      <c r="W150" s="8"/>
    </row>
    <row r="151" spans="1:24" ht="14" x14ac:dyDescent="0.3">
      <c r="A151" s="425" t="s">
        <v>55</v>
      </c>
      <c r="B151" s="43" t="s">
        <v>33</v>
      </c>
      <c r="C151" s="44">
        <v>9</v>
      </c>
      <c r="D151" s="426"/>
      <c r="E151" s="404"/>
      <c r="F151" s="404">
        <v>1</v>
      </c>
      <c r="G151" s="20"/>
      <c r="H151" s="427"/>
      <c r="I151" s="427"/>
      <c r="J151" s="20">
        <f>ROUND(C151*F151*$J$132,2)</f>
        <v>11727</v>
      </c>
      <c r="K151" s="427"/>
      <c r="L151" s="405">
        <f t="shared" si="48"/>
        <v>11727</v>
      </c>
      <c r="M151" s="20">
        <f t="shared" si="41"/>
        <v>2766</v>
      </c>
      <c r="N151" s="435"/>
      <c r="O151" s="436"/>
      <c r="P151" s="437"/>
      <c r="Q151" s="437"/>
      <c r="R151" s="353"/>
      <c r="S151" s="405">
        <f t="shared" si="49"/>
        <v>14493</v>
      </c>
      <c r="T151" s="405"/>
      <c r="U151" s="428"/>
      <c r="W151" s="8"/>
    </row>
    <row r="152" spans="1:24" ht="14" x14ac:dyDescent="0.3">
      <c r="A152" s="425" t="s">
        <v>55</v>
      </c>
      <c r="B152" s="43" t="s">
        <v>34</v>
      </c>
      <c r="C152" s="44">
        <v>9</v>
      </c>
      <c r="D152" s="426"/>
      <c r="E152" s="404">
        <v>0.5</v>
      </c>
      <c r="F152" s="404"/>
      <c r="G152" s="20">
        <f t="shared" si="43"/>
        <v>9373.5</v>
      </c>
      <c r="H152" s="427"/>
      <c r="I152" s="427"/>
      <c r="J152" s="20"/>
      <c r="K152" s="427"/>
      <c r="L152" s="405">
        <f t="shared" si="48"/>
        <v>9374</v>
      </c>
      <c r="M152" s="20">
        <f t="shared" si="41"/>
        <v>2211</v>
      </c>
      <c r="N152" s="435"/>
      <c r="O152" s="436"/>
      <c r="P152" s="438"/>
      <c r="Q152" s="438"/>
      <c r="R152" s="353"/>
      <c r="S152" s="405">
        <f t="shared" si="49"/>
        <v>11585</v>
      </c>
      <c r="T152" s="405"/>
      <c r="U152" s="428"/>
      <c r="W152" s="8"/>
    </row>
    <row r="153" spans="1:24" thickBot="1" x14ac:dyDescent="0.35">
      <c r="A153" s="450" t="s">
        <v>55</v>
      </c>
      <c r="B153" s="244" t="s">
        <v>35</v>
      </c>
      <c r="C153" s="55">
        <v>9</v>
      </c>
      <c r="D153" s="441"/>
      <c r="E153" s="451">
        <v>2.25</v>
      </c>
      <c r="F153" s="451"/>
      <c r="G153" s="58">
        <f t="shared" si="43"/>
        <v>42180.75</v>
      </c>
      <c r="H153" s="452">
        <f>ROUND(C153*E153*540,2)</f>
        <v>10935</v>
      </c>
      <c r="I153" s="452"/>
      <c r="J153" s="58"/>
      <c r="K153" s="452"/>
      <c r="L153" s="453">
        <f t="shared" si="48"/>
        <v>53116</v>
      </c>
      <c r="M153" s="58">
        <f t="shared" si="41"/>
        <v>12530</v>
      </c>
      <c r="N153" s="446"/>
      <c r="O153" s="447"/>
      <c r="P153" s="448"/>
      <c r="Q153" s="448"/>
      <c r="R153" s="354"/>
      <c r="S153" s="453">
        <f t="shared" si="49"/>
        <v>65646</v>
      </c>
      <c r="T153" s="453"/>
      <c r="U153" s="449"/>
      <c r="W153" s="8"/>
    </row>
    <row r="154" spans="1:24" ht="14" x14ac:dyDescent="0.3">
      <c r="A154" s="419" t="s">
        <v>56</v>
      </c>
      <c r="B154" s="35" t="s">
        <v>33</v>
      </c>
      <c r="C154" s="36">
        <v>9</v>
      </c>
      <c r="D154" s="420">
        <v>3</v>
      </c>
      <c r="E154" s="421"/>
      <c r="F154" s="421">
        <v>1</v>
      </c>
      <c r="G154" s="38"/>
      <c r="H154" s="422"/>
      <c r="I154" s="422"/>
      <c r="J154" s="38">
        <f>ROUND(C154*F154*$J$132,2)</f>
        <v>11727</v>
      </c>
      <c r="K154" s="422"/>
      <c r="L154" s="423">
        <f t="shared" si="48"/>
        <v>11727</v>
      </c>
      <c r="M154" s="38">
        <f t="shared" si="41"/>
        <v>2766</v>
      </c>
      <c r="N154" s="454">
        <v>3673</v>
      </c>
      <c r="O154" s="455">
        <v>306.08</v>
      </c>
      <c r="P154" s="456"/>
      <c r="Q154" s="456"/>
      <c r="R154" s="349">
        <f>ROUND(C154*D154*O154,)</f>
        <v>8264</v>
      </c>
      <c r="S154" s="423">
        <f t="shared" si="49"/>
        <v>14493</v>
      </c>
      <c r="T154" s="423"/>
      <c r="U154" s="424">
        <f>SUM(R154:T156)</f>
        <v>78106</v>
      </c>
      <c r="W154" s="8"/>
    </row>
    <row r="155" spans="1:24" ht="14" x14ac:dyDescent="0.3">
      <c r="A155" s="401" t="s">
        <v>56</v>
      </c>
      <c r="B155" s="402" t="s">
        <v>34</v>
      </c>
      <c r="C155" s="44">
        <v>9</v>
      </c>
      <c r="D155" s="426"/>
      <c r="E155" s="404">
        <v>0.5</v>
      </c>
      <c r="F155" s="404"/>
      <c r="G155" s="20">
        <f t="shared" si="43"/>
        <v>9373.5</v>
      </c>
      <c r="H155" s="405"/>
      <c r="I155" s="405"/>
      <c r="J155" s="20"/>
      <c r="K155" s="405"/>
      <c r="L155" s="405">
        <f t="shared" si="48"/>
        <v>9374</v>
      </c>
      <c r="M155" s="20">
        <f t="shared" si="41"/>
        <v>2211</v>
      </c>
      <c r="N155" s="457"/>
      <c r="O155" s="458"/>
      <c r="P155" s="459"/>
      <c r="Q155" s="459"/>
      <c r="R155" s="350"/>
      <c r="S155" s="20">
        <f t="shared" si="49"/>
        <v>11585</v>
      </c>
      <c r="T155" s="405"/>
      <c r="U155" s="428"/>
      <c r="W155" s="8"/>
    </row>
    <row r="156" spans="1:24" thickBot="1" x14ac:dyDescent="0.35">
      <c r="A156" s="450" t="s">
        <v>56</v>
      </c>
      <c r="B156" s="244" t="s">
        <v>35</v>
      </c>
      <c r="C156" s="55">
        <v>9</v>
      </c>
      <c r="D156" s="441"/>
      <c r="E156" s="460">
        <v>1.5</v>
      </c>
      <c r="F156" s="451"/>
      <c r="G156" s="58">
        <f t="shared" si="43"/>
        <v>28120.5</v>
      </c>
      <c r="H156" s="452">
        <f>ROUND(C156*E156*540,2)</f>
        <v>7290</v>
      </c>
      <c r="I156" s="452"/>
      <c r="J156" s="58"/>
      <c r="K156" s="452"/>
      <c r="L156" s="453">
        <f t="shared" si="48"/>
        <v>35411</v>
      </c>
      <c r="M156" s="58">
        <f t="shared" si="41"/>
        <v>8353</v>
      </c>
      <c r="N156" s="461"/>
      <c r="O156" s="462"/>
      <c r="P156" s="463"/>
      <c r="Q156" s="463"/>
      <c r="R156" s="351"/>
      <c r="S156" s="453">
        <f t="shared" si="49"/>
        <v>43764</v>
      </c>
      <c r="T156" s="453"/>
      <c r="U156" s="449"/>
      <c r="W156" s="8"/>
      <c r="X156" s="260"/>
    </row>
    <row r="157" spans="1:24" ht="14" x14ac:dyDescent="0.3">
      <c r="A157" s="419" t="s">
        <v>41</v>
      </c>
      <c r="B157" s="35" t="s">
        <v>54</v>
      </c>
      <c r="C157" s="36">
        <v>9</v>
      </c>
      <c r="D157" s="420">
        <v>4</v>
      </c>
      <c r="E157" s="421">
        <v>0.5</v>
      </c>
      <c r="F157" s="430"/>
      <c r="G157" s="38">
        <f t="shared" si="43"/>
        <v>9373.5</v>
      </c>
      <c r="H157" s="422"/>
      <c r="I157" s="422"/>
      <c r="J157" s="38"/>
      <c r="K157" s="422"/>
      <c r="L157" s="423">
        <f t="shared" si="48"/>
        <v>9374</v>
      </c>
      <c r="M157" s="38">
        <f t="shared" si="41"/>
        <v>2211</v>
      </c>
      <c r="N157" s="423">
        <v>3673</v>
      </c>
      <c r="O157" s="421">
        <v>306.08</v>
      </c>
      <c r="P157" s="421"/>
      <c r="Q157" s="421"/>
      <c r="R157" s="38">
        <f>ROUND(C157*E157*O157,)</f>
        <v>1377</v>
      </c>
      <c r="S157" s="423">
        <f t="shared" si="49"/>
        <v>11585</v>
      </c>
      <c r="T157" s="423"/>
      <c r="U157" s="424">
        <f>SUM(R157:T160)</f>
        <v>91068</v>
      </c>
      <c r="V157" s="67"/>
      <c r="W157" s="8"/>
    </row>
    <row r="158" spans="1:24" ht="14" x14ac:dyDescent="0.3">
      <c r="A158" s="425" t="s">
        <v>41</v>
      </c>
      <c r="B158" s="402" t="s">
        <v>33</v>
      </c>
      <c r="C158" s="44">
        <v>9</v>
      </c>
      <c r="D158" s="426"/>
      <c r="E158" s="404"/>
      <c r="F158" s="434">
        <v>1</v>
      </c>
      <c r="G158" s="20"/>
      <c r="H158" s="405"/>
      <c r="I158" s="427"/>
      <c r="J158" s="20">
        <f>ROUND(C158*F158*$J$132,2)</f>
        <v>11727</v>
      </c>
      <c r="K158" s="427"/>
      <c r="L158" s="405">
        <f t="shared" si="48"/>
        <v>11727</v>
      </c>
      <c r="M158" s="20">
        <f t="shared" si="41"/>
        <v>2766</v>
      </c>
      <c r="N158" s="405">
        <v>3673</v>
      </c>
      <c r="O158" s="404">
        <v>306.08</v>
      </c>
      <c r="P158" s="404"/>
      <c r="Q158" s="404"/>
      <c r="R158" s="20">
        <f>ROUND(C158*F158*O158,)</f>
        <v>2755</v>
      </c>
      <c r="S158" s="405">
        <f t="shared" si="49"/>
        <v>14493</v>
      </c>
      <c r="T158" s="405"/>
      <c r="U158" s="428"/>
      <c r="W158" s="8"/>
    </row>
    <row r="159" spans="1:24" ht="14" x14ac:dyDescent="0.3">
      <c r="A159" s="425" t="s">
        <v>41</v>
      </c>
      <c r="B159" s="43" t="s">
        <v>34</v>
      </c>
      <c r="C159" s="44">
        <v>9</v>
      </c>
      <c r="D159" s="426"/>
      <c r="E159" s="404">
        <v>0.5</v>
      </c>
      <c r="F159" s="434"/>
      <c r="G159" s="20">
        <f t="shared" si="43"/>
        <v>9373.5</v>
      </c>
      <c r="H159" s="427"/>
      <c r="I159" s="427"/>
      <c r="J159" s="20"/>
      <c r="K159" s="427"/>
      <c r="L159" s="405">
        <f t="shared" si="48"/>
        <v>9374</v>
      </c>
      <c r="M159" s="20">
        <f t="shared" si="41"/>
        <v>2211</v>
      </c>
      <c r="N159" s="405">
        <v>3673</v>
      </c>
      <c r="O159" s="404">
        <v>306.08</v>
      </c>
      <c r="P159" s="404"/>
      <c r="Q159" s="404"/>
      <c r="R159" s="20">
        <f>ROUND(C159*E159*O159,)</f>
        <v>1377</v>
      </c>
      <c r="S159" s="405">
        <f t="shared" si="49"/>
        <v>11585</v>
      </c>
      <c r="T159" s="405"/>
      <c r="U159" s="428"/>
      <c r="W159" s="8"/>
    </row>
    <row r="160" spans="1:24" thickBot="1" x14ac:dyDescent="0.35">
      <c r="A160" s="450" t="s">
        <v>41</v>
      </c>
      <c r="B160" s="464" t="s">
        <v>35</v>
      </c>
      <c r="C160" s="55">
        <v>9</v>
      </c>
      <c r="D160" s="441"/>
      <c r="E160" s="451">
        <v>1.5</v>
      </c>
      <c r="F160" s="460"/>
      <c r="G160" s="58">
        <f t="shared" si="43"/>
        <v>28120.5</v>
      </c>
      <c r="H160" s="58">
        <f>ROUND(C160*E160*540,2)</f>
        <v>7290</v>
      </c>
      <c r="I160" s="452"/>
      <c r="J160" s="58"/>
      <c r="K160" s="452"/>
      <c r="L160" s="453">
        <f t="shared" si="48"/>
        <v>35411</v>
      </c>
      <c r="M160" s="58">
        <f t="shared" si="41"/>
        <v>8353</v>
      </c>
      <c r="N160" s="453">
        <v>3673</v>
      </c>
      <c r="O160" s="451">
        <v>306.08</v>
      </c>
      <c r="P160" s="451"/>
      <c r="Q160" s="451"/>
      <c r="R160" s="20">
        <f>ROUND(C160*E160*O160,)</f>
        <v>4132</v>
      </c>
      <c r="S160" s="453">
        <f t="shared" si="49"/>
        <v>43764</v>
      </c>
      <c r="T160" s="453"/>
      <c r="U160" s="449"/>
      <c r="V160" s="67"/>
      <c r="W160" s="8"/>
    </row>
    <row r="161" spans="1:23" ht="14" x14ac:dyDescent="0.3">
      <c r="A161" s="419" t="s">
        <v>42</v>
      </c>
      <c r="B161" s="465" t="s">
        <v>34</v>
      </c>
      <c r="C161" s="36">
        <v>9</v>
      </c>
      <c r="D161" s="420">
        <v>3</v>
      </c>
      <c r="E161" s="421">
        <v>0.5</v>
      </c>
      <c r="F161" s="430"/>
      <c r="G161" s="38">
        <f t="shared" si="43"/>
        <v>9373.5</v>
      </c>
      <c r="H161" s="38"/>
      <c r="I161" s="422"/>
      <c r="J161" s="38"/>
      <c r="K161" s="422"/>
      <c r="L161" s="423">
        <f t="shared" si="48"/>
        <v>9374</v>
      </c>
      <c r="M161" s="38">
        <f t="shared" si="41"/>
        <v>2211</v>
      </c>
      <c r="N161" s="423">
        <v>3673</v>
      </c>
      <c r="O161" s="421">
        <v>306.08</v>
      </c>
      <c r="P161" s="421"/>
      <c r="Q161" s="421"/>
      <c r="R161" s="38">
        <f>ROUND(C161*E161*O161,)</f>
        <v>1377</v>
      </c>
      <c r="S161" s="423">
        <f t="shared" si="49"/>
        <v>11585</v>
      </c>
      <c r="T161" s="423"/>
      <c r="U161" s="424">
        <f>SUM(R161:T163)</f>
        <v>76824</v>
      </c>
      <c r="W161" s="8"/>
    </row>
    <row r="162" spans="1:23" ht="14" x14ac:dyDescent="0.3">
      <c r="A162" s="425" t="s">
        <v>42</v>
      </c>
      <c r="B162" s="402" t="s">
        <v>35</v>
      </c>
      <c r="C162" s="44">
        <v>9</v>
      </c>
      <c r="D162" s="426"/>
      <c r="E162" s="404">
        <v>1.75</v>
      </c>
      <c r="F162" s="434"/>
      <c r="G162" s="20">
        <f t="shared" si="43"/>
        <v>32807.25</v>
      </c>
      <c r="H162" s="20">
        <f>ROUND(C162*E162*540,2)</f>
        <v>8505</v>
      </c>
      <c r="I162" s="427"/>
      <c r="J162" s="20"/>
      <c r="K162" s="427"/>
      <c r="L162" s="405">
        <f t="shared" si="48"/>
        <v>41312</v>
      </c>
      <c r="M162" s="20">
        <f t="shared" si="41"/>
        <v>9746</v>
      </c>
      <c r="N162" s="405">
        <v>3673</v>
      </c>
      <c r="O162" s="404">
        <v>306.08</v>
      </c>
      <c r="P162" s="404"/>
      <c r="Q162" s="404"/>
      <c r="R162" s="20">
        <f>ROUND(C162*E162*O162,)</f>
        <v>4821</v>
      </c>
      <c r="S162" s="405">
        <f t="shared" si="49"/>
        <v>51058</v>
      </c>
      <c r="T162" s="405"/>
      <c r="U162" s="428"/>
      <c r="V162" s="67"/>
      <c r="W162" s="8"/>
    </row>
    <row r="163" spans="1:23" thickBot="1" x14ac:dyDescent="0.35">
      <c r="A163" s="450" t="s">
        <v>42</v>
      </c>
      <c r="B163" s="464" t="s">
        <v>37</v>
      </c>
      <c r="C163" s="55">
        <v>9</v>
      </c>
      <c r="D163" s="441"/>
      <c r="E163" s="451">
        <v>0.25</v>
      </c>
      <c r="F163" s="460"/>
      <c r="G163" s="58">
        <f t="shared" si="43"/>
        <v>4686.75</v>
      </c>
      <c r="H163" s="58">
        <f>ROUND(C163*E163*540,2)</f>
        <v>1215</v>
      </c>
      <c r="I163" s="452"/>
      <c r="J163" s="58"/>
      <c r="K163" s="452"/>
      <c r="L163" s="453">
        <f t="shared" si="48"/>
        <v>5902</v>
      </c>
      <c r="M163" s="58">
        <f t="shared" si="41"/>
        <v>1392</v>
      </c>
      <c r="N163" s="453">
        <v>3673</v>
      </c>
      <c r="O163" s="451">
        <v>306.08</v>
      </c>
      <c r="P163" s="451"/>
      <c r="Q163" s="451"/>
      <c r="R163" s="58">
        <f>ROUND(C163*E163*O163,)</f>
        <v>689</v>
      </c>
      <c r="S163" s="453">
        <f t="shared" si="49"/>
        <v>7294</v>
      </c>
      <c r="T163" s="453"/>
      <c r="U163" s="449"/>
      <c r="V163" s="67"/>
      <c r="W163" s="8"/>
    </row>
    <row r="164" spans="1:23" ht="14" x14ac:dyDescent="0.3">
      <c r="A164" s="419" t="s">
        <v>57</v>
      </c>
      <c r="B164" s="465" t="s">
        <v>58</v>
      </c>
      <c r="C164" s="36">
        <v>9</v>
      </c>
      <c r="D164" s="420">
        <v>4</v>
      </c>
      <c r="E164" s="421"/>
      <c r="F164" s="430">
        <v>1</v>
      </c>
      <c r="G164" s="38"/>
      <c r="H164" s="38"/>
      <c r="I164" s="422"/>
      <c r="J164" s="38">
        <f>ROUND(C164*F164*$J$132,2)</f>
        <v>11727</v>
      </c>
      <c r="K164" s="422"/>
      <c r="L164" s="423">
        <f t="shared" si="48"/>
        <v>11727</v>
      </c>
      <c r="M164" s="38">
        <f t="shared" si="41"/>
        <v>2766</v>
      </c>
      <c r="N164" s="431">
        <v>3673</v>
      </c>
      <c r="O164" s="432">
        <v>306.08</v>
      </c>
      <c r="P164" s="433"/>
      <c r="Q164" s="433"/>
      <c r="R164" s="352">
        <f>ROUND(C164*D164*O164,)</f>
        <v>11019</v>
      </c>
      <c r="S164" s="423">
        <f t="shared" si="49"/>
        <v>14493</v>
      </c>
      <c r="T164" s="423"/>
      <c r="U164" s="424">
        <f>SUM(R164:T167)</f>
        <v>159378</v>
      </c>
      <c r="V164" s="67"/>
      <c r="W164" s="8"/>
    </row>
    <row r="165" spans="1:23" ht="14" x14ac:dyDescent="0.3">
      <c r="A165" s="425" t="s">
        <v>57</v>
      </c>
      <c r="B165" s="402" t="s">
        <v>34</v>
      </c>
      <c r="C165" s="44">
        <v>9</v>
      </c>
      <c r="D165" s="426"/>
      <c r="E165" s="404">
        <v>1</v>
      </c>
      <c r="F165" s="434"/>
      <c r="G165" s="20">
        <f t="shared" si="43"/>
        <v>18747</v>
      </c>
      <c r="H165" s="20"/>
      <c r="I165" s="427"/>
      <c r="J165" s="20"/>
      <c r="K165" s="427"/>
      <c r="L165" s="405">
        <f t="shared" si="48"/>
        <v>18747</v>
      </c>
      <c r="M165" s="20">
        <f t="shared" si="41"/>
        <v>4422</v>
      </c>
      <c r="N165" s="435"/>
      <c r="O165" s="436"/>
      <c r="P165" s="437"/>
      <c r="Q165" s="437"/>
      <c r="R165" s="353"/>
      <c r="S165" s="405">
        <f t="shared" si="49"/>
        <v>23169</v>
      </c>
      <c r="T165" s="405"/>
      <c r="U165" s="428"/>
      <c r="V165" s="67"/>
      <c r="W165" s="8"/>
    </row>
    <row r="166" spans="1:23" ht="14" x14ac:dyDescent="0.3">
      <c r="A166" s="425" t="s">
        <v>57</v>
      </c>
      <c r="B166" s="402" t="s">
        <v>59</v>
      </c>
      <c r="C166" s="44">
        <v>9</v>
      </c>
      <c r="D166" s="426"/>
      <c r="E166" s="404">
        <v>3</v>
      </c>
      <c r="F166" s="434"/>
      <c r="G166" s="20">
        <f t="shared" si="43"/>
        <v>56241</v>
      </c>
      <c r="H166" s="20">
        <f>ROUND(C166*E166*540,2)</f>
        <v>14580</v>
      </c>
      <c r="I166" s="427"/>
      <c r="J166" s="20"/>
      <c r="K166" s="427"/>
      <c r="L166" s="405">
        <f t="shared" si="48"/>
        <v>70821</v>
      </c>
      <c r="M166" s="20">
        <f t="shared" si="41"/>
        <v>16707</v>
      </c>
      <c r="N166" s="435"/>
      <c r="O166" s="436"/>
      <c r="P166" s="438"/>
      <c r="Q166" s="438"/>
      <c r="R166" s="353"/>
      <c r="S166" s="405">
        <f t="shared" si="49"/>
        <v>87528</v>
      </c>
      <c r="T166" s="405"/>
      <c r="U166" s="428"/>
      <c r="V166" s="67"/>
      <c r="W166" s="8"/>
    </row>
    <row r="167" spans="1:23" thickBot="1" x14ac:dyDescent="0.35">
      <c r="A167" s="450" t="s">
        <v>57</v>
      </c>
      <c r="B167" s="464" t="s">
        <v>53</v>
      </c>
      <c r="C167" s="55">
        <v>9</v>
      </c>
      <c r="D167" s="441"/>
      <c r="E167" s="451">
        <v>1</v>
      </c>
      <c r="F167" s="460"/>
      <c r="G167" s="58">
        <f t="shared" si="43"/>
        <v>18747</v>
      </c>
      <c r="H167" s="58"/>
      <c r="I167" s="452"/>
      <c r="J167" s="58"/>
      <c r="K167" s="452"/>
      <c r="L167" s="453">
        <f t="shared" si="48"/>
        <v>18747</v>
      </c>
      <c r="M167" s="58">
        <f t="shared" si="41"/>
        <v>4422</v>
      </c>
      <c r="N167" s="446"/>
      <c r="O167" s="447"/>
      <c r="P167" s="448"/>
      <c r="Q167" s="448"/>
      <c r="R167" s="354"/>
      <c r="S167" s="453">
        <f t="shared" si="49"/>
        <v>23169</v>
      </c>
      <c r="T167" s="453"/>
      <c r="U167" s="449"/>
      <c r="V167" s="67"/>
      <c r="W167" s="8"/>
    </row>
    <row r="168" spans="1:23" ht="14" x14ac:dyDescent="0.3">
      <c r="A168" s="419" t="s">
        <v>60</v>
      </c>
      <c r="B168" s="465" t="s">
        <v>58</v>
      </c>
      <c r="C168" s="36">
        <v>9</v>
      </c>
      <c r="D168" s="420">
        <v>4</v>
      </c>
      <c r="E168" s="421"/>
      <c r="F168" s="430">
        <v>1</v>
      </c>
      <c r="G168" s="38"/>
      <c r="H168" s="38"/>
      <c r="I168" s="422"/>
      <c r="J168" s="38">
        <f>ROUND(C168*F168*$J$132,2)</f>
        <v>11727</v>
      </c>
      <c r="K168" s="422"/>
      <c r="L168" s="423">
        <f t="shared" si="48"/>
        <v>11727</v>
      </c>
      <c r="M168" s="38">
        <f t="shared" si="41"/>
        <v>2766</v>
      </c>
      <c r="N168" s="431">
        <v>3673</v>
      </c>
      <c r="O168" s="432">
        <v>306.08</v>
      </c>
      <c r="P168" s="433"/>
      <c r="Q168" s="433"/>
      <c r="R168" s="352">
        <f>ROUND(C168*D168*O168,)</f>
        <v>11019</v>
      </c>
      <c r="S168" s="423">
        <f t="shared" si="49"/>
        <v>14493</v>
      </c>
      <c r="T168" s="423"/>
      <c r="U168" s="424">
        <f>SUM(R168:T171)</f>
        <v>159378</v>
      </c>
      <c r="V168" s="67"/>
      <c r="W168" s="8"/>
    </row>
    <row r="169" spans="1:23" ht="14" x14ac:dyDescent="0.3">
      <c r="A169" s="425" t="s">
        <v>60</v>
      </c>
      <c r="B169" s="402" t="s">
        <v>34</v>
      </c>
      <c r="C169" s="44">
        <v>9</v>
      </c>
      <c r="D169" s="426"/>
      <c r="E169" s="404">
        <v>1</v>
      </c>
      <c r="F169" s="434"/>
      <c r="G169" s="20">
        <f t="shared" si="43"/>
        <v>18747</v>
      </c>
      <c r="H169" s="20"/>
      <c r="I169" s="427"/>
      <c r="J169" s="20"/>
      <c r="K169" s="427"/>
      <c r="L169" s="405">
        <f t="shared" si="48"/>
        <v>18747</v>
      </c>
      <c r="M169" s="20">
        <f t="shared" si="41"/>
        <v>4422</v>
      </c>
      <c r="N169" s="435"/>
      <c r="O169" s="436"/>
      <c r="P169" s="437"/>
      <c r="Q169" s="437"/>
      <c r="R169" s="353"/>
      <c r="S169" s="405">
        <f t="shared" si="49"/>
        <v>23169</v>
      </c>
      <c r="T169" s="405"/>
      <c r="U169" s="428"/>
      <c r="V169" s="67"/>
      <c r="W169" s="8"/>
    </row>
    <row r="170" spans="1:23" ht="14" x14ac:dyDescent="0.3">
      <c r="A170" s="425" t="s">
        <v>60</v>
      </c>
      <c r="B170" s="402" t="s">
        <v>59</v>
      </c>
      <c r="C170" s="44">
        <v>9</v>
      </c>
      <c r="D170" s="426"/>
      <c r="E170" s="404">
        <v>3</v>
      </c>
      <c r="F170" s="434"/>
      <c r="G170" s="20">
        <f t="shared" si="43"/>
        <v>56241</v>
      </c>
      <c r="H170" s="20">
        <f>ROUND(C170*E170*540,2)</f>
        <v>14580</v>
      </c>
      <c r="I170" s="427"/>
      <c r="J170" s="20"/>
      <c r="K170" s="427"/>
      <c r="L170" s="405">
        <f t="shared" si="48"/>
        <v>70821</v>
      </c>
      <c r="M170" s="20">
        <f t="shared" si="41"/>
        <v>16707</v>
      </c>
      <c r="N170" s="435"/>
      <c r="O170" s="436"/>
      <c r="P170" s="438"/>
      <c r="Q170" s="438"/>
      <c r="R170" s="353"/>
      <c r="S170" s="405">
        <f t="shared" si="49"/>
        <v>87528</v>
      </c>
      <c r="T170" s="405"/>
      <c r="U170" s="428"/>
      <c r="V170" s="67"/>
      <c r="W170" s="8"/>
    </row>
    <row r="171" spans="1:23" thickBot="1" x14ac:dyDescent="0.35">
      <c r="A171" s="466" t="s">
        <v>60</v>
      </c>
      <c r="B171" s="440" t="s">
        <v>53</v>
      </c>
      <c r="C171" s="241">
        <v>9</v>
      </c>
      <c r="D171" s="441"/>
      <c r="E171" s="442">
        <v>1</v>
      </c>
      <c r="F171" s="442"/>
      <c r="G171" s="106">
        <f t="shared" si="43"/>
        <v>18747</v>
      </c>
      <c r="H171" s="445"/>
      <c r="I171" s="445"/>
      <c r="J171" s="106"/>
      <c r="K171" s="445"/>
      <c r="L171" s="445">
        <f t="shared" si="48"/>
        <v>18747</v>
      </c>
      <c r="M171" s="106">
        <f t="shared" si="41"/>
        <v>4422</v>
      </c>
      <c r="N171" s="446"/>
      <c r="O171" s="447"/>
      <c r="P171" s="448"/>
      <c r="Q171" s="448"/>
      <c r="R171" s="354"/>
      <c r="S171" s="106">
        <f t="shared" si="49"/>
        <v>23169</v>
      </c>
      <c r="T171" s="445"/>
      <c r="U171" s="449"/>
      <c r="V171" s="67"/>
      <c r="W171" s="8"/>
    </row>
    <row r="172" spans="1:23" s="115" customFormat="1" ht="17.25" customHeight="1" x14ac:dyDescent="0.35">
      <c r="A172" s="467"/>
      <c r="B172" s="468"/>
      <c r="C172" s="469"/>
      <c r="D172" s="258">
        <f>SUM(D134:D171)</f>
        <v>43</v>
      </c>
      <c r="E172" s="110">
        <f>SUM(E134:E171)</f>
        <v>42.25</v>
      </c>
      <c r="F172" s="110">
        <f>SUM(F134:F171)</f>
        <v>8</v>
      </c>
      <c r="G172" s="469"/>
      <c r="H172" s="470"/>
      <c r="I172" s="470"/>
      <c r="J172" s="469"/>
      <c r="K172" s="470"/>
      <c r="L172" s="471" t="s">
        <v>169</v>
      </c>
      <c r="M172" s="472"/>
      <c r="N172" s="472"/>
      <c r="O172" s="472"/>
      <c r="P172" s="472"/>
      <c r="Q172" s="472"/>
      <c r="R172" s="472"/>
      <c r="S172" s="472"/>
      <c r="T172" s="473"/>
      <c r="U172" s="112">
        <f>SUM(U134:U171)</f>
        <v>1353580</v>
      </c>
      <c r="V172" s="114"/>
    </row>
    <row r="173" spans="1:23" ht="14" x14ac:dyDescent="0.3">
      <c r="A173" s="474"/>
      <c r="B173" s="475"/>
      <c r="C173" s="393"/>
      <c r="D173" s="290"/>
      <c r="E173" s="290">
        <f>E172+E126</f>
        <v>52.75</v>
      </c>
      <c r="F173" s="290">
        <f>F172+F126</f>
        <v>9.5</v>
      </c>
      <c r="G173" s="8"/>
      <c r="H173" s="290"/>
      <c r="I173" s="476"/>
      <c r="J173" s="393"/>
      <c r="K173" s="476"/>
      <c r="L173" s="290"/>
      <c r="M173" s="393"/>
      <c r="N173" s="290"/>
      <c r="O173" s="290"/>
      <c r="P173" s="290"/>
      <c r="Q173" s="290"/>
      <c r="R173" s="393"/>
      <c r="S173" s="290"/>
      <c r="T173" s="291" t="s">
        <v>75</v>
      </c>
      <c r="U173" s="292">
        <v>83088.1875</v>
      </c>
      <c r="W173" s="285"/>
    </row>
    <row r="174" spans="1:23" s="115" customFormat="1" ht="15" customHeight="1" x14ac:dyDescent="0.35">
      <c r="A174" s="11"/>
      <c r="B174" s="477"/>
      <c r="C174" s="11"/>
      <c r="D174" s="11"/>
      <c r="E174" s="110"/>
      <c r="F174" s="110"/>
      <c r="G174" s="393">
        <f>E173+F173</f>
        <v>62.25</v>
      </c>
      <c r="H174" s="11"/>
      <c r="I174" s="11"/>
      <c r="J174" s="11"/>
      <c r="K174" s="11"/>
      <c r="L174" s="11"/>
      <c r="M174" s="11"/>
      <c r="N174" s="391"/>
      <c r="O174" s="391"/>
      <c r="P174" s="391"/>
      <c r="Q174" s="391"/>
      <c r="R174" s="391"/>
      <c r="S174" s="391"/>
      <c r="T174" s="392" t="s">
        <v>76</v>
      </c>
      <c r="U174" s="289">
        <v>437</v>
      </c>
    </row>
    <row r="175" spans="1:23" ht="17.25" customHeight="1" x14ac:dyDescent="0.3">
      <c r="E175" s="99"/>
      <c r="F175" s="99"/>
      <c r="G175" s="99"/>
      <c r="V175" s="67"/>
      <c r="W175" s="8"/>
    </row>
    <row r="176" spans="1:23" ht="18.75" customHeight="1" x14ac:dyDescent="0.3">
      <c r="E176" s="99"/>
      <c r="F176" s="99"/>
      <c r="G176" s="99"/>
      <c r="H176" s="125"/>
      <c r="I176" s="125"/>
      <c r="J176" s="126"/>
      <c r="K176" s="126"/>
      <c r="L176" s="313" t="s">
        <v>77</v>
      </c>
      <c r="M176" s="313"/>
      <c r="N176" s="313"/>
      <c r="O176" s="313"/>
      <c r="P176" s="313"/>
      <c r="Q176" s="313"/>
      <c r="R176" s="313"/>
      <c r="S176" s="313"/>
      <c r="T176" s="313"/>
      <c r="U176" s="293">
        <f>U172-U173-U174</f>
        <v>1270054.8125</v>
      </c>
      <c r="V176" s="9"/>
      <c r="W176" s="8"/>
    </row>
    <row r="177" spans="2:23" ht="15" customHeight="1" x14ac:dyDescent="0.3">
      <c r="F177" s="124"/>
      <c r="G177" s="125"/>
      <c r="H177" s="125"/>
      <c r="I177" s="125"/>
      <c r="J177" s="126"/>
      <c r="K177" s="126"/>
      <c r="M177" s="9"/>
      <c r="N177" s="9"/>
      <c r="O177" s="8"/>
      <c r="P177" s="8"/>
      <c r="Q177" s="8"/>
      <c r="R177" s="8"/>
      <c r="S177" s="8"/>
      <c r="T177" s="8"/>
      <c r="U177" s="237"/>
      <c r="V177" s="8"/>
      <c r="W177" s="8"/>
    </row>
    <row r="178" spans="2:23" ht="14" x14ac:dyDescent="0.3">
      <c r="T178" s="127"/>
      <c r="V178" s="67"/>
      <c r="W178" s="8"/>
    </row>
    <row r="179" spans="2:23" ht="14" x14ac:dyDescent="0.3">
      <c r="V179" s="67"/>
      <c r="W179" s="8"/>
    </row>
    <row r="180" spans="2:23" ht="14" x14ac:dyDescent="0.3">
      <c r="V180" s="67"/>
      <c r="W180" s="8"/>
    </row>
    <row r="181" spans="2:23" s="7" customFormat="1" ht="14" x14ac:dyDescent="0.3">
      <c r="B181" s="8"/>
      <c r="V181" s="120"/>
    </row>
    <row r="182" spans="2:23" ht="14" x14ac:dyDescent="0.3">
      <c r="V182" s="67"/>
      <c r="W182" s="8"/>
    </row>
    <row r="183" spans="2:23" ht="14" x14ac:dyDescent="0.3">
      <c r="V183" s="67"/>
      <c r="W183" s="8"/>
    </row>
    <row r="184" spans="2:23" ht="14" x14ac:dyDescent="0.3">
      <c r="V184" s="67"/>
      <c r="W184" s="8"/>
    </row>
    <row r="185" spans="2:23" ht="14" x14ac:dyDescent="0.3">
      <c r="V185" s="67"/>
      <c r="W185" s="8"/>
    </row>
    <row r="186" spans="2:23" ht="14" x14ac:dyDescent="0.3">
      <c r="M186" s="8"/>
      <c r="N186" s="8"/>
      <c r="O186" s="8"/>
      <c r="P186" s="8"/>
      <c r="Q186" s="8"/>
      <c r="R186" s="8"/>
      <c r="S186" s="8"/>
      <c r="T186" s="8"/>
      <c r="U186" s="8"/>
      <c r="V186" s="8"/>
      <c r="W186" s="8"/>
    </row>
    <row r="187" spans="2:23" ht="30" customHeight="1" x14ac:dyDescent="0.3">
      <c r="M187" s="8"/>
      <c r="N187" s="8"/>
      <c r="O187" s="8"/>
      <c r="P187" s="8"/>
      <c r="Q187" s="8"/>
      <c r="R187" s="8"/>
      <c r="S187" s="8"/>
      <c r="T187" s="8"/>
      <c r="U187" s="8"/>
      <c r="V187" s="8"/>
      <c r="W187" s="8"/>
    </row>
    <row r="188" spans="2:23" ht="14" x14ac:dyDescent="0.3">
      <c r="W188" s="8"/>
    </row>
    <row r="189" spans="2:23" ht="14" x14ac:dyDescent="0.3">
      <c r="V189" s="128"/>
      <c r="W189" s="8"/>
    </row>
    <row r="190" spans="2:23" ht="14" x14ac:dyDescent="0.3">
      <c r="W190" s="8"/>
    </row>
    <row r="191" spans="2:23" ht="14" x14ac:dyDescent="0.3">
      <c r="W191" s="8"/>
    </row>
    <row r="192" spans="2:23" ht="14" x14ac:dyDescent="0.3">
      <c r="W192" s="8"/>
    </row>
    <row r="193" spans="23:23" ht="14" x14ac:dyDescent="0.3">
      <c r="W193" s="8"/>
    </row>
    <row r="194" spans="23:23" ht="14" x14ac:dyDescent="0.3">
      <c r="W194" s="8"/>
    </row>
    <row r="195" spans="23:23" ht="14" x14ac:dyDescent="0.3">
      <c r="W195" s="8"/>
    </row>
    <row r="196" spans="23:23" ht="14" x14ac:dyDescent="0.3">
      <c r="W196" s="8"/>
    </row>
    <row r="197" spans="23:23" ht="14" x14ac:dyDescent="0.3">
      <c r="W197" s="8"/>
    </row>
    <row r="198" spans="23:23" ht="14" x14ac:dyDescent="0.3">
      <c r="W198" s="8"/>
    </row>
    <row r="200" spans="23:23" ht="14" x14ac:dyDescent="0.3">
      <c r="W200" s="8"/>
    </row>
    <row r="201" spans="23:23" ht="14" x14ac:dyDescent="0.3">
      <c r="W201" s="8"/>
    </row>
  </sheetData>
  <mergeCells count="128">
    <mergeCell ref="N81:T81"/>
    <mergeCell ref="G39:M39"/>
    <mergeCell ref="R138:R139"/>
    <mergeCell ref="N138:N139"/>
    <mergeCell ref="O138:O139"/>
    <mergeCell ref="D138:D139"/>
    <mergeCell ref="G84:M84"/>
    <mergeCell ref="G131:M131"/>
    <mergeCell ref="U134:U140"/>
    <mergeCell ref="D135:D136"/>
    <mergeCell ref="N135:N136"/>
    <mergeCell ref="O135:O136"/>
    <mergeCell ref="R135:R136"/>
    <mergeCell ref="D94:D98"/>
    <mergeCell ref="U94:U98"/>
    <mergeCell ref="D99:D103"/>
    <mergeCell ref="N99:N103"/>
    <mergeCell ref="O99:O103"/>
    <mergeCell ref="R99:R103"/>
    <mergeCell ref="U99:U103"/>
    <mergeCell ref="U87:U93"/>
    <mergeCell ref="N88:N89"/>
    <mergeCell ref="O88:O89"/>
    <mergeCell ref="D115:D117"/>
    <mergeCell ref="U115:U117"/>
    <mergeCell ref="O164:O167"/>
    <mergeCell ref="R164:R167"/>
    <mergeCell ref="U164:U167"/>
    <mergeCell ref="D168:D171"/>
    <mergeCell ref="N168:N171"/>
    <mergeCell ref="O168:O171"/>
    <mergeCell ref="R168:R171"/>
    <mergeCell ref="U168:U171"/>
    <mergeCell ref="R150:R153"/>
    <mergeCell ref="U150:U153"/>
    <mergeCell ref="D154:D156"/>
    <mergeCell ref="N154:N156"/>
    <mergeCell ref="O154:O156"/>
    <mergeCell ref="R154:R156"/>
    <mergeCell ref="U154:U156"/>
    <mergeCell ref="D141:D145"/>
    <mergeCell ref="U141:U145"/>
    <mergeCell ref="D146:D149"/>
    <mergeCell ref="N146:N149"/>
    <mergeCell ref="O146:O149"/>
    <mergeCell ref="R146:R149"/>
    <mergeCell ref="U146:U149"/>
    <mergeCell ref="D87:D93"/>
    <mergeCell ref="R87:R92"/>
    <mergeCell ref="D122:D125"/>
    <mergeCell ref="N122:N125"/>
    <mergeCell ref="O122:O125"/>
    <mergeCell ref="R122:R125"/>
    <mergeCell ref="U122:U125"/>
    <mergeCell ref="D108:D110"/>
    <mergeCell ref="N108:N110"/>
    <mergeCell ref="O108:O110"/>
    <mergeCell ref="R108:R110"/>
    <mergeCell ref="U108:U110"/>
    <mergeCell ref="D104:D107"/>
    <mergeCell ref="N104:N107"/>
    <mergeCell ref="O104:O107"/>
    <mergeCell ref="R104:R107"/>
    <mergeCell ref="U104:U107"/>
    <mergeCell ref="D118:D121"/>
    <mergeCell ref="N118:N121"/>
    <mergeCell ref="O118:O121"/>
    <mergeCell ref="R118:R121"/>
    <mergeCell ref="U118:U121"/>
    <mergeCell ref="D111:D114"/>
    <mergeCell ref="U111:U114"/>
    <mergeCell ref="U77:U80"/>
    <mergeCell ref="U42:U48"/>
    <mergeCell ref="U49:U53"/>
    <mergeCell ref="U54:U58"/>
    <mergeCell ref="N54:N58"/>
    <mergeCell ref="O54:O58"/>
    <mergeCell ref="R54:R58"/>
    <mergeCell ref="U59:U62"/>
    <mergeCell ref="U66:U69"/>
    <mergeCell ref="U73:U76"/>
    <mergeCell ref="U63:U65"/>
    <mergeCell ref="U70:U72"/>
    <mergeCell ref="N77:N80"/>
    <mergeCell ref="O77:O80"/>
    <mergeCell ref="R77:R80"/>
    <mergeCell ref="D49:D53"/>
    <mergeCell ref="D63:D65"/>
    <mergeCell ref="D66:D69"/>
    <mergeCell ref="D70:D72"/>
    <mergeCell ref="D73:D76"/>
    <mergeCell ref="D77:D80"/>
    <mergeCell ref="R43:R44"/>
    <mergeCell ref="N43:N44"/>
    <mergeCell ref="O43:O44"/>
    <mergeCell ref="N63:N65"/>
    <mergeCell ref="O63:O65"/>
    <mergeCell ref="R63:R65"/>
    <mergeCell ref="N59:N62"/>
    <mergeCell ref="O59:O62"/>
    <mergeCell ref="R59:R62"/>
    <mergeCell ref="N73:N76"/>
    <mergeCell ref="O73:O76"/>
    <mergeCell ref="R73:R76"/>
    <mergeCell ref="O1:U1"/>
    <mergeCell ref="A2:U2"/>
    <mergeCell ref="A13:F14"/>
    <mergeCell ref="G13:M13"/>
    <mergeCell ref="R36:T36"/>
    <mergeCell ref="L172:T172"/>
    <mergeCell ref="L176:T176"/>
    <mergeCell ref="U157:U160"/>
    <mergeCell ref="U161:U163"/>
    <mergeCell ref="D150:D153"/>
    <mergeCell ref="N150:N153"/>
    <mergeCell ref="O150:O153"/>
    <mergeCell ref="D157:D160"/>
    <mergeCell ref="D161:D163"/>
    <mergeCell ref="D164:D167"/>
    <mergeCell ref="N164:N167"/>
    <mergeCell ref="A131:F132"/>
    <mergeCell ref="R37:T37"/>
    <mergeCell ref="A39:F40"/>
    <mergeCell ref="A84:F85"/>
    <mergeCell ref="O126:T126"/>
    <mergeCell ref="D43:D44"/>
    <mergeCell ref="D59:D62"/>
    <mergeCell ref="D54:D5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C5BF6-03B6-4208-A63B-778B46BFF248}">
  <dimension ref="A1:Y62"/>
  <sheetViews>
    <sheetView topLeftCell="B11" zoomScale="90" zoomScaleNormal="90" workbookViewId="0">
      <selection activeCell="G49" sqref="G49"/>
    </sheetView>
  </sheetViews>
  <sheetFormatPr defaultColWidth="9.1796875" defaultRowHeight="14" x14ac:dyDescent="0.3"/>
  <cols>
    <col min="1" max="1" width="13.7265625" style="131" customWidth="1"/>
    <col min="2" max="2" width="40.453125" style="130" customWidth="1"/>
    <col min="3" max="3" width="15.26953125" style="131" customWidth="1"/>
    <col min="4" max="4" width="11.81640625" style="131" customWidth="1"/>
    <col min="5" max="5" width="12.1796875" style="131" customWidth="1"/>
    <col min="6" max="6" width="12" style="131" customWidth="1"/>
    <col min="7" max="7" width="12.7265625" style="131" customWidth="1"/>
    <col min="8" max="8" width="16.453125" style="131" customWidth="1"/>
    <col min="9" max="9" width="12.7265625" style="131" hidden="1" customWidth="1"/>
    <col min="10" max="10" width="12.7265625" style="131" customWidth="1"/>
    <col min="11" max="11" width="12.7265625" style="131" hidden="1" customWidth="1"/>
    <col min="12" max="13" width="12.7265625" style="131" customWidth="1"/>
    <col min="14" max="14" width="17.54296875" style="131" customWidth="1"/>
    <col min="15" max="15" width="16.54296875" style="131" customWidth="1"/>
    <col min="16" max="16" width="15" style="131" hidden="1" customWidth="1"/>
    <col min="17" max="17" width="17.1796875" style="131" hidden="1" customWidth="1"/>
    <col min="18" max="18" width="13.7265625" style="131" customWidth="1"/>
    <col min="19" max="19" width="12" style="131" customWidth="1"/>
    <col min="20" max="20" width="16" style="131" customWidth="1"/>
    <col min="21" max="21" width="12.54296875" style="131" bestFit="1" customWidth="1"/>
    <col min="22" max="22" width="15.1796875" style="132" customWidth="1"/>
    <col min="23" max="23" width="10.54296875" style="132" bestFit="1" customWidth="1"/>
    <col min="24" max="24" width="9.1796875" style="130"/>
    <col min="25" max="25" width="11.453125" style="130" customWidth="1"/>
    <col min="26" max="16384" width="9.1796875" style="130"/>
  </cols>
  <sheetData>
    <row r="1" spans="1:24" ht="15" customHeight="1" x14ac:dyDescent="0.3">
      <c r="A1" s="129"/>
      <c r="U1" s="143" t="s">
        <v>78</v>
      </c>
    </row>
    <row r="2" spans="1:24" ht="15" customHeight="1" x14ac:dyDescent="0.35">
      <c r="A2" s="371" t="s">
        <v>1</v>
      </c>
      <c r="B2" s="371"/>
      <c r="C2" s="371"/>
      <c r="D2" s="371"/>
      <c r="E2" s="371"/>
      <c r="F2" s="371"/>
      <c r="G2" s="371"/>
      <c r="H2" s="371"/>
      <c r="I2" s="371"/>
      <c r="J2" s="371"/>
      <c r="K2" s="371"/>
      <c r="L2" s="371"/>
      <c r="M2" s="371"/>
      <c r="N2" s="371"/>
      <c r="O2" s="371"/>
      <c r="P2" s="371"/>
      <c r="Q2" s="371"/>
      <c r="R2" s="371"/>
      <c r="S2" s="371"/>
      <c r="T2" s="371"/>
      <c r="U2" s="371"/>
    </row>
    <row r="3" spans="1:24" ht="15" customHeight="1" x14ac:dyDescent="0.3">
      <c r="A3" s="129"/>
      <c r="U3" s="143"/>
    </row>
    <row r="4" spans="1:24" s="12" customFormat="1" ht="15" customHeight="1" x14ac:dyDescent="0.3">
      <c r="A4" s="161" t="s">
        <v>2</v>
      </c>
      <c r="B4" s="14"/>
      <c r="C4" s="15"/>
      <c r="D4" s="15"/>
      <c r="E4" s="15"/>
      <c r="F4" s="15"/>
      <c r="G4" s="15"/>
      <c r="H4" s="15"/>
      <c r="I4" s="15"/>
      <c r="J4" s="15"/>
      <c r="K4" s="13"/>
      <c r="M4" s="13"/>
      <c r="N4" s="13"/>
      <c r="O4" s="13"/>
      <c r="S4" s="13"/>
      <c r="T4" s="13"/>
      <c r="U4" s="13"/>
      <c r="V4" s="10"/>
      <c r="W4" s="11"/>
      <c r="X4" s="11"/>
    </row>
    <row r="5" spans="1:24" s="155" customFormat="1" ht="15.5" x14ac:dyDescent="0.35">
      <c r="A5" s="283" t="s">
        <v>3</v>
      </c>
      <c r="C5" s="157"/>
      <c r="D5" s="157"/>
      <c r="E5" s="157"/>
      <c r="F5" s="157"/>
      <c r="G5" s="158"/>
      <c r="H5" s="158"/>
      <c r="I5" s="158"/>
    </row>
    <row r="6" spans="1:24" s="155" customFormat="1" ht="15.5" x14ac:dyDescent="0.35">
      <c r="A6" s="284" t="s">
        <v>4</v>
      </c>
      <c r="C6" s="160"/>
      <c r="D6" s="160"/>
      <c r="E6" s="160"/>
      <c r="F6" s="160"/>
      <c r="G6" s="158"/>
      <c r="H6" s="158"/>
      <c r="I6" s="158"/>
    </row>
    <row r="7" spans="1:24" ht="15" customHeight="1" x14ac:dyDescent="0.3">
      <c r="A7" s="129"/>
      <c r="U7" s="143"/>
    </row>
    <row r="8" spans="1:24" ht="15" customHeight="1" x14ac:dyDescent="0.3">
      <c r="A8" s="366" t="s">
        <v>79</v>
      </c>
      <c r="B8" s="366"/>
      <c r="C8" s="366"/>
      <c r="D8" s="366"/>
      <c r="E8" s="366"/>
      <c r="F8" s="366"/>
      <c r="G8" s="311" t="s">
        <v>10</v>
      </c>
      <c r="H8" s="311"/>
      <c r="I8" s="311"/>
      <c r="J8" s="311"/>
      <c r="K8" s="311"/>
      <c r="L8" s="311"/>
      <c r="M8" s="311"/>
    </row>
    <row r="9" spans="1:24" s="136" customFormat="1" ht="15" customHeight="1" thickBot="1" x14ac:dyDescent="0.4">
      <c r="A9" s="367"/>
      <c r="B9" s="367"/>
      <c r="C9" s="367"/>
      <c r="D9" s="367"/>
      <c r="E9" s="367"/>
      <c r="F9" s="367"/>
      <c r="G9" s="21">
        <v>2083</v>
      </c>
      <c r="H9" s="21"/>
      <c r="I9" s="21">
        <v>405</v>
      </c>
      <c r="J9" s="21">
        <v>1303</v>
      </c>
      <c r="K9" s="21">
        <v>243</v>
      </c>
      <c r="L9" s="280"/>
      <c r="M9" s="281">
        <v>0.2359</v>
      </c>
      <c r="N9" s="133"/>
      <c r="O9" s="134"/>
      <c r="P9" s="134"/>
      <c r="Q9" s="134"/>
      <c r="R9" s="134"/>
      <c r="S9" s="134"/>
      <c r="T9" s="134"/>
      <c r="U9" s="135"/>
      <c r="V9" s="132"/>
      <c r="W9" s="132"/>
    </row>
    <row r="10" spans="1:24" s="138" customFormat="1" ht="71.25" customHeight="1" thickBot="1" x14ac:dyDescent="0.35">
      <c r="A10" s="147" t="s">
        <v>11</v>
      </c>
      <c r="B10" s="148" t="s">
        <v>12</v>
      </c>
      <c r="C10" s="148" t="s">
        <v>13</v>
      </c>
      <c r="D10" s="148" t="s">
        <v>14</v>
      </c>
      <c r="E10" s="148" t="s">
        <v>15</v>
      </c>
      <c r="F10" s="149" t="s">
        <v>16</v>
      </c>
      <c r="G10" s="149" t="s">
        <v>17</v>
      </c>
      <c r="H10" s="148" t="s">
        <v>18</v>
      </c>
      <c r="I10" s="148" t="s">
        <v>80</v>
      </c>
      <c r="J10" s="148" t="s">
        <v>20</v>
      </c>
      <c r="K10" s="150" t="s">
        <v>81</v>
      </c>
      <c r="L10" s="149" t="s">
        <v>22</v>
      </c>
      <c r="M10" s="150" t="s">
        <v>23</v>
      </c>
      <c r="N10" s="149" t="s">
        <v>24</v>
      </c>
      <c r="O10" s="149" t="s">
        <v>25</v>
      </c>
      <c r="P10" s="149" t="s">
        <v>82</v>
      </c>
      <c r="Q10" s="149" t="s">
        <v>83</v>
      </c>
      <c r="R10" s="150" t="s">
        <v>84</v>
      </c>
      <c r="S10" s="151" t="s">
        <v>85</v>
      </c>
      <c r="T10" s="151" t="s">
        <v>86</v>
      </c>
      <c r="U10" s="152" t="s">
        <v>87</v>
      </c>
      <c r="V10" s="137"/>
      <c r="W10" s="137"/>
    </row>
    <row r="11" spans="1:24" s="8" customFormat="1" x14ac:dyDescent="0.3">
      <c r="A11" s="34" t="s">
        <v>32</v>
      </c>
      <c r="B11" s="35" t="s">
        <v>54</v>
      </c>
      <c r="C11" s="36">
        <v>12</v>
      </c>
      <c r="D11" s="36">
        <v>4</v>
      </c>
      <c r="E11" s="261">
        <v>5.25</v>
      </c>
      <c r="F11" s="261"/>
      <c r="G11" s="38">
        <f>ROUND(C11*E11*$G$9,2)</f>
        <v>131229</v>
      </c>
      <c r="H11" s="38"/>
      <c r="I11" s="38"/>
      <c r="J11" s="38"/>
      <c r="K11" s="38"/>
      <c r="L11" s="38">
        <f>ROUND(G11+H11+I11+J11+K11,)</f>
        <v>131229</v>
      </c>
      <c r="M11" s="38">
        <f>ROUND(L11*$M$9,)</f>
        <v>30957</v>
      </c>
      <c r="N11" s="38">
        <v>3673</v>
      </c>
      <c r="O11" s="37">
        <v>306.08</v>
      </c>
      <c r="P11" s="37"/>
      <c r="Q11" s="37"/>
      <c r="R11" s="38">
        <f>ROUND(C11*D11*O11,)</f>
        <v>14692</v>
      </c>
      <c r="S11" s="39">
        <f>L11+M11</f>
        <v>162186</v>
      </c>
      <c r="T11" s="38"/>
      <c r="U11" s="355">
        <f>R11+R12+R14+R15+S11+S12+S13+S14+S15+S16+T17</f>
        <v>1038918</v>
      </c>
      <c r="V11" s="10"/>
    </row>
    <row r="12" spans="1:24" s="8" customFormat="1" x14ac:dyDescent="0.3">
      <c r="A12" s="42" t="s">
        <v>32</v>
      </c>
      <c r="B12" s="43" t="s">
        <v>33</v>
      </c>
      <c r="C12" s="44">
        <v>12</v>
      </c>
      <c r="D12" s="337">
        <v>2</v>
      </c>
      <c r="E12" s="262"/>
      <c r="F12" s="262">
        <f>2.5</f>
        <v>2.5</v>
      </c>
      <c r="G12" s="20"/>
      <c r="H12" s="20"/>
      <c r="I12" s="20"/>
      <c r="J12" s="20">
        <f>ROUND(C12*F12*$J$9,2)</f>
        <v>39090</v>
      </c>
      <c r="K12" s="20"/>
      <c r="L12" s="20">
        <f t="shared" ref="L12:L16" si="0">ROUND(G12+H12+I12+J12+K12,)</f>
        <v>39090</v>
      </c>
      <c r="M12" s="20">
        <f t="shared" ref="M12:M49" si="1">ROUND(L12*$M$9,)</f>
        <v>9221</v>
      </c>
      <c r="N12" s="339">
        <v>3673</v>
      </c>
      <c r="O12" s="341">
        <v>306.08</v>
      </c>
      <c r="P12" s="45"/>
      <c r="Q12" s="45"/>
      <c r="R12" s="339">
        <f>ROUND(C12*D12*O12,)</f>
        <v>7346</v>
      </c>
      <c r="S12" s="20">
        <f t="shared" ref="S12:S16" si="2">L12+M12</f>
        <v>48311</v>
      </c>
      <c r="T12" s="20"/>
      <c r="U12" s="356"/>
      <c r="V12" s="10"/>
    </row>
    <row r="13" spans="1:24" s="8" customFormat="1" x14ac:dyDescent="0.3">
      <c r="A13" s="47" t="s">
        <v>32</v>
      </c>
      <c r="B13" s="48" t="s">
        <v>34</v>
      </c>
      <c r="C13" s="44">
        <v>12</v>
      </c>
      <c r="D13" s="338"/>
      <c r="E13" s="263">
        <f>3</f>
        <v>3</v>
      </c>
      <c r="F13" s="263"/>
      <c r="G13" s="20">
        <f t="shared" ref="G13:G48" si="3">ROUND(C13*E13*$G$9,2)</f>
        <v>74988</v>
      </c>
      <c r="H13" s="50"/>
      <c r="I13" s="50"/>
      <c r="J13" s="20"/>
      <c r="K13" s="50"/>
      <c r="L13" s="50">
        <f t="shared" si="0"/>
        <v>74988</v>
      </c>
      <c r="M13" s="20">
        <f t="shared" si="1"/>
        <v>17690</v>
      </c>
      <c r="N13" s="340"/>
      <c r="O13" s="342"/>
      <c r="P13" s="49"/>
      <c r="Q13" s="49"/>
      <c r="R13" s="340"/>
      <c r="S13" s="20">
        <f t="shared" si="2"/>
        <v>92678</v>
      </c>
      <c r="T13" s="50"/>
      <c r="U13" s="356"/>
      <c r="V13" s="10"/>
    </row>
    <row r="14" spans="1:24" s="8" customFormat="1" x14ac:dyDescent="0.3">
      <c r="A14" s="47" t="s">
        <v>32</v>
      </c>
      <c r="B14" s="48" t="s">
        <v>35</v>
      </c>
      <c r="C14" s="44">
        <v>12</v>
      </c>
      <c r="D14" s="22">
        <v>6</v>
      </c>
      <c r="E14" s="263">
        <f>15</f>
        <v>15</v>
      </c>
      <c r="F14" s="263"/>
      <c r="G14" s="20">
        <f>ROUND(C14*E14*$G$9,2)</f>
        <v>374940</v>
      </c>
      <c r="H14" s="50">
        <f>ROUND(C14*E14*540,2)</f>
        <v>97200</v>
      </c>
      <c r="I14" s="50"/>
      <c r="J14" s="20"/>
      <c r="K14" s="50"/>
      <c r="L14" s="50">
        <f t="shared" si="0"/>
        <v>472140</v>
      </c>
      <c r="M14" s="20">
        <f t="shared" si="1"/>
        <v>111378</v>
      </c>
      <c r="N14" s="50">
        <v>3673</v>
      </c>
      <c r="O14" s="49">
        <v>306.08</v>
      </c>
      <c r="P14" s="49"/>
      <c r="Q14" s="49"/>
      <c r="R14" s="20">
        <f>ROUND(C14*D14*O14,)</f>
        <v>22038</v>
      </c>
      <c r="S14" s="20">
        <f t="shared" si="2"/>
        <v>583518</v>
      </c>
      <c r="T14" s="50"/>
      <c r="U14" s="356"/>
      <c r="V14" s="10"/>
    </row>
    <row r="15" spans="1:24" s="8" customFormat="1" x14ac:dyDescent="0.3">
      <c r="A15" s="83" t="s">
        <v>32</v>
      </c>
      <c r="B15" s="84" t="s">
        <v>36</v>
      </c>
      <c r="C15" s="85">
        <v>12</v>
      </c>
      <c r="D15" s="361">
        <v>2</v>
      </c>
      <c r="E15" s="264">
        <v>0.5</v>
      </c>
      <c r="F15" s="264"/>
      <c r="G15" s="89">
        <f t="shared" si="3"/>
        <v>12498</v>
      </c>
      <c r="H15" s="91"/>
      <c r="I15" s="91"/>
      <c r="J15" s="89"/>
      <c r="K15" s="91"/>
      <c r="L15" s="91">
        <f t="shared" si="0"/>
        <v>12498</v>
      </c>
      <c r="M15" s="89">
        <f t="shared" si="1"/>
        <v>2948</v>
      </c>
      <c r="N15" s="339">
        <v>3673</v>
      </c>
      <c r="O15" s="341">
        <v>306.08</v>
      </c>
      <c r="P15" s="87"/>
      <c r="Q15" s="87"/>
      <c r="R15" s="339">
        <f>ROUND(C15*D15*O15,)</f>
        <v>7346</v>
      </c>
      <c r="S15" s="20">
        <f t="shared" si="2"/>
        <v>15446</v>
      </c>
      <c r="T15" s="91"/>
      <c r="U15" s="356"/>
      <c r="V15" s="10"/>
    </row>
    <row r="16" spans="1:24" s="8" customFormat="1" x14ac:dyDescent="0.3">
      <c r="A16" s="47" t="s">
        <v>32</v>
      </c>
      <c r="B16" s="48" t="s">
        <v>37</v>
      </c>
      <c r="C16" s="44">
        <v>12</v>
      </c>
      <c r="D16" s="362"/>
      <c r="E16" s="263">
        <v>1.75</v>
      </c>
      <c r="F16" s="263"/>
      <c r="G16" s="20">
        <f t="shared" si="3"/>
        <v>43743</v>
      </c>
      <c r="H16" s="50">
        <f>ROUND(C16*E16*540,2)</f>
        <v>11340</v>
      </c>
      <c r="I16" s="50"/>
      <c r="J16" s="20"/>
      <c r="K16" s="50"/>
      <c r="L16" s="50">
        <f t="shared" si="0"/>
        <v>55083</v>
      </c>
      <c r="M16" s="20">
        <f t="shared" si="1"/>
        <v>12994</v>
      </c>
      <c r="N16" s="340"/>
      <c r="O16" s="342"/>
      <c r="P16" s="49"/>
      <c r="Q16" s="49"/>
      <c r="R16" s="340"/>
      <c r="S16" s="20">
        <f t="shared" si="2"/>
        <v>68077</v>
      </c>
      <c r="T16" s="50"/>
      <c r="U16" s="356"/>
      <c r="V16" s="10"/>
    </row>
    <row r="17" spans="1:25" s="28" customFormat="1" ht="15.75" customHeight="1" thickBot="1" x14ac:dyDescent="0.35">
      <c r="A17" s="255" t="s">
        <v>32</v>
      </c>
      <c r="B17" s="249" t="s">
        <v>38</v>
      </c>
      <c r="C17" s="250">
        <v>12</v>
      </c>
      <c r="D17" s="253"/>
      <c r="E17" s="265"/>
      <c r="F17" s="265"/>
      <c r="G17" s="252">
        <f t="shared" si="3"/>
        <v>0</v>
      </c>
      <c r="H17" s="238"/>
      <c r="I17" s="238"/>
      <c r="J17" s="252"/>
      <c r="K17" s="238"/>
      <c r="L17" s="238"/>
      <c r="M17" s="252">
        <f t="shared" si="1"/>
        <v>0</v>
      </c>
      <c r="N17" s="238"/>
      <c r="O17" s="251"/>
      <c r="P17" s="251"/>
      <c r="Q17" s="251"/>
      <c r="R17" s="252"/>
      <c r="S17" s="238"/>
      <c r="T17" s="238">
        <v>17280</v>
      </c>
      <c r="U17" s="357"/>
      <c r="V17" s="10"/>
      <c r="W17" s="8"/>
      <c r="X17" s="8"/>
      <c r="Y17" s="8"/>
    </row>
    <row r="18" spans="1:25" s="8" customFormat="1" x14ac:dyDescent="0.3">
      <c r="A18" s="94" t="s">
        <v>39</v>
      </c>
      <c r="B18" s="35" t="s">
        <v>54</v>
      </c>
      <c r="C18" s="36">
        <v>12</v>
      </c>
      <c r="D18" s="317">
        <v>4</v>
      </c>
      <c r="E18" s="266">
        <v>1</v>
      </c>
      <c r="F18" s="266"/>
      <c r="G18" s="38">
        <f t="shared" si="3"/>
        <v>24996</v>
      </c>
      <c r="H18" s="64"/>
      <c r="I18" s="64"/>
      <c r="J18" s="38"/>
      <c r="K18" s="64"/>
      <c r="L18" s="65">
        <f t="shared" ref="L18:L21" si="4">ROUND(G18+H18+I18+J18+K18,)</f>
        <v>24996</v>
      </c>
      <c r="M18" s="38">
        <f t="shared" si="1"/>
        <v>5897</v>
      </c>
      <c r="N18" s="65">
        <v>3673</v>
      </c>
      <c r="O18" s="63">
        <v>306.08</v>
      </c>
      <c r="P18" s="63"/>
      <c r="Q18" s="63"/>
      <c r="R18" s="38">
        <f>ROUND(C18*E18*O18,)</f>
        <v>3673</v>
      </c>
      <c r="S18" s="65">
        <f t="shared" ref="S18:S21" si="5">L18+M18</f>
        <v>30893</v>
      </c>
      <c r="T18" s="65"/>
      <c r="U18" s="314">
        <f>SUM(R18:T22)</f>
        <v>124775.58</v>
      </c>
      <c r="V18" s="67"/>
    </row>
    <row r="19" spans="1:25" s="8" customFormat="1" x14ac:dyDescent="0.3">
      <c r="A19" s="96" t="s">
        <v>39</v>
      </c>
      <c r="B19" s="43" t="s">
        <v>33</v>
      </c>
      <c r="C19" s="44">
        <v>12</v>
      </c>
      <c r="D19" s="318"/>
      <c r="E19" s="263"/>
      <c r="F19" s="263">
        <v>1</v>
      </c>
      <c r="G19" s="20">
        <f t="shared" si="3"/>
        <v>0</v>
      </c>
      <c r="H19" s="66"/>
      <c r="I19" s="66"/>
      <c r="J19" s="20">
        <f>ROUND(C19*F19*$J$9,2)</f>
        <v>15636</v>
      </c>
      <c r="K19" s="66"/>
      <c r="L19" s="50">
        <f t="shared" si="4"/>
        <v>15636</v>
      </c>
      <c r="M19" s="20">
        <f t="shared" si="1"/>
        <v>3689</v>
      </c>
      <c r="N19" s="50">
        <v>3673</v>
      </c>
      <c r="O19" s="49">
        <v>306.08</v>
      </c>
      <c r="P19" s="49"/>
      <c r="Q19" s="49"/>
      <c r="R19" s="20">
        <f>ROUND(C19*F19*O19,)</f>
        <v>3673</v>
      </c>
      <c r="S19" s="50">
        <f t="shared" si="5"/>
        <v>19325</v>
      </c>
      <c r="T19" s="50"/>
      <c r="U19" s="315"/>
      <c r="V19" s="41"/>
    </row>
    <row r="20" spans="1:25" s="8" customFormat="1" x14ac:dyDescent="0.3">
      <c r="A20" s="96" t="s">
        <v>39</v>
      </c>
      <c r="B20" s="43" t="s">
        <v>34</v>
      </c>
      <c r="C20" s="44">
        <v>12</v>
      </c>
      <c r="D20" s="318"/>
      <c r="E20" s="263">
        <v>0.5</v>
      </c>
      <c r="F20" s="263"/>
      <c r="G20" s="20">
        <f t="shared" si="3"/>
        <v>12498</v>
      </c>
      <c r="H20" s="66"/>
      <c r="I20" s="66"/>
      <c r="J20" s="20"/>
      <c r="K20" s="66"/>
      <c r="L20" s="50">
        <f t="shared" si="4"/>
        <v>12498</v>
      </c>
      <c r="M20" s="20">
        <f t="shared" si="1"/>
        <v>2948</v>
      </c>
      <c r="N20" s="50">
        <v>3673</v>
      </c>
      <c r="O20" s="49">
        <v>306.08</v>
      </c>
      <c r="P20" s="49"/>
      <c r="Q20" s="49"/>
      <c r="R20" s="20">
        <f>ROUND(C20*E20*O20,)</f>
        <v>1836</v>
      </c>
      <c r="S20" s="50">
        <f t="shared" si="5"/>
        <v>15446</v>
      </c>
      <c r="T20" s="50"/>
      <c r="U20" s="315"/>
      <c r="V20" s="10"/>
    </row>
    <row r="21" spans="1:25" s="8" customFormat="1" x14ac:dyDescent="0.3">
      <c r="A21" s="96" t="s">
        <v>39</v>
      </c>
      <c r="B21" s="48" t="s">
        <v>35</v>
      </c>
      <c r="C21" s="44">
        <v>12</v>
      </c>
      <c r="D21" s="318"/>
      <c r="E21" s="263">
        <f>1</f>
        <v>1</v>
      </c>
      <c r="F21" s="263"/>
      <c r="G21" s="20">
        <f t="shared" si="3"/>
        <v>24996</v>
      </c>
      <c r="H21" s="50">
        <f>ROUND(C21*E21*540,2)</f>
        <v>6480</v>
      </c>
      <c r="I21" s="66"/>
      <c r="J21" s="20"/>
      <c r="K21" s="66"/>
      <c r="L21" s="50">
        <f t="shared" si="4"/>
        <v>31476</v>
      </c>
      <c r="M21" s="20">
        <f t="shared" si="1"/>
        <v>7425</v>
      </c>
      <c r="N21" s="50">
        <v>3673</v>
      </c>
      <c r="O21" s="49">
        <v>306.08</v>
      </c>
      <c r="P21" s="49"/>
      <c r="Q21" s="49"/>
      <c r="R21" s="20">
        <f>ROUND(C21*E21*O21,)</f>
        <v>3673</v>
      </c>
      <c r="S21" s="50">
        <f t="shared" si="5"/>
        <v>38901</v>
      </c>
      <c r="T21" s="50"/>
      <c r="U21" s="315"/>
      <c r="V21" s="10"/>
    </row>
    <row r="22" spans="1:25" s="8" customFormat="1" ht="14.5" thickBot="1" x14ac:dyDescent="0.35">
      <c r="A22" s="83" t="s">
        <v>39</v>
      </c>
      <c r="B22" s="84" t="s">
        <v>38</v>
      </c>
      <c r="C22" s="85">
        <v>12</v>
      </c>
      <c r="D22" s="318"/>
      <c r="E22" s="264"/>
      <c r="F22" s="264"/>
      <c r="G22" s="89">
        <f t="shared" si="3"/>
        <v>0</v>
      </c>
      <c r="H22" s="90"/>
      <c r="I22" s="90"/>
      <c r="J22" s="89"/>
      <c r="K22" s="90"/>
      <c r="L22" s="91"/>
      <c r="M22" s="89">
        <f t="shared" si="1"/>
        <v>0</v>
      </c>
      <c r="N22" s="91"/>
      <c r="O22" s="87"/>
      <c r="P22" s="87"/>
      <c r="Q22" s="87"/>
      <c r="R22" s="89"/>
      <c r="S22" s="91"/>
      <c r="T22" s="238">
        <v>7355.58</v>
      </c>
      <c r="U22" s="315"/>
      <c r="V22" s="10"/>
    </row>
    <row r="23" spans="1:25" s="8" customFormat="1" x14ac:dyDescent="0.3">
      <c r="A23" s="94" t="s">
        <v>40</v>
      </c>
      <c r="B23" s="35" t="s">
        <v>33</v>
      </c>
      <c r="C23" s="36">
        <v>12</v>
      </c>
      <c r="D23" s="317">
        <v>4</v>
      </c>
      <c r="E23" s="266"/>
      <c r="F23" s="267">
        <v>1</v>
      </c>
      <c r="G23" s="38">
        <f t="shared" si="3"/>
        <v>0</v>
      </c>
      <c r="H23" s="64"/>
      <c r="I23" s="64"/>
      <c r="J23" s="38">
        <f>ROUND(C23*F23*$J$9,2)</f>
        <v>15636</v>
      </c>
      <c r="K23" s="64"/>
      <c r="L23" s="65">
        <f t="shared" ref="L23:L25" si="6">ROUND(G23+H23+I23+J23+K23,)</f>
        <v>15636</v>
      </c>
      <c r="M23" s="38">
        <f t="shared" si="1"/>
        <v>3689</v>
      </c>
      <c r="N23" s="320">
        <v>3673</v>
      </c>
      <c r="O23" s="323">
        <v>306.08</v>
      </c>
      <c r="P23" s="245"/>
      <c r="Q23" s="245"/>
      <c r="R23" s="352">
        <f>ROUND(C23*D23*O23,)</f>
        <v>14692</v>
      </c>
      <c r="S23" s="65">
        <f t="shared" ref="S23:S25" si="7">L23+M23</f>
        <v>19325</v>
      </c>
      <c r="T23" s="65"/>
      <c r="U23" s="314">
        <f>SUM(R23:T26)</f>
        <v>171633.49600000001</v>
      </c>
      <c r="V23" s="67"/>
    </row>
    <row r="24" spans="1:25" s="8" customFormat="1" x14ac:dyDescent="0.3">
      <c r="A24" s="96" t="s">
        <v>40</v>
      </c>
      <c r="B24" s="43" t="s">
        <v>34</v>
      </c>
      <c r="C24" s="44">
        <v>12</v>
      </c>
      <c r="D24" s="318"/>
      <c r="E24" s="263">
        <v>0.5</v>
      </c>
      <c r="F24" s="268"/>
      <c r="G24" s="20">
        <f>ROUND(C24*E24*$G$9,2)</f>
        <v>12498</v>
      </c>
      <c r="H24" s="66"/>
      <c r="I24" s="66"/>
      <c r="J24" s="20"/>
      <c r="K24" s="66"/>
      <c r="L24" s="50">
        <f t="shared" si="6"/>
        <v>12498</v>
      </c>
      <c r="M24" s="20">
        <f t="shared" si="1"/>
        <v>2948</v>
      </c>
      <c r="N24" s="321"/>
      <c r="O24" s="324"/>
      <c r="P24" s="246"/>
      <c r="Q24" s="246"/>
      <c r="R24" s="353"/>
      <c r="S24" s="50">
        <f t="shared" si="7"/>
        <v>15446</v>
      </c>
      <c r="T24" s="50"/>
      <c r="U24" s="315"/>
      <c r="V24" s="10"/>
    </row>
    <row r="25" spans="1:25" s="8" customFormat="1" x14ac:dyDescent="0.3">
      <c r="A25" s="96" t="s">
        <v>40</v>
      </c>
      <c r="B25" s="48" t="s">
        <v>35</v>
      </c>
      <c r="C25" s="44">
        <v>12</v>
      </c>
      <c r="D25" s="318"/>
      <c r="E25" s="263">
        <f>3</f>
        <v>3</v>
      </c>
      <c r="F25" s="268"/>
      <c r="G25" s="20">
        <f t="shared" si="3"/>
        <v>74988</v>
      </c>
      <c r="H25" s="50">
        <f>ROUND(C25*E25*540,2)</f>
        <v>19440</v>
      </c>
      <c r="I25" s="66"/>
      <c r="J25" s="20"/>
      <c r="K25" s="66"/>
      <c r="L25" s="50">
        <f t="shared" si="6"/>
        <v>94428</v>
      </c>
      <c r="M25" s="20">
        <f t="shared" si="1"/>
        <v>22276</v>
      </c>
      <c r="N25" s="321"/>
      <c r="O25" s="324"/>
      <c r="P25" s="247"/>
      <c r="Q25" s="247"/>
      <c r="R25" s="353"/>
      <c r="S25" s="50">
        <f t="shared" si="7"/>
        <v>116704</v>
      </c>
      <c r="T25" s="50"/>
      <c r="U25" s="315"/>
      <c r="V25" s="10"/>
    </row>
    <row r="26" spans="1:25" s="8" customFormat="1" ht="14.5" thickBot="1" x14ac:dyDescent="0.35">
      <c r="A26" s="254" t="s">
        <v>40</v>
      </c>
      <c r="B26" s="240" t="s">
        <v>38</v>
      </c>
      <c r="C26" s="241">
        <v>12</v>
      </c>
      <c r="D26" s="319"/>
      <c r="E26" s="269"/>
      <c r="F26" s="270"/>
      <c r="G26" s="106">
        <f t="shared" si="3"/>
        <v>0</v>
      </c>
      <c r="H26" s="257"/>
      <c r="I26" s="257"/>
      <c r="J26" s="106"/>
      <c r="K26" s="257"/>
      <c r="L26" s="243"/>
      <c r="M26" s="106">
        <f t="shared" si="1"/>
        <v>0</v>
      </c>
      <c r="N26" s="322"/>
      <c r="O26" s="325"/>
      <c r="P26" s="248"/>
      <c r="Q26" s="248"/>
      <c r="R26" s="354"/>
      <c r="S26" s="243"/>
      <c r="T26" s="238">
        <v>5466.4960000000001</v>
      </c>
      <c r="U26" s="316"/>
      <c r="V26" s="10"/>
    </row>
    <row r="27" spans="1:25" s="8" customFormat="1" x14ac:dyDescent="0.3">
      <c r="A27" s="94" t="s">
        <v>55</v>
      </c>
      <c r="B27" s="35" t="s">
        <v>54</v>
      </c>
      <c r="C27" s="36">
        <v>12</v>
      </c>
      <c r="D27" s="317">
        <v>3</v>
      </c>
      <c r="E27" s="266">
        <v>1.5</v>
      </c>
      <c r="F27" s="266"/>
      <c r="G27" s="38">
        <f t="shared" si="3"/>
        <v>37494</v>
      </c>
      <c r="H27" s="64"/>
      <c r="I27" s="64"/>
      <c r="J27" s="38"/>
      <c r="K27" s="64"/>
      <c r="L27" s="65">
        <f t="shared" ref="L27:L49" si="8">ROUND(G27+H27+I27+J27+K27,)</f>
        <v>37494</v>
      </c>
      <c r="M27" s="38">
        <f t="shared" si="1"/>
        <v>8845</v>
      </c>
      <c r="N27" s="320">
        <v>3673</v>
      </c>
      <c r="O27" s="323">
        <v>306.08</v>
      </c>
      <c r="P27" s="245"/>
      <c r="Q27" s="245"/>
      <c r="R27" s="352">
        <f>ROUND(C27*D27*O27,)</f>
        <v>11019</v>
      </c>
      <c r="S27" s="65">
        <f t="shared" ref="S27:S48" si="9">L27+M27</f>
        <v>46339</v>
      </c>
      <c r="T27" s="65"/>
      <c r="U27" s="314">
        <f>SUM(R27:T30)</f>
        <v>179657</v>
      </c>
      <c r="V27" s="67"/>
    </row>
    <row r="28" spans="1:25" s="8" customFormat="1" x14ac:dyDescent="0.3">
      <c r="A28" s="96" t="s">
        <v>55</v>
      </c>
      <c r="B28" s="43" t="s">
        <v>33</v>
      </c>
      <c r="C28" s="44">
        <v>12</v>
      </c>
      <c r="D28" s="318"/>
      <c r="E28" s="263"/>
      <c r="F28" s="263">
        <v>1</v>
      </c>
      <c r="G28" s="20">
        <f t="shared" si="3"/>
        <v>0</v>
      </c>
      <c r="H28" s="66"/>
      <c r="I28" s="66"/>
      <c r="J28" s="20">
        <f>ROUND(C28*F28*$J$9,2)</f>
        <v>15636</v>
      </c>
      <c r="K28" s="66"/>
      <c r="L28" s="50">
        <f t="shared" si="8"/>
        <v>15636</v>
      </c>
      <c r="M28" s="20">
        <f t="shared" si="1"/>
        <v>3689</v>
      </c>
      <c r="N28" s="321"/>
      <c r="O28" s="324"/>
      <c r="P28" s="246"/>
      <c r="Q28" s="246"/>
      <c r="R28" s="353"/>
      <c r="S28" s="50">
        <f t="shared" si="9"/>
        <v>19325</v>
      </c>
      <c r="T28" s="50"/>
      <c r="U28" s="315"/>
      <c r="V28" s="10"/>
    </row>
    <row r="29" spans="1:25" s="8" customFormat="1" x14ac:dyDescent="0.3">
      <c r="A29" s="96" t="s">
        <v>55</v>
      </c>
      <c r="B29" s="43" t="s">
        <v>34</v>
      </c>
      <c r="C29" s="44">
        <v>12</v>
      </c>
      <c r="D29" s="318"/>
      <c r="E29" s="263">
        <v>0.5</v>
      </c>
      <c r="F29" s="263"/>
      <c r="G29" s="20">
        <f t="shared" si="3"/>
        <v>12498</v>
      </c>
      <c r="H29" s="66"/>
      <c r="I29" s="66"/>
      <c r="J29" s="20"/>
      <c r="K29" s="66"/>
      <c r="L29" s="50">
        <f t="shared" si="8"/>
        <v>12498</v>
      </c>
      <c r="M29" s="20">
        <f t="shared" si="1"/>
        <v>2948</v>
      </c>
      <c r="N29" s="321"/>
      <c r="O29" s="324"/>
      <c r="P29" s="247"/>
      <c r="Q29" s="247"/>
      <c r="R29" s="353"/>
      <c r="S29" s="50">
        <f t="shared" si="9"/>
        <v>15446</v>
      </c>
      <c r="T29" s="50"/>
      <c r="U29" s="315"/>
      <c r="V29" s="10"/>
    </row>
    <row r="30" spans="1:25" s="8" customFormat="1" ht="14.5" thickBot="1" x14ac:dyDescent="0.35">
      <c r="A30" s="97" t="s">
        <v>55</v>
      </c>
      <c r="B30" s="244" t="s">
        <v>35</v>
      </c>
      <c r="C30" s="55">
        <v>12</v>
      </c>
      <c r="D30" s="319"/>
      <c r="E30" s="57">
        <v>2.25</v>
      </c>
      <c r="F30" s="57"/>
      <c r="G30" s="58">
        <f t="shared" si="3"/>
        <v>56241</v>
      </c>
      <c r="H30" s="68">
        <f>ROUND(C30*E30*540,2)</f>
        <v>14580</v>
      </c>
      <c r="I30" s="68"/>
      <c r="J30" s="58"/>
      <c r="K30" s="68"/>
      <c r="L30" s="59">
        <f t="shared" si="8"/>
        <v>70821</v>
      </c>
      <c r="M30" s="58">
        <f t="shared" si="1"/>
        <v>16707</v>
      </c>
      <c r="N30" s="322"/>
      <c r="O30" s="325"/>
      <c r="P30" s="248"/>
      <c r="Q30" s="248"/>
      <c r="R30" s="354"/>
      <c r="S30" s="59">
        <f t="shared" si="9"/>
        <v>87528</v>
      </c>
      <c r="T30" s="59"/>
      <c r="U30" s="316"/>
      <c r="V30" s="10"/>
    </row>
    <row r="31" spans="1:25" s="8" customFormat="1" x14ac:dyDescent="0.3">
      <c r="A31" s="94" t="s">
        <v>56</v>
      </c>
      <c r="B31" s="35" t="s">
        <v>33</v>
      </c>
      <c r="C31" s="36">
        <v>12</v>
      </c>
      <c r="D31" s="317">
        <v>3</v>
      </c>
      <c r="E31" s="63"/>
      <c r="F31" s="63">
        <v>1</v>
      </c>
      <c r="G31" s="38">
        <f t="shared" si="3"/>
        <v>0</v>
      </c>
      <c r="H31" s="64"/>
      <c r="I31" s="64"/>
      <c r="J31" s="38">
        <f>ROUND(C31*F31*$J$9,2)</f>
        <v>15636</v>
      </c>
      <c r="K31" s="64"/>
      <c r="L31" s="65">
        <f t="shared" si="8"/>
        <v>15636</v>
      </c>
      <c r="M31" s="38">
        <f t="shared" si="1"/>
        <v>3689</v>
      </c>
      <c r="N31" s="343">
        <v>3673</v>
      </c>
      <c r="O31" s="346">
        <v>306.08</v>
      </c>
      <c r="P31" s="170"/>
      <c r="Q31" s="170"/>
      <c r="R31" s="349">
        <f>ROUND(C31*D31*O31,)</f>
        <v>11019</v>
      </c>
      <c r="S31" s="65">
        <f t="shared" si="9"/>
        <v>19325</v>
      </c>
      <c r="T31" s="65"/>
      <c r="U31" s="314">
        <f>SUM(R31:T33)</f>
        <v>104142</v>
      </c>
      <c r="V31" s="10"/>
    </row>
    <row r="32" spans="1:25" s="8" customFormat="1" x14ac:dyDescent="0.3">
      <c r="A32" s="47" t="s">
        <v>56</v>
      </c>
      <c r="B32" s="48" t="s">
        <v>34</v>
      </c>
      <c r="C32" s="44">
        <v>12</v>
      </c>
      <c r="D32" s="318"/>
      <c r="E32" s="49">
        <v>0.5</v>
      </c>
      <c r="F32" s="49"/>
      <c r="G32" s="20">
        <f t="shared" si="3"/>
        <v>12498</v>
      </c>
      <c r="H32" s="50"/>
      <c r="I32" s="50"/>
      <c r="J32" s="20"/>
      <c r="K32" s="50"/>
      <c r="L32" s="50">
        <f t="shared" si="8"/>
        <v>12498</v>
      </c>
      <c r="M32" s="20">
        <f t="shared" si="1"/>
        <v>2948</v>
      </c>
      <c r="N32" s="344"/>
      <c r="O32" s="347"/>
      <c r="P32" s="171"/>
      <c r="Q32" s="171"/>
      <c r="R32" s="350"/>
      <c r="S32" s="20">
        <f t="shared" si="9"/>
        <v>15446</v>
      </c>
      <c r="T32" s="50"/>
      <c r="U32" s="315"/>
      <c r="V32" s="10"/>
    </row>
    <row r="33" spans="1:24" s="8" customFormat="1" ht="14.5" thickBot="1" x14ac:dyDescent="0.35">
      <c r="A33" s="97" t="s">
        <v>56</v>
      </c>
      <c r="B33" s="244" t="s">
        <v>35</v>
      </c>
      <c r="C33" s="55">
        <v>12</v>
      </c>
      <c r="D33" s="319"/>
      <c r="E33" s="71">
        <v>1.5</v>
      </c>
      <c r="F33" s="57"/>
      <c r="G33" s="58">
        <f t="shared" si="3"/>
        <v>37494</v>
      </c>
      <c r="H33" s="68">
        <f>ROUND(C33*E33*540,2)</f>
        <v>9720</v>
      </c>
      <c r="I33" s="68"/>
      <c r="J33" s="58"/>
      <c r="K33" s="68"/>
      <c r="L33" s="59">
        <f t="shared" si="8"/>
        <v>47214</v>
      </c>
      <c r="M33" s="58">
        <f t="shared" si="1"/>
        <v>11138</v>
      </c>
      <c r="N33" s="345"/>
      <c r="O33" s="348"/>
      <c r="P33" s="172"/>
      <c r="Q33" s="172"/>
      <c r="R33" s="351"/>
      <c r="S33" s="59">
        <f t="shared" si="9"/>
        <v>58352</v>
      </c>
      <c r="T33" s="59"/>
      <c r="U33" s="316"/>
      <c r="V33" s="10"/>
      <c r="X33" s="260"/>
    </row>
    <row r="34" spans="1:24" s="8" customFormat="1" x14ac:dyDescent="0.3">
      <c r="A34" s="94" t="s">
        <v>41</v>
      </c>
      <c r="B34" s="35" t="s">
        <v>54</v>
      </c>
      <c r="C34" s="36">
        <v>12</v>
      </c>
      <c r="D34" s="317">
        <v>4</v>
      </c>
      <c r="E34" s="63">
        <v>0.5</v>
      </c>
      <c r="F34" s="69"/>
      <c r="G34" s="38">
        <f t="shared" si="3"/>
        <v>12498</v>
      </c>
      <c r="H34" s="64"/>
      <c r="I34" s="64"/>
      <c r="J34" s="38"/>
      <c r="K34" s="64"/>
      <c r="L34" s="65">
        <f t="shared" si="8"/>
        <v>12498</v>
      </c>
      <c r="M34" s="38">
        <f t="shared" si="1"/>
        <v>2948</v>
      </c>
      <c r="N34" s="65">
        <v>3673</v>
      </c>
      <c r="O34" s="63">
        <v>306.08</v>
      </c>
      <c r="P34" s="63"/>
      <c r="Q34" s="63"/>
      <c r="R34" s="38">
        <f>ROUND(C34*E34*O34,)</f>
        <v>1836</v>
      </c>
      <c r="S34" s="65">
        <f t="shared" si="9"/>
        <v>15446</v>
      </c>
      <c r="T34" s="65"/>
      <c r="U34" s="314">
        <f>SUM(R34:T37)</f>
        <v>121423</v>
      </c>
      <c r="V34" s="67"/>
    </row>
    <row r="35" spans="1:24" s="8" customFormat="1" x14ac:dyDescent="0.3">
      <c r="A35" s="96" t="s">
        <v>41</v>
      </c>
      <c r="B35" s="48" t="s">
        <v>33</v>
      </c>
      <c r="C35" s="44">
        <v>12</v>
      </c>
      <c r="D35" s="318"/>
      <c r="E35" s="49"/>
      <c r="F35" s="70">
        <v>1</v>
      </c>
      <c r="G35" s="20">
        <f t="shared" si="3"/>
        <v>0</v>
      </c>
      <c r="H35" s="50"/>
      <c r="I35" s="66"/>
      <c r="J35" s="20">
        <f>ROUND(C35*F35*$J$9,2)</f>
        <v>15636</v>
      </c>
      <c r="K35" s="66"/>
      <c r="L35" s="50">
        <f t="shared" si="8"/>
        <v>15636</v>
      </c>
      <c r="M35" s="20">
        <f t="shared" si="1"/>
        <v>3689</v>
      </c>
      <c r="N35" s="50">
        <v>3673</v>
      </c>
      <c r="O35" s="49">
        <v>306.08</v>
      </c>
      <c r="P35" s="49"/>
      <c r="Q35" s="49"/>
      <c r="R35" s="20">
        <f>ROUND(C35*F35*O35,)</f>
        <v>3673</v>
      </c>
      <c r="S35" s="50">
        <f t="shared" si="9"/>
        <v>19325</v>
      </c>
      <c r="T35" s="50"/>
      <c r="U35" s="315"/>
      <c r="V35" s="10"/>
    </row>
    <row r="36" spans="1:24" s="8" customFormat="1" x14ac:dyDescent="0.3">
      <c r="A36" s="96" t="s">
        <v>41</v>
      </c>
      <c r="B36" s="43" t="s">
        <v>34</v>
      </c>
      <c r="C36" s="44">
        <v>12</v>
      </c>
      <c r="D36" s="318"/>
      <c r="E36" s="49">
        <v>0.5</v>
      </c>
      <c r="F36" s="70"/>
      <c r="G36" s="20">
        <f t="shared" si="3"/>
        <v>12498</v>
      </c>
      <c r="H36" s="66"/>
      <c r="I36" s="66"/>
      <c r="J36" s="20"/>
      <c r="K36" s="66"/>
      <c r="L36" s="50">
        <f t="shared" si="8"/>
        <v>12498</v>
      </c>
      <c r="M36" s="20">
        <f t="shared" si="1"/>
        <v>2948</v>
      </c>
      <c r="N36" s="50">
        <v>3673</v>
      </c>
      <c r="O36" s="49">
        <v>306.08</v>
      </c>
      <c r="P36" s="49"/>
      <c r="Q36" s="49"/>
      <c r="R36" s="20">
        <f>ROUND(C36*E36*O36,)</f>
        <v>1836</v>
      </c>
      <c r="S36" s="50">
        <f t="shared" si="9"/>
        <v>15446</v>
      </c>
      <c r="T36" s="50"/>
      <c r="U36" s="315"/>
      <c r="V36" s="10"/>
    </row>
    <row r="37" spans="1:24" s="8" customFormat="1" ht="14.5" thickBot="1" x14ac:dyDescent="0.35">
      <c r="A37" s="97" t="s">
        <v>41</v>
      </c>
      <c r="B37" s="54" t="s">
        <v>35</v>
      </c>
      <c r="C37" s="55">
        <v>12</v>
      </c>
      <c r="D37" s="319"/>
      <c r="E37" s="57">
        <v>1.5</v>
      </c>
      <c r="F37" s="71"/>
      <c r="G37" s="58">
        <f t="shared" si="3"/>
        <v>37494</v>
      </c>
      <c r="H37" s="58">
        <f>ROUND(C37*E37*540,2)</f>
        <v>9720</v>
      </c>
      <c r="I37" s="68"/>
      <c r="J37" s="58"/>
      <c r="K37" s="68"/>
      <c r="L37" s="59">
        <f t="shared" si="8"/>
        <v>47214</v>
      </c>
      <c r="M37" s="58">
        <f t="shared" si="1"/>
        <v>11138</v>
      </c>
      <c r="N37" s="59">
        <v>3673</v>
      </c>
      <c r="O37" s="57">
        <v>306.08</v>
      </c>
      <c r="P37" s="57"/>
      <c r="Q37" s="57"/>
      <c r="R37" s="20">
        <f>ROUND(C37*E37*O37,)</f>
        <v>5509</v>
      </c>
      <c r="S37" s="59">
        <f t="shared" si="9"/>
        <v>58352</v>
      </c>
      <c r="T37" s="59"/>
      <c r="U37" s="316"/>
      <c r="V37" s="67"/>
    </row>
    <row r="38" spans="1:24" s="8" customFormat="1" x14ac:dyDescent="0.3">
      <c r="A38" s="94" t="s">
        <v>42</v>
      </c>
      <c r="B38" s="123" t="s">
        <v>34</v>
      </c>
      <c r="C38" s="36">
        <v>12</v>
      </c>
      <c r="D38" s="317">
        <v>3</v>
      </c>
      <c r="E38" s="63">
        <v>0.5</v>
      </c>
      <c r="F38" s="69"/>
      <c r="G38" s="38">
        <f t="shared" si="3"/>
        <v>12498</v>
      </c>
      <c r="H38" s="38"/>
      <c r="I38" s="64"/>
      <c r="J38" s="38"/>
      <c r="K38" s="64"/>
      <c r="L38" s="65">
        <f t="shared" si="8"/>
        <v>12498</v>
      </c>
      <c r="M38" s="38">
        <f t="shared" si="1"/>
        <v>2948</v>
      </c>
      <c r="N38" s="65">
        <v>3673</v>
      </c>
      <c r="O38" s="63">
        <v>306.08</v>
      </c>
      <c r="P38" s="63"/>
      <c r="Q38" s="63"/>
      <c r="R38" s="38">
        <f>ROUND(C38*E38*O38,)</f>
        <v>1836</v>
      </c>
      <c r="S38" s="65">
        <f t="shared" si="9"/>
        <v>15446</v>
      </c>
      <c r="T38" s="65"/>
      <c r="U38" s="314">
        <f>SUM(R38:T40)</f>
        <v>102430</v>
      </c>
      <c r="V38" s="10"/>
    </row>
    <row r="39" spans="1:24" s="8" customFormat="1" x14ac:dyDescent="0.3">
      <c r="A39" s="96" t="s">
        <v>42</v>
      </c>
      <c r="B39" s="48" t="s">
        <v>35</v>
      </c>
      <c r="C39" s="44">
        <v>12</v>
      </c>
      <c r="D39" s="318"/>
      <c r="E39" s="49">
        <v>1.75</v>
      </c>
      <c r="F39" s="70"/>
      <c r="G39" s="20">
        <f t="shared" si="3"/>
        <v>43743</v>
      </c>
      <c r="H39" s="20">
        <f>ROUND(C39*E39*540,2)</f>
        <v>11340</v>
      </c>
      <c r="I39" s="66"/>
      <c r="J39" s="20"/>
      <c r="K39" s="66"/>
      <c r="L39" s="50">
        <f t="shared" si="8"/>
        <v>55083</v>
      </c>
      <c r="M39" s="20">
        <f t="shared" si="1"/>
        <v>12994</v>
      </c>
      <c r="N39" s="50">
        <v>3673</v>
      </c>
      <c r="O39" s="49">
        <v>306.08</v>
      </c>
      <c r="P39" s="49"/>
      <c r="Q39" s="49"/>
      <c r="R39" s="20">
        <f>ROUND(C39*E39*O39,)</f>
        <v>6428</v>
      </c>
      <c r="S39" s="50">
        <f t="shared" si="9"/>
        <v>68077</v>
      </c>
      <c r="T39" s="50"/>
      <c r="U39" s="315"/>
      <c r="V39" s="67"/>
    </row>
    <row r="40" spans="1:24" s="8" customFormat="1" ht="14.5" thickBot="1" x14ac:dyDescent="0.35">
      <c r="A40" s="97" t="s">
        <v>42</v>
      </c>
      <c r="B40" s="54" t="s">
        <v>37</v>
      </c>
      <c r="C40" s="55">
        <v>12</v>
      </c>
      <c r="D40" s="319"/>
      <c r="E40" s="57">
        <v>0.25</v>
      </c>
      <c r="F40" s="71"/>
      <c r="G40" s="58">
        <f t="shared" si="3"/>
        <v>6249</v>
      </c>
      <c r="H40" s="58">
        <f>ROUND(C40*E40*540,2)</f>
        <v>1620</v>
      </c>
      <c r="I40" s="68"/>
      <c r="J40" s="58"/>
      <c r="K40" s="68"/>
      <c r="L40" s="59">
        <f t="shared" si="8"/>
        <v>7869</v>
      </c>
      <c r="M40" s="58">
        <f t="shared" si="1"/>
        <v>1856</v>
      </c>
      <c r="N40" s="59">
        <v>3673</v>
      </c>
      <c r="O40" s="57">
        <v>306.08</v>
      </c>
      <c r="P40" s="57"/>
      <c r="Q40" s="57"/>
      <c r="R40" s="58">
        <f>ROUND(C40*E40*O40,)</f>
        <v>918</v>
      </c>
      <c r="S40" s="59">
        <f t="shared" si="9"/>
        <v>9725</v>
      </c>
      <c r="T40" s="59"/>
      <c r="U40" s="316"/>
      <c r="V40" s="67"/>
    </row>
    <row r="41" spans="1:24" s="8" customFormat="1" x14ac:dyDescent="0.3">
      <c r="A41" s="94" t="s">
        <v>57</v>
      </c>
      <c r="B41" s="123" t="s">
        <v>58</v>
      </c>
      <c r="C41" s="36">
        <v>12</v>
      </c>
      <c r="D41" s="317">
        <v>4</v>
      </c>
      <c r="E41" s="63"/>
      <c r="F41" s="69">
        <v>1</v>
      </c>
      <c r="G41" s="38">
        <f t="shared" si="3"/>
        <v>0</v>
      </c>
      <c r="H41" s="38"/>
      <c r="I41" s="64"/>
      <c r="J41" s="38">
        <f>ROUND(C41*F41*$J$9,2)</f>
        <v>15636</v>
      </c>
      <c r="K41" s="64"/>
      <c r="L41" s="65">
        <f t="shared" si="8"/>
        <v>15636</v>
      </c>
      <c r="M41" s="38">
        <f t="shared" si="1"/>
        <v>3689</v>
      </c>
      <c r="N41" s="320">
        <v>3673</v>
      </c>
      <c r="O41" s="323">
        <v>306.08</v>
      </c>
      <c r="P41" s="245"/>
      <c r="Q41" s="245"/>
      <c r="R41" s="352">
        <f>ROUND(C41*D41*O41,)</f>
        <v>14692</v>
      </c>
      <c r="S41" s="65">
        <f t="shared" si="9"/>
        <v>19325</v>
      </c>
      <c r="T41" s="65"/>
      <c r="U41" s="314">
        <f>SUM(R41:T44)</f>
        <v>212507</v>
      </c>
      <c r="V41" s="67"/>
    </row>
    <row r="42" spans="1:24" s="8" customFormat="1" x14ac:dyDescent="0.3">
      <c r="A42" s="96" t="s">
        <v>57</v>
      </c>
      <c r="B42" s="48" t="s">
        <v>34</v>
      </c>
      <c r="C42" s="44">
        <v>12</v>
      </c>
      <c r="D42" s="318"/>
      <c r="E42" s="49">
        <v>1</v>
      </c>
      <c r="F42" s="70"/>
      <c r="G42" s="20">
        <f t="shared" si="3"/>
        <v>24996</v>
      </c>
      <c r="H42" s="20"/>
      <c r="I42" s="66"/>
      <c r="J42" s="20"/>
      <c r="K42" s="66"/>
      <c r="L42" s="50">
        <f t="shared" si="8"/>
        <v>24996</v>
      </c>
      <c r="M42" s="20">
        <f t="shared" si="1"/>
        <v>5897</v>
      </c>
      <c r="N42" s="321"/>
      <c r="O42" s="324"/>
      <c r="P42" s="246"/>
      <c r="Q42" s="246"/>
      <c r="R42" s="353"/>
      <c r="S42" s="50">
        <f t="shared" si="9"/>
        <v>30893</v>
      </c>
      <c r="T42" s="50"/>
      <c r="U42" s="315"/>
      <c r="V42" s="67"/>
    </row>
    <row r="43" spans="1:24" s="8" customFormat="1" x14ac:dyDescent="0.3">
      <c r="A43" s="96" t="s">
        <v>57</v>
      </c>
      <c r="B43" s="48" t="s">
        <v>59</v>
      </c>
      <c r="C43" s="44">
        <v>12</v>
      </c>
      <c r="D43" s="318"/>
      <c r="E43" s="49">
        <v>3</v>
      </c>
      <c r="F43" s="70"/>
      <c r="G43" s="20">
        <f t="shared" si="3"/>
        <v>74988</v>
      </c>
      <c r="H43" s="20">
        <f>ROUND(C43*E43*540,2)</f>
        <v>19440</v>
      </c>
      <c r="I43" s="66"/>
      <c r="J43" s="20"/>
      <c r="K43" s="66"/>
      <c r="L43" s="50">
        <f t="shared" si="8"/>
        <v>94428</v>
      </c>
      <c r="M43" s="20">
        <f t="shared" si="1"/>
        <v>22276</v>
      </c>
      <c r="N43" s="321"/>
      <c r="O43" s="324"/>
      <c r="P43" s="247"/>
      <c r="Q43" s="247"/>
      <c r="R43" s="353"/>
      <c r="S43" s="50">
        <f t="shared" si="9"/>
        <v>116704</v>
      </c>
      <c r="T43" s="50"/>
      <c r="U43" s="315"/>
      <c r="V43" s="67"/>
    </row>
    <row r="44" spans="1:24" s="8" customFormat="1" ht="14.5" thickBot="1" x14ac:dyDescent="0.35">
      <c r="A44" s="97" t="s">
        <v>57</v>
      </c>
      <c r="B44" s="54" t="s">
        <v>53</v>
      </c>
      <c r="C44" s="55">
        <v>12</v>
      </c>
      <c r="D44" s="319"/>
      <c r="E44" s="57">
        <v>1</v>
      </c>
      <c r="F44" s="71"/>
      <c r="G44" s="58">
        <f t="shared" si="3"/>
        <v>24996</v>
      </c>
      <c r="H44" s="58"/>
      <c r="I44" s="68"/>
      <c r="J44" s="58"/>
      <c r="K44" s="68"/>
      <c r="L44" s="59">
        <f t="shared" si="8"/>
        <v>24996</v>
      </c>
      <c r="M44" s="58">
        <f t="shared" si="1"/>
        <v>5897</v>
      </c>
      <c r="N44" s="322"/>
      <c r="O44" s="325"/>
      <c r="P44" s="248"/>
      <c r="Q44" s="248"/>
      <c r="R44" s="354"/>
      <c r="S44" s="59">
        <f t="shared" si="9"/>
        <v>30893</v>
      </c>
      <c r="T44" s="59"/>
      <c r="U44" s="316"/>
      <c r="V44" s="67"/>
    </row>
    <row r="45" spans="1:24" s="8" customFormat="1" x14ac:dyDescent="0.3">
      <c r="A45" s="94" t="s">
        <v>60</v>
      </c>
      <c r="B45" s="123" t="s">
        <v>58</v>
      </c>
      <c r="C45" s="36">
        <v>12</v>
      </c>
      <c r="D45" s="317">
        <v>4</v>
      </c>
      <c r="E45" s="63"/>
      <c r="F45" s="69">
        <v>1</v>
      </c>
      <c r="G45" s="38">
        <f t="shared" si="3"/>
        <v>0</v>
      </c>
      <c r="H45" s="38"/>
      <c r="I45" s="64"/>
      <c r="J45" s="38">
        <f>ROUND(C45*F45*$J$9,2)</f>
        <v>15636</v>
      </c>
      <c r="K45" s="64"/>
      <c r="L45" s="65">
        <f t="shared" si="8"/>
        <v>15636</v>
      </c>
      <c r="M45" s="38">
        <f t="shared" si="1"/>
        <v>3689</v>
      </c>
      <c r="N45" s="320">
        <v>3673</v>
      </c>
      <c r="O45" s="323">
        <v>306.08</v>
      </c>
      <c r="P45" s="245"/>
      <c r="Q45" s="245"/>
      <c r="R45" s="352">
        <f>ROUND(C45*D45*O45,)</f>
        <v>14692</v>
      </c>
      <c r="S45" s="65">
        <f t="shared" si="9"/>
        <v>19325</v>
      </c>
      <c r="T45" s="65"/>
      <c r="U45" s="314">
        <f>SUM(R45:T48)</f>
        <v>212507</v>
      </c>
      <c r="V45" s="67"/>
    </row>
    <row r="46" spans="1:24" s="8" customFormat="1" x14ac:dyDescent="0.3">
      <c r="A46" s="96" t="s">
        <v>60</v>
      </c>
      <c r="B46" s="48" t="s">
        <v>34</v>
      </c>
      <c r="C46" s="44">
        <v>12</v>
      </c>
      <c r="D46" s="318"/>
      <c r="E46" s="49">
        <v>1</v>
      </c>
      <c r="F46" s="70"/>
      <c r="G46" s="20">
        <f t="shared" si="3"/>
        <v>24996</v>
      </c>
      <c r="H46" s="20"/>
      <c r="I46" s="66"/>
      <c r="J46" s="20"/>
      <c r="K46" s="66"/>
      <c r="L46" s="50">
        <f t="shared" si="8"/>
        <v>24996</v>
      </c>
      <c r="M46" s="20">
        <f t="shared" si="1"/>
        <v>5897</v>
      </c>
      <c r="N46" s="321"/>
      <c r="O46" s="324"/>
      <c r="P46" s="246"/>
      <c r="Q46" s="246"/>
      <c r="R46" s="353"/>
      <c r="S46" s="50">
        <f t="shared" si="9"/>
        <v>30893</v>
      </c>
      <c r="T46" s="50"/>
      <c r="U46" s="315"/>
      <c r="V46" s="67"/>
    </row>
    <row r="47" spans="1:24" s="8" customFormat="1" x14ac:dyDescent="0.3">
      <c r="A47" s="96" t="s">
        <v>60</v>
      </c>
      <c r="B47" s="48" t="s">
        <v>59</v>
      </c>
      <c r="C47" s="44">
        <v>12</v>
      </c>
      <c r="D47" s="318"/>
      <c r="E47" s="49">
        <v>3</v>
      </c>
      <c r="F47" s="70"/>
      <c r="G47" s="20">
        <f t="shared" si="3"/>
        <v>74988</v>
      </c>
      <c r="H47" s="20">
        <f>ROUND(C47*E47*540,2)</f>
        <v>19440</v>
      </c>
      <c r="I47" s="66"/>
      <c r="J47" s="20"/>
      <c r="K47" s="66"/>
      <c r="L47" s="50">
        <f t="shared" si="8"/>
        <v>94428</v>
      </c>
      <c r="M47" s="20">
        <f t="shared" si="1"/>
        <v>22276</v>
      </c>
      <c r="N47" s="321"/>
      <c r="O47" s="324"/>
      <c r="P47" s="247"/>
      <c r="Q47" s="247"/>
      <c r="R47" s="353"/>
      <c r="S47" s="50">
        <f t="shared" si="9"/>
        <v>116704</v>
      </c>
      <c r="T47" s="50"/>
      <c r="U47" s="315"/>
      <c r="V47" s="67"/>
    </row>
    <row r="48" spans="1:24" s="8" customFormat="1" ht="14.5" thickBot="1" x14ac:dyDescent="0.35">
      <c r="A48" s="239" t="s">
        <v>60</v>
      </c>
      <c r="B48" s="240" t="s">
        <v>53</v>
      </c>
      <c r="C48" s="241">
        <v>12</v>
      </c>
      <c r="D48" s="319"/>
      <c r="E48" s="242">
        <v>1</v>
      </c>
      <c r="F48" s="242"/>
      <c r="G48" s="106">
        <f t="shared" si="3"/>
        <v>24996</v>
      </c>
      <c r="H48" s="243"/>
      <c r="I48" s="243"/>
      <c r="J48" s="106"/>
      <c r="K48" s="243"/>
      <c r="L48" s="243">
        <f t="shared" si="8"/>
        <v>24996</v>
      </c>
      <c r="M48" s="106">
        <f t="shared" si="1"/>
        <v>5897</v>
      </c>
      <c r="N48" s="322"/>
      <c r="O48" s="325"/>
      <c r="P48" s="248"/>
      <c r="Q48" s="248"/>
      <c r="R48" s="354"/>
      <c r="S48" s="106">
        <f t="shared" si="9"/>
        <v>30893</v>
      </c>
      <c r="T48" s="243"/>
      <c r="U48" s="316"/>
      <c r="V48" s="67"/>
    </row>
    <row r="49" spans="1:23" s="139" customFormat="1" ht="31.5" customHeight="1" thickBot="1" x14ac:dyDescent="0.4">
      <c r="A49" s="372" t="s">
        <v>88</v>
      </c>
      <c r="B49" s="372"/>
      <c r="C49" s="372"/>
      <c r="D49" s="132">
        <f>SUM(D11:D48)</f>
        <v>43</v>
      </c>
      <c r="E49" s="294">
        <f>SUM(E11:E48)</f>
        <v>52.75</v>
      </c>
      <c r="F49" s="294">
        <f>SUM(F11:F48)</f>
        <v>9.5</v>
      </c>
      <c r="G49" s="489">
        <f>E49+F49</f>
        <v>62.25</v>
      </c>
      <c r="H49" s="132"/>
      <c r="I49" s="132"/>
      <c r="J49" s="132"/>
      <c r="K49" s="132"/>
      <c r="L49" s="132">
        <f t="shared" si="8"/>
        <v>62</v>
      </c>
      <c r="M49" s="132">
        <f t="shared" si="1"/>
        <v>15</v>
      </c>
      <c r="N49" s="368" t="s">
        <v>89</v>
      </c>
      <c r="O49" s="369"/>
      <c r="P49" s="369"/>
      <c r="Q49" s="369"/>
      <c r="R49" s="369"/>
      <c r="S49" s="369"/>
      <c r="T49" s="370"/>
      <c r="U49" s="153">
        <f>SUM(U11:U48)</f>
        <v>2267993.0760000004</v>
      </c>
      <c r="V49" s="140"/>
      <c r="W49" s="140"/>
    </row>
    <row r="50" spans="1:23" x14ac:dyDescent="0.3">
      <c r="A50" s="174"/>
      <c r="R50" s="144"/>
    </row>
    <row r="51" spans="1:23" x14ac:dyDescent="0.3">
      <c r="E51" s="169"/>
      <c r="T51" s="288" t="s">
        <v>90</v>
      </c>
      <c r="U51" s="296">
        <v>869350</v>
      </c>
    </row>
    <row r="52" spans="1:23" x14ac:dyDescent="0.3">
      <c r="F52" s="144"/>
      <c r="T52" s="288" t="s">
        <v>73</v>
      </c>
      <c r="U52" s="297">
        <v>110795</v>
      </c>
    </row>
    <row r="53" spans="1:23" x14ac:dyDescent="0.3">
      <c r="F53" s="144"/>
      <c r="T53" s="392" t="s">
        <v>76</v>
      </c>
      <c r="U53" s="289">
        <v>17792.87</v>
      </c>
    </row>
    <row r="54" spans="1:23" x14ac:dyDescent="0.3">
      <c r="F54" s="144"/>
      <c r="T54" s="141"/>
      <c r="U54" s="142"/>
    </row>
    <row r="55" spans="1:23" ht="21.75" customHeight="1" x14ac:dyDescent="0.3">
      <c r="N55" s="363" t="s">
        <v>91</v>
      </c>
      <c r="O55" s="364"/>
      <c r="P55" s="364"/>
      <c r="Q55" s="364"/>
      <c r="R55" s="364"/>
      <c r="S55" s="364"/>
      <c r="T55" s="365"/>
      <c r="U55" s="173">
        <f>U49-U51-U52-U53</f>
        <v>1270055.2060000002</v>
      </c>
    </row>
    <row r="56" spans="1:23" x14ac:dyDescent="0.3">
      <c r="T56" s="141"/>
      <c r="U56" s="142"/>
    </row>
    <row r="57" spans="1:23" x14ac:dyDescent="0.3">
      <c r="T57" s="141"/>
      <c r="U57" s="145"/>
    </row>
    <row r="58" spans="1:23" x14ac:dyDescent="0.3">
      <c r="T58" s="143"/>
      <c r="U58" s="295"/>
    </row>
    <row r="59" spans="1:23" x14ac:dyDescent="0.3">
      <c r="T59" s="146"/>
      <c r="U59" s="295"/>
    </row>
    <row r="60" spans="1:23" x14ac:dyDescent="0.3">
      <c r="V60" s="286"/>
    </row>
    <row r="61" spans="1:23" x14ac:dyDescent="0.3">
      <c r="U61" s="144"/>
    </row>
    <row r="62" spans="1:23" x14ac:dyDescent="0.3">
      <c r="U62" s="144"/>
    </row>
  </sheetData>
  <mergeCells count="46">
    <mergeCell ref="O41:O44"/>
    <mergeCell ref="R41:R44"/>
    <mergeCell ref="U41:U44"/>
    <mergeCell ref="D41:D44"/>
    <mergeCell ref="D34:D37"/>
    <mergeCell ref="U34:U37"/>
    <mergeCell ref="D38:D40"/>
    <mergeCell ref="U38:U40"/>
    <mergeCell ref="D31:D33"/>
    <mergeCell ref="N31:N33"/>
    <mergeCell ref="O31:O33"/>
    <mergeCell ref="R31:R33"/>
    <mergeCell ref="U31:U33"/>
    <mergeCell ref="D27:D30"/>
    <mergeCell ref="N27:N30"/>
    <mergeCell ref="O27:O30"/>
    <mergeCell ref="R27:R30"/>
    <mergeCell ref="U27:U30"/>
    <mergeCell ref="D18:D22"/>
    <mergeCell ref="U18:U22"/>
    <mergeCell ref="D23:D26"/>
    <mergeCell ref="N23:N26"/>
    <mergeCell ref="O23:O26"/>
    <mergeCell ref="R23:R26"/>
    <mergeCell ref="U23:U26"/>
    <mergeCell ref="R12:R13"/>
    <mergeCell ref="D15:D16"/>
    <mergeCell ref="N15:N16"/>
    <mergeCell ref="O15:O16"/>
    <mergeCell ref="R15:R16"/>
    <mergeCell ref="N55:T55"/>
    <mergeCell ref="A8:F9"/>
    <mergeCell ref="G8:M8"/>
    <mergeCell ref="N49:T49"/>
    <mergeCell ref="A2:U2"/>
    <mergeCell ref="D45:D48"/>
    <mergeCell ref="N45:N48"/>
    <mergeCell ref="O45:O48"/>
    <mergeCell ref="R45:R48"/>
    <mergeCell ref="U45:U48"/>
    <mergeCell ref="N41:N44"/>
    <mergeCell ref="A49:C49"/>
    <mergeCell ref="U11:U17"/>
    <mergeCell ref="D12:D13"/>
    <mergeCell ref="N12:N13"/>
    <mergeCell ref="O12:O1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B3D6F-6C5B-494F-9AEF-22F104C167CF}">
  <dimension ref="A1:O27"/>
  <sheetViews>
    <sheetView zoomScaleNormal="100" workbookViewId="0">
      <selection activeCell="C34" sqref="C34"/>
    </sheetView>
  </sheetViews>
  <sheetFormatPr defaultColWidth="8.7265625" defaultRowHeight="14" x14ac:dyDescent="0.3"/>
  <cols>
    <col min="1" max="1" width="33.54296875" style="16" customWidth="1"/>
    <col min="2" max="5" width="23.7265625" style="16" customWidth="1"/>
    <col min="6" max="6" width="3.1796875" style="16" customWidth="1"/>
    <col min="7" max="7" width="3.453125" style="16" customWidth="1"/>
    <col min="8" max="8" width="8.7265625" style="272" customWidth="1"/>
    <col min="9" max="9" width="80.81640625" style="275" customWidth="1"/>
    <col min="10" max="16384" width="8.7265625" style="16"/>
  </cols>
  <sheetData>
    <row r="1" spans="1:15" x14ac:dyDescent="0.3">
      <c r="G1" s="162" t="s">
        <v>92</v>
      </c>
    </row>
    <row r="2" spans="1:15" ht="27.5" customHeight="1" x14ac:dyDescent="0.3">
      <c r="A2" s="373" t="s">
        <v>94</v>
      </c>
      <c r="B2" s="373"/>
      <c r="C2" s="373"/>
      <c r="D2" s="373"/>
      <c r="E2" s="373"/>
      <c r="F2" s="373"/>
      <c r="G2" s="373"/>
    </row>
    <row r="3" spans="1:15" ht="15" x14ac:dyDescent="0.3">
      <c r="A3" s="271"/>
      <c r="B3" s="271"/>
      <c r="C3" s="271"/>
      <c r="D3" s="271"/>
      <c r="E3" s="271"/>
      <c r="F3" s="271"/>
      <c r="G3" s="271"/>
    </row>
    <row r="4" spans="1:15" x14ac:dyDescent="0.3">
      <c r="A4" s="375" t="s">
        <v>95</v>
      </c>
      <c r="B4" s="375"/>
      <c r="C4" s="375"/>
      <c r="D4" s="375"/>
      <c r="E4" s="375"/>
      <c r="F4" s="375"/>
      <c r="G4" s="375"/>
    </row>
    <row r="5" spans="1:15" s="2" customFormat="1" ht="15" x14ac:dyDescent="0.35">
      <c r="A5" s="230" t="s">
        <v>96</v>
      </c>
      <c r="B5" s="4"/>
      <c r="C5" s="4"/>
      <c r="D5" s="4"/>
      <c r="E5" s="4"/>
      <c r="F5" s="4"/>
      <c r="G5" s="4"/>
      <c r="H5" s="4"/>
      <c r="I5" s="276"/>
      <c r="J5" s="4"/>
      <c r="K5" s="4"/>
      <c r="L5" s="4"/>
      <c r="M5" s="4"/>
      <c r="N5" s="3"/>
      <c r="O5" s="3"/>
    </row>
    <row r="6" spans="1:15" s="155" customFormat="1" ht="15.5" x14ac:dyDescent="0.35">
      <c r="A6" s="283" t="s">
        <v>3</v>
      </c>
      <c r="C6" s="157"/>
      <c r="D6" s="157"/>
      <c r="E6" s="157"/>
      <c r="F6" s="157"/>
      <c r="G6" s="158"/>
      <c r="H6" s="273"/>
      <c r="I6" s="277"/>
    </row>
    <row r="7" spans="1:15" s="155" customFormat="1" ht="15.5" x14ac:dyDescent="0.35">
      <c r="A7" s="284" t="s">
        <v>4</v>
      </c>
      <c r="C7" s="160"/>
      <c r="D7" s="160"/>
      <c r="E7" s="160"/>
      <c r="F7" s="160"/>
      <c r="G7" s="158"/>
      <c r="H7" s="273"/>
      <c r="I7" s="277"/>
    </row>
    <row r="8" spans="1:15" s="155" customFormat="1" ht="15.5" x14ac:dyDescent="0.35">
      <c r="A8" s="159"/>
      <c r="C8" s="160"/>
      <c r="D8" s="160"/>
      <c r="E8" s="160"/>
      <c r="F8" s="160"/>
      <c r="G8" s="158"/>
      <c r="H8" s="273"/>
      <c r="I8" s="277"/>
    </row>
    <row r="9" spans="1:15" x14ac:dyDescent="0.3">
      <c r="B9" s="374" t="s">
        <v>97</v>
      </c>
      <c r="C9" s="374"/>
      <c r="D9" s="374"/>
    </row>
    <row r="10" spans="1:15" ht="42" x14ac:dyDescent="0.3">
      <c r="B10" s="163" t="s">
        <v>98</v>
      </c>
      <c r="C10" s="163" t="s">
        <v>99</v>
      </c>
      <c r="D10" s="163" t="s">
        <v>100</v>
      </c>
      <c r="E10" s="163" t="s">
        <v>101</v>
      </c>
    </row>
    <row r="11" spans="1:15" x14ac:dyDescent="0.3">
      <c r="B11" s="298" t="s">
        <v>102</v>
      </c>
      <c r="C11" s="167">
        <v>36587.69</v>
      </c>
      <c r="D11" s="299"/>
      <c r="E11" s="300"/>
    </row>
    <row r="12" spans="1:15" x14ac:dyDescent="0.3">
      <c r="B12" s="298" t="s">
        <v>103</v>
      </c>
      <c r="C12" s="167">
        <v>38428.160000000003</v>
      </c>
      <c r="D12" s="301">
        <f>C12/C11-1</f>
        <v>5.0302984419076546E-2</v>
      </c>
      <c r="E12" s="301">
        <f>C12/$C$11-1</f>
        <v>5.0302984419076546E-2</v>
      </c>
    </row>
    <row r="13" spans="1:15" x14ac:dyDescent="0.3">
      <c r="B13" s="298" t="s">
        <v>104</v>
      </c>
      <c r="C13" s="167">
        <v>51929.47</v>
      </c>
      <c r="D13" s="301">
        <f>C13/C12-1</f>
        <v>0.35133896600826042</v>
      </c>
      <c r="E13" s="301">
        <f t="shared" ref="E13:E22" si="0">C13/$C$11-1</f>
        <v>0.41931534896026501</v>
      </c>
    </row>
    <row r="14" spans="1:15" x14ac:dyDescent="0.3">
      <c r="B14" s="298" t="s">
        <v>105</v>
      </c>
      <c r="C14" s="167">
        <v>47015.450000000004</v>
      </c>
      <c r="D14" s="301">
        <f t="shared" ref="D14:D22" si="1">C14/C13-1</f>
        <v>-9.4628733934700171E-2</v>
      </c>
      <c r="E14" s="301">
        <f t="shared" si="0"/>
        <v>0.28500733443406778</v>
      </c>
    </row>
    <row r="15" spans="1:15" x14ac:dyDescent="0.3">
      <c r="B15" s="298" t="s">
        <v>106</v>
      </c>
      <c r="C15" s="167">
        <v>49202.49</v>
      </c>
      <c r="D15" s="301">
        <f t="shared" si="1"/>
        <v>4.6517474574847117E-2</v>
      </c>
      <c r="E15" s="301">
        <f t="shared" si="0"/>
        <v>0.34478263044209667</v>
      </c>
      <c r="H15" s="272">
        <v>100</v>
      </c>
      <c r="I15" s="275" t="s">
        <v>107</v>
      </c>
    </row>
    <row r="16" spans="1:15" x14ac:dyDescent="0.3">
      <c r="B16" s="298" t="s">
        <v>108</v>
      </c>
      <c r="C16" s="167">
        <v>39321.090000000004</v>
      </c>
      <c r="D16" s="301">
        <f t="shared" si="1"/>
        <v>-0.20083129939155508</v>
      </c>
      <c r="E16" s="301">
        <f t="shared" si="0"/>
        <v>7.4708187371216983E-2</v>
      </c>
      <c r="H16" s="272">
        <v>75</v>
      </c>
      <c r="I16" s="275" t="s">
        <v>109</v>
      </c>
    </row>
    <row r="17" spans="1:9" x14ac:dyDescent="0.3">
      <c r="B17" s="298" t="s">
        <v>110</v>
      </c>
      <c r="C17" s="167">
        <v>35478.6</v>
      </c>
      <c r="D17" s="301">
        <f t="shared" si="1"/>
        <v>-9.7720841411059634E-2</v>
      </c>
      <c r="E17" s="301">
        <f t="shared" si="0"/>
        <v>-3.0313200970053189E-2</v>
      </c>
    </row>
    <row r="18" spans="1:9" x14ac:dyDescent="0.3">
      <c r="B18" s="298" t="s">
        <v>111</v>
      </c>
      <c r="C18" s="167">
        <v>34463.54</v>
      </c>
      <c r="D18" s="301">
        <f t="shared" si="1"/>
        <v>-2.8610486321331674E-2</v>
      </c>
      <c r="E18" s="301">
        <f t="shared" si="0"/>
        <v>-5.8056411869675362E-2</v>
      </c>
      <c r="H18" s="274">
        <f>C23/H15</f>
        <v>5623.730599999999</v>
      </c>
      <c r="I18" s="275" t="s">
        <v>112</v>
      </c>
    </row>
    <row r="19" spans="1:9" x14ac:dyDescent="0.3">
      <c r="B19" s="298" t="s">
        <v>113</v>
      </c>
      <c r="C19" s="167">
        <v>44289.760000000009</v>
      </c>
      <c r="D19" s="301">
        <f t="shared" si="1"/>
        <v>0.28511928838418821</v>
      </c>
      <c r="E19" s="301">
        <f t="shared" si="0"/>
        <v>0.21050987367609175</v>
      </c>
      <c r="H19" s="274">
        <f>H18*H16</f>
        <v>421779.79499999993</v>
      </c>
      <c r="I19" s="275" t="s">
        <v>114</v>
      </c>
    </row>
    <row r="20" spans="1:9" x14ac:dyDescent="0.3">
      <c r="B20" s="298" t="s">
        <v>115</v>
      </c>
      <c r="C20" s="167">
        <v>54292.30000000001</v>
      </c>
      <c r="D20" s="301">
        <f t="shared" si="1"/>
        <v>0.22584317458482506</v>
      </c>
      <c r="E20" s="301">
        <f t="shared" si="0"/>
        <v>0.48389526641337577</v>
      </c>
    </row>
    <row r="21" spans="1:9" x14ac:dyDescent="0.3">
      <c r="B21" s="298" t="s">
        <v>116</v>
      </c>
      <c r="C21" s="167">
        <v>59797.380000000005</v>
      </c>
      <c r="D21" s="301">
        <f t="shared" si="1"/>
        <v>0.10139706735577603</v>
      </c>
      <c r="E21" s="301">
        <f t="shared" si="0"/>
        <v>0.63435789469080994</v>
      </c>
    </row>
    <row r="22" spans="1:9" x14ac:dyDescent="0.3">
      <c r="B22" s="298" t="s">
        <v>117</v>
      </c>
      <c r="C22" s="167">
        <v>71567.12999999999</v>
      </c>
      <c r="D22" s="301">
        <f t="shared" si="1"/>
        <v>0.1968271854051129</v>
      </c>
      <c r="E22" s="301">
        <f t="shared" si="0"/>
        <v>0.95604395904742789</v>
      </c>
    </row>
    <row r="23" spans="1:9" x14ac:dyDescent="0.3">
      <c r="B23" s="302" t="s">
        <v>43</v>
      </c>
      <c r="C23" s="303">
        <f>SUM(C11:C22)</f>
        <v>562373.05999999994</v>
      </c>
      <c r="D23" s="304"/>
      <c r="E23" s="305"/>
    </row>
    <row r="24" spans="1:9" x14ac:dyDescent="0.3">
      <c r="B24" s="278"/>
      <c r="C24" s="279"/>
      <c r="D24" s="164"/>
    </row>
    <row r="25" spans="1:9" x14ac:dyDescent="0.3">
      <c r="A25" s="377" t="s">
        <v>118</v>
      </c>
      <c r="B25" s="377"/>
      <c r="C25" s="377"/>
      <c r="D25" s="175">
        <f>H19</f>
        <v>421779.79499999993</v>
      </c>
    </row>
    <row r="26" spans="1:9" ht="48" customHeight="1" x14ac:dyDescent="0.3">
      <c r="A26" s="376" t="s">
        <v>119</v>
      </c>
      <c r="B26" s="376"/>
      <c r="C26" s="376"/>
      <c r="D26" s="175">
        <v>1691835</v>
      </c>
      <c r="E26" s="168"/>
      <c r="F26" s="168"/>
    </row>
    <row r="27" spans="1:9" x14ac:dyDescent="0.3">
      <c r="B27" s="165"/>
      <c r="C27" s="166" t="s">
        <v>120</v>
      </c>
      <c r="D27" s="176">
        <f>D26-D25</f>
        <v>1270055.2050000001</v>
      </c>
      <c r="E27" s="306"/>
      <c r="F27" s="168"/>
    </row>
  </sheetData>
  <mergeCells count="5">
    <mergeCell ref="B9:D9"/>
    <mergeCell ref="A2:G2"/>
    <mergeCell ref="A4:G4"/>
    <mergeCell ref="A26:C26"/>
    <mergeCell ref="A25:C25"/>
  </mergeCells>
  <phoneticPr fontId="38"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8A428-37F8-4231-870E-B1CC9E0AED4C}">
  <sheetPr>
    <tabColor rgb="FFFF0000"/>
  </sheetPr>
  <dimension ref="A2:S36"/>
  <sheetViews>
    <sheetView topLeftCell="A7" zoomScale="90" zoomScaleNormal="90" workbookViewId="0">
      <selection activeCell="D16" sqref="D16"/>
    </sheetView>
  </sheetViews>
  <sheetFormatPr defaultColWidth="8.7265625" defaultRowHeight="14.5" x14ac:dyDescent="0.35"/>
  <cols>
    <col min="1" max="1" width="15" style="179" customWidth="1"/>
    <col min="2" max="2" width="35" style="179" customWidth="1"/>
    <col min="3" max="3" width="17.1796875" style="179" customWidth="1"/>
    <col min="4" max="4" width="13.54296875" style="179" customWidth="1"/>
    <col min="5" max="5" width="14.54296875" style="179" customWidth="1"/>
    <col min="6" max="6" width="16.26953125" style="179" customWidth="1"/>
    <col min="7" max="7" width="21.1796875" style="179" customWidth="1"/>
    <col min="8" max="8" width="16.81640625" style="179" customWidth="1"/>
    <col min="9" max="9" width="21.54296875" style="179" customWidth="1"/>
    <col min="10" max="10" width="11.54296875" style="179" customWidth="1"/>
    <col min="11" max="11" width="10.54296875" style="179" customWidth="1"/>
    <col min="12" max="12" width="12.81640625" style="179" customWidth="1"/>
    <col min="13" max="13" width="14.1796875" style="179" customWidth="1"/>
    <col min="14" max="14" width="12.7265625" style="179" customWidth="1"/>
    <col min="15" max="15" width="13.26953125" style="179" customWidth="1"/>
    <col min="16" max="16" width="14" style="179" customWidth="1"/>
    <col min="17" max="17" width="10.7265625" style="179" bestFit="1" customWidth="1"/>
    <col min="18" max="16384" width="8.7265625" style="179"/>
  </cols>
  <sheetData>
    <row r="2" spans="1:17" ht="15.5" x14ac:dyDescent="0.35">
      <c r="A2" s="177"/>
      <c r="B2" s="378" t="s">
        <v>94</v>
      </c>
      <c r="C2" s="378"/>
      <c r="D2" s="378"/>
      <c r="E2" s="378"/>
      <c r="F2" s="378"/>
      <c r="G2" s="378"/>
      <c r="H2" s="378"/>
      <c r="I2" s="378"/>
      <c r="J2" s="378"/>
      <c r="K2" s="378"/>
      <c r="L2" s="378"/>
      <c r="M2" s="378"/>
      <c r="N2" s="178"/>
    </row>
    <row r="3" spans="1:17" ht="15.5" x14ac:dyDescent="0.35">
      <c r="A3" s="177"/>
      <c r="B3" s="379" t="s">
        <v>95</v>
      </c>
      <c r="C3" s="379"/>
      <c r="D3" s="379"/>
      <c r="E3" s="379"/>
      <c r="F3" s="379"/>
      <c r="G3" s="379"/>
      <c r="H3" s="379"/>
      <c r="I3" s="379"/>
      <c r="J3" s="379"/>
      <c r="K3" s="379"/>
      <c r="L3" s="379"/>
      <c r="M3" s="379"/>
    </row>
    <row r="4" spans="1:17" x14ac:dyDescent="0.35">
      <c r="A4" s="177"/>
    </row>
    <row r="5" spans="1:17" s="155" customFormat="1" ht="15.5" x14ac:dyDescent="0.35">
      <c r="B5" s="180" t="s">
        <v>3</v>
      </c>
      <c r="C5" s="181"/>
      <c r="D5" s="181"/>
      <c r="E5" s="181"/>
      <c r="F5" s="181"/>
      <c r="G5" s="158"/>
      <c r="H5" s="158"/>
      <c r="I5" s="158"/>
    </row>
    <row r="6" spans="1:17" s="155" customFormat="1" ht="15.5" x14ac:dyDescent="0.35">
      <c r="B6" s="182" t="s">
        <v>4</v>
      </c>
      <c r="C6" s="183"/>
      <c r="D6" s="183"/>
      <c r="E6" s="183"/>
      <c r="F6" s="183"/>
      <c r="G6" s="158"/>
      <c r="H6" s="158"/>
      <c r="I6" s="158"/>
    </row>
    <row r="7" spans="1:17" s="155" customFormat="1" ht="15.5" x14ac:dyDescent="0.35">
      <c r="B7" s="182"/>
      <c r="C7" s="183"/>
      <c r="D7" s="183"/>
      <c r="E7" s="183"/>
      <c r="F7" s="183"/>
      <c r="G7" s="234"/>
      <c r="H7" s="235"/>
      <c r="I7" s="158"/>
    </row>
    <row r="8" spans="1:17" x14ac:dyDescent="0.35">
      <c r="B8" s="184" t="s">
        <v>121</v>
      </c>
      <c r="C8" s="185"/>
      <c r="D8" s="185"/>
      <c r="E8" s="185"/>
      <c r="F8" s="177"/>
      <c r="G8" s="177"/>
      <c r="H8" s="233"/>
      <c r="I8" s="177"/>
      <c r="J8" s="177"/>
      <c r="K8" s="177"/>
      <c r="L8" s="177"/>
      <c r="M8" s="177"/>
      <c r="P8" s="155"/>
    </row>
    <row r="9" spans="1:17" x14ac:dyDescent="0.35">
      <c r="B9" s="185"/>
      <c r="C9" s="185"/>
      <c r="D9" s="185">
        <v>253</v>
      </c>
      <c r="E9" s="186" t="s">
        <v>122</v>
      </c>
      <c r="F9" s="186"/>
      <c r="G9" s="177"/>
      <c r="H9" s="177"/>
      <c r="K9" s="177"/>
      <c r="L9" s="177"/>
      <c r="M9" s="177"/>
    </row>
    <row r="10" spans="1:17" ht="39" x14ac:dyDescent="0.35">
      <c r="A10" s="187"/>
      <c r="B10" s="188" t="s">
        <v>123</v>
      </c>
      <c r="C10" s="189" t="s">
        <v>124</v>
      </c>
      <c r="D10" s="189" t="s">
        <v>125</v>
      </c>
      <c r="E10" s="189" t="s">
        <v>126</v>
      </c>
      <c r="F10" s="189" t="s">
        <v>127</v>
      </c>
      <c r="G10" s="189" t="s">
        <v>128</v>
      </c>
      <c r="H10" s="190"/>
      <c r="I10" s="380" t="s">
        <v>129</v>
      </c>
      <c r="J10" s="380"/>
      <c r="K10" s="380"/>
      <c r="L10" s="380"/>
      <c r="M10" s="190"/>
      <c r="N10" s="187"/>
      <c r="O10" s="187"/>
      <c r="P10" s="187"/>
      <c r="Q10" s="187"/>
    </row>
    <row r="11" spans="1:17" ht="28.5" x14ac:dyDescent="0.35">
      <c r="B11" s="191" t="s">
        <v>130</v>
      </c>
      <c r="C11" s="231">
        <v>25.33</v>
      </c>
      <c r="D11" s="232">
        <v>50</v>
      </c>
      <c r="E11" s="232">
        <v>1.888428</v>
      </c>
      <c r="F11" s="192">
        <f>C11*D11*E11*D9</f>
        <v>605098.59768600005</v>
      </c>
      <c r="G11" s="192">
        <f>E11*D9*D11</f>
        <v>23888.6142</v>
      </c>
      <c r="H11" s="193"/>
      <c r="I11" s="194">
        <v>1963</v>
      </c>
      <c r="J11" s="194">
        <v>1183</v>
      </c>
      <c r="K11" s="194">
        <v>745</v>
      </c>
      <c r="L11" s="194" t="s">
        <v>131</v>
      </c>
      <c r="M11" s="177"/>
      <c r="O11" s="195"/>
    </row>
    <row r="12" spans="1:17" ht="28.5" x14ac:dyDescent="0.35">
      <c r="B12" s="191" t="s">
        <v>132</v>
      </c>
      <c r="C12" s="231">
        <v>28.52</v>
      </c>
      <c r="D12" s="232">
        <v>21</v>
      </c>
      <c r="E12" s="232">
        <v>1</v>
      </c>
      <c r="F12" s="192">
        <f>C12*D12*E12*D9</f>
        <v>151526.75999999998</v>
      </c>
      <c r="G12" s="192">
        <f>E12*D9*D12</f>
        <v>5313</v>
      </c>
      <c r="H12" s="193"/>
      <c r="I12" s="196">
        <v>0.20449999999999999</v>
      </c>
      <c r="J12" s="196">
        <v>0.1232</v>
      </c>
      <c r="K12" s="196">
        <v>7.7600000000000002E-2</v>
      </c>
      <c r="L12" s="194">
        <v>0.2359</v>
      </c>
      <c r="M12" s="177"/>
    </row>
    <row r="13" spans="1:17" x14ac:dyDescent="0.35">
      <c r="A13" s="197"/>
      <c r="B13" s="198" t="s">
        <v>133</v>
      </c>
      <c r="C13" s="197"/>
      <c r="D13" s="197"/>
      <c r="E13" s="197"/>
      <c r="F13" s="199">
        <f>ROUND((F11+F12),0)</f>
        <v>756625</v>
      </c>
      <c r="G13" s="200">
        <f>ROUND((G11+G12),0)</f>
        <v>29202</v>
      </c>
      <c r="H13" s="193"/>
      <c r="I13" s="197"/>
      <c r="J13" s="197"/>
      <c r="K13" s="197"/>
      <c r="L13" s="197"/>
      <c r="M13" s="197"/>
      <c r="N13" s="197"/>
      <c r="O13" s="197"/>
      <c r="P13" s="201"/>
    </row>
    <row r="14" spans="1:17" ht="60" customHeight="1" x14ac:dyDescent="0.35">
      <c r="A14" s="197"/>
      <c r="B14" s="381" t="s">
        <v>134</v>
      </c>
      <c r="C14" s="381"/>
      <c r="D14" s="381"/>
      <c r="E14" s="381"/>
      <c r="F14" s="381"/>
      <c r="G14" s="381"/>
      <c r="H14" s="381"/>
      <c r="I14" s="197"/>
      <c r="J14" s="197"/>
      <c r="K14" s="197"/>
      <c r="L14" s="197"/>
      <c r="M14" s="197"/>
      <c r="N14" s="197"/>
      <c r="O14" s="197"/>
      <c r="P14" s="197"/>
      <c r="Q14" s="197"/>
    </row>
    <row r="15" spans="1:17" x14ac:dyDescent="0.35">
      <c r="A15" s="197"/>
      <c r="B15" s="202"/>
      <c r="C15" s="202"/>
      <c r="D15" s="202"/>
      <c r="E15" s="202"/>
      <c r="F15" s="202"/>
      <c r="G15" s="202"/>
      <c r="H15" s="202"/>
      <c r="I15" s="197"/>
      <c r="J15" s="197"/>
      <c r="K15" s="197"/>
      <c r="L15" s="197"/>
      <c r="M15" s="197"/>
      <c r="N15" s="197"/>
      <c r="O15" s="197"/>
      <c r="P15" s="197"/>
      <c r="Q15" s="197"/>
    </row>
    <row r="16" spans="1:17" ht="28" x14ac:dyDescent="0.35">
      <c r="A16" s="197"/>
      <c r="B16" s="197"/>
      <c r="C16" s="197"/>
      <c r="D16" s="197"/>
      <c r="E16" s="197"/>
      <c r="F16" s="203" t="s">
        <v>135</v>
      </c>
      <c r="G16" s="382" t="s">
        <v>136</v>
      </c>
      <c r="H16" s="204"/>
      <c r="I16" s="197"/>
      <c r="J16" s="197"/>
      <c r="K16" s="197"/>
      <c r="L16" s="382" t="s">
        <v>137</v>
      </c>
      <c r="M16" s="382" t="s">
        <v>138</v>
      </c>
      <c r="N16" s="382" t="s">
        <v>139</v>
      </c>
      <c r="O16" s="197"/>
    </row>
    <row r="17" spans="1:19" x14ac:dyDescent="0.35">
      <c r="A17" s="197"/>
      <c r="B17" s="197"/>
      <c r="C17" s="384" t="s">
        <v>140</v>
      </c>
      <c r="D17" s="384"/>
      <c r="E17" s="384"/>
      <c r="F17" s="205">
        <f>1963*1.3</f>
        <v>2551.9</v>
      </c>
      <c r="G17" s="383"/>
      <c r="H17" s="197"/>
      <c r="I17" s="197"/>
      <c r="J17" s="197"/>
      <c r="K17" s="197"/>
      <c r="L17" s="383"/>
      <c r="M17" s="383"/>
      <c r="N17" s="383"/>
      <c r="O17" s="197"/>
    </row>
    <row r="18" spans="1:19" x14ac:dyDescent="0.35">
      <c r="A18" s="197"/>
      <c r="B18" s="197"/>
      <c r="C18" s="197"/>
      <c r="D18" s="197"/>
      <c r="E18" s="201" t="s">
        <v>141</v>
      </c>
      <c r="F18" s="206">
        <f>0.2045*1.3</f>
        <v>0.26584999999999998</v>
      </c>
      <c r="G18" s="207">
        <v>0.2359</v>
      </c>
      <c r="H18" s="197"/>
      <c r="I18" s="197"/>
      <c r="J18" s="197"/>
      <c r="K18" s="201" t="s">
        <v>142</v>
      </c>
      <c r="L18" s="207">
        <v>0.31330000000000002</v>
      </c>
      <c r="M18" s="207">
        <v>2.5100000000000001E-2</v>
      </c>
      <c r="N18" s="207">
        <v>4.0099999999999997E-2</v>
      </c>
      <c r="O18" s="197"/>
    </row>
    <row r="19" spans="1:19" ht="15.5" x14ac:dyDescent="0.35">
      <c r="A19" s="208"/>
      <c r="B19" s="209"/>
      <c r="C19" s="209"/>
      <c r="D19" s="209"/>
      <c r="E19" s="210"/>
      <c r="F19" s="211"/>
      <c r="G19" s="210"/>
      <c r="H19" s="210"/>
      <c r="I19" s="210"/>
      <c r="J19" s="210"/>
      <c r="K19" s="210"/>
      <c r="L19" s="210"/>
      <c r="M19" s="212"/>
      <c r="N19" s="213"/>
      <c r="O19" s="213"/>
      <c r="P19" s="213"/>
      <c r="Q19" s="213"/>
    </row>
    <row r="20" spans="1:19" x14ac:dyDescent="0.35">
      <c r="A20" s="385" t="s">
        <v>93</v>
      </c>
      <c r="B20" s="386" t="s">
        <v>143</v>
      </c>
      <c r="C20" s="386" t="s">
        <v>144</v>
      </c>
      <c r="D20" s="386"/>
      <c r="E20" s="386"/>
      <c r="F20" s="386"/>
      <c r="G20" s="386"/>
      <c r="H20" s="386"/>
      <c r="I20" s="386"/>
      <c r="J20" s="386"/>
      <c r="K20" s="386"/>
      <c r="L20" s="386"/>
      <c r="M20" s="386"/>
      <c r="N20" s="386"/>
      <c r="O20" s="386"/>
      <c r="P20" s="386"/>
      <c r="Q20" s="387" t="s">
        <v>145</v>
      </c>
    </row>
    <row r="21" spans="1:19" ht="42" x14ac:dyDescent="0.35">
      <c r="A21" s="385"/>
      <c r="B21" s="385"/>
      <c r="C21" s="385" t="s">
        <v>146</v>
      </c>
      <c r="D21" s="385"/>
      <c r="E21" s="385"/>
      <c r="F21" s="385" t="s">
        <v>147</v>
      </c>
      <c r="G21" s="385"/>
      <c r="H21" s="385"/>
      <c r="I21" s="214" t="s">
        <v>148</v>
      </c>
      <c r="J21" s="385" t="s">
        <v>149</v>
      </c>
      <c r="K21" s="385"/>
      <c r="L21" s="385"/>
      <c r="M21" s="385" t="s">
        <v>150</v>
      </c>
      <c r="N21" s="385" t="s">
        <v>151</v>
      </c>
      <c r="O21" s="385" t="s">
        <v>152</v>
      </c>
      <c r="P21" s="385" t="s">
        <v>153</v>
      </c>
      <c r="Q21" s="388"/>
    </row>
    <row r="22" spans="1:19" ht="42" x14ac:dyDescent="0.35">
      <c r="A22" s="385"/>
      <c r="B22" s="385"/>
      <c r="C22" s="214" t="s">
        <v>154</v>
      </c>
      <c r="D22" s="214" t="s">
        <v>155</v>
      </c>
      <c r="E22" s="214" t="s">
        <v>156</v>
      </c>
      <c r="F22" s="214" t="s">
        <v>154</v>
      </c>
      <c r="G22" s="214" t="s">
        <v>155</v>
      </c>
      <c r="H22" s="214" t="s">
        <v>157</v>
      </c>
      <c r="I22" s="214" t="s">
        <v>158</v>
      </c>
      <c r="J22" s="214" t="s">
        <v>159</v>
      </c>
      <c r="K22" s="215" t="s">
        <v>160</v>
      </c>
      <c r="L22" s="214" t="s">
        <v>161</v>
      </c>
      <c r="M22" s="385"/>
      <c r="N22" s="385"/>
      <c r="O22" s="385"/>
      <c r="P22" s="385"/>
      <c r="Q22" s="388"/>
    </row>
    <row r="23" spans="1:19" x14ac:dyDescent="0.35">
      <c r="A23" s="216">
        <v>1</v>
      </c>
      <c r="B23" s="216">
        <v>2</v>
      </c>
      <c r="C23" s="216">
        <v>3</v>
      </c>
      <c r="D23" s="216">
        <v>4</v>
      </c>
      <c r="E23" s="216">
        <v>5</v>
      </c>
      <c r="F23" s="216">
        <v>6</v>
      </c>
      <c r="G23" s="216">
        <v>7</v>
      </c>
      <c r="H23" s="216">
        <v>8</v>
      </c>
      <c r="I23" s="216">
        <v>9</v>
      </c>
      <c r="J23" s="216" t="s">
        <v>162</v>
      </c>
      <c r="K23" s="216">
        <v>11</v>
      </c>
      <c r="L23" s="216">
        <v>12</v>
      </c>
      <c r="M23" s="216">
        <v>13</v>
      </c>
      <c r="N23" s="216">
        <v>14</v>
      </c>
      <c r="O23" s="216">
        <v>15</v>
      </c>
      <c r="P23" s="216">
        <v>16</v>
      </c>
      <c r="Q23" s="216">
        <v>17</v>
      </c>
    </row>
    <row r="24" spans="1:19" ht="28" x14ac:dyDescent="0.35">
      <c r="A24" s="217" t="s">
        <v>163</v>
      </c>
      <c r="B24" s="218" t="s">
        <v>164</v>
      </c>
      <c r="C24" s="219">
        <v>63</v>
      </c>
      <c r="D24" s="219">
        <v>0</v>
      </c>
      <c r="E24" s="219" t="s">
        <v>165</v>
      </c>
      <c r="F24" s="220">
        <v>12.88</v>
      </c>
      <c r="G24" s="220">
        <v>0</v>
      </c>
      <c r="H24" s="220"/>
      <c r="I24" s="220">
        <v>3.04</v>
      </c>
      <c r="J24" s="221">
        <v>0</v>
      </c>
      <c r="K24" s="221">
        <v>0</v>
      </c>
      <c r="L24" s="221">
        <v>0</v>
      </c>
      <c r="M24" s="220"/>
      <c r="N24" s="220">
        <v>8.61</v>
      </c>
      <c r="O24" s="220">
        <v>0.31</v>
      </c>
      <c r="P24" s="220">
        <v>0.49</v>
      </c>
      <c r="Q24" s="222">
        <f>ROUND((F24+G24+H24+I24+J24+M24+N24+O24+P24),2)</f>
        <v>25.33</v>
      </c>
      <c r="S24" s="236"/>
    </row>
    <row r="25" spans="1:19" x14ac:dyDescent="0.35">
      <c r="A25" s="223"/>
      <c r="B25" s="224"/>
      <c r="C25" s="197"/>
      <c r="D25" s="197"/>
      <c r="E25" s="197"/>
      <c r="F25" s="197"/>
      <c r="G25" s="197"/>
      <c r="H25" s="197"/>
      <c r="I25" s="197"/>
      <c r="J25" s="197"/>
      <c r="K25" s="197"/>
      <c r="L25" s="197"/>
      <c r="M25" s="197"/>
      <c r="N25" s="197"/>
      <c r="O25" s="197"/>
      <c r="P25" s="197"/>
      <c r="Q25" s="197"/>
    </row>
    <row r="26" spans="1:19" ht="28" x14ac:dyDescent="0.35">
      <c r="A26" s="197"/>
      <c r="B26" s="197"/>
      <c r="C26" s="197"/>
      <c r="D26" s="197"/>
      <c r="E26" s="197"/>
      <c r="F26" s="203" t="s">
        <v>135</v>
      </c>
      <c r="G26" s="382" t="s">
        <v>136</v>
      </c>
      <c r="H26" s="204"/>
      <c r="I26" s="197"/>
      <c r="J26" s="197"/>
      <c r="K26" s="197"/>
      <c r="L26" s="389" t="s">
        <v>137</v>
      </c>
      <c r="M26" s="389" t="s">
        <v>138</v>
      </c>
      <c r="N26" s="389" t="s">
        <v>139</v>
      </c>
      <c r="O26" s="197"/>
    </row>
    <row r="27" spans="1:19" x14ac:dyDescent="0.35">
      <c r="A27" s="197"/>
      <c r="B27" s="197"/>
      <c r="C27" s="384" t="s">
        <v>166</v>
      </c>
      <c r="D27" s="384"/>
      <c r="E27" s="384"/>
      <c r="F27" s="225">
        <f>1963*1.4814</f>
        <v>2907.9882000000002</v>
      </c>
      <c r="G27" s="383"/>
      <c r="H27" s="197"/>
      <c r="I27" s="197"/>
      <c r="J27" s="197"/>
      <c r="K27" s="197"/>
      <c r="L27" s="390"/>
      <c r="M27" s="390"/>
      <c r="N27" s="390"/>
      <c r="O27" s="197"/>
    </row>
    <row r="28" spans="1:19" x14ac:dyDescent="0.35">
      <c r="A28" s="197"/>
      <c r="B28" s="197"/>
      <c r="C28" s="197"/>
      <c r="D28" s="197"/>
      <c r="E28" s="226" t="s">
        <v>141</v>
      </c>
      <c r="F28" s="207">
        <f>0.2045*1.4814</f>
        <v>0.3029463</v>
      </c>
      <c r="G28" s="207">
        <v>0.2359</v>
      </c>
      <c r="H28" s="197"/>
      <c r="I28" s="197"/>
      <c r="J28" s="197"/>
      <c r="K28" s="201" t="s">
        <v>142</v>
      </c>
      <c r="L28" s="227">
        <v>0.31330000000000002</v>
      </c>
      <c r="M28" s="227">
        <v>2.5100000000000001E-2</v>
      </c>
      <c r="N28" s="227">
        <v>4.0099999999999997E-2</v>
      </c>
      <c r="O28" s="197"/>
    </row>
    <row r="30" spans="1:19" x14ac:dyDescent="0.35">
      <c r="A30" s="385" t="s">
        <v>93</v>
      </c>
      <c r="B30" s="385" t="s">
        <v>143</v>
      </c>
      <c r="C30" s="385" t="s">
        <v>144</v>
      </c>
      <c r="D30" s="385"/>
      <c r="E30" s="385"/>
      <c r="F30" s="385"/>
      <c r="G30" s="385"/>
      <c r="H30" s="385"/>
      <c r="I30" s="385"/>
      <c r="J30" s="385"/>
      <c r="K30" s="385"/>
      <c r="L30" s="385"/>
      <c r="M30" s="385"/>
      <c r="N30" s="385"/>
      <c r="O30" s="385"/>
      <c r="P30" s="385"/>
      <c r="Q30" s="385" t="s">
        <v>145</v>
      </c>
    </row>
    <row r="31" spans="1:19" ht="42" x14ac:dyDescent="0.35">
      <c r="A31" s="385"/>
      <c r="B31" s="385"/>
      <c r="C31" s="385" t="s">
        <v>146</v>
      </c>
      <c r="D31" s="385"/>
      <c r="E31" s="385"/>
      <c r="F31" s="385" t="s">
        <v>147</v>
      </c>
      <c r="G31" s="385"/>
      <c r="H31" s="385"/>
      <c r="I31" s="214" t="s">
        <v>148</v>
      </c>
      <c r="J31" s="385" t="s">
        <v>149</v>
      </c>
      <c r="K31" s="385"/>
      <c r="L31" s="385"/>
      <c r="M31" s="385" t="s">
        <v>150</v>
      </c>
      <c r="N31" s="385" t="s">
        <v>151</v>
      </c>
      <c r="O31" s="385" t="s">
        <v>152</v>
      </c>
      <c r="P31" s="385" t="s">
        <v>153</v>
      </c>
      <c r="Q31" s="385"/>
    </row>
    <row r="32" spans="1:19" ht="42" x14ac:dyDescent="0.35">
      <c r="A32" s="385"/>
      <c r="B32" s="385"/>
      <c r="C32" s="214" t="s">
        <v>154</v>
      </c>
      <c r="D32" s="214" t="s">
        <v>155</v>
      </c>
      <c r="E32" s="214" t="s">
        <v>156</v>
      </c>
      <c r="F32" s="214" t="s">
        <v>154</v>
      </c>
      <c r="G32" s="214" t="s">
        <v>155</v>
      </c>
      <c r="H32" s="214" t="s">
        <v>157</v>
      </c>
      <c r="I32" s="214" t="s">
        <v>158</v>
      </c>
      <c r="J32" s="214" t="s">
        <v>159</v>
      </c>
      <c r="K32" s="215" t="s">
        <v>160</v>
      </c>
      <c r="L32" s="214" t="s">
        <v>161</v>
      </c>
      <c r="M32" s="385"/>
      <c r="N32" s="385"/>
      <c r="O32" s="385"/>
      <c r="P32" s="385"/>
      <c r="Q32" s="385"/>
    </row>
    <row r="33" spans="1:19" x14ac:dyDescent="0.35">
      <c r="A33" s="216">
        <v>1</v>
      </c>
      <c r="B33" s="216">
        <v>2</v>
      </c>
      <c r="C33" s="216">
        <v>3</v>
      </c>
      <c r="D33" s="216">
        <v>4</v>
      </c>
      <c r="E33" s="216">
        <v>5</v>
      </c>
      <c r="F33" s="216">
        <v>6</v>
      </c>
      <c r="G33" s="216">
        <v>7</v>
      </c>
      <c r="H33" s="216">
        <v>8</v>
      </c>
      <c r="I33" s="216">
        <v>9</v>
      </c>
      <c r="J33" s="216" t="s">
        <v>162</v>
      </c>
      <c r="K33" s="216">
        <v>11</v>
      </c>
      <c r="L33" s="216">
        <v>12</v>
      </c>
      <c r="M33" s="216">
        <v>13</v>
      </c>
      <c r="N33" s="216">
        <v>14</v>
      </c>
      <c r="O33" s="216">
        <v>15</v>
      </c>
      <c r="P33" s="216">
        <v>16</v>
      </c>
      <c r="Q33" s="216">
        <v>17</v>
      </c>
    </row>
    <row r="34" spans="1:19" ht="28" x14ac:dyDescent="0.35">
      <c r="A34" s="217" t="s">
        <v>167</v>
      </c>
      <c r="B34" s="228" t="s">
        <v>168</v>
      </c>
      <c r="C34" s="219">
        <v>63</v>
      </c>
      <c r="D34" s="219">
        <v>0</v>
      </c>
      <c r="E34" s="219" t="s">
        <v>165</v>
      </c>
      <c r="F34" s="220">
        <v>12.88</v>
      </c>
      <c r="G34" s="220">
        <v>0</v>
      </c>
      <c r="H34" s="220"/>
      <c r="I34" s="220">
        <f>F34*G28</f>
        <v>3.038392</v>
      </c>
      <c r="J34" s="221">
        <v>0</v>
      </c>
      <c r="K34" s="221">
        <v>0</v>
      </c>
      <c r="L34" s="221">
        <v>0</v>
      </c>
      <c r="M34" s="220"/>
      <c r="N34" s="220">
        <v>11.8</v>
      </c>
      <c r="O34" s="220">
        <v>0.31</v>
      </c>
      <c r="P34" s="220">
        <v>0.49</v>
      </c>
      <c r="Q34" s="222">
        <f>F34+G34+H34+I34+J34+M34+N34+O34+P34</f>
        <v>28.518391999999999</v>
      </c>
      <c r="S34" s="236"/>
    </row>
    <row r="35" spans="1:19" x14ac:dyDescent="0.35">
      <c r="B35" s="224"/>
    </row>
    <row r="36" spans="1:19" x14ac:dyDescent="0.35">
      <c r="B36" s="229"/>
    </row>
  </sheetData>
  <mergeCells count="38">
    <mergeCell ref="C27:E27"/>
    <mergeCell ref="Q30:Q32"/>
    <mergeCell ref="C31:E31"/>
    <mergeCell ref="F31:H31"/>
    <mergeCell ref="J31:L31"/>
    <mergeCell ref="M31:M32"/>
    <mergeCell ref="N31:N32"/>
    <mergeCell ref="O31:O32"/>
    <mergeCell ref="P31:P32"/>
    <mergeCell ref="A30:A32"/>
    <mergeCell ref="B30:B32"/>
    <mergeCell ref="C30:L30"/>
    <mergeCell ref="M30:P30"/>
    <mergeCell ref="Q20:Q22"/>
    <mergeCell ref="C21:E21"/>
    <mergeCell ref="F21:H21"/>
    <mergeCell ref="J21:L21"/>
    <mergeCell ref="M21:M22"/>
    <mergeCell ref="N21:N22"/>
    <mergeCell ref="O21:O22"/>
    <mergeCell ref="P21:P22"/>
    <mergeCell ref="G26:G27"/>
    <mergeCell ref="L26:L27"/>
    <mergeCell ref="M26:M27"/>
    <mergeCell ref="N26:N27"/>
    <mergeCell ref="N16:N17"/>
    <mergeCell ref="C17:E17"/>
    <mergeCell ref="A20:A22"/>
    <mergeCell ref="B20:B22"/>
    <mergeCell ref="C20:L20"/>
    <mergeCell ref="M20:P20"/>
    <mergeCell ref="B2:M2"/>
    <mergeCell ref="B3:M3"/>
    <mergeCell ref="I10:L10"/>
    <mergeCell ref="B14:H14"/>
    <mergeCell ref="G16:G17"/>
    <mergeCell ref="L16:L17"/>
    <mergeCell ref="M16:M17"/>
  </mergeCells>
  <pageMargins left="0.25" right="0.25" top="0.75"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1.piel_PRC 2023</vt:lpstr>
      <vt:lpstr>2.piel_PRC 2024 un turp</vt:lpstr>
      <vt:lpstr>3.piel_Pārdales aprēķini</vt:lpstr>
      <vt:lpstr>04_P aprēķins2_bija PP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Svetlana Batare</dc:creator>
  <cp:keywords/>
  <dc:description/>
  <cp:lastModifiedBy>Svetlana Batare</cp:lastModifiedBy>
  <cp:revision/>
  <dcterms:created xsi:type="dcterms:W3CDTF">2022-05-20T06:11:11Z</dcterms:created>
  <dcterms:modified xsi:type="dcterms:W3CDTF">2023-03-08T12:04:01Z</dcterms:modified>
  <cp:category/>
  <cp:contentStatus/>
</cp:coreProperties>
</file>