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hidePivotFieldList="1" defaultThemeVersion="124226"/>
  <mc:AlternateContent xmlns:mc="http://schemas.openxmlformats.org/markup-compatibility/2006">
    <mc:Choice Requires="x15">
      <x15ac:absPath xmlns:x15ac="http://schemas.microsoft.com/office/spreadsheetml/2010/11/ac" url="\\vnozare.pri\vm\Redirect_profiles\VM_Liene_Abola\My Documents\Info_zinojums_laborotorijas\2024\MK_rik_fin_74.resors\"/>
    </mc:Choice>
  </mc:AlternateContent>
  <xr:revisionPtr revIDLastSave="0" documentId="8_{52382495-1628-4771-B973-BB886F0B4551}" xr6:coauthVersionLast="47" xr6:coauthVersionMax="47" xr10:uidLastSave="{00000000-0000-0000-0000-000000000000}"/>
  <bookViews>
    <workbookView xWindow="-120" yWindow="-120" windowWidth="29040" windowHeight="15840" xr2:uid="{00000000-000D-0000-FFFF-FFFF00000000}"/>
  </bookViews>
  <sheets>
    <sheet name="KOPSAVILKUMS" sheetId="106" r:id="rId1"/>
    <sheet name="2022_2023_veiktais_darbs" sheetId="101" r:id="rId2"/>
    <sheet name="2024_fin_prognoze" sheetId="102" r:id="rId3"/>
    <sheet name="2024.g.-2023.g." sheetId="104" r:id="rId4"/>
    <sheet name="Ietaupījums_2024_2025" sheetId="103" r:id="rId5"/>
  </sheets>
  <externalReferences>
    <externalReference r:id="rId6"/>
    <externalReference r:id="rId7"/>
  </externalReferences>
  <definedNames>
    <definedName name="_xlnm.Auto_Open">#REF!</definedName>
    <definedName name="Recover">[1]Macro1!$A$135</definedName>
    <definedName name="Rikojums2222">[2]Macro1!$A$106</definedName>
    <definedName name="TableName">"Dummy"</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Q24" i="103" l="1"/>
  <c r="Q21" i="103"/>
  <c r="L27" i="103"/>
  <c r="L26" i="103"/>
  <c r="L6" i="103"/>
  <c r="L21" i="103"/>
  <c r="L7" i="103"/>
  <c r="L8" i="103"/>
  <c r="L9" i="103"/>
  <c r="L10" i="103"/>
  <c r="L11" i="103"/>
  <c r="L12" i="103"/>
  <c r="L13" i="103"/>
  <c r="L14" i="103"/>
  <c r="L15" i="103"/>
  <c r="L16" i="103"/>
  <c r="L17" i="103"/>
  <c r="L18" i="103"/>
  <c r="L19" i="103"/>
  <c r="L20" i="103"/>
  <c r="L22" i="103"/>
  <c r="L23" i="103"/>
  <c r="L24" i="103"/>
  <c r="L25" i="103"/>
  <c r="L28" i="103"/>
  <c r="L29" i="103"/>
  <c r="L30" i="103"/>
  <c r="G24" i="103"/>
  <c r="G21" i="103"/>
  <c r="G30" i="103"/>
  <c r="G19" i="103" s="1"/>
  <c r="F20" i="103" l="1"/>
  <c r="E14" i="106"/>
  <c r="E9" i="106"/>
  <c r="F7" i="103" l="1"/>
  <c r="F8" i="103"/>
  <c r="F9" i="103"/>
  <c r="F10" i="103"/>
  <c r="F11" i="103"/>
  <c r="F12" i="103"/>
  <c r="F13" i="103"/>
  <c r="F14" i="103"/>
  <c r="F15" i="103"/>
  <c r="F16" i="103"/>
  <c r="F17" i="103"/>
  <c r="F18" i="103"/>
  <c r="F19" i="103"/>
  <c r="F21" i="103"/>
  <c r="F22" i="103"/>
  <c r="F23" i="103"/>
  <c r="F24" i="103"/>
  <c r="F25" i="103"/>
  <c r="F26" i="103"/>
  <c r="F27" i="103"/>
  <c r="F28" i="103"/>
  <c r="F29" i="103"/>
  <c r="F6" i="103"/>
  <c r="E7" i="102"/>
  <c r="E9" i="102"/>
  <c r="E10" i="102"/>
  <c r="E11" i="102"/>
  <c r="E12" i="102"/>
  <c r="E13" i="102"/>
  <c r="E14" i="102"/>
  <c r="E15" i="102"/>
  <c r="E8" i="102"/>
  <c r="D7" i="102"/>
  <c r="C7" i="102"/>
  <c r="F30" i="103" l="1"/>
  <c r="B22" i="102"/>
  <c r="D41" i="101" l="1"/>
  <c r="D38" i="101"/>
  <c r="D35" i="101"/>
  <c r="E35" i="101" s="1"/>
  <c r="D32" i="101"/>
  <c r="H9" i="106"/>
  <c r="E38" i="101" l="1"/>
  <c r="E43" i="101" s="1"/>
  <c r="E41" i="101"/>
  <c r="B18" i="104"/>
  <c r="B19" i="104"/>
  <c r="B20" i="104"/>
  <c r="B21" i="104"/>
  <c r="B22" i="104"/>
  <c r="B17" i="104"/>
  <c r="B9" i="104"/>
  <c r="B10" i="104"/>
  <c r="B11" i="104"/>
  <c r="B12" i="104"/>
  <c r="B13" i="104"/>
  <c r="B14" i="104"/>
  <c r="B15" i="104"/>
  <c r="B8" i="104"/>
  <c r="M18" i="102"/>
  <c r="M19" i="102"/>
  <c r="M20" i="102"/>
  <c r="M21" i="102"/>
  <c r="M17" i="102"/>
  <c r="B26" i="104" l="1"/>
  <c r="D10" i="104" s="1"/>
  <c r="B7" i="102"/>
  <c r="M16" i="102" l="1"/>
  <c r="F7" i="104"/>
  <c r="B23" i="104"/>
  <c r="C30" i="103"/>
  <c r="D19" i="101"/>
  <c r="D16" i="101"/>
  <c r="D13" i="101"/>
  <c r="D10" i="101"/>
  <c r="B20" i="101"/>
  <c r="C19" i="101"/>
  <c r="C15" i="101" l="1"/>
  <c r="C8" i="101"/>
  <c r="E13" i="101"/>
  <c r="E16" i="101"/>
  <c r="C9" i="101"/>
  <c r="E19" i="101"/>
  <c r="E22" i="101" s="1"/>
  <c r="H41" i="101" s="1"/>
  <c r="C12" i="101"/>
  <c r="B21" i="101"/>
  <c r="C10" i="101"/>
  <c r="C17" i="101"/>
  <c r="C13" i="101"/>
  <c r="C11" i="101"/>
  <c r="C18" i="101"/>
  <c r="C16" i="101"/>
  <c r="C14" i="101"/>
  <c r="B7" i="104"/>
  <c r="B9" i="106" s="1"/>
  <c r="F16" i="101" l="1"/>
  <c r="G9" i="102" s="1"/>
  <c r="F19" i="101"/>
  <c r="F13" i="101"/>
  <c r="F9" i="102" s="1"/>
  <c r="K9" i="102" s="1"/>
  <c r="C20" i="101"/>
  <c r="D8" i="104"/>
  <c r="G11" i="102" l="1"/>
  <c r="G8" i="102"/>
  <c r="G15" i="102"/>
  <c r="G10" i="102"/>
  <c r="G13" i="102"/>
  <c r="G12" i="102"/>
  <c r="G14" i="102"/>
  <c r="F14" i="102"/>
  <c r="K14" i="102" s="1"/>
  <c r="F10" i="102"/>
  <c r="K10" i="102" s="1"/>
  <c r="F12" i="102"/>
  <c r="K12" i="102" s="1"/>
  <c r="F13" i="102"/>
  <c r="K13" i="102" s="1"/>
  <c r="F15" i="102"/>
  <c r="K15" i="102" s="1"/>
  <c r="F11" i="102"/>
  <c r="F8" i="102"/>
  <c r="K8" i="102" s="1"/>
  <c r="H11" i="102"/>
  <c r="H15" i="102"/>
  <c r="H14" i="102"/>
  <c r="H10" i="102"/>
  <c r="H12" i="102"/>
  <c r="H13" i="102"/>
  <c r="H9" i="102"/>
  <c r="H8" i="102"/>
  <c r="K11" i="102"/>
  <c r="D14" i="104"/>
  <c r="D15" i="104"/>
  <c r="D13" i="104"/>
  <c r="D12" i="104"/>
  <c r="D9" i="104"/>
  <c r="D11" i="104"/>
  <c r="L11" i="102" l="1"/>
  <c r="M11" i="102"/>
  <c r="L15" i="102"/>
  <c r="M15" i="102"/>
  <c r="G7" i="102"/>
  <c r="I14" i="102"/>
  <c r="J14" i="102" s="1"/>
  <c r="L13" i="102"/>
  <c r="I12" i="102"/>
  <c r="C12" i="104" s="1"/>
  <c r="G12" i="104" s="1"/>
  <c r="I11" i="102"/>
  <c r="J11" i="102" s="1"/>
  <c r="L14" i="102"/>
  <c r="M10" i="102"/>
  <c r="M12" i="102"/>
  <c r="L12" i="102"/>
  <c r="I15" i="102"/>
  <c r="J15" i="102" s="1"/>
  <c r="F7" i="102"/>
  <c r="L10" i="102"/>
  <c r="I10" i="102"/>
  <c r="C10" i="104" s="1"/>
  <c r="M14" i="102"/>
  <c r="H7" i="102"/>
  <c r="M8" i="102"/>
  <c r="I9" i="102"/>
  <c r="L9" i="102"/>
  <c r="M9" i="102"/>
  <c r="L8" i="102"/>
  <c r="I8" i="102"/>
  <c r="I13" i="102"/>
  <c r="J13" i="102" s="1"/>
  <c r="M13" i="102"/>
  <c r="K7" i="102"/>
  <c r="J12" i="102" l="1"/>
  <c r="C11" i="104"/>
  <c r="E11" i="104" s="1"/>
  <c r="E12" i="104"/>
  <c r="C14" i="104"/>
  <c r="E14" i="104" s="1"/>
  <c r="C15" i="104"/>
  <c r="G15" i="104" s="1"/>
  <c r="C13" i="104"/>
  <c r="E13" i="104" s="1"/>
  <c r="J10" i="102"/>
  <c r="I7" i="102"/>
  <c r="K27" i="102" s="1"/>
  <c r="L7" i="102"/>
  <c r="L31" i="102" s="1"/>
  <c r="C8" i="104"/>
  <c r="E8" i="104" s="1"/>
  <c r="M7" i="102"/>
  <c r="C9" i="106" s="1"/>
  <c r="J8" i="102"/>
  <c r="J9" i="102"/>
  <c r="C9" i="104"/>
  <c r="E15" i="104"/>
  <c r="E10" i="104"/>
  <c r="G10" i="104"/>
  <c r="D14" i="106" l="1"/>
  <c r="G11" i="104"/>
  <c r="G14" i="104"/>
  <c r="C7" i="104"/>
  <c r="G13" i="104"/>
  <c r="L27" i="102"/>
  <c r="G8" i="104"/>
  <c r="J7" i="102"/>
  <c r="G9" i="104"/>
  <c r="E9" i="104"/>
  <c r="E7" i="104" s="1"/>
  <c r="H7" i="104" s="1"/>
  <c r="G7" i="104" l="1"/>
  <c r="I13" i="104"/>
  <c r="G9" i="103" l="1"/>
  <c r="G22" i="103"/>
  <c r="G10" i="103"/>
  <c r="G12" i="103"/>
  <c r="G28" i="103"/>
  <c r="G17" i="103"/>
  <c r="G25" i="103"/>
  <c r="G23" i="103"/>
  <c r="G14" i="103"/>
  <c r="G18" i="103"/>
  <c r="G20" i="103"/>
  <c r="Q30" i="103"/>
  <c r="G11" i="103"/>
  <c r="G13" i="103"/>
  <c r="G7" i="103"/>
  <c r="G29" i="103"/>
  <c r="G16" i="103"/>
  <c r="G6" i="103"/>
  <c r="G8" i="103"/>
  <c r="G27" i="103"/>
  <c r="G26" i="103"/>
  <c r="G15" i="103"/>
  <c r="Q8" i="103" l="1"/>
  <c r="R8" i="103" s="1"/>
  <c r="S8" i="103" s="1"/>
  <c r="T8" i="103" s="1"/>
  <c r="U8" i="103" s="1"/>
  <c r="M8" i="103"/>
  <c r="H8" i="103"/>
  <c r="M20" i="103"/>
  <c r="H20" i="103"/>
  <c r="Q20" i="103"/>
  <c r="R20" i="103" s="1"/>
  <c r="S20" i="103" s="1"/>
  <c r="T20" i="103" s="1"/>
  <c r="U20" i="103" s="1"/>
  <c r="M6" i="103"/>
  <c r="H6" i="103"/>
  <c r="I6" i="103" s="1"/>
  <c r="J6" i="103" s="1"/>
  <c r="K6" i="103" s="1"/>
  <c r="Q6" i="103"/>
  <c r="R6" i="103" s="1"/>
  <c r="S6" i="103" s="1"/>
  <c r="T6" i="103" s="1"/>
  <c r="Q18" i="103"/>
  <c r="R18" i="103" s="1"/>
  <c r="S18" i="103" s="1"/>
  <c r="T18" i="103" s="1"/>
  <c r="U18" i="103" s="1"/>
  <c r="M18" i="103"/>
  <c r="H18" i="103"/>
  <c r="H17" i="103"/>
  <c r="M17" i="103"/>
  <c r="Q17" i="103"/>
  <c r="R17" i="103" s="1"/>
  <c r="S17" i="103" s="1"/>
  <c r="T17" i="103" s="1"/>
  <c r="U17" i="103" s="1"/>
  <c r="H25" i="103"/>
  <c r="Q25" i="103"/>
  <c r="R25" i="103" s="1"/>
  <c r="S25" i="103" s="1"/>
  <c r="T25" i="103" s="1"/>
  <c r="U25" i="103" s="1"/>
  <c r="M25" i="103"/>
  <c r="M16" i="103"/>
  <c r="H16" i="103"/>
  <c r="Q16" i="103"/>
  <c r="R16" i="103" s="1"/>
  <c r="S16" i="103" s="1"/>
  <c r="T16" i="103" s="1"/>
  <c r="U16" i="103" s="1"/>
  <c r="H21" i="103"/>
  <c r="R21" i="103"/>
  <c r="S21" i="103" s="1"/>
  <c r="T21" i="103" s="1"/>
  <c r="U21" i="103" s="1"/>
  <c r="M21" i="103"/>
  <c r="M19" i="103"/>
  <c r="H19" i="103"/>
  <c r="Q19" i="103"/>
  <c r="R19" i="103" s="1"/>
  <c r="S19" i="103" s="1"/>
  <c r="T19" i="103" s="1"/>
  <c r="U19" i="103" s="1"/>
  <c r="M29" i="103"/>
  <c r="H29" i="103"/>
  <c r="Q29" i="103"/>
  <c r="R29" i="103" s="1"/>
  <c r="S29" i="103" s="1"/>
  <c r="T29" i="103" s="1"/>
  <c r="U29" i="103" s="1"/>
  <c r="M28" i="103"/>
  <c r="H28" i="103"/>
  <c r="Q28" i="103"/>
  <c r="R28" i="103" s="1"/>
  <c r="S28" i="103" s="1"/>
  <c r="T28" i="103" s="1"/>
  <c r="U28" i="103" s="1"/>
  <c r="Q7" i="103"/>
  <c r="R7" i="103" s="1"/>
  <c r="S7" i="103" s="1"/>
  <c r="T7" i="103" s="1"/>
  <c r="U7" i="103" s="1"/>
  <c r="H7" i="103"/>
  <c r="M7" i="103"/>
  <c r="M24" i="103"/>
  <c r="R24" i="103"/>
  <c r="S24" i="103" s="1"/>
  <c r="T24" i="103" s="1"/>
  <c r="U24" i="103" s="1"/>
  <c r="H24" i="103"/>
  <c r="Q12" i="103"/>
  <c r="R12" i="103" s="1"/>
  <c r="S12" i="103" s="1"/>
  <c r="T12" i="103" s="1"/>
  <c r="U12" i="103" s="1"/>
  <c r="M12" i="103"/>
  <c r="H12" i="103"/>
  <c r="Q15" i="103"/>
  <c r="R15" i="103" s="1"/>
  <c r="S15" i="103" s="1"/>
  <c r="T15" i="103" s="1"/>
  <c r="U15" i="103" s="1"/>
  <c r="H15" i="103"/>
  <c r="M15" i="103"/>
  <c r="H13" i="103"/>
  <c r="Q13" i="103"/>
  <c r="R13" i="103" s="1"/>
  <c r="S13" i="103" s="1"/>
  <c r="T13" i="103" s="1"/>
  <c r="U13" i="103" s="1"/>
  <c r="M13" i="103"/>
  <c r="M14" i="103"/>
  <c r="H14" i="103"/>
  <c r="Q14" i="103"/>
  <c r="R14" i="103" s="1"/>
  <c r="S14" i="103" s="1"/>
  <c r="T14" i="103" s="1"/>
  <c r="U14" i="103" s="1"/>
  <c r="M10" i="103"/>
  <c r="H10" i="103"/>
  <c r="Q10" i="103"/>
  <c r="R10" i="103" s="1"/>
  <c r="S10" i="103" s="1"/>
  <c r="T10" i="103" s="1"/>
  <c r="U10" i="103" s="1"/>
  <c r="M26" i="103"/>
  <c r="H26" i="103"/>
  <c r="Q26" i="103"/>
  <c r="R26" i="103" s="1"/>
  <c r="S26" i="103" s="1"/>
  <c r="T26" i="103" s="1"/>
  <c r="U26" i="103" s="1"/>
  <c r="Q11" i="103"/>
  <c r="R11" i="103" s="1"/>
  <c r="S11" i="103" s="1"/>
  <c r="T11" i="103" s="1"/>
  <c r="U11" i="103" s="1"/>
  <c r="M11" i="103"/>
  <c r="H11" i="103"/>
  <c r="M23" i="103"/>
  <c r="H23" i="103"/>
  <c r="Q23" i="103"/>
  <c r="R23" i="103" s="1"/>
  <c r="S23" i="103" s="1"/>
  <c r="T23" i="103" s="1"/>
  <c r="U23" i="103" s="1"/>
  <c r="Q22" i="103"/>
  <c r="R22" i="103" s="1"/>
  <c r="S22" i="103" s="1"/>
  <c r="T22" i="103" s="1"/>
  <c r="U22" i="103" s="1"/>
  <c r="H22" i="103"/>
  <c r="M22" i="103"/>
  <c r="H27" i="103"/>
  <c r="Q27" i="103"/>
  <c r="R27" i="103" s="1"/>
  <c r="S27" i="103" s="1"/>
  <c r="T27" i="103" s="1"/>
  <c r="U27" i="103" s="1"/>
  <c r="M27" i="103"/>
  <c r="H9" i="103"/>
  <c r="M9" i="103"/>
  <c r="Q9" i="103"/>
  <c r="R9" i="103" s="1"/>
  <c r="S9" i="103" s="1"/>
  <c r="T9" i="103" s="1"/>
  <c r="U9" i="103" s="1"/>
  <c r="I8" i="103" l="1"/>
  <c r="J8" i="103" s="1"/>
  <c r="K8" i="103" s="1"/>
  <c r="I14" i="103"/>
  <c r="J14" i="103" s="1"/>
  <c r="K14" i="103" s="1"/>
  <c r="I15" i="103"/>
  <c r="J15" i="103" s="1"/>
  <c r="K15" i="103" s="1"/>
  <c r="I25" i="103"/>
  <c r="J25" i="103" s="1"/>
  <c r="K25" i="103" s="1"/>
  <c r="I27" i="103"/>
  <c r="J27" i="103" s="1"/>
  <c r="K27" i="103" s="1"/>
  <c r="I26" i="103"/>
  <c r="J26" i="103" s="1"/>
  <c r="K26" i="103" s="1"/>
  <c r="I28" i="103"/>
  <c r="J28" i="103" s="1"/>
  <c r="K28" i="103" s="1"/>
  <c r="I16" i="103"/>
  <c r="J16" i="103" s="1"/>
  <c r="K16" i="103" s="1"/>
  <c r="I24" i="103"/>
  <c r="J24" i="103" s="1"/>
  <c r="K24" i="103" s="1"/>
  <c r="I23" i="103"/>
  <c r="J23" i="103" s="1"/>
  <c r="K23" i="103" s="1"/>
  <c r="I9" i="103"/>
  <c r="J9" i="103" s="1"/>
  <c r="K9" i="103" s="1"/>
  <c r="I19" i="103"/>
  <c r="J19" i="103" s="1"/>
  <c r="K19" i="103" s="1"/>
  <c r="H30" i="103"/>
  <c r="I11" i="103"/>
  <c r="J11" i="103" s="1"/>
  <c r="K11" i="103" s="1"/>
  <c r="I12" i="103"/>
  <c r="J12" i="103" s="1"/>
  <c r="K12" i="103" s="1"/>
  <c r="S30" i="103"/>
  <c r="I17" i="103"/>
  <c r="J17" i="103" s="1"/>
  <c r="K17" i="103" s="1"/>
  <c r="R30" i="103"/>
  <c r="I7" i="103"/>
  <c r="J7" i="103" s="1"/>
  <c r="K7" i="103" s="1"/>
  <c r="I29" i="103"/>
  <c r="J29" i="103" s="1"/>
  <c r="K29" i="103" s="1"/>
  <c r="I18" i="103"/>
  <c r="J18" i="103" s="1"/>
  <c r="K18" i="103" s="1"/>
  <c r="I22" i="103"/>
  <c r="J22" i="103" s="1"/>
  <c r="K22" i="103" s="1"/>
  <c r="I13" i="103"/>
  <c r="J13" i="103" s="1"/>
  <c r="K13" i="103" s="1"/>
  <c r="I21" i="103"/>
  <c r="J21" i="103" s="1"/>
  <c r="K21" i="103" s="1"/>
  <c r="I20" i="103"/>
  <c r="J20" i="103" s="1"/>
  <c r="K20" i="103" s="1"/>
  <c r="I10" i="103"/>
  <c r="J10" i="103" s="1"/>
  <c r="K10" i="103" s="1"/>
  <c r="U6" i="103"/>
  <c r="U30" i="103" s="1"/>
  <c r="T30" i="103"/>
  <c r="N6" i="103"/>
  <c r="O6" i="103" s="1"/>
  <c r="N21" i="103"/>
  <c r="O21" i="103" s="1"/>
  <c r="P21" i="103" s="1"/>
  <c r="F14" i="106" l="1"/>
  <c r="G14" i="106" s="1"/>
  <c r="J14" i="106" s="1"/>
  <c r="N28" i="103"/>
  <c r="O28" i="103" s="1"/>
  <c r="P28" i="103" s="1"/>
  <c r="N24" i="103"/>
  <c r="O24" i="103" s="1"/>
  <c r="P24" i="103" s="1"/>
  <c r="N10" i="103"/>
  <c r="O10" i="103" s="1"/>
  <c r="P10" i="103" s="1"/>
  <c r="K30" i="103"/>
  <c r="N9" i="103"/>
  <c r="O9" i="103" s="1"/>
  <c r="P9" i="103" s="1"/>
  <c r="I30" i="103"/>
  <c r="N23" i="103"/>
  <c r="O23" i="103" s="1"/>
  <c r="P23" i="103" s="1"/>
  <c r="J30" i="103"/>
  <c r="N13" i="103"/>
  <c r="O13" i="103" s="1"/>
  <c r="P13" i="103" s="1"/>
  <c r="N27" i="103"/>
  <c r="O27" i="103" s="1"/>
  <c r="P27" i="103" s="1"/>
  <c r="N29" i="103"/>
  <c r="O29" i="103" s="1"/>
  <c r="P29" i="103" s="1"/>
  <c r="N17" i="103"/>
  <c r="O17" i="103" s="1"/>
  <c r="P17" i="103" s="1"/>
  <c r="N12" i="103"/>
  <c r="O12" i="103" s="1"/>
  <c r="P12" i="103" s="1"/>
  <c r="N16" i="103"/>
  <c r="O16" i="103" s="1"/>
  <c r="P16" i="103" s="1"/>
  <c r="N8" i="103"/>
  <c r="O8" i="103" s="1"/>
  <c r="P8" i="103" s="1"/>
  <c r="N7" i="103"/>
  <c r="O7" i="103" s="1"/>
  <c r="P7" i="103" s="1"/>
  <c r="N26" i="103"/>
  <c r="O26" i="103" s="1"/>
  <c r="P26" i="103" s="1"/>
  <c r="N11" i="103"/>
  <c r="O11" i="103" s="1"/>
  <c r="P11" i="103" s="1"/>
  <c r="N22" i="103"/>
  <c r="O22" i="103" s="1"/>
  <c r="P22" i="103" s="1"/>
  <c r="N14" i="103"/>
  <c r="O14" i="103" s="1"/>
  <c r="P14" i="103" s="1"/>
  <c r="N18" i="103"/>
  <c r="O18" i="103" s="1"/>
  <c r="P18" i="103" s="1"/>
  <c r="N20" i="103"/>
  <c r="O20" i="103" s="1"/>
  <c r="P20" i="103" s="1"/>
  <c r="N15" i="103"/>
  <c r="O15" i="103" s="1"/>
  <c r="P15" i="103" s="1"/>
  <c r="N25" i="103"/>
  <c r="O25" i="103" s="1"/>
  <c r="P25" i="103" s="1"/>
  <c r="N19" i="103"/>
  <c r="O19" i="103" s="1"/>
  <c r="P19" i="103" s="1"/>
  <c r="P6" i="103"/>
  <c r="P30" i="103" l="1"/>
  <c r="F9" i="106" s="1"/>
  <c r="G9" i="106" s="1"/>
  <c r="J9" i="106" s="1"/>
  <c r="N30" i="103"/>
  <c r="M30" i="103"/>
  <c r="O30" i="10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Gunita Nadziņa</author>
  </authors>
  <commentList>
    <comment ref="A16" authorId="0" shapeId="0" xr:uid="{8CEBD7CE-9432-4601-B6BC-9BE647876918}">
      <text>
        <r>
          <rPr>
            <b/>
            <sz val="9"/>
            <color indexed="81"/>
            <rFont val="Tahoma"/>
            <family val="2"/>
            <charset val="186"/>
          </rPr>
          <t>Gunita Nadziņa:</t>
        </r>
        <r>
          <rPr>
            <sz val="9"/>
            <color indexed="81"/>
            <rFont val="Tahoma"/>
            <family val="2"/>
            <charset val="186"/>
          </rPr>
          <t xml:space="preserve">
samaksa 1xgadā - decembra beigās
</t>
        </r>
      </text>
    </comment>
  </commentList>
</comments>
</file>

<file path=xl/sharedStrings.xml><?xml version="1.0" encoding="utf-8"?>
<sst xmlns="http://schemas.openxmlformats.org/spreadsheetml/2006/main" count="195" uniqueCount="157">
  <si>
    <t>Līdzekļu sadalījums</t>
  </si>
  <si>
    <t xml:space="preserve"> RESURSI</t>
  </si>
  <si>
    <t>Apakšprogramma 33.15.00 "Laboratorisko izmeklējumu nodrošināšana ambulatorajā aprūpē"</t>
  </si>
  <si>
    <t>References laboratorijas pakalpojumi (organizatriski metodiskais darbs)</t>
  </si>
  <si>
    <t>Laboratorijas pakalpojumi (AP53)</t>
  </si>
  <si>
    <t>Histoloģiskie izmeklējumi (AP52)</t>
  </si>
  <si>
    <t>Mutāciju noteikšana audzēju šūnās (AP68)</t>
  </si>
  <si>
    <t>HLA noteikšana transplantācijas pakalpojumiem (AP129)</t>
  </si>
  <si>
    <t>Laboratoriskie izmeklējumi pacientiem ar ļaundabīgo audzēju (AP134)</t>
  </si>
  <si>
    <t>Laboratorijas pakalpojumi uzņemšanas nodaļā (AP136)</t>
  </si>
  <si>
    <t>Reto slimību diagnostikas pieejamībai (AP133)</t>
  </si>
  <si>
    <t>References laboratorijas pakalpojumi (AP71)</t>
  </si>
  <si>
    <t>Mēnesis</t>
  </si>
  <si>
    <t>Veiktais darbs, euro</t>
  </si>
  <si>
    <t xml:space="preserve">janvāris </t>
  </si>
  <si>
    <t>februāris</t>
  </si>
  <si>
    <t>marts</t>
  </si>
  <si>
    <t>aprīlis</t>
  </si>
  <si>
    <t>maijs</t>
  </si>
  <si>
    <t>jūnijs</t>
  </si>
  <si>
    <t>jūlijs</t>
  </si>
  <si>
    <t>augusts</t>
  </si>
  <si>
    <t>septembris</t>
  </si>
  <si>
    <t>oktobris</t>
  </si>
  <si>
    <t>novembris</t>
  </si>
  <si>
    <t>decembris</t>
  </si>
  <si>
    <t>Kopā</t>
  </si>
  <si>
    <t>Laboratorisko pakalpojumu veiktais darbs 2023.gadā</t>
  </si>
  <si>
    <t>Manipulācijas kods</t>
  </si>
  <si>
    <t xml:space="preserve">Manipulācijas nosaukums </t>
  </si>
  <si>
    <t>Pilna asins aina (hemoglobīns, eritrocīti, leikocīti, trombocīti, hematokrīts, leikocītu formula (vismaz neitrofīli, eozinofīli, bazofīli, limfocīti, monocīti)). Papildus nenorādīt manipulācijas 40010, 40014</t>
  </si>
  <si>
    <t>Protrombīns, protrombīna komplekss un INR</t>
  </si>
  <si>
    <t>Aktivētais parciālais tromboplastīna laiks (APTL)</t>
  </si>
  <si>
    <t>D-dimēri (kvantitatīvi)</t>
  </si>
  <si>
    <t>Kopējais olbaltums</t>
  </si>
  <si>
    <t>Urīnviela</t>
  </si>
  <si>
    <t>Urīnskābe</t>
  </si>
  <si>
    <t>Laktātdehidrogenāze</t>
  </si>
  <si>
    <t>Lipāze</t>
  </si>
  <si>
    <t>Triglicerīdi</t>
  </si>
  <si>
    <t>Bilirubīns, frakcijas</t>
  </si>
  <si>
    <t>Fosfors</t>
  </si>
  <si>
    <t>Glikoze asinīs</t>
  </si>
  <si>
    <t>Feritīns</t>
  </si>
  <si>
    <t>CRO (kvantitatīvi)</t>
  </si>
  <si>
    <t>Reimatoīdais faktors (kvantitatīvi)</t>
  </si>
  <si>
    <t>Tireotropais hormons (TSH)</t>
  </si>
  <si>
    <t>Vitamīns B 12</t>
  </si>
  <si>
    <t>Anti-HCV</t>
  </si>
  <si>
    <t>KOPĀ</t>
  </si>
  <si>
    <t>Aprēķina metode</t>
  </si>
  <si>
    <t>Faktiski veiktais manipulāciju skaits 2023. gadā</t>
  </si>
  <si>
    <t>Prognozētais manipulāciju skaits 2024. gadā</t>
  </si>
  <si>
    <t>Prognozētais manipulāciju skaits 2024. gadā uzņemšanas nodaļās</t>
  </si>
  <si>
    <t>Prognozētais manipulāciju skaits 2024. gadā, kam būtu jāsamazina tarifs</t>
  </si>
  <si>
    <t>Prognozētais izlietojums janvāris - maijs % no gada kopējā</t>
  </si>
  <si>
    <t>Prognozētais izlietojums jūnijs - decembris % no gada kopējā</t>
  </si>
  <si>
    <t>Prognozētais manipulāciju skaits 2024. gadā jūnijs - decembris uzņemšanas nodaļās</t>
  </si>
  <si>
    <t>Prognozētais manipulāciju skaits 2024. gada jūnijs - decembris, kam tiktu samazināts tarifs</t>
  </si>
  <si>
    <t>Prognozētais manipulāciju skaits 2024. gada jūnijs - decembris</t>
  </si>
  <si>
    <t>2024. gads</t>
  </si>
  <si>
    <t>Plānotais finansējums 2024. gadam bez PP</t>
  </si>
  <si>
    <t>Specializētas pārtikas nodrošināšana</t>
  </si>
  <si>
    <t>Prognozētais manipulāciju skaits 2025. gads</t>
  </si>
  <si>
    <t>Prognozētais manipulāciju skaits 2025. gadā uzņemšanas nodaļās</t>
  </si>
  <si>
    <t>Prognozētais manipulāciju skaits 2025. gadā, kam tiktu samazināts tarifs</t>
  </si>
  <si>
    <t>2025. gads un turpmāk ik gadu</t>
  </si>
  <si>
    <r>
      <t>** Plānotā pārdale no budžeta resora "74. Gadskārtējā valsts budžeta izpildes procesā pārdalāmais finansējums" programmas 20.00.00 "Veselības aprūpes pasākumu īstenošana" atbilstoši MK 2023. gada 12.decembra sēdes protokollēmumā Nr. 61 50.</t>
    </r>
    <r>
      <rPr>
        <sz val="11"/>
        <rFont val="Aptos Narrow"/>
        <family val="2"/>
      </rPr>
      <t>§</t>
    </r>
    <r>
      <rPr>
        <sz val="11"/>
        <rFont val="Times New Roman"/>
        <family val="1"/>
        <charset val="186"/>
      </rPr>
      <t xml:space="preserve"> 3.punktā dotajam uzdevumam</t>
    </r>
  </si>
  <si>
    <t>Laboratorisko pakalpojumu veiktais darbs 2022.gadā</t>
  </si>
  <si>
    <t>Analizējot 2022. gada un 2023. gada viedējo 2., 3. un 4. ceturkšņa izpildi pret 1. ceturksni, redzams, ka 1.ceturksnis ik gadu ir apjoma ziņā lielāks kā pārējie, kas ir vidēji gadā ~90% no 1.ceturkšņa vērības. Līdz ar to prgnozējot 2024. gada faktisko izpildi tika pieņemts, ka 2., 3. un 4. ceturksnis arī 2024. gadā būs ~89.5% no 2024. gada 1.ceturkšna faktiskās izpildes.</t>
  </si>
  <si>
    <t>Laboratorisko izmeklējumu nodrošināšna (ar ierēķinātu sezonalitāti)</t>
  </si>
  <si>
    <t>Faktiskā izpilde 2024.gada janvārī-martā</t>
  </si>
  <si>
    <t>*Finansējuma aprēķins balstās uz indikatīvu novērtējumu.</t>
  </si>
  <si>
    <t>Pieejamais finansējums, faktiskā izpilde un indikatīvi prognozētais papildus nepieciešamais finansējums laboratorisko izmeklējumu nodrošināšanai ambulatorajā aprūpē 2024. un 2025. gadā un turpmāk ik gadu</t>
  </si>
  <si>
    <t xml:space="preserve">1. Pielikums Informatīvajam ziņojumam par valsts apmaksāto laboratorisko izmeklējumu nodrošināšanu </t>
  </si>
  <si>
    <t>Indikatīvi prognozētais kopējais finansējuma izlietojums laboratorisko izmeklējumu nodrošināšanai ambulatorajā aprūpē 2024.gadā</t>
  </si>
  <si>
    <t xml:space="preserve">1.2. Pielikums Informatīvajam ziņojumam par valsts apmaksāto laboratorisko izmeklējumu nodrošināšanu </t>
  </si>
  <si>
    <t xml:space="preserve">1.1. Pielikums Informatīvajam ziņojumam par valsts apmaksāto laboratorisko izmeklējumu nodrošināšanu </t>
  </si>
  <si>
    <t xml:space="preserve">Faktiski veiktais darbs laboratorisko izmeklējumu nodrošināšanā ambulatorajā aprūpē 2022. un 2023. gadā </t>
  </si>
  <si>
    <t>% pa mēnešiem</t>
  </si>
  <si>
    <t>Veiktais darbs pa ceturkšņiem, euro</t>
  </si>
  <si>
    <t>% pret 1.cet.</t>
  </si>
  <si>
    <t>Indikatīvā prognoze 2024. gada ceturkšniem % pret 2024. gada 1.ceturksni</t>
  </si>
  <si>
    <t>Vid. gadā</t>
  </si>
  <si>
    <t>Vidēji 2022. un 2023. gada ceturkšnoš pret attiecīgā gada 1. ceturksni</t>
  </si>
  <si>
    <t>Indikatīvā prognoze 2024.gada janvārī-decembrī veikatajam darba apjomam</t>
  </si>
  <si>
    <t>Indikatīvā prognoze 2024. gadam janvāris - decembris veikatjam darbam KOPĀ, euro</t>
  </si>
  <si>
    <t>Plānotais finansējums 2024.gadam apakšprogrammā 33.15.00  (uz 10.05.2024), euro</t>
  </si>
  <si>
    <t>Līgums uz periodu janvāris-marts, euro</t>
  </si>
  <si>
    <t>Veiktais darbs janvāris-marts, euro</t>
  </si>
  <si>
    <t>Pārstrāde "+"/Neizpilde "-", janvāris-marts, euro</t>
  </si>
  <si>
    <t>Aprīlis - Jūnijs, euro</t>
  </si>
  <si>
    <t>Jūlijs - Septembris, euro</t>
  </si>
  <si>
    <t>Oktobris - Decembris, euro</t>
  </si>
  <si>
    <t>Pārstrāde "+"/Neizpilde "-" 2024. gada janvāris-decembris, euro</t>
  </si>
  <si>
    <t>Prognoze finansējuma izlietojumam 2024. gada janvāris - maijs, euro</t>
  </si>
  <si>
    <t>Prognoze finansējuma izlietojumam 2024. gada jūnijs-decembris, euro</t>
  </si>
  <si>
    <t xml:space="preserve">Prognozējamā rēķinu summa 2024.gadā, euro
</t>
  </si>
  <si>
    <t>Uzņemšanas nodaļas % no kopējā finansējuma jūnijs - decembris, kam tarifs netiek samazināts</t>
  </si>
  <si>
    <t>Plānotais finansējums 2024.gadam apakšprogrammā 33.15.00 "Laboratorisko izmeklējumu nodrošināšana ambulatorajā aprūpē" (uz 10.05.2024), euro</t>
  </si>
  <si>
    <t>Prognozējamā rēķinu summa 2024.gadā *, euro</t>
  </si>
  <si>
    <t>Norēķins par 2023.gada decembri, kas veicams 2024. gadā, euro</t>
  </si>
  <si>
    <t>Kopējais indikatīvi prognozējamais deficīts uz 2024. gada beigām, euro</t>
  </si>
  <si>
    <t>Jaunu izmeklējumu ieviešanai 2024. gadā, euro</t>
  </si>
  <si>
    <t xml:space="preserve">Papildus pārdalāmais finansējums no budžeta resora “74.Gadskārtējā valsts budžeta izpildes procesā pārdalāmais finansējums” programmas 20.00.00 “Veselības aprūpes pasākumu īstenošana”, euro
</t>
  </si>
  <si>
    <t>Indikatīvi prognozējamais deficīts uz 2024. gada beigām pēc papildus finansējuma pārdales, euro</t>
  </si>
  <si>
    <t>Plānotais finansējums 2025.gadam apakšprogrammā 33.15.00 "Laboratorisko izmeklējumu nodrošināšana ambulatorajā aprūpē" , euro</t>
  </si>
  <si>
    <t>Plānotā pārdale no budžeta resora "74. Gadskārtējā valsts budžeta izpildes procesā pārdalāmais finansējums" programmas 20.00.00 "Veselības aprūpes pasākumu īstenošana" **, euro</t>
  </si>
  <si>
    <t>Prognozējamā rēķinu summa 2025.gadā *, euro</t>
  </si>
  <si>
    <t>Kopējais indikatīvi prognozējamais deficīts uz 2025. gada beigām, euro</t>
  </si>
  <si>
    <t>Jaunu izmeklējumu ieviešanai 2025. gadā, euro</t>
  </si>
  <si>
    <t>Papildus pārdalāmais finansējums no budžeta resora “74.Gadskārtējā valsts budžeta izpildes procesā pārdalāmais finansējums” programmas 20.00.00 “Veselības aprūpes pasākumu īstenošana”, euro</t>
  </si>
  <si>
    <t>Indikatīvi prognozējamais deficīts uz 2025. gada beigām pēc papildus finansējuma pārdales, euro</t>
  </si>
  <si>
    <t xml:space="preserve">1.3. Pielikums Informatīvajam ziņojumam par valsts apmaksāto laboratorisko izmeklējumu nodrošināšanu </t>
  </si>
  <si>
    <t>2024. gadam piešķirts no  budžeta resora “74.Gadskārtējā valsts budžeta izpildes procesā pārdalāmais finansējums”  2024. gada darba samaksas pieaugumam, euro</t>
  </si>
  <si>
    <t>Indikatīvā prognoze 2024.gada faktiski veiktajam darbam bez darba samaksai piešķirtā finansējuma, euro</t>
  </si>
  <si>
    <t>Faktiskā izpilde 2023. gads, euro</t>
  </si>
  <si>
    <t>2024. gada prognozes/2023. gada starpība, euro</t>
  </si>
  <si>
    <t>2024. gada apjoma pieaugums pret 2023. gadu, neņemot vērā 2024.gadam papildus piešķirto finansējumu, euro</t>
  </si>
  <si>
    <t>Uzņemšanas nodaļas % no kopējā finansējuma, kam tarifs netiek samazināts, %</t>
  </si>
  <si>
    <t>2025. gada plānotais apjoma pieaugums pret 2024. gadu, %</t>
  </si>
  <si>
    <t>Indikatīvi prognozētais laboratorisko izmeklējumu apjoma pieaugums 2024. un 2025. gadā pret iepriekšējo gadu</t>
  </si>
  <si>
    <t xml:space="preserve">1.4. Pielikums Informatīvajam ziņojumam par valsts apmaksāto laboratorisko izmeklējumu nodrošināšanu </t>
  </si>
  <si>
    <t>Finansējuma ietaupījums laboratorijas pakalpojumu nodrošināšanai atbilstoši plānotajam tarifu samazinājumam 2024., 2025. gadā un turpmāk ik gadu</t>
  </si>
  <si>
    <t>Tiek pārskatīti biežākie tarifi manipulāciju sarakstā, ņemot vērā trīs zemāko ārstniecības iestāžu  maksas cenrādi, aprēķinot vidējo no tiem, kā arī pielietojot 0.9 koeficientu pēc esošajiem MK555:</t>
  </si>
  <si>
    <t>2. Ņemta statistika par veikto izmeklējumu skaitu 2023. gadā, attiecīgi 2024. un 2025. gadā palielinot par plānoto apjoma pieaugumu</t>
  </si>
  <si>
    <t xml:space="preserve"> "Laboratorijas pakalpojumi onkoloģijas pacientiem nodrošinot savlaicīgu diagnostiku *</t>
  </si>
  <si>
    <t xml:space="preserve"> "Veselības aprūpes pakalpojumu pieejamība pēc onkoloģijas diagnozes noteikšanas (dinamiskā novērošana)" *</t>
  </si>
  <si>
    <t>"Reproduktīvā materiāla saglabāšana pacientiem pirms ķīmijterapijas procedūrām, nodrošinot reproduktīvā materiāla uzglabāšanu un sieviešu kontracepcija" *</t>
  </si>
  <si>
    <t xml:space="preserve"> "Apvienotās laboratorijas audu saderības un imūnģenētikas jomas attīstība" *</t>
  </si>
  <si>
    <t>* Papildus finansējums 2024. gadam un turpmāk no budžeta resora “74.Gadskārtējā valsts budžeta izpildes procesā pārdalāmais finansējums” programmas 20.00.00 “Veselības aprūpes pasākumu īstenošana” jaunu pasākumu īstenošanai</t>
  </si>
  <si>
    <t>Kopējais finansējums manipulāciju nodrošināšanai 2023. gadā, euro</t>
  </si>
  <si>
    <t>Esošais NVD tarifs (uz 01.03.2024), euro</t>
  </si>
  <si>
    <t>Jaunais NVD tarifs (PAN aprēķinātais), euro</t>
  </si>
  <si>
    <t>Prognozējamais ietaupījums visam 2024. gadam no tarifu samazināsānas, euro</t>
  </si>
  <si>
    <t>Prognozējamais ietaupījums  2024. gada jūnijs - decembris no tarifu samazināsānas, euro</t>
  </si>
  <si>
    <t>Prognozējamais ietaupījums  2025. gads - decembris no tarifu samazināsānas, euro</t>
  </si>
  <si>
    <t>Indikatīvais ietaupījums 2024. gada jūnijs - decembris no tarifu samazināšanas *, euro</t>
  </si>
  <si>
    <t>Indikatīvais ietaupījums 2025. gadā no tarifu samazināšanas *, euro</t>
  </si>
  <si>
    <t>Indikatīvi prognozējamais deficīts uz gada beigām bz tarifu samazināšanas, euro</t>
  </si>
  <si>
    <t>Starpība, ņemot vērā, ka pēc MK maksājam pakalpojumus ar 0.9 koeficientu, euro*</t>
  </si>
  <si>
    <t>* Novērtējums ir indikatīvs un var mainīties atbilstoši faktikajai izpildei</t>
  </si>
  <si>
    <t>3.Aprēķinā tarifi tiek apmaksāti  ar 0.9 koeficientu atbilstoši MK555</t>
  </si>
  <si>
    <t xml:space="preserve"> "Laboratorijas pakalpojumi onkoloģijas pacientiem nodrošinot savlaicīgu diagnostiku</t>
  </si>
  <si>
    <t xml:space="preserve"> "Veselības aprūpes pakalpojumu pieejamība pēc onkoloģijas diagnozes noteikšanas (dinamiskā novērošana)"</t>
  </si>
  <si>
    <t xml:space="preserve"> "Apvienotās laboratorijas audu saderības un imūnģenētikas jomas attīstība"</t>
  </si>
  <si>
    <t xml:space="preserve"> "Reproduktīvā materiāla saglabāšana pacientiem pirms ķīmijterapijas procedūrām, nodrošinot reproduktīvā materiāla uzglabāšanu un sieviešu kontracepcija"</t>
  </si>
  <si>
    <t xml:space="preserve">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t>
  </si>
  <si>
    <t xml:space="preserve"> ""Profilakses pasākumu un veselības aprūpes pakalpojumu uzlabošanas plāna alkoholisko dzērienu  un narkotisko vielu lietošanas izplatības mazināšanas jomā 2023.-2025.gadam" ietvaros atkarību konsultatīvā tālruņa izveide, narkoloģiskās ārstēšanas pakalpojuma groza pārskatīšana un veselības aprūpes pakalpojumu pieejamības un kvalitātes uzlabošana" *</t>
  </si>
  <si>
    <t>ABL holesterīns (tiešā metode)</t>
  </si>
  <si>
    <t>41058 - 41060</t>
  </si>
  <si>
    <t>ZBL holesterīna līmenis asinīs</t>
  </si>
  <si>
    <t>Glikohemoglobīns</t>
  </si>
  <si>
    <t>PSA, brīvais prostatas specifiskais antigēns</t>
  </si>
  <si>
    <t>Kopējais holesterīna līmenis asinīskoncentrācija, lielāka par 5 mmol/L</t>
  </si>
  <si>
    <t>41103 - 41105</t>
  </si>
  <si>
    <t>1.Analizēti manipulāciju tarifi un salīdiznāti ar maksas cenrādi, aprēķinināti jaunie tarifi atbilstoši MK 555 noteikumos noteiktajai formulai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</si>
</sst>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43" formatCode="_-* #,##0.00_-;\-* #,##0.00_-;_-* &quot;-&quot;??_-;_-@_-"/>
    <numFmt numFmtId="164" formatCode="_-* #,##0.00\ &quot;€&quot;_-;\-* #,##0.00\ &quot;€&quot;_-;_-* &quot;-&quot;??\ &quot;€&quot;_-;_-@_-"/>
    <numFmt numFmtId="165" formatCode="0.0"/>
    <numFmt numFmtId="166" formatCode="0.000"/>
    <numFmt numFmtId="167" formatCode="_(* #,##0.00_);_(* \(#,##0.00\);_(* &quot;-&quot;??_);_(@_)"/>
    <numFmt numFmtId="168" formatCode="_-* #,##0.00\ _€_-;\-* #,##0.00\ _€_-;_-* &quot;-&quot;??\ _€_-;_-@_-"/>
    <numFmt numFmtId="169" formatCode="[$-409]General"/>
    <numFmt numFmtId="170" formatCode="[$-426]General"/>
    <numFmt numFmtId="171" formatCode="[$Ls-426]&quot; &quot;#,##0.00;[Red][$Ls-426]&quot; -&quot;#,##0.00"/>
    <numFmt numFmtId="172" formatCode="#,##0.00\ _€"/>
    <numFmt numFmtId="173" formatCode="#,##0.00000000"/>
    <numFmt numFmtId="174" formatCode="#,##0.000"/>
    <numFmt numFmtId="175" formatCode="#,##0.0000"/>
    <numFmt numFmtId="176" formatCode="#,##0.00000"/>
    <numFmt numFmtId="177" formatCode="0.0000"/>
  </numFmts>
  <fonts count="104">
    <font>
      <sz val="10"/>
      <name val="Arial"/>
      <charset val="186"/>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2"/>
      <name val="Times New Roman"/>
      <family val="1"/>
      <charset val="186"/>
    </font>
    <font>
      <b/>
      <sz val="12"/>
      <name val="Times New Roman"/>
      <family val="1"/>
      <charset val="186"/>
    </font>
    <font>
      <b/>
      <sz val="14"/>
      <name val="Times New Roman"/>
      <family val="1"/>
      <charset val="186"/>
    </font>
    <font>
      <sz val="14"/>
      <name val="Times New Roman"/>
      <family val="1"/>
      <charset val="186"/>
    </font>
    <font>
      <sz val="11"/>
      <name val="Times New Roman"/>
      <family val="1"/>
      <charset val="186"/>
    </font>
    <font>
      <b/>
      <sz val="11"/>
      <name val="Times New Roman"/>
      <family val="1"/>
      <charset val="186"/>
    </font>
    <font>
      <sz val="10"/>
      <name val="Arial"/>
      <family val="2"/>
    </font>
    <font>
      <sz val="10"/>
      <name val="Arial"/>
      <family val="2"/>
      <charset val="186"/>
    </font>
    <font>
      <sz val="11"/>
      <name val="Arial"/>
      <family val="2"/>
      <charset val="186"/>
    </font>
    <font>
      <sz val="10"/>
      <name val="Helv"/>
    </font>
    <font>
      <sz val="10"/>
      <name val="BaltGaramond"/>
      <family val="2"/>
    </font>
    <font>
      <sz val="10"/>
      <name val="BaltHelvetica"/>
    </font>
    <font>
      <sz val="10"/>
      <name val="BaltGaramond"/>
      <family val="2"/>
      <charset val="186"/>
    </font>
    <font>
      <sz val="10"/>
      <name val="Arial"/>
      <family val="2"/>
      <charset val="186"/>
    </font>
    <font>
      <sz val="11"/>
      <color theme="1"/>
      <name val="Calibri"/>
      <family val="2"/>
      <charset val="186"/>
      <scheme val="minor"/>
    </font>
    <font>
      <sz val="11"/>
      <color theme="1"/>
      <name val="Calibri"/>
      <family val="2"/>
      <scheme val="minor"/>
    </font>
    <font>
      <sz val="12"/>
      <color theme="1"/>
      <name val="Calibri"/>
      <family val="2"/>
      <charset val="186"/>
      <scheme val="minor"/>
    </font>
    <font>
      <sz val="8"/>
      <color theme="1"/>
      <name val="Times New Roman"/>
      <family val="2"/>
      <charset val="186"/>
    </font>
    <font>
      <sz val="11"/>
      <color indexed="8"/>
      <name val="Calibri"/>
      <family val="2"/>
      <charset val="186"/>
    </font>
    <font>
      <sz val="11"/>
      <color indexed="9"/>
      <name val="Calibri"/>
      <family val="2"/>
      <charset val="186"/>
    </font>
    <font>
      <sz val="11"/>
      <color indexed="20"/>
      <name val="Calibri"/>
      <family val="2"/>
      <charset val="186"/>
    </font>
    <font>
      <b/>
      <sz val="11"/>
      <color indexed="52"/>
      <name val="Calibri"/>
      <family val="2"/>
      <charset val="186"/>
    </font>
    <font>
      <b/>
      <sz val="11"/>
      <color indexed="9"/>
      <name val="Calibri"/>
      <family val="2"/>
      <charset val="186"/>
    </font>
    <font>
      <i/>
      <sz val="11"/>
      <color indexed="23"/>
      <name val="Calibri"/>
      <family val="2"/>
      <charset val="186"/>
    </font>
    <font>
      <sz val="11"/>
      <color indexed="17"/>
      <name val="Calibri"/>
      <family val="2"/>
      <charset val="186"/>
    </font>
    <font>
      <b/>
      <sz val="15"/>
      <color indexed="56"/>
      <name val="Calibri"/>
      <family val="2"/>
      <charset val="186"/>
    </font>
    <font>
      <b/>
      <sz val="13"/>
      <color indexed="56"/>
      <name val="Calibri"/>
      <family val="2"/>
      <charset val="186"/>
    </font>
    <font>
      <b/>
      <sz val="11"/>
      <color indexed="56"/>
      <name val="Calibri"/>
      <family val="2"/>
      <charset val="186"/>
    </font>
    <font>
      <sz val="11"/>
      <color indexed="62"/>
      <name val="Calibri"/>
      <family val="2"/>
      <charset val="186"/>
    </font>
    <font>
      <sz val="11"/>
      <color indexed="52"/>
      <name val="Calibri"/>
      <family val="2"/>
      <charset val="186"/>
    </font>
    <font>
      <sz val="11"/>
      <color indexed="60"/>
      <name val="Calibri"/>
      <family val="2"/>
      <charset val="186"/>
    </font>
    <font>
      <sz val="11"/>
      <color rgb="FF000000"/>
      <name val="Calibri"/>
      <family val="2"/>
      <charset val="186"/>
    </font>
    <font>
      <b/>
      <sz val="11"/>
      <color indexed="63"/>
      <name val="Calibri"/>
      <family val="2"/>
      <charset val="186"/>
    </font>
    <font>
      <b/>
      <sz val="18"/>
      <color indexed="56"/>
      <name val="Cambria"/>
      <family val="2"/>
      <charset val="186"/>
    </font>
    <font>
      <b/>
      <sz val="11"/>
      <color indexed="8"/>
      <name val="Calibri"/>
      <family val="2"/>
      <charset val="186"/>
    </font>
    <font>
      <sz val="11"/>
      <color indexed="10"/>
      <name val="Calibri"/>
      <family val="2"/>
      <charset val="186"/>
    </font>
    <font>
      <sz val="10"/>
      <name val="Times New Roman"/>
      <family val="1"/>
      <charset val="186"/>
    </font>
    <font>
      <sz val="10"/>
      <name val="Times New Roman Baltic"/>
      <charset val="186"/>
    </font>
    <font>
      <sz val="10"/>
      <name val="Palatino Linotype"/>
      <family val="1"/>
      <charset val="186"/>
    </font>
    <font>
      <sz val="10"/>
      <color indexed="9"/>
      <name val="Arial"/>
      <family val="2"/>
      <charset val="186"/>
    </font>
    <font>
      <sz val="10"/>
      <color indexed="8"/>
      <name val="Arial"/>
      <family val="2"/>
      <charset val="186"/>
    </font>
    <font>
      <b/>
      <sz val="10"/>
      <color indexed="53"/>
      <name val="Arial"/>
      <family val="2"/>
      <charset val="186"/>
    </font>
    <font>
      <sz val="10"/>
      <color indexed="10"/>
      <name val="Arial"/>
      <family val="2"/>
      <charset val="186"/>
    </font>
    <font>
      <sz val="10"/>
      <color indexed="62"/>
      <name val="Arial"/>
      <family val="2"/>
      <charset val="186"/>
    </font>
    <font>
      <b/>
      <sz val="10"/>
      <color indexed="63"/>
      <name val="Arial"/>
      <family val="2"/>
      <charset val="186"/>
    </font>
    <font>
      <b/>
      <sz val="10"/>
      <color indexed="8"/>
      <name val="Arial"/>
      <family val="2"/>
      <charset val="186"/>
    </font>
    <font>
      <sz val="10"/>
      <color indexed="17"/>
      <name val="Arial"/>
      <family val="2"/>
      <charset val="186"/>
    </font>
    <font>
      <sz val="10"/>
      <color indexed="60"/>
      <name val="Arial"/>
      <family val="2"/>
      <charset val="186"/>
    </font>
    <font>
      <b/>
      <sz val="18"/>
      <color indexed="62"/>
      <name val="Cambria"/>
      <family val="2"/>
      <charset val="186"/>
    </font>
    <font>
      <i/>
      <sz val="10"/>
      <color indexed="23"/>
      <name val="Arial"/>
      <family val="2"/>
      <charset val="186"/>
    </font>
    <font>
      <b/>
      <sz val="10"/>
      <color indexed="9"/>
      <name val="Arial"/>
      <family val="2"/>
      <charset val="186"/>
    </font>
    <font>
      <sz val="10"/>
      <color indexed="53"/>
      <name val="Arial"/>
      <family val="2"/>
      <charset val="186"/>
    </font>
    <font>
      <b/>
      <sz val="10"/>
      <color indexed="12"/>
      <name val="Arial"/>
      <family val="2"/>
      <charset val="186"/>
    </font>
    <font>
      <b/>
      <sz val="12"/>
      <color indexed="8"/>
      <name val="Arial"/>
      <family val="2"/>
      <charset val="186"/>
    </font>
    <font>
      <sz val="10"/>
      <color indexed="12"/>
      <name val="Arial"/>
      <family val="2"/>
      <charset val="186"/>
    </font>
    <font>
      <sz val="19"/>
      <color indexed="48"/>
      <name val="Arial"/>
      <family val="2"/>
      <charset val="186"/>
    </font>
    <font>
      <sz val="10"/>
      <color indexed="20"/>
      <name val="Arial"/>
      <family val="2"/>
      <charset val="186"/>
    </font>
    <font>
      <b/>
      <sz val="15"/>
      <color indexed="62"/>
      <name val="Arial"/>
      <family val="2"/>
      <charset val="186"/>
    </font>
    <font>
      <b/>
      <sz val="13"/>
      <color indexed="62"/>
      <name val="Arial"/>
      <family val="2"/>
      <charset val="186"/>
    </font>
    <font>
      <b/>
      <sz val="11"/>
      <color indexed="62"/>
      <name val="Arial"/>
      <family val="2"/>
      <charset val="186"/>
    </font>
    <font>
      <sz val="10"/>
      <name val="FreeSans"/>
      <family val="2"/>
    </font>
    <font>
      <sz val="11"/>
      <color rgb="FF9C6500"/>
      <name val="Calibri"/>
      <family val="2"/>
      <charset val="186"/>
    </font>
    <font>
      <sz val="10"/>
      <color rgb="FF000000"/>
      <name val="Arial"/>
      <family val="2"/>
      <charset val="186"/>
    </font>
    <font>
      <sz val="11"/>
      <color theme="1"/>
      <name val="Arial"/>
      <family val="2"/>
      <charset val="186"/>
    </font>
    <font>
      <sz val="11"/>
      <color indexed="8"/>
      <name val="Calibri"/>
      <family val="2"/>
      <scheme val="minor"/>
    </font>
    <font>
      <sz val="11"/>
      <color rgb="FF000000"/>
      <name val="Arial"/>
      <family val="2"/>
    </font>
    <font>
      <sz val="11"/>
      <color rgb="FF000000"/>
      <name val="Calibri"/>
      <family val="2"/>
    </font>
    <font>
      <sz val="11"/>
      <color theme="1"/>
      <name val="Arial"/>
      <family val="2"/>
    </font>
    <font>
      <b/>
      <i/>
      <sz val="16"/>
      <color theme="1"/>
      <name val="Arial"/>
      <family val="2"/>
    </font>
    <font>
      <b/>
      <i/>
      <u/>
      <sz val="11"/>
      <color theme="1"/>
      <name val="Arial"/>
      <family val="2"/>
    </font>
    <font>
      <b/>
      <i/>
      <sz val="16"/>
      <color rgb="FF000000"/>
      <name val="Arial"/>
      <family val="2"/>
    </font>
    <font>
      <b/>
      <i/>
      <u/>
      <sz val="11"/>
      <color rgb="FF000000"/>
      <name val="Arial"/>
      <family val="2"/>
    </font>
    <font>
      <u/>
      <sz val="10"/>
      <color theme="10"/>
      <name val="Times New Roman"/>
      <family val="1"/>
      <charset val="186"/>
    </font>
    <font>
      <sz val="9"/>
      <color indexed="81"/>
      <name val="Tahoma"/>
      <family val="2"/>
      <charset val="186"/>
    </font>
    <font>
      <b/>
      <sz val="9"/>
      <color indexed="81"/>
      <name val="Tahoma"/>
      <family val="2"/>
      <charset val="186"/>
    </font>
    <font>
      <i/>
      <sz val="12"/>
      <name val="Times New Roman"/>
      <family val="1"/>
      <charset val="186"/>
    </font>
    <font>
      <b/>
      <sz val="11"/>
      <color theme="1"/>
      <name val="Calibri"/>
      <family val="2"/>
      <charset val="186"/>
      <scheme val="minor"/>
    </font>
    <font>
      <b/>
      <sz val="10"/>
      <name val="Arial"/>
      <family val="2"/>
      <charset val="186"/>
    </font>
    <font>
      <i/>
      <sz val="11"/>
      <name val="Times New Roman"/>
      <family val="1"/>
      <charset val="186"/>
    </font>
    <font>
      <sz val="11"/>
      <name val="Times New Roman"/>
      <family val="1"/>
    </font>
    <font>
      <b/>
      <sz val="10"/>
      <name val="Arial"/>
      <family val="2"/>
    </font>
    <font>
      <b/>
      <sz val="11"/>
      <name val="Times New Roman"/>
      <family val="1"/>
    </font>
    <font>
      <b/>
      <sz val="12"/>
      <name val="Times New Roman"/>
      <family val="1"/>
    </font>
    <font>
      <sz val="10"/>
      <color indexed="8"/>
      <name val="Arial"/>
      <family val="2"/>
    </font>
    <font>
      <b/>
      <sz val="12"/>
      <name val="Arial"/>
      <family val="2"/>
    </font>
    <font>
      <sz val="11"/>
      <name val="Aptos Narrow"/>
      <family val="2"/>
    </font>
    <font>
      <i/>
      <sz val="10"/>
      <name val="Arial"/>
      <family val="2"/>
    </font>
    <font>
      <i/>
      <sz val="12"/>
      <name val="Times New Roman"/>
      <family val="1"/>
    </font>
    <font>
      <sz val="12"/>
      <name val="Arial"/>
      <family val="2"/>
    </font>
    <font>
      <b/>
      <sz val="13"/>
      <name val="Times New Roman"/>
      <family val="1"/>
    </font>
    <font>
      <b/>
      <sz val="10"/>
      <color rgb="FF000000"/>
      <name val="Arial"/>
      <family val="2"/>
    </font>
  </fonts>
  <fills count="65">
    <fill>
      <patternFill patternType="none"/>
    </fill>
    <fill>
      <patternFill patternType="gray125"/>
    </fill>
    <fill>
      <patternFill patternType="solid">
        <fgColor indexed="26"/>
        <bgColor indexed="64"/>
      </patternFill>
    </fill>
    <fill>
      <patternFill patternType="solid">
        <fgColor indexed="11"/>
        <bgColor indexed="64"/>
      </patternFill>
    </fill>
    <fill>
      <patternFill patternType="solid">
        <fgColor indexed="22"/>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indexed="49"/>
        <bgColor indexed="40"/>
      </patternFill>
    </fill>
    <fill>
      <patternFill patternType="solid">
        <fgColor indexed="10"/>
        <bgColor indexed="60"/>
      </patternFill>
    </fill>
    <fill>
      <patternFill patternType="solid">
        <fgColor indexed="40"/>
        <bgColor indexed="49"/>
      </patternFill>
    </fill>
    <fill>
      <patternFill patternType="solid">
        <fgColor indexed="29"/>
        <bgColor indexed="41"/>
      </patternFill>
    </fill>
    <fill>
      <patternFill patternType="solid">
        <fgColor indexed="26"/>
        <bgColor indexed="9"/>
      </patternFill>
    </fill>
    <fill>
      <patternFill patternType="solid">
        <fgColor indexed="9"/>
        <bgColor indexed="26"/>
      </patternFill>
    </fill>
    <fill>
      <patternFill patternType="solid">
        <fgColor indexed="44"/>
        <bgColor indexed="31"/>
      </patternFill>
    </fill>
    <fill>
      <patternFill patternType="solid">
        <fgColor indexed="45"/>
        <bgColor indexed="41"/>
      </patternFill>
    </fill>
    <fill>
      <patternFill patternType="solid">
        <fgColor indexed="57"/>
        <bgColor indexed="21"/>
      </patternFill>
    </fill>
    <fill>
      <patternFill patternType="solid">
        <fgColor indexed="23"/>
        <bgColor indexed="55"/>
      </patternFill>
    </fill>
    <fill>
      <patternFill patternType="solid">
        <fgColor indexed="54"/>
        <bgColor indexed="23"/>
      </patternFill>
    </fill>
    <fill>
      <patternFill patternType="solid">
        <fgColor indexed="22"/>
        <bgColor indexed="42"/>
      </patternFill>
    </fill>
    <fill>
      <patternFill patternType="solid">
        <fgColor indexed="47"/>
        <bgColor indexed="41"/>
      </patternFill>
    </fill>
    <fill>
      <patternFill patternType="solid">
        <fgColor indexed="51"/>
        <bgColor indexed="13"/>
      </patternFill>
    </fill>
    <fill>
      <patternFill patternType="solid">
        <fgColor indexed="24"/>
        <bgColor indexed="46"/>
      </patternFill>
    </fill>
    <fill>
      <patternFill patternType="solid">
        <fgColor indexed="15"/>
        <bgColor indexed="35"/>
      </patternFill>
    </fill>
    <fill>
      <patternFill patternType="solid">
        <fgColor indexed="55"/>
        <bgColor indexed="23"/>
      </patternFill>
    </fill>
    <fill>
      <patternFill patternType="solid">
        <fgColor indexed="27"/>
        <bgColor indexed="9"/>
      </patternFill>
    </fill>
    <fill>
      <patternFill patternType="solid">
        <fgColor indexed="42"/>
        <bgColor indexed="22"/>
      </patternFill>
    </fill>
    <fill>
      <patternFill patternType="solid">
        <fgColor indexed="41"/>
        <bgColor indexed="45"/>
      </patternFill>
    </fill>
    <fill>
      <patternFill patternType="solid">
        <fgColor indexed="19"/>
        <bgColor indexed="55"/>
      </patternFill>
    </fill>
    <fill>
      <patternFill patternType="solid">
        <fgColor indexed="50"/>
        <bgColor indexed="51"/>
      </patternFill>
    </fill>
    <fill>
      <patternFill patternType="solid">
        <fgColor indexed="43"/>
        <bgColor indexed="26"/>
      </patternFill>
    </fill>
    <fill>
      <patternFill patternType="solid">
        <fgColor indexed="52"/>
        <bgColor indexed="51"/>
      </patternFill>
    </fill>
    <fill>
      <patternFill patternType="solid">
        <fgColor indexed="53"/>
        <bgColor indexed="52"/>
      </patternFill>
    </fill>
    <fill>
      <patternFill patternType="solid">
        <fgColor indexed="11"/>
        <bgColor indexed="49"/>
      </patternFill>
    </fill>
    <fill>
      <patternFill patternType="solid">
        <fgColor indexed="31"/>
        <bgColor indexed="44"/>
      </patternFill>
    </fill>
    <fill>
      <patternFill patternType="solid">
        <fgColor indexed="46"/>
        <bgColor indexed="24"/>
      </patternFill>
    </fill>
    <fill>
      <patternFill patternType="solid">
        <fgColor rgb="FFFFEB9C"/>
        <bgColor rgb="FFFFCC99"/>
      </patternFill>
    </fill>
    <fill>
      <patternFill patternType="solid">
        <fgColor theme="6" tint="0.59999389629810485"/>
        <bgColor indexed="64"/>
      </patternFill>
    </fill>
    <fill>
      <patternFill patternType="solid">
        <fgColor theme="6" tint="0.79998168889431442"/>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0" tint="-0.249977111117893"/>
        <bgColor indexed="64"/>
      </patternFill>
    </fill>
  </fills>
  <borders count="3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style="thin">
        <color indexed="49"/>
      </top>
      <bottom style="double">
        <color indexed="49"/>
      </bottom>
      <diagonal/>
    </border>
    <border>
      <left/>
      <right/>
      <top/>
      <bottom style="double">
        <color indexed="53"/>
      </bottom>
      <diagonal/>
    </border>
    <border>
      <left style="thin">
        <color indexed="48"/>
      </left>
      <right style="thin">
        <color indexed="48"/>
      </right>
      <top style="thin">
        <color indexed="48"/>
      </top>
      <bottom style="thin">
        <color indexed="48"/>
      </bottom>
      <diagonal/>
    </border>
    <border>
      <left style="thin">
        <color indexed="27"/>
      </left>
      <right style="thin">
        <color indexed="48"/>
      </right>
      <top style="medium">
        <color indexed="27"/>
      </top>
      <bottom style="thin">
        <color indexed="48"/>
      </bottom>
      <diagonal/>
    </border>
    <border>
      <left style="thin">
        <color indexed="8"/>
      </left>
      <right style="thin">
        <color indexed="8"/>
      </right>
      <top style="thin">
        <color indexed="8"/>
      </top>
      <bottom style="thin">
        <color indexed="8"/>
      </bottom>
      <diagonal/>
    </border>
    <border>
      <left/>
      <right/>
      <top/>
      <bottom style="thick">
        <color indexed="49"/>
      </bottom>
      <diagonal/>
    </border>
    <border>
      <left/>
      <right/>
      <top/>
      <bottom style="thick">
        <color indexed="54"/>
      </bottom>
      <diagonal/>
    </border>
    <border>
      <left/>
      <right/>
      <top/>
      <bottom style="medium">
        <color indexed="5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bottom style="thin">
        <color auto="1"/>
      </bottom>
      <diagonal/>
    </border>
    <border>
      <left style="thin">
        <color indexed="0"/>
      </left>
      <right style="thin">
        <color indexed="0"/>
      </right>
      <top style="thin">
        <color indexed="0"/>
      </top>
      <bottom style="thin">
        <color indexed="0"/>
      </bottom>
      <diagonal/>
    </border>
    <border>
      <left style="thin">
        <color indexed="64"/>
      </left>
      <right style="thin">
        <color indexed="64"/>
      </right>
      <top style="thin">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s>
  <cellStyleXfs count="1186">
    <xf numFmtId="0" fontId="0" fillId="0" borderId="0"/>
    <xf numFmtId="43" fontId="28" fillId="0" borderId="0" applyFont="0" applyFill="0" applyBorder="0" applyAlignment="0" applyProtection="0"/>
    <xf numFmtId="43" fontId="19" fillId="0" borderId="0" applyFont="0" applyFill="0" applyBorder="0" applyAlignment="0" applyProtection="0"/>
    <xf numFmtId="165" fontId="23" fillId="0" borderId="0" applyBorder="0" applyAlignment="0" applyProtection="0"/>
    <xf numFmtId="166" fontId="23" fillId="2" borderId="0"/>
    <xf numFmtId="0" fontId="20" fillId="0" borderId="0"/>
    <xf numFmtId="0" fontId="20" fillId="0" borderId="0"/>
    <xf numFmtId="0" fontId="27" fillId="0" borderId="0"/>
    <xf numFmtId="0" fontId="20" fillId="0" borderId="0"/>
    <xf numFmtId="0" fontId="28" fillId="0" borderId="0"/>
    <xf numFmtId="0" fontId="19" fillId="0" borderId="0"/>
    <xf numFmtId="0" fontId="29" fillId="0" borderId="0"/>
    <xf numFmtId="0" fontId="27" fillId="0" borderId="0"/>
    <xf numFmtId="0" fontId="19" fillId="0" borderId="0"/>
    <xf numFmtId="0" fontId="21" fillId="0" borderId="0"/>
    <xf numFmtId="0" fontId="20" fillId="0" borderId="0"/>
    <xf numFmtId="0" fontId="26" fillId="0" borderId="0"/>
    <xf numFmtId="0" fontId="24" fillId="0" borderId="0"/>
    <xf numFmtId="9" fontId="28" fillId="0" borderId="0" applyFont="0" applyFill="0" applyBorder="0" applyAlignment="0" applyProtection="0"/>
    <xf numFmtId="165" fontId="23" fillId="3" borderId="0" applyBorder="0" applyProtection="0"/>
    <xf numFmtId="0" fontId="22" fillId="0" borderId="0"/>
    <xf numFmtId="165" fontId="25" fillId="4" borderId="0" applyBorder="0" applyProtection="0"/>
    <xf numFmtId="0" fontId="30" fillId="0" borderId="0"/>
    <xf numFmtId="167" fontId="30" fillId="0" borderId="0" applyFont="0" applyFill="0" applyBorder="0" applyAlignment="0" applyProtection="0"/>
    <xf numFmtId="0" fontId="20" fillId="0" borderId="0"/>
    <xf numFmtId="0" fontId="20" fillId="0" borderId="0"/>
    <xf numFmtId="0" fontId="31" fillId="5" borderId="0" applyNumberFormat="0" applyBorder="0" applyAlignment="0" applyProtection="0"/>
    <xf numFmtId="0" fontId="31" fillId="6" borderId="0" applyNumberFormat="0" applyBorder="0" applyAlignment="0" applyProtection="0"/>
    <xf numFmtId="0" fontId="31" fillId="7" borderId="0" applyNumberFormat="0" applyBorder="0" applyAlignment="0" applyProtection="0"/>
    <xf numFmtId="0" fontId="31" fillId="8" borderId="0" applyNumberFormat="0" applyBorder="0" applyAlignment="0" applyProtection="0"/>
    <xf numFmtId="0" fontId="31" fillId="9" borderId="0" applyNumberFormat="0" applyBorder="0" applyAlignment="0" applyProtection="0"/>
    <xf numFmtId="0" fontId="31" fillId="10" borderId="0" applyNumberFormat="0" applyBorder="0" applyAlignment="0" applyProtection="0"/>
    <xf numFmtId="0" fontId="31" fillId="11" borderId="0" applyNumberFormat="0" applyBorder="0" applyAlignment="0" applyProtection="0"/>
    <xf numFmtId="0" fontId="31" fillId="12" borderId="0" applyNumberFormat="0" applyBorder="0" applyAlignment="0" applyProtection="0"/>
    <xf numFmtId="0" fontId="31" fillId="13" borderId="0" applyNumberFormat="0" applyBorder="0" applyAlignment="0" applyProtection="0"/>
    <xf numFmtId="0" fontId="31" fillId="8" borderId="0" applyNumberFormat="0" applyBorder="0" applyAlignment="0" applyProtection="0"/>
    <xf numFmtId="0" fontId="31" fillId="11" borderId="0" applyNumberFormat="0" applyBorder="0" applyAlignment="0" applyProtection="0"/>
    <xf numFmtId="0" fontId="31" fillId="14" borderId="0" applyNumberFormat="0" applyBorder="0" applyAlignment="0" applyProtection="0"/>
    <xf numFmtId="0" fontId="32" fillId="15" borderId="0" applyNumberFormat="0" applyBorder="0" applyAlignment="0" applyProtection="0"/>
    <xf numFmtId="0" fontId="32" fillId="12" borderId="0" applyNumberFormat="0" applyBorder="0" applyAlignment="0" applyProtection="0"/>
    <xf numFmtId="0" fontId="32" fillId="13"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22" borderId="0" applyNumberFormat="0" applyBorder="0" applyAlignment="0" applyProtection="0"/>
    <xf numFmtId="0" fontId="33" fillId="6" borderId="0" applyNumberFormat="0" applyBorder="0" applyAlignment="0" applyProtection="0"/>
    <xf numFmtId="0" fontId="34" fillId="23" borderId="1" applyNumberFormat="0" applyAlignment="0" applyProtection="0"/>
    <xf numFmtId="0" fontId="35" fillId="24" borderId="2" applyNumberFormat="0" applyAlignment="0" applyProtection="0"/>
    <xf numFmtId="44" fontId="20" fillId="0" borderId="0" applyFont="0" applyFill="0" applyBorder="0" applyAlignment="0" applyProtection="0"/>
    <xf numFmtId="0" fontId="36" fillId="0" borderId="0" applyNumberFormat="0" applyFill="0" applyBorder="0" applyAlignment="0" applyProtection="0"/>
    <xf numFmtId="0" fontId="37" fillId="7" borderId="0" applyNumberFormat="0" applyBorder="0" applyAlignment="0" applyProtection="0"/>
    <xf numFmtId="0" fontId="38" fillId="0" borderId="3" applyNumberFormat="0" applyFill="0" applyAlignment="0" applyProtection="0"/>
    <xf numFmtId="0" fontId="39" fillId="0" borderId="4" applyNumberFormat="0" applyFill="0" applyAlignment="0" applyProtection="0"/>
    <xf numFmtId="0" fontId="40" fillId="0" borderId="5" applyNumberFormat="0" applyFill="0" applyAlignment="0" applyProtection="0"/>
    <xf numFmtId="0" fontId="40" fillId="0" borderId="0" applyNumberFormat="0" applyFill="0" applyBorder="0" applyAlignment="0" applyProtection="0"/>
    <xf numFmtId="0" fontId="41" fillId="10" borderId="1" applyNumberFormat="0" applyAlignment="0" applyProtection="0"/>
    <xf numFmtId="0" fontId="42" fillId="0" borderId="6" applyNumberFormat="0" applyFill="0" applyAlignment="0" applyProtection="0"/>
    <xf numFmtId="0" fontId="43" fillId="25" borderId="0" applyNumberFormat="0" applyBorder="0" applyAlignment="0" applyProtection="0"/>
    <xf numFmtId="0" fontId="20" fillId="0" borderId="0"/>
    <xf numFmtId="0" fontId="44" fillId="0" borderId="0"/>
    <xf numFmtId="0" fontId="20" fillId="0" borderId="0"/>
    <xf numFmtId="0" fontId="12" fillId="0" borderId="0"/>
    <xf numFmtId="0" fontId="19" fillId="0" borderId="0"/>
    <xf numFmtId="0" fontId="20" fillId="0" borderId="0"/>
    <xf numFmtId="0" fontId="20" fillId="0" borderId="0"/>
    <xf numFmtId="0" fontId="12" fillId="0" borderId="0"/>
    <xf numFmtId="0" fontId="12" fillId="0" borderId="0"/>
    <xf numFmtId="0" fontId="19" fillId="0" borderId="0"/>
    <xf numFmtId="0" fontId="12" fillId="0" borderId="0"/>
    <xf numFmtId="0" fontId="20" fillId="0" borderId="0"/>
    <xf numFmtId="0" fontId="12" fillId="0" borderId="0"/>
    <xf numFmtId="0" fontId="12" fillId="0" borderId="0"/>
    <xf numFmtId="0" fontId="20" fillId="26" borderId="7" applyNumberFormat="0" applyFont="0" applyAlignment="0" applyProtection="0"/>
    <xf numFmtId="0" fontId="45" fillId="23" borderId="8" applyNumberFormat="0" applyAlignment="0" applyProtection="0"/>
    <xf numFmtId="0" fontId="46" fillId="0" borderId="0" applyNumberFormat="0" applyFill="0" applyBorder="0" applyAlignment="0" applyProtection="0"/>
    <xf numFmtId="0" fontId="47" fillId="0" borderId="9" applyNumberFormat="0" applyFill="0" applyAlignment="0" applyProtection="0"/>
    <xf numFmtId="0" fontId="48" fillId="0" borderId="0" applyNumberFormat="0" applyFill="0" applyBorder="0" applyAlignment="0" applyProtection="0"/>
    <xf numFmtId="0" fontId="11" fillId="0" borderId="0"/>
    <xf numFmtId="0" fontId="20" fillId="0" borderId="0"/>
    <xf numFmtId="0" fontId="20" fillId="0" borderId="0"/>
    <xf numFmtId="0" fontId="20" fillId="0" borderId="0"/>
    <xf numFmtId="43" fontId="28" fillId="0" borderId="0" applyFont="0" applyFill="0" applyBorder="0" applyAlignment="0" applyProtection="0"/>
    <xf numFmtId="43" fontId="19" fillId="0" borderId="0" applyFont="0" applyFill="0" applyBorder="0" applyAlignment="0" applyProtection="0"/>
    <xf numFmtId="0" fontId="10" fillId="0" borderId="0"/>
    <xf numFmtId="0" fontId="10" fillId="0" borderId="0"/>
    <xf numFmtId="0" fontId="20" fillId="0" borderId="0"/>
    <xf numFmtId="43" fontId="30" fillId="0" borderId="0" applyFont="0" applyFill="0" applyBorder="0" applyAlignment="0" applyProtection="0"/>
    <xf numFmtId="0" fontId="10" fillId="0" borderId="0"/>
    <xf numFmtId="0" fontId="10" fillId="0" borderId="0"/>
    <xf numFmtId="0" fontId="10" fillId="0" borderId="0"/>
    <xf numFmtId="0" fontId="10" fillId="0" borderId="0"/>
    <xf numFmtId="0" fontId="10" fillId="0" borderId="0"/>
    <xf numFmtId="0" fontId="10" fillId="0" borderId="0"/>
    <xf numFmtId="0" fontId="10" fillId="0" borderId="0"/>
    <xf numFmtId="43" fontId="28" fillId="0" borderId="0" applyFont="0" applyFill="0" applyBorder="0" applyAlignment="0" applyProtection="0"/>
    <xf numFmtId="43" fontId="19"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0" fontId="9" fillId="0" borderId="0"/>
    <xf numFmtId="43" fontId="20" fillId="0" borderId="0" applyFont="0" applyFill="0" applyBorder="0" applyAlignment="0" applyProtection="0"/>
    <xf numFmtId="0" fontId="9" fillId="0" borderId="0"/>
    <xf numFmtId="9" fontId="9" fillId="0" borderId="0" applyFont="0" applyFill="0" applyBorder="0" applyAlignment="0" applyProtection="0"/>
    <xf numFmtId="0" fontId="50" fillId="0" borderId="0"/>
    <xf numFmtId="0" fontId="51" fillId="0" borderId="0"/>
    <xf numFmtId="0" fontId="50" fillId="0" borderId="0"/>
    <xf numFmtId="0" fontId="51" fillId="0" borderId="0"/>
    <xf numFmtId="0" fontId="9" fillId="0" borderId="0"/>
    <xf numFmtId="9" fontId="9" fillId="0" borderId="0" applyFont="0" applyFill="0" applyBorder="0" applyAlignment="0" applyProtection="0"/>
    <xf numFmtId="0" fontId="20" fillId="0" borderId="0"/>
    <xf numFmtId="0" fontId="52" fillId="30" borderId="0" applyNumberFormat="0" applyBorder="0" applyAlignment="0" applyProtection="0"/>
    <xf numFmtId="0" fontId="52" fillId="31" borderId="0" applyNumberFormat="0" applyBorder="0" applyAlignment="0" applyProtection="0"/>
    <xf numFmtId="0" fontId="53" fillId="32" borderId="0" applyNumberFormat="0" applyBorder="0" applyAlignment="0" applyProtection="0"/>
    <xf numFmtId="0" fontId="53" fillId="33" borderId="0" applyNumberFormat="0" applyBorder="0" applyAlignment="0" applyProtection="0"/>
    <xf numFmtId="0" fontId="53" fillId="34" borderId="0" applyNumberFormat="0" applyBorder="0" applyAlignment="0" applyProtection="0"/>
    <xf numFmtId="0" fontId="53" fillId="35" borderId="0" applyNumberFormat="0" applyBorder="0" applyAlignment="0" applyProtection="0"/>
    <xf numFmtId="0" fontId="53" fillId="36" borderId="0" applyNumberFormat="0" applyBorder="0" applyAlignment="0" applyProtection="0"/>
    <xf numFmtId="0" fontId="53" fillId="37" borderId="0" applyNumberFormat="0" applyBorder="0" applyAlignment="0" applyProtection="0"/>
    <xf numFmtId="0" fontId="52" fillId="38" borderId="0" applyNumberFormat="0" applyBorder="0" applyAlignment="0" applyProtection="0"/>
    <xf numFmtId="0" fontId="52" fillId="39" borderId="0" applyNumberFormat="0" applyBorder="0" applyAlignment="0" applyProtection="0"/>
    <xf numFmtId="0" fontId="53" fillId="40" borderId="0" applyNumberFormat="0" applyBorder="0" applyAlignment="0" applyProtection="0"/>
    <xf numFmtId="0" fontId="53" fillId="33" borderId="0" applyNumberFormat="0" applyBorder="0" applyAlignment="0" applyProtection="0"/>
    <xf numFmtId="0" fontId="53" fillId="38" borderId="0" applyNumberFormat="0" applyBorder="0" applyAlignment="0" applyProtection="0"/>
    <xf numFmtId="0" fontId="53" fillId="41" borderId="0" applyNumberFormat="0" applyBorder="0" applyAlignment="0" applyProtection="0"/>
    <xf numFmtId="0" fontId="53" fillId="40" borderId="0" applyNumberFormat="0" applyBorder="0" applyAlignment="0" applyProtection="0"/>
    <xf numFmtId="0" fontId="53" fillId="42" borderId="0" applyNumberFormat="0" applyBorder="0" applyAlignment="0" applyProtection="0"/>
    <xf numFmtId="0" fontId="52" fillId="30" borderId="0" applyNumberFormat="0" applyBorder="0" applyAlignment="0" applyProtection="0"/>
    <xf numFmtId="0" fontId="52" fillId="43" borderId="0" applyNumberFormat="0" applyBorder="0" applyAlignment="0" applyProtection="0"/>
    <xf numFmtId="0" fontId="52" fillId="40" borderId="0" applyNumberFormat="0" applyBorder="0" applyAlignment="0" applyProtection="0"/>
    <xf numFmtId="0" fontId="52" fillId="33" borderId="0" applyNumberFormat="0" applyBorder="0" applyAlignment="0" applyProtection="0"/>
    <xf numFmtId="0" fontId="52" fillId="38" borderId="0" applyNumberFormat="0" applyBorder="0" applyAlignment="0" applyProtection="0"/>
    <xf numFmtId="0" fontId="52" fillId="41" borderId="0" applyNumberFormat="0" applyBorder="0" applyAlignment="0" applyProtection="0"/>
    <xf numFmtId="0" fontId="52" fillId="40" borderId="0" applyNumberFormat="0" applyBorder="0" applyAlignment="0" applyProtection="0"/>
    <xf numFmtId="0" fontId="52" fillId="42" borderId="0" applyNumberFormat="0" applyBorder="0" applyAlignment="0" applyProtection="0"/>
    <xf numFmtId="0" fontId="31" fillId="36" borderId="0" applyNumberFormat="0" applyBorder="0" applyAlignment="0" applyProtection="0"/>
    <xf numFmtId="0" fontId="31" fillId="40" borderId="0" applyNumberFormat="0" applyBorder="0" applyAlignment="0" applyProtection="0"/>
    <xf numFmtId="0" fontId="32" fillId="44" borderId="0" applyNumberFormat="0" applyBorder="0" applyAlignment="0" applyProtection="0"/>
    <xf numFmtId="0" fontId="31" fillId="45" borderId="0" applyNumberFormat="0" applyBorder="0" applyAlignment="0" applyProtection="0"/>
    <xf numFmtId="0" fontId="31" fillId="37" borderId="0" applyNumberFormat="0" applyBorder="0" applyAlignment="0" applyProtection="0"/>
    <xf numFmtId="0" fontId="32" fillId="46" borderId="0" applyNumberFormat="0" applyBorder="0" applyAlignment="0" applyProtection="0"/>
    <xf numFmtId="0" fontId="31" fillId="47" borderId="0" applyNumberFormat="0" applyBorder="0" applyAlignment="0" applyProtection="0"/>
    <xf numFmtId="0" fontId="31" fillId="32" borderId="0" applyNumberFormat="0" applyBorder="0" applyAlignment="0" applyProtection="0"/>
    <xf numFmtId="0" fontId="32" fillId="41" borderId="0" applyNumberFormat="0" applyBorder="0" applyAlignment="0" applyProtection="0"/>
    <xf numFmtId="0" fontId="31" fillId="32" borderId="0" applyNumberFormat="0" applyBorder="0" applyAlignment="0" applyProtection="0"/>
    <xf numFmtId="0" fontId="31" fillId="41" borderId="0" applyNumberFormat="0" applyBorder="0" applyAlignment="0" applyProtection="0"/>
    <xf numFmtId="0" fontId="32" fillId="41" borderId="0" applyNumberFormat="0" applyBorder="0" applyAlignment="0" applyProtection="0"/>
    <xf numFmtId="0" fontId="31" fillId="36" borderId="0" applyNumberFormat="0" applyBorder="0" applyAlignment="0" applyProtection="0"/>
    <xf numFmtId="0" fontId="31" fillId="40" borderId="0" applyNumberFormat="0" applyBorder="0" applyAlignment="0" applyProtection="0"/>
    <xf numFmtId="0" fontId="32" fillId="40" borderId="0" applyNumberFormat="0" applyBorder="0" applyAlignment="0" applyProtection="0"/>
    <xf numFmtId="0" fontId="31" fillId="34" borderId="0" applyNumberFormat="0" applyBorder="0" applyAlignment="0" applyProtection="0"/>
    <xf numFmtId="0" fontId="31" fillId="37" borderId="0" applyNumberFormat="0" applyBorder="0" applyAlignment="0" applyProtection="0"/>
    <xf numFmtId="0" fontId="32" fillId="42" borderId="0" applyNumberFormat="0" applyBorder="0" applyAlignment="0" applyProtection="0"/>
    <xf numFmtId="0" fontId="54" fillId="35" borderId="1" applyNumberFormat="0" applyAlignment="0" applyProtection="0"/>
    <xf numFmtId="0" fontId="55" fillId="0" borderId="0" applyNumberFormat="0" applyFill="0" applyBorder="0" applyAlignment="0" applyProtection="0"/>
    <xf numFmtId="0" fontId="47" fillId="48" borderId="0" applyNumberFormat="0" applyBorder="0" applyAlignment="0" applyProtection="0"/>
    <xf numFmtId="0" fontId="47" fillId="49" borderId="0" applyNumberFormat="0" applyBorder="0" applyAlignment="0" applyProtection="0"/>
    <xf numFmtId="0" fontId="47" fillId="50" borderId="0" applyNumberFormat="0" applyBorder="0" applyAlignment="0" applyProtection="0"/>
    <xf numFmtId="0" fontId="56" fillId="42" borderId="1" applyNumberFormat="0" applyAlignment="0" applyProtection="0"/>
    <xf numFmtId="0" fontId="57" fillId="35" borderId="8" applyNumberFormat="0" applyAlignment="0" applyProtection="0"/>
    <xf numFmtId="0" fontId="58" fillId="0" borderId="11" applyNumberFormat="0" applyFill="0" applyAlignment="0" applyProtection="0"/>
    <xf numFmtId="0" fontId="59" fillId="51" borderId="0" applyNumberFormat="0" applyBorder="0" applyAlignment="0" applyProtection="0"/>
    <xf numFmtId="0" fontId="60" fillId="42" borderId="0" applyNumberFormat="0" applyBorder="0" applyAlignment="0" applyProtection="0"/>
    <xf numFmtId="0" fontId="61" fillId="0" borderId="0" applyNumberFormat="0" applyFill="0" applyBorder="0" applyAlignment="0" applyProtection="0"/>
    <xf numFmtId="0" fontId="50" fillId="34" borderId="7" applyNumberFormat="0" applyAlignment="0" applyProtection="0"/>
    <xf numFmtId="0" fontId="62" fillId="0" borderId="0" applyNumberFormat="0" applyFill="0" applyBorder="0" applyAlignment="0" applyProtection="0"/>
    <xf numFmtId="0" fontId="63" fillId="46" borderId="2" applyNumberFormat="0" applyAlignment="0" applyProtection="0"/>
    <xf numFmtId="0" fontId="50" fillId="34" borderId="7" applyNumberFormat="0" applyAlignment="0" applyProtection="0"/>
    <xf numFmtId="0" fontId="50" fillId="34" borderId="7" applyNumberFormat="0" applyAlignment="0" applyProtection="0"/>
    <xf numFmtId="0" fontId="64" fillId="0" borderId="12" applyNumberFormat="0" applyFill="0" applyAlignment="0" applyProtection="0"/>
    <xf numFmtId="0" fontId="58" fillId="52" borderId="13" applyNumberFormat="0" applyProtection="0">
      <alignment vertical="center"/>
    </xf>
    <xf numFmtId="0" fontId="65" fillId="52" borderId="13" applyNumberFormat="0" applyProtection="0">
      <alignment vertical="center"/>
    </xf>
    <xf numFmtId="0" fontId="58" fillId="52" borderId="13" applyNumberFormat="0" applyProtection="0">
      <alignment horizontal="left" vertical="center" indent="1"/>
    </xf>
    <xf numFmtId="0" fontId="58" fillId="52" borderId="13" applyNumberFormat="0" applyProtection="0">
      <alignment horizontal="left" vertical="top" indent="1"/>
    </xf>
    <xf numFmtId="0" fontId="58" fillId="32" borderId="0" applyNumberFormat="0" applyProtection="0">
      <alignment horizontal="left" vertical="center" indent="1"/>
    </xf>
    <xf numFmtId="0" fontId="53" fillId="37" borderId="13" applyNumberFormat="0" applyProtection="0">
      <alignment horizontal="right" vertical="center"/>
    </xf>
    <xf numFmtId="0" fontId="53" fillId="33" borderId="13" applyNumberFormat="0" applyProtection="0">
      <alignment horizontal="right" vertical="center"/>
    </xf>
    <xf numFmtId="0" fontId="53" fillId="31" borderId="13" applyNumberFormat="0" applyProtection="0">
      <alignment horizontal="right" vertical="center"/>
    </xf>
    <xf numFmtId="0" fontId="53" fillId="43" borderId="13" applyNumberFormat="0" applyProtection="0">
      <alignment horizontal="right" vertical="center"/>
    </xf>
    <xf numFmtId="0" fontId="53" fillId="53" borderId="13" applyNumberFormat="0" applyProtection="0">
      <alignment horizontal="right" vertical="center"/>
    </xf>
    <xf numFmtId="0" fontId="53" fillId="54" borderId="13" applyNumberFormat="0" applyProtection="0">
      <alignment horizontal="right" vertical="center"/>
    </xf>
    <xf numFmtId="0" fontId="53" fillId="38" borderId="13" applyNumberFormat="0" applyProtection="0">
      <alignment horizontal="right" vertical="center"/>
    </xf>
    <xf numFmtId="0" fontId="53" fillId="51" borderId="13" applyNumberFormat="0" applyProtection="0">
      <alignment horizontal="right" vertical="center"/>
    </xf>
    <xf numFmtId="0" fontId="53" fillId="55" borderId="13" applyNumberFormat="0" applyProtection="0">
      <alignment horizontal="right" vertical="center"/>
    </xf>
    <xf numFmtId="0" fontId="58" fillId="56" borderId="14" applyNumberFormat="0" applyProtection="0">
      <alignment horizontal="left" vertical="center" indent="1"/>
    </xf>
    <xf numFmtId="0" fontId="53" fillId="47" borderId="0" applyNumberFormat="0" applyProtection="0">
      <alignment horizontal="left" vertical="center" indent="1"/>
    </xf>
    <xf numFmtId="0" fontId="66" fillId="40" borderId="0" applyNumberFormat="0" applyProtection="0">
      <alignment horizontal="left" vertical="center" indent="1"/>
    </xf>
    <xf numFmtId="0" fontId="66" fillId="40" borderId="0" applyNumberFormat="0" applyProtection="0">
      <alignment horizontal="left" vertical="center" indent="1"/>
    </xf>
    <xf numFmtId="0" fontId="53" fillId="32" borderId="13" applyNumberFormat="0" applyProtection="0">
      <alignment horizontal="right" vertical="center"/>
    </xf>
    <xf numFmtId="0" fontId="53" fillId="47" borderId="0" applyNumberFormat="0" applyProtection="0">
      <alignment horizontal="left" vertical="center" indent="1"/>
    </xf>
    <xf numFmtId="0" fontId="53" fillId="47" borderId="0" applyNumberFormat="0" applyProtection="0">
      <alignment horizontal="left" vertical="center" indent="1"/>
    </xf>
    <xf numFmtId="0" fontId="53" fillId="32" borderId="0" applyNumberFormat="0" applyProtection="0">
      <alignment horizontal="left" vertical="center" indent="1"/>
    </xf>
    <xf numFmtId="0" fontId="53" fillId="32" borderId="0" applyNumberFormat="0" applyProtection="0">
      <alignment horizontal="left" vertical="center" indent="1"/>
    </xf>
    <xf numFmtId="0" fontId="20" fillId="40" borderId="13" applyNumberFormat="0" applyProtection="0">
      <alignment horizontal="left" vertical="center" indent="1"/>
    </xf>
    <xf numFmtId="0" fontId="20" fillId="40" borderId="13" applyNumberFormat="0" applyProtection="0">
      <alignment horizontal="left" vertical="center" indent="1"/>
    </xf>
    <xf numFmtId="0" fontId="20" fillId="40" borderId="13" applyNumberFormat="0" applyProtection="0">
      <alignment horizontal="left" vertical="top" indent="1"/>
    </xf>
    <xf numFmtId="0" fontId="20" fillId="40" borderId="13" applyNumberFormat="0" applyProtection="0">
      <alignment horizontal="left" vertical="top" indent="1"/>
    </xf>
    <xf numFmtId="0" fontId="20" fillId="32" borderId="13" applyNumberFormat="0" applyProtection="0">
      <alignment horizontal="left" vertical="center" indent="1"/>
    </xf>
    <xf numFmtId="0" fontId="20" fillId="32" borderId="13" applyNumberFormat="0" applyProtection="0">
      <alignment horizontal="left" vertical="center" indent="1"/>
    </xf>
    <xf numFmtId="0" fontId="20" fillId="32" borderId="13" applyNumberFormat="0" applyProtection="0">
      <alignment horizontal="left" vertical="top" indent="1"/>
    </xf>
    <xf numFmtId="0" fontId="20" fillId="32" borderId="13" applyNumberFormat="0" applyProtection="0">
      <alignment horizontal="left" vertical="top" indent="1"/>
    </xf>
    <xf numFmtId="0" fontId="20" fillId="36" borderId="13" applyNumberFormat="0" applyProtection="0">
      <alignment horizontal="left" vertical="center" indent="1"/>
    </xf>
    <xf numFmtId="0" fontId="20" fillId="36" borderId="13" applyNumberFormat="0" applyProtection="0">
      <alignment horizontal="left" vertical="center" indent="1"/>
    </xf>
    <xf numFmtId="0" fontId="20" fillId="36" borderId="13" applyNumberFormat="0" applyProtection="0">
      <alignment horizontal="left" vertical="top" indent="1"/>
    </xf>
    <xf numFmtId="0" fontId="20" fillId="36" borderId="13" applyNumberFormat="0" applyProtection="0">
      <alignment horizontal="left" vertical="top" indent="1"/>
    </xf>
    <xf numFmtId="0" fontId="20" fillId="47" borderId="13" applyNumberFormat="0" applyProtection="0">
      <alignment horizontal="left" vertical="center" indent="1"/>
    </xf>
    <xf numFmtId="0" fontId="20" fillId="47" borderId="13" applyNumberFormat="0" applyProtection="0">
      <alignment horizontal="left" vertical="center" indent="1"/>
    </xf>
    <xf numFmtId="0" fontId="20" fillId="47" borderId="13" applyNumberFormat="0" applyProtection="0">
      <alignment horizontal="left" vertical="top" indent="1"/>
    </xf>
    <xf numFmtId="0" fontId="20" fillId="47" borderId="13" applyNumberFormat="0" applyProtection="0">
      <alignment horizontal="left" vertical="top" indent="1"/>
    </xf>
    <xf numFmtId="0" fontId="20" fillId="35" borderId="15" applyNumberFormat="0">
      <protection locked="0"/>
    </xf>
    <xf numFmtId="0" fontId="20" fillId="35" borderId="15" applyNumberFormat="0">
      <protection locked="0"/>
    </xf>
    <xf numFmtId="0" fontId="53" fillId="34" borderId="13" applyNumberFormat="0" applyProtection="0">
      <alignment vertical="center"/>
    </xf>
    <xf numFmtId="0" fontId="67" fillId="34" borderId="13" applyNumberFormat="0" applyProtection="0">
      <alignment vertical="center"/>
    </xf>
    <xf numFmtId="0" fontId="53" fillId="34" borderId="13" applyNumberFormat="0" applyProtection="0">
      <alignment horizontal="left" vertical="center" indent="1"/>
    </xf>
    <xf numFmtId="0" fontId="53" fillId="34" borderId="13" applyNumberFormat="0" applyProtection="0">
      <alignment horizontal="left" vertical="top" indent="1"/>
    </xf>
    <xf numFmtId="0" fontId="53" fillId="47" borderId="13" applyNumberFormat="0" applyProtection="0">
      <alignment horizontal="right" vertical="center"/>
    </xf>
    <xf numFmtId="0" fontId="67" fillId="47" borderId="13" applyNumberFormat="0" applyProtection="0">
      <alignment horizontal="right" vertical="center"/>
    </xf>
    <xf numFmtId="0" fontId="53" fillId="32" borderId="13" applyNumberFormat="0" applyProtection="0">
      <alignment horizontal="left" vertical="center" indent="1"/>
    </xf>
    <xf numFmtId="0" fontId="53" fillId="32" borderId="13" applyNumberFormat="0" applyProtection="0">
      <alignment horizontal="left" vertical="top" indent="1"/>
    </xf>
    <xf numFmtId="0" fontId="68" fillId="45" borderId="0" applyNumberFormat="0" applyProtection="0">
      <alignment horizontal="left" vertical="center" indent="1"/>
    </xf>
    <xf numFmtId="0" fontId="68" fillId="45" borderId="0" applyNumberFormat="0" applyProtection="0">
      <alignment horizontal="left" vertical="center" indent="1"/>
    </xf>
    <xf numFmtId="0" fontId="55" fillId="47" borderId="13" applyNumberFormat="0" applyProtection="0">
      <alignment horizontal="right" vertical="center"/>
    </xf>
    <xf numFmtId="0" fontId="61" fillId="0" borderId="0" applyNumberFormat="0" applyFill="0" applyBorder="0" applyAlignment="0" applyProtection="0"/>
    <xf numFmtId="0" fontId="69" fillId="57" borderId="0" applyNumberFormat="0" applyBorder="0" applyAlignment="0" applyProtection="0"/>
    <xf numFmtId="0" fontId="70" fillId="0" borderId="16" applyNumberFormat="0" applyFill="0" applyAlignment="0" applyProtection="0"/>
    <xf numFmtId="0" fontId="71" fillId="0" borderId="17" applyNumberFormat="0" applyFill="0" applyAlignment="0" applyProtection="0"/>
    <xf numFmtId="0" fontId="72" fillId="0" borderId="18" applyNumberFormat="0" applyFill="0" applyAlignment="0" applyProtection="0"/>
    <xf numFmtId="0" fontId="72" fillId="0" borderId="0" applyNumberForma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43" fontId="28" fillId="0" borderId="0" applyFont="0" applyFill="0" applyBorder="0" applyAlignment="0" applyProtection="0"/>
    <xf numFmtId="43" fontId="19" fillId="0" borderId="0" applyFont="0" applyFill="0" applyBorder="0" applyAlignment="0" applyProtection="0"/>
    <xf numFmtId="0" fontId="8" fillId="0" borderId="0"/>
    <xf numFmtId="0" fontId="8" fillId="0" borderId="0"/>
    <xf numFmtId="0" fontId="8" fillId="0" borderId="0"/>
    <xf numFmtId="43" fontId="30" fillId="0" borderId="0" applyFont="0" applyFill="0" applyBorder="0" applyAlignment="0" applyProtection="0"/>
    <xf numFmtId="0" fontId="8" fillId="0" borderId="0"/>
    <xf numFmtId="0" fontId="8" fillId="0" borderId="0"/>
    <xf numFmtId="0" fontId="8" fillId="0" borderId="0"/>
    <xf numFmtId="0" fontId="8" fillId="0" borderId="0"/>
    <xf numFmtId="0" fontId="8" fillId="0" borderId="0"/>
    <xf numFmtId="0" fontId="73" fillId="0" borderId="0" applyBorder="0" applyAlignment="0" applyProtection="0"/>
    <xf numFmtId="43" fontId="20" fillId="0" borderId="0" applyFont="0" applyFill="0" applyBorder="0" applyAlignment="0" applyProtection="0"/>
    <xf numFmtId="0" fontId="20" fillId="0" borderId="0"/>
    <xf numFmtId="0" fontId="50" fillId="0" borderId="0"/>
    <xf numFmtId="0" fontId="51" fillId="0" borderId="0"/>
    <xf numFmtId="0" fontId="8" fillId="0" borderId="0"/>
    <xf numFmtId="9" fontId="8" fillId="0" borderId="0" applyFont="0" applyFill="0" applyBorder="0" applyAlignment="0" applyProtection="0"/>
    <xf numFmtId="0" fontId="8" fillId="0" borderId="0"/>
    <xf numFmtId="9" fontId="8" fillId="0" borderId="0" applyFont="0" applyFill="0" applyBorder="0" applyAlignment="0" applyProtection="0"/>
    <xf numFmtId="0" fontId="8" fillId="0" borderId="0"/>
    <xf numFmtId="0" fontId="74" fillId="58" borderId="0" applyBorder="0" applyProtection="0"/>
    <xf numFmtId="0" fontId="75" fillId="0" borderId="0" applyNumberFormat="0" applyBorder="0" applyProtection="0"/>
    <xf numFmtId="0" fontId="75" fillId="0" borderId="0" applyNumberFormat="0" applyBorder="0" applyProtection="0"/>
    <xf numFmtId="0" fontId="20" fillId="0" borderId="0"/>
    <xf numFmtId="0" fontId="20" fillId="0" borderId="0"/>
    <xf numFmtId="0" fontId="31" fillId="0" borderId="0"/>
    <xf numFmtId="168" fontId="8" fillId="0" borderId="0" applyFont="0" applyFill="0" applyBorder="0" applyAlignment="0" applyProtection="0"/>
    <xf numFmtId="0" fontId="20" fillId="0" borderId="0"/>
    <xf numFmtId="0" fontId="20" fillId="0" borderId="0"/>
    <xf numFmtId="168" fontId="8" fillId="0" borderId="0" applyFont="0" applyFill="0" applyBorder="0" applyAlignment="0" applyProtection="0"/>
    <xf numFmtId="43" fontId="28" fillId="0" borderId="0" applyFont="0" applyFill="0" applyBorder="0" applyAlignment="0" applyProtection="0"/>
    <xf numFmtId="0" fontId="76" fillId="0" borderId="0"/>
    <xf numFmtId="0" fontId="8" fillId="0" borderId="0"/>
    <xf numFmtId="0" fontId="8" fillId="0" borderId="0"/>
    <xf numFmtId="0" fontId="77" fillId="0" borderId="0"/>
    <xf numFmtId="0" fontId="44" fillId="0" borderId="0"/>
    <xf numFmtId="0" fontId="8" fillId="0" borderId="0"/>
    <xf numFmtId="169" fontId="78" fillId="0" borderId="0" applyFont="0" applyBorder="0" applyProtection="0"/>
    <xf numFmtId="169" fontId="78" fillId="0" borderId="0"/>
    <xf numFmtId="170" fontId="79" fillId="0" borderId="0"/>
    <xf numFmtId="0" fontId="19" fillId="0" borderId="0"/>
    <xf numFmtId="0" fontId="28" fillId="0" borderId="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2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43" fontId="8" fillId="0" borderId="0" applyFont="0" applyFill="0" applyBorder="0" applyAlignment="0" applyProtection="0"/>
    <xf numFmtId="9" fontId="8" fillId="0" borderId="0" applyFont="0" applyFill="0" applyBorder="0" applyAlignment="0" applyProtection="0"/>
    <xf numFmtId="43" fontId="28" fillId="0" borderId="0" applyFont="0" applyFill="0" applyBorder="0" applyAlignment="0" applyProtection="0"/>
    <xf numFmtId="0" fontId="80" fillId="0" borderId="0"/>
    <xf numFmtId="170" fontId="79" fillId="0" borderId="0"/>
    <xf numFmtId="170" fontId="79" fillId="0" borderId="0"/>
    <xf numFmtId="170" fontId="79" fillId="0" borderId="0"/>
    <xf numFmtId="0" fontId="81" fillId="0" borderId="0">
      <alignment horizontal="center"/>
    </xf>
    <xf numFmtId="0" fontId="81" fillId="0" borderId="0">
      <alignment horizontal="center" textRotation="90"/>
    </xf>
    <xf numFmtId="170" fontId="79" fillId="0" borderId="0"/>
    <xf numFmtId="0" fontId="82" fillId="0" borderId="0"/>
    <xf numFmtId="171" fontId="82" fillId="0" borderId="0"/>
    <xf numFmtId="0" fontId="78" fillId="0" borderId="0"/>
    <xf numFmtId="170" fontId="79" fillId="0" borderId="0" applyBorder="0" applyProtection="0"/>
    <xf numFmtId="170" fontId="79" fillId="0" borderId="0" applyBorder="0" applyProtection="0"/>
    <xf numFmtId="170" fontId="79" fillId="0" borderId="0" applyBorder="0" applyProtection="0"/>
    <xf numFmtId="170" fontId="79" fillId="0" borderId="0" applyBorder="0" applyProtection="0"/>
    <xf numFmtId="0" fontId="83" fillId="0" borderId="0" applyNumberFormat="0" applyBorder="0" applyProtection="0">
      <alignment horizontal="center"/>
    </xf>
    <xf numFmtId="0" fontId="83" fillId="0" borderId="0" applyNumberFormat="0" applyBorder="0" applyProtection="0">
      <alignment horizontal="center" textRotation="90"/>
    </xf>
    <xf numFmtId="170" fontId="79" fillId="0" borderId="0" applyBorder="0" applyProtection="0"/>
    <xf numFmtId="0" fontId="84" fillId="0" borderId="0" applyNumberFormat="0" applyBorder="0" applyProtection="0"/>
    <xf numFmtId="171" fontId="84" fillId="0" borderId="0" applyBorder="0" applyProtection="0"/>
    <xf numFmtId="43" fontId="28" fillId="0" borderId="0" applyFont="0" applyFill="0" applyBorder="0" applyAlignment="0" applyProtection="0"/>
    <xf numFmtId="0" fontId="49" fillId="0" borderId="0"/>
    <xf numFmtId="0" fontId="49" fillId="0" borderId="0"/>
    <xf numFmtId="0" fontId="85" fillId="0" borderId="0" applyNumberFormat="0" applyFill="0" applyBorder="0" applyAlignment="0" applyProtection="0"/>
    <xf numFmtId="43" fontId="28" fillId="0" borderId="0" applyFont="0" applyFill="0" applyBorder="0" applyAlignment="0" applyProtection="0"/>
    <xf numFmtId="0" fontId="8" fillId="0" borderId="0"/>
    <xf numFmtId="0" fontId="8" fillId="0" borderId="0"/>
    <xf numFmtId="43" fontId="8" fillId="0" borderId="0" applyFont="0" applyFill="0" applyBorder="0" applyAlignment="0" applyProtection="0"/>
    <xf numFmtId="164" fontId="8" fillId="0" borderId="0" applyFont="0" applyFill="0" applyBorder="0" applyAlignment="0" applyProtection="0"/>
    <xf numFmtId="43" fontId="28" fillId="0" borderId="0" applyFont="0" applyFill="0" applyBorder="0" applyAlignment="0" applyProtection="0"/>
    <xf numFmtId="0" fontId="28"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43" fontId="30"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8" fillId="0" borderId="0" applyFont="0" applyFill="0" applyBorder="0" applyAlignment="0" applyProtection="0"/>
    <xf numFmtId="43" fontId="19"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43" fontId="20" fillId="0" borderId="0" applyFont="0" applyFill="0" applyBorder="0" applyAlignment="0" applyProtection="0"/>
    <xf numFmtId="0" fontId="7" fillId="0" borderId="0"/>
    <xf numFmtId="9" fontId="7" fillId="0" borderId="0" applyFont="0" applyFill="0" applyBorder="0" applyAlignment="0" applyProtection="0"/>
    <xf numFmtId="0" fontId="7" fillId="0" borderId="0"/>
    <xf numFmtId="9" fontId="7"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0" fontId="6" fillId="0" borderId="0"/>
    <xf numFmtId="43" fontId="28" fillId="0" borderId="0" applyFont="0" applyFill="0" applyBorder="0" applyAlignment="0" applyProtection="0"/>
    <xf numFmtId="43" fontId="19" fillId="0" borderId="0" applyFont="0" applyFill="0" applyBorder="0" applyAlignment="0" applyProtection="0"/>
    <xf numFmtId="0" fontId="6" fillId="0" borderId="0"/>
    <xf numFmtId="0" fontId="6" fillId="0" borderId="0"/>
    <xf numFmtId="43" fontId="30" fillId="0" borderId="0" applyFont="0" applyFill="0" applyBorder="0" applyAlignment="0" applyProtection="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168" fontId="5" fillId="0" borderId="0" applyFont="0" applyFill="0" applyBorder="0" applyAlignment="0" applyProtection="0"/>
    <xf numFmtId="168" fontId="5" fillId="0" borderId="0" applyFont="0" applyFill="0" applyBorder="0" applyAlignment="0" applyProtection="0"/>
    <xf numFmtId="43" fontId="28" fillId="0" borderId="0" applyFont="0" applyFill="0" applyBorder="0" applyAlignment="0" applyProtection="0"/>
    <xf numFmtId="0" fontId="5" fillId="0" borderId="0"/>
    <xf numFmtId="0" fontId="5" fillId="0" borderId="0"/>
    <xf numFmtId="0" fontId="5" fillId="0" borderId="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2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9" fontId="5"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5" fillId="0" borderId="0"/>
    <xf numFmtId="0" fontId="5" fillId="0" borderId="0"/>
    <xf numFmtId="43" fontId="5" fillId="0" borderId="0" applyFont="0" applyFill="0" applyBorder="0" applyAlignment="0" applyProtection="0"/>
    <xf numFmtId="164" fontId="5" fillId="0" borderId="0" applyFont="0" applyFill="0" applyBorder="0" applyAlignment="0" applyProtection="0"/>
    <xf numFmtId="43" fontId="28" fillId="0" borderId="0" applyFont="0" applyFill="0" applyBorder="0" applyAlignment="0" applyProtection="0"/>
    <xf numFmtId="0" fontId="5" fillId="0" borderId="0"/>
    <xf numFmtId="9" fontId="5"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0" fontId="5" fillId="0" borderId="0"/>
    <xf numFmtId="9" fontId="5" fillId="0" borderId="0" applyFont="0" applyFill="0" applyBorder="0" applyAlignment="0" applyProtection="0"/>
    <xf numFmtId="0" fontId="5" fillId="0" borderId="0"/>
    <xf numFmtId="9" fontId="5"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0" fontId="5" fillId="0" borderId="0"/>
    <xf numFmtId="43" fontId="28" fillId="0" borderId="0" applyFont="0" applyFill="0" applyBorder="0" applyAlignment="0" applyProtection="0"/>
    <xf numFmtId="43" fontId="19" fillId="0" borderId="0" applyFont="0" applyFill="0" applyBorder="0" applyAlignment="0" applyProtection="0"/>
    <xf numFmtId="0" fontId="5" fillId="0" borderId="0"/>
    <xf numFmtId="0" fontId="5" fillId="0" borderId="0"/>
    <xf numFmtId="43" fontId="30" fillId="0" borderId="0" applyFont="0" applyFill="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168" fontId="4" fillId="0" borderId="0" applyFont="0" applyFill="0" applyBorder="0" applyAlignment="0" applyProtection="0"/>
    <xf numFmtId="168" fontId="4"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0" fontId="4" fillId="0" borderId="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2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9" fontId="4"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4" fillId="0" borderId="0"/>
    <xf numFmtId="0" fontId="4" fillId="0" borderId="0"/>
    <xf numFmtId="43" fontId="4" fillId="0" borderId="0" applyFont="0" applyFill="0" applyBorder="0" applyAlignment="0" applyProtection="0"/>
    <xf numFmtId="164" fontId="4" fillId="0" borderId="0" applyFont="0" applyFill="0" applyBorder="0" applyAlignment="0" applyProtection="0"/>
    <xf numFmtId="43" fontId="28"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9" fontId="4"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0" fontId="4" fillId="0" borderId="0"/>
    <xf numFmtId="43" fontId="28" fillId="0" borderId="0" applyFont="0" applyFill="0" applyBorder="0" applyAlignment="0" applyProtection="0"/>
    <xf numFmtId="43" fontId="19" fillId="0" borderId="0" applyFont="0" applyFill="0" applyBorder="0" applyAlignment="0" applyProtection="0"/>
    <xf numFmtId="0" fontId="4" fillId="0" borderId="0"/>
    <xf numFmtId="0" fontId="4" fillId="0" borderId="0"/>
    <xf numFmtId="43" fontId="30"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43" fontId="20"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0" fontId="3" fillId="0" borderId="0"/>
    <xf numFmtId="43" fontId="28" fillId="0" borderId="0" applyFont="0" applyFill="0" applyBorder="0" applyAlignment="0" applyProtection="0"/>
    <xf numFmtId="43" fontId="19" fillId="0" borderId="0" applyFont="0" applyFill="0" applyBorder="0" applyAlignment="0" applyProtection="0"/>
    <xf numFmtId="0" fontId="3" fillId="0" borderId="0"/>
    <xf numFmtId="0" fontId="3" fillId="0" borderId="0"/>
    <xf numFmtId="43" fontId="30"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20"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9" fontId="3" fillId="0" borderId="0" applyFont="0" applyFill="0" applyBorder="0" applyAlignment="0" applyProtection="0"/>
    <xf numFmtId="0" fontId="3" fillId="0" borderId="0"/>
    <xf numFmtId="168" fontId="3" fillId="0" borderId="0" applyFont="0" applyFill="0" applyBorder="0" applyAlignment="0" applyProtection="0"/>
    <xf numFmtId="168" fontId="3" fillId="0" borderId="0" applyFont="0" applyFill="0" applyBorder="0" applyAlignment="0" applyProtection="0"/>
    <xf numFmtId="43" fontId="28" fillId="0" borderId="0" applyFont="0" applyFill="0" applyBorder="0" applyAlignment="0" applyProtection="0"/>
    <xf numFmtId="0" fontId="3" fillId="0" borderId="0"/>
    <xf numFmtId="0" fontId="3" fillId="0" borderId="0"/>
    <xf numFmtId="0" fontId="3" fillId="0" borderId="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28"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43" fontId="3" fillId="0" borderId="0" applyFont="0" applyFill="0" applyBorder="0" applyAlignment="0" applyProtection="0"/>
    <xf numFmtId="9"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3" fillId="0" borderId="0"/>
    <xf numFmtId="0" fontId="3" fillId="0" borderId="0"/>
    <xf numFmtId="43" fontId="3" fillId="0" borderId="0" applyFont="0" applyFill="0" applyBorder="0" applyAlignment="0" applyProtection="0"/>
    <xf numFmtId="164" fontId="3"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168" fontId="2" fillId="0" borderId="0" applyFont="0" applyFill="0" applyBorder="0" applyAlignment="0" applyProtection="0"/>
    <xf numFmtId="168" fontId="2" fillId="0" borderId="0" applyFont="0" applyFill="0" applyBorder="0" applyAlignment="0" applyProtection="0"/>
    <xf numFmtId="43" fontId="28" fillId="0" borderId="0" applyFont="0" applyFill="0" applyBorder="0" applyAlignment="0" applyProtection="0"/>
    <xf numFmtId="0" fontId="2" fillId="0" borderId="0"/>
    <xf numFmtId="0" fontId="2"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8"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43" fontId="2" fillId="0" borderId="0" applyFont="0" applyFill="0" applyBorder="0" applyAlignment="0" applyProtection="0"/>
    <xf numFmtId="9"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0" fontId="2" fillId="0" borderId="0"/>
    <xf numFmtId="0" fontId="2" fillId="0" borderId="0"/>
    <xf numFmtId="43" fontId="2" fillId="0" borderId="0" applyFont="0" applyFill="0" applyBorder="0" applyAlignment="0" applyProtection="0"/>
    <xf numFmtId="164" fontId="2" fillId="0" borderId="0" applyFont="0" applyFill="0" applyBorder="0" applyAlignment="0" applyProtection="0"/>
    <xf numFmtId="43" fontId="28"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2" fillId="0" borderId="0"/>
    <xf numFmtId="9" fontId="2" fillId="0" borderId="0" applyFont="0" applyFill="0" applyBorder="0" applyAlignment="0" applyProtection="0"/>
    <xf numFmtId="0" fontId="2" fillId="0" borderId="0"/>
    <xf numFmtId="9" fontId="2"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19" fillId="0" borderId="0" applyFont="0" applyFill="0" applyBorder="0" applyAlignment="0" applyProtection="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0" fontId="2" fillId="0" borderId="0"/>
    <xf numFmtId="43" fontId="28" fillId="0" borderId="0" applyFont="0" applyFill="0" applyBorder="0" applyAlignment="0" applyProtection="0"/>
    <xf numFmtId="43" fontId="19" fillId="0" borderId="0" applyFont="0" applyFill="0" applyBorder="0" applyAlignment="0" applyProtection="0"/>
    <xf numFmtId="0" fontId="2" fillId="0" borderId="0"/>
    <xf numFmtId="0" fontId="2" fillId="0" borderId="0"/>
    <xf numFmtId="43" fontId="30"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43" fontId="28" fillId="0" borderId="0" applyFont="0" applyFill="0" applyBorder="0" applyAlignment="0" applyProtection="0"/>
    <xf numFmtId="0" fontId="1" fillId="0" borderId="0"/>
    <xf numFmtId="0" fontId="28" fillId="0" borderId="0"/>
    <xf numFmtId="0" fontId="1" fillId="0" borderId="0"/>
    <xf numFmtId="0" fontId="96" fillId="0" borderId="25" applyBorder="0"/>
    <xf numFmtId="0" fontId="34" fillId="23" borderId="27" applyNumberFormat="0" applyAlignment="0" applyProtection="0"/>
    <xf numFmtId="0" fontId="41" fillId="10" borderId="27" applyNumberFormat="0" applyAlignment="0" applyProtection="0"/>
    <xf numFmtId="0" fontId="96" fillId="0" borderId="31" applyBorder="0"/>
    <xf numFmtId="0" fontId="19" fillId="26" borderId="28" applyNumberFormat="0" applyFont="0" applyAlignment="0" applyProtection="0"/>
    <xf numFmtId="0" fontId="45" fillId="23" borderId="29" applyNumberFormat="0" applyAlignment="0" applyProtection="0"/>
    <xf numFmtId="0" fontId="47" fillId="0" borderId="30" applyNumberFormat="0" applyFill="0" applyAlignment="0" applyProtection="0"/>
    <xf numFmtId="0" fontId="19" fillId="26" borderId="7" applyNumberFormat="0" applyFont="0" applyAlignment="0" applyProtection="0"/>
  </cellStyleXfs>
  <cellXfs count="145">
    <xf numFmtId="0" fontId="0" fillId="0" borderId="0" xfId="0"/>
    <xf numFmtId="4" fontId="16" fillId="0" borderId="0" xfId="5" applyNumberFormat="1" applyFont="1" applyAlignment="1">
      <alignment vertical="center" wrapText="1"/>
    </xf>
    <xf numFmtId="4" fontId="13" fillId="0" borderId="0" xfId="5" applyNumberFormat="1" applyFont="1" applyAlignment="1">
      <alignment vertical="center" wrapText="1"/>
    </xf>
    <xf numFmtId="4" fontId="14" fillId="0" borderId="0" xfId="5" applyNumberFormat="1" applyFont="1" applyAlignment="1">
      <alignment vertical="center" wrapText="1"/>
    </xf>
    <xf numFmtId="4" fontId="18" fillId="0" borderId="0" xfId="5" applyNumberFormat="1" applyFont="1" applyAlignment="1">
      <alignment wrapText="1"/>
    </xf>
    <xf numFmtId="4" fontId="13" fillId="27" borderId="0" xfId="5" applyNumberFormat="1" applyFont="1" applyFill="1" applyAlignment="1">
      <alignment vertical="center" wrapText="1"/>
    </xf>
    <xf numFmtId="4" fontId="88" fillId="27" borderId="0" xfId="5" applyNumberFormat="1" applyFont="1" applyFill="1" applyAlignment="1">
      <alignment vertical="center" wrapText="1"/>
    </xf>
    <xf numFmtId="4" fontId="18" fillId="29" borderId="10" xfId="5" applyNumberFormat="1" applyFont="1" applyFill="1" applyBorder="1" applyAlignment="1">
      <alignment horizontal="left" wrapText="1"/>
    </xf>
    <xf numFmtId="3" fontId="18" fillId="29" borderId="10" xfId="5" applyNumberFormat="1" applyFont="1" applyFill="1" applyBorder="1" applyAlignment="1">
      <alignment horizontal="right" wrapText="1"/>
    </xf>
    <xf numFmtId="4" fontId="17" fillId="27" borderId="10" xfId="5" applyNumberFormat="1" applyFont="1" applyFill="1" applyBorder="1" applyAlignment="1">
      <alignment horizontal="left" wrapText="1"/>
    </xf>
    <xf numFmtId="3" fontId="17" fillId="27" borderId="10" xfId="5" applyNumberFormat="1" applyFont="1" applyFill="1" applyBorder="1" applyAlignment="1">
      <alignment wrapText="1"/>
    </xf>
    <xf numFmtId="4" fontId="17" fillId="28" borderId="10" xfId="5" applyNumberFormat="1" applyFont="1" applyFill="1" applyBorder="1" applyAlignment="1">
      <alignment horizontal="left" wrapText="1"/>
    </xf>
    <xf numFmtId="3" fontId="17" fillId="28" borderId="10" xfId="5" applyNumberFormat="1" applyFont="1" applyFill="1" applyBorder="1" applyAlignment="1">
      <alignment wrapText="1"/>
    </xf>
    <xf numFmtId="4" fontId="18" fillId="29" borderId="10" xfId="0" applyNumberFormat="1" applyFont="1" applyFill="1" applyBorder="1" applyAlignment="1">
      <alignment vertical="center" wrapText="1"/>
    </xf>
    <xf numFmtId="3" fontId="18" fillId="29" borderId="10" xfId="0" applyNumberFormat="1" applyFont="1" applyFill="1" applyBorder="1" applyAlignment="1">
      <alignment horizontal="right" shrinkToFit="1"/>
    </xf>
    <xf numFmtId="4" fontId="18" fillId="0" borderId="10" xfId="0" applyNumberFormat="1" applyFont="1" applyBorder="1" applyAlignment="1">
      <alignment horizontal="left" wrapText="1"/>
    </xf>
    <xf numFmtId="3" fontId="18" fillId="0" borderId="10" xfId="0" applyNumberFormat="1" applyFont="1" applyBorder="1" applyAlignment="1">
      <alignment horizontal="right" wrapText="1"/>
    </xf>
    <xf numFmtId="4" fontId="17" fillId="0" borderId="10" xfId="5" applyNumberFormat="1" applyFont="1" applyBorder="1" applyAlignment="1">
      <alignment vertical="center" wrapText="1"/>
    </xf>
    <xf numFmtId="4" fontId="17" fillId="27" borderId="10" xfId="5" applyNumberFormat="1" applyFont="1" applyFill="1" applyBorder="1" applyAlignment="1">
      <alignment vertical="center" wrapText="1"/>
    </xf>
    <xf numFmtId="4" fontId="17" fillId="0" borderId="10" xfId="5" applyNumberFormat="1" applyFont="1" applyBorder="1" applyAlignment="1">
      <alignment horizontal="center" vertical="center" wrapText="1"/>
    </xf>
    <xf numFmtId="4" fontId="18" fillId="29" borderId="10" xfId="5" applyNumberFormat="1" applyFont="1" applyFill="1" applyBorder="1" applyAlignment="1">
      <alignment horizontal="right" wrapText="1"/>
    </xf>
    <xf numFmtId="0" fontId="0" fillId="0" borderId="0" xfId="0" applyAlignment="1">
      <alignment wrapText="1"/>
    </xf>
    <xf numFmtId="0" fontId="89" fillId="0" borderId="10" xfId="0" applyFont="1" applyBorder="1" applyAlignment="1">
      <alignment horizontal="center" vertical="center" wrapText="1"/>
    </xf>
    <xf numFmtId="0" fontId="0" fillId="0" borderId="10" xfId="0" applyBorder="1"/>
    <xf numFmtId="2" fontId="0" fillId="0" borderId="10" xfId="0" applyNumberFormat="1" applyBorder="1"/>
    <xf numFmtId="172" fontId="89" fillId="0" borderId="10" xfId="0" applyNumberFormat="1" applyFont="1" applyBorder="1" applyAlignment="1">
      <alignment horizontal="center" vertical="center"/>
    </xf>
    <xf numFmtId="0" fontId="1" fillId="0" borderId="0" xfId="0" applyFont="1" applyAlignment="1">
      <alignment vertical="top" wrapText="1"/>
    </xf>
    <xf numFmtId="0" fontId="0" fillId="0" borderId="10" xfId="0" applyBorder="1" applyAlignment="1">
      <alignment horizontal="center"/>
    </xf>
    <xf numFmtId="3" fontId="0" fillId="0" borderId="10" xfId="0" applyNumberFormat="1" applyBorder="1" applyAlignment="1">
      <alignment horizontal="center" vertical="center"/>
    </xf>
    <xf numFmtId="4" fontId="0" fillId="0" borderId="0" xfId="0" applyNumberFormat="1"/>
    <xf numFmtId="3" fontId="0" fillId="0" borderId="0" xfId="0" applyNumberFormat="1"/>
    <xf numFmtId="4" fontId="17" fillId="0" borderId="0" xfId="5" applyNumberFormat="1" applyFont="1" applyAlignment="1">
      <alignment vertical="center" wrapText="1"/>
    </xf>
    <xf numFmtId="4" fontId="18" fillId="0" borderId="0" xfId="5" applyNumberFormat="1" applyFont="1" applyAlignment="1">
      <alignment vertical="center" wrapText="1"/>
    </xf>
    <xf numFmtId="4" fontId="17" fillId="27" borderId="0" xfId="5" applyNumberFormat="1" applyFont="1" applyFill="1" applyAlignment="1">
      <alignment vertical="center" wrapText="1"/>
    </xf>
    <xf numFmtId="4" fontId="91" fillId="27" borderId="0" xfId="5" applyNumberFormat="1" applyFont="1" applyFill="1" applyAlignment="1">
      <alignment vertical="center" wrapText="1"/>
    </xf>
    <xf numFmtId="4" fontId="18" fillId="0" borderId="10" xfId="5" applyNumberFormat="1" applyFont="1" applyBorder="1" applyAlignment="1">
      <alignment vertical="center" wrapText="1"/>
    </xf>
    <xf numFmtId="4" fontId="91" fillId="27" borderId="10" xfId="5" applyNumberFormat="1" applyFont="1" applyFill="1" applyBorder="1" applyAlignment="1">
      <alignment vertical="center" wrapText="1"/>
    </xf>
    <xf numFmtId="4" fontId="90" fillId="0" borderId="10" xfId="0" applyNumberFormat="1" applyFont="1" applyBorder="1"/>
    <xf numFmtId="3" fontId="90" fillId="0" borderId="10" xfId="0" applyNumberFormat="1" applyFont="1" applyBorder="1"/>
    <xf numFmtId="4" fontId="92" fillId="27" borderId="10" xfId="5" applyNumberFormat="1" applyFont="1" applyFill="1" applyBorder="1" applyAlignment="1">
      <alignment vertical="center" wrapText="1"/>
    </xf>
    <xf numFmtId="175" fontId="18" fillId="29" borderId="10" xfId="5" applyNumberFormat="1" applyFont="1" applyFill="1" applyBorder="1" applyAlignment="1">
      <alignment vertical="center" wrapText="1"/>
    </xf>
    <xf numFmtId="3" fontId="93" fillId="0" borderId="10" xfId="0" applyNumberFormat="1" applyFont="1" applyBorder="1"/>
    <xf numFmtId="174" fontId="94" fillId="29" borderId="10" xfId="5" applyNumberFormat="1" applyFont="1" applyFill="1" applyBorder="1" applyAlignment="1">
      <alignment vertical="center" wrapText="1"/>
    </xf>
    <xf numFmtId="3" fontId="0" fillId="0" borderId="10" xfId="0" applyNumberFormat="1" applyBorder="1"/>
    <xf numFmtId="0" fontId="90" fillId="60" borderId="10" xfId="0" applyFont="1" applyFill="1" applyBorder="1" applyAlignment="1">
      <alignment horizontal="center" vertical="center" wrapText="1"/>
    </xf>
    <xf numFmtId="0" fontId="90" fillId="60" borderId="23" xfId="0" applyFont="1" applyFill="1" applyBorder="1" applyAlignment="1">
      <alignment horizontal="center" vertical="center" wrapText="1"/>
    </xf>
    <xf numFmtId="0" fontId="93" fillId="60" borderId="10" xfId="0" applyFont="1" applyFill="1" applyBorder="1" applyAlignment="1">
      <alignment horizontal="center" vertical="center" wrapText="1"/>
    </xf>
    <xf numFmtId="4" fontId="95" fillId="61" borderId="10" xfId="5" applyNumberFormat="1" applyFont="1" applyFill="1" applyBorder="1" applyAlignment="1">
      <alignment horizontal="center" wrapText="1"/>
    </xf>
    <xf numFmtId="175" fontId="95" fillId="59" borderId="10" xfId="5" applyNumberFormat="1" applyFont="1" applyFill="1" applyBorder="1" applyAlignment="1">
      <alignment vertical="center" wrapText="1"/>
    </xf>
    <xf numFmtId="176" fontId="95" fillId="59" borderId="10" xfId="5" applyNumberFormat="1" applyFont="1" applyFill="1" applyBorder="1" applyAlignment="1">
      <alignment vertical="center" wrapText="1"/>
    </xf>
    <xf numFmtId="0" fontId="90" fillId="62" borderId="10" xfId="0" applyFont="1" applyFill="1" applyBorder="1" applyAlignment="1">
      <alignment horizontal="center" vertical="center" wrapText="1"/>
    </xf>
    <xf numFmtId="0" fontId="93" fillId="62" borderId="10" xfId="0" applyFont="1" applyFill="1" applyBorder="1" applyAlignment="1">
      <alignment horizontal="center" vertical="center" wrapText="1"/>
    </xf>
    <xf numFmtId="3" fontId="93" fillId="62" borderId="10" xfId="0" applyNumberFormat="1" applyFont="1" applyFill="1" applyBorder="1"/>
    <xf numFmtId="3" fontId="93" fillId="60" borderId="10" xfId="0" applyNumberFormat="1" applyFont="1" applyFill="1" applyBorder="1"/>
    <xf numFmtId="3" fontId="17" fillId="28" borderId="10" xfId="5" applyNumberFormat="1" applyFont="1" applyFill="1" applyBorder="1" applyAlignment="1">
      <alignment vertical="center" wrapText="1"/>
    </xf>
    <xf numFmtId="0" fontId="19" fillId="0" borderId="0" xfId="0" applyFont="1"/>
    <xf numFmtId="4" fontId="92" fillId="28" borderId="10" xfId="5" applyNumberFormat="1" applyFont="1" applyFill="1" applyBorder="1" applyAlignment="1">
      <alignment wrapText="1"/>
    </xf>
    <xf numFmtId="0" fontId="97" fillId="0" borderId="0" xfId="0" applyFont="1"/>
    <xf numFmtId="0" fontId="93" fillId="0" borderId="10" xfId="0" applyFont="1" applyBorder="1"/>
    <xf numFmtId="3" fontId="17" fillId="0" borderId="10" xfId="5" applyNumberFormat="1" applyFont="1" applyBorder="1" applyAlignment="1">
      <alignment horizontal="right" wrapText="1"/>
    </xf>
    <xf numFmtId="3" fontId="20" fillId="0" borderId="10" xfId="0" applyNumberFormat="1" applyFont="1" applyBorder="1"/>
    <xf numFmtId="3" fontId="19" fillId="0" borderId="10" xfId="0" applyNumberFormat="1" applyFont="1" applyBorder="1"/>
    <xf numFmtId="3" fontId="19" fillId="0" borderId="0" xfId="0" applyNumberFormat="1" applyFont="1"/>
    <xf numFmtId="3" fontId="93" fillId="0" borderId="0" xfId="0" applyNumberFormat="1" applyFont="1"/>
    <xf numFmtId="0" fontId="90" fillId="63" borderId="10" xfId="0" applyFont="1" applyFill="1" applyBorder="1" applyAlignment="1">
      <alignment horizontal="center" vertical="center" wrapText="1"/>
    </xf>
    <xf numFmtId="0" fontId="93" fillId="63" borderId="10" xfId="0" applyFont="1" applyFill="1" applyBorder="1" applyAlignment="1">
      <alignment horizontal="center" vertical="center" wrapText="1"/>
    </xf>
    <xf numFmtId="3" fontId="93" fillId="63" borderId="10" xfId="0" applyNumberFormat="1" applyFont="1" applyFill="1" applyBorder="1"/>
    <xf numFmtId="4" fontId="15" fillId="0" borderId="24" xfId="5" applyNumberFormat="1" applyFont="1" applyBorder="1" applyAlignment="1">
      <alignment horizontal="center" vertical="center" wrapText="1"/>
    </xf>
    <xf numFmtId="0" fontId="17" fillId="0" borderId="0" xfId="0" applyFont="1"/>
    <xf numFmtId="4" fontId="18" fillId="0" borderId="10" xfId="5" applyNumberFormat="1" applyFont="1" applyBorder="1" applyAlignment="1">
      <alignment wrapText="1"/>
    </xf>
    <xf numFmtId="4" fontId="17" fillId="0" borderId="10" xfId="5" applyNumberFormat="1" applyFont="1" applyBorder="1" applyAlignment="1">
      <alignment horizontal="left" wrapText="1"/>
    </xf>
    <xf numFmtId="3" fontId="18" fillId="29" borderId="10" xfId="5" applyNumberFormat="1" applyFont="1" applyFill="1" applyBorder="1" applyAlignment="1">
      <alignment wrapText="1"/>
    </xf>
    <xf numFmtId="0" fontId="28" fillId="0" borderId="0" xfId="334"/>
    <xf numFmtId="0" fontId="28" fillId="0" borderId="10" xfId="334" applyBorder="1"/>
    <xf numFmtId="3" fontId="28" fillId="0" borderId="10" xfId="334" applyNumberFormat="1" applyBorder="1" applyAlignment="1">
      <alignment horizontal="center" vertical="center"/>
    </xf>
    <xf numFmtId="0" fontId="28" fillId="0" borderId="0" xfId="334" applyAlignment="1">
      <alignment wrapText="1"/>
    </xf>
    <xf numFmtId="0" fontId="89" fillId="0" borderId="10" xfId="334" applyFont="1" applyBorder="1"/>
    <xf numFmtId="172" fontId="89" fillId="0" borderId="10" xfId="334" applyNumberFormat="1" applyFont="1" applyBorder="1" applyAlignment="1">
      <alignment horizontal="center" vertical="center"/>
    </xf>
    <xf numFmtId="0" fontId="89" fillId="0" borderId="10" xfId="334" applyFont="1" applyBorder="1" applyAlignment="1">
      <alignment horizontal="center" vertical="center" wrapText="1"/>
    </xf>
    <xf numFmtId="2" fontId="28" fillId="0" borderId="10" xfId="334" applyNumberFormat="1" applyBorder="1"/>
    <xf numFmtId="0" fontId="90" fillId="0" borderId="0" xfId="0" applyFont="1"/>
    <xf numFmtId="3" fontId="90" fillId="0" borderId="0" xfId="0" applyNumberFormat="1" applyFont="1"/>
    <xf numFmtId="4" fontId="90" fillId="0" borderId="0" xfId="0" applyNumberFormat="1" applyFont="1"/>
    <xf numFmtId="0" fontId="93" fillId="0" borderId="0" xfId="0" applyFont="1"/>
    <xf numFmtId="0" fontId="92" fillId="0" borderId="0" xfId="0" applyFont="1"/>
    <xf numFmtId="4" fontId="15" fillId="0" borderId="0" xfId="5" applyNumberFormat="1" applyFont="1" applyAlignment="1">
      <alignment horizontal="center" vertical="center" wrapText="1"/>
    </xf>
    <xf numFmtId="0" fontId="99" fillId="0" borderId="0" xfId="0" applyFont="1" applyAlignment="1">
      <alignment horizontal="right" vertical="top" wrapText="1"/>
    </xf>
    <xf numFmtId="0" fontId="101" fillId="0" borderId="0" xfId="0" applyFont="1"/>
    <xf numFmtId="0" fontId="100" fillId="0" borderId="0" xfId="0" applyFont="1" applyAlignment="1">
      <alignment horizontal="right" wrapText="1"/>
    </xf>
    <xf numFmtId="0" fontId="102" fillId="0" borderId="0" xfId="0" applyFont="1"/>
    <xf numFmtId="0" fontId="0" fillId="0" borderId="32" xfId="0" applyBorder="1"/>
    <xf numFmtId="0" fontId="89" fillId="0" borderId="32" xfId="0" applyFont="1" applyBorder="1"/>
    <xf numFmtId="177" fontId="0" fillId="0" borderId="10" xfId="0" applyNumberFormat="1" applyBorder="1"/>
    <xf numFmtId="4" fontId="0" fillId="0" borderId="10" xfId="0" applyNumberFormat="1" applyBorder="1"/>
    <xf numFmtId="173" fontId="0" fillId="0" borderId="10" xfId="0" applyNumberFormat="1" applyBorder="1"/>
    <xf numFmtId="166" fontId="0" fillId="0" borderId="10" xfId="0" applyNumberFormat="1" applyBorder="1"/>
    <xf numFmtId="0" fontId="19" fillId="0" borderId="10" xfId="0" applyFont="1" applyBorder="1"/>
    <xf numFmtId="0" fontId="93" fillId="0" borderId="10" xfId="0" applyFont="1" applyBorder="1" applyAlignment="1">
      <alignment horizontal="center" vertical="center" wrapText="1"/>
    </xf>
    <xf numFmtId="0" fontId="93" fillId="0" borderId="10" xfId="0" applyFont="1" applyBorder="1" applyAlignment="1">
      <alignment horizontal="right"/>
    </xf>
    <xf numFmtId="177" fontId="93" fillId="60" borderId="10" xfId="0" applyNumberFormat="1" applyFont="1" applyFill="1" applyBorder="1" applyAlignment="1">
      <alignment horizontal="right"/>
    </xf>
    <xf numFmtId="177" fontId="93" fillId="60" borderId="10" xfId="0" applyNumberFormat="1" applyFont="1" applyFill="1" applyBorder="1"/>
    <xf numFmtId="3" fontId="93" fillId="29" borderId="10" xfId="0" applyNumberFormat="1" applyFont="1" applyFill="1" applyBorder="1"/>
    <xf numFmtId="0" fontId="75" fillId="0" borderId="0" xfId="275"/>
    <xf numFmtId="3" fontId="0" fillId="0" borderId="10" xfId="0" applyNumberFormat="1" applyBorder="1" applyAlignment="1">
      <alignment horizontal="right"/>
    </xf>
    <xf numFmtId="4" fontId="0" fillId="0" borderId="10" xfId="0" applyNumberFormat="1" applyBorder="1" applyAlignment="1">
      <alignment horizontal="right"/>
    </xf>
    <xf numFmtId="3" fontId="93" fillId="59" borderId="10" xfId="0" applyNumberFormat="1" applyFont="1" applyFill="1" applyBorder="1"/>
    <xf numFmtId="0" fontId="90" fillId="0" borderId="10" xfId="0" applyFont="1" applyBorder="1" applyAlignment="1">
      <alignment horizontal="center" vertical="center" wrapText="1"/>
    </xf>
    <xf numFmtId="0" fontId="90" fillId="64" borderId="10" xfId="0" applyFont="1" applyFill="1" applyBorder="1" applyAlignment="1">
      <alignment horizontal="center" vertical="center" wrapText="1"/>
    </xf>
    <xf numFmtId="0" fontId="90" fillId="0" borderId="10" xfId="0" applyFont="1" applyBorder="1" applyAlignment="1">
      <alignment horizontal="right"/>
    </xf>
    <xf numFmtId="4" fontId="15" fillId="0" borderId="0" xfId="5" applyNumberFormat="1" applyFont="1" applyAlignment="1">
      <alignment horizontal="center" vertical="center" wrapText="1"/>
    </xf>
    <xf numFmtId="0" fontId="99" fillId="0" borderId="0" xfId="0" applyFont="1" applyAlignment="1">
      <alignment horizontal="right" vertical="top" wrapText="1"/>
    </xf>
    <xf numFmtId="4" fontId="18" fillId="0" borderId="10" xfId="5" applyNumberFormat="1" applyFont="1" applyBorder="1" applyAlignment="1">
      <alignment horizontal="center" vertical="center" wrapText="1"/>
    </xf>
    <xf numFmtId="4" fontId="18" fillId="0" borderId="26" xfId="5" applyNumberFormat="1" applyFont="1" applyBorder="1" applyAlignment="1">
      <alignment horizontal="center" vertical="center" wrapText="1"/>
    </xf>
    <xf numFmtId="4" fontId="18" fillId="0" borderId="20" xfId="5" applyNumberFormat="1" applyFont="1" applyBorder="1" applyAlignment="1">
      <alignment horizontal="center" vertical="center" wrapText="1"/>
    </xf>
    <xf numFmtId="4" fontId="18" fillId="0" borderId="19" xfId="5" applyNumberFormat="1" applyFont="1" applyBorder="1" applyAlignment="1">
      <alignment horizontal="center" vertical="center" wrapText="1"/>
    </xf>
    <xf numFmtId="0" fontId="19" fillId="0" borderId="0" xfId="0" applyFont="1" applyAlignment="1">
      <alignment horizontal="left" vertical="top" wrapText="1"/>
    </xf>
    <xf numFmtId="0" fontId="89" fillId="0" borderId="32" xfId="0" applyFont="1" applyBorder="1" applyAlignment="1">
      <alignment horizontal="center" vertical="center"/>
    </xf>
    <xf numFmtId="0" fontId="89" fillId="0" borderId="10" xfId="334" applyFont="1" applyBorder="1" applyAlignment="1">
      <alignment horizontal="center" vertical="center"/>
    </xf>
    <xf numFmtId="0" fontId="90" fillId="0" borderId="0" xfId="334" applyFont="1" applyAlignment="1">
      <alignment horizontal="center" wrapText="1"/>
    </xf>
    <xf numFmtId="0" fontId="100" fillId="0" borderId="0" xfId="0" applyFont="1" applyAlignment="1">
      <alignment horizontal="right" wrapText="1"/>
    </xf>
    <xf numFmtId="0" fontId="89" fillId="0" borderId="10" xfId="0" applyFont="1" applyBorder="1" applyAlignment="1">
      <alignment horizontal="center" vertical="center" wrapText="1"/>
    </xf>
    <xf numFmtId="0" fontId="89" fillId="0" borderId="32" xfId="334" applyFont="1" applyBorder="1" applyAlignment="1">
      <alignment horizontal="center" vertical="center" wrapText="1"/>
    </xf>
    <xf numFmtId="0" fontId="89" fillId="0" borderId="21" xfId="334" applyFont="1" applyBorder="1" applyAlignment="1">
      <alignment horizontal="center" vertical="center" wrapText="1"/>
    </xf>
    <xf numFmtId="0" fontId="89" fillId="0" borderId="33" xfId="334" applyFont="1" applyBorder="1" applyAlignment="1">
      <alignment horizontal="center" vertical="center" wrapText="1"/>
    </xf>
    <xf numFmtId="0" fontId="93" fillId="0" borderId="10" xfId="0" applyFont="1" applyBorder="1" applyAlignment="1">
      <alignment horizontal="right" wrapText="1"/>
    </xf>
    <xf numFmtId="177" fontId="93" fillId="29" borderId="10" xfId="0" applyNumberFormat="1" applyFont="1" applyFill="1" applyBorder="1" applyAlignment="1">
      <alignment horizontal="center"/>
    </xf>
    <xf numFmtId="4" fontId="100" fillId="0" borderId="0" xfId="5" applyNumberFormat="1" applyFont="1" applyAlignment="1">
      <alignment horizontal="right" vertical="center" wrapText="1"/>
    </xf>
    <xf numFmtId="4" fontId="49" fillId="0" borderId="0" xfId="5" applyNumberFormat="1" applyFont="1" applyAlignment="1">
      <alignment horizontal="left" vertical="top" wrapText="1"/>
    </xf>
    <xf numFmtId="4" fontId="94" fillId="0" borderId="10" xfId="5" applyNumberFormat="1" applyFont="1" applyBorder="1" applyAlignment="1">
      <alignment horizontal="center" vertical="center" wrapText="1"/>
    </xf>
    <xf numFmtId="4" fontId="15" fillId="0" borderId="0" xfId="5" applyNumberFormat="1" applyFont="1" applyAlignment="1">
      <alignment horizontal="left" vertical="center" wrapText="1"/>
    </xf>
    <xf numFmtId="4" fontId="94" fillId="61" borderId="10" xfId="5" applyNumberFormat="1" applyFont="1" applyFill="1" applyBorder="1" applyAlignment="1">
      <alignment horizontal="center" vertical="center" wrapText="1"/>
    </xf>
    <xf numFmtId="4" fontId="18" fillId="0" borderId="23" xfId="5" applyNumberFormat="1" applyFont="1" applyBorder="1" applyAlignment="1">
      <alignment horizontal="center" vertical="center" wrapText="1"/>
    </xf>
    <xf numFmtId="4" fontId="18" fillId="0" borderId="21" xfId="5" applyNumberFormat="1" applyFont="1" applyBorder="1" applyAlignment="1">
      <alignment horizontal="center" vertical="center" wrapText="1"/>
    </xf>
    <xf numFmtId="4" fontId="18" fillId="0" borderId="22" xfId="5" applyNumberFormat="1" applyFont="1" applyBorder="1" applyAlignment="1">
      <alignment horizontal="center" vertical="center" wrapText="1"/>
    </xf>
    <xf numFmtId="4" fontId="14" fillId="0" borderId="34" xfId="5" applyNumberFormat="1" applyFont="1" applyBorder="1" applyAlignment="1">
      <alignment horizontal="center" vertical="center" wrapText="1"/>
    </xf>
    <xf numFmtId="4" fontId="14" fillId="0" borderId="0" xfId="5" applyNumberFormat="1" applyFont="1" applyAlignment="1">
      <alignment horizontal="center" vertical="center" wrapText="1"/>
    </xf>
    <xf numFmtId="4" fontId="17" fillId="0" borderId="26" xfId="5" applyNumberFormat="1" applyFont="1" applyBorder="1" applyAlignment="1">
      <alignment horizontal="center" vertical="center" wrapText="1"/>
    </xf>
    <xf numFmtId="4" fontId="17" fillId="0" borderId="20" xfId="5" applyNumberFormat="1" applyFont="1" applyBorder="1" applyAlignment="1">
      <alignment horizontal="center" vertical="center" wrapText="1"/>
    </xf>
    <xf numFmtId="4" fontId="17" fillId="0" borderId="10" xfId="5" applyNumberFormat="1" applyFont="1" applyBorder="1" applyAlignment="1">
      <alignment horizontal="center" vertical="center" wrapText="1"/>
    </xf>
    <xf numFmtId="4" fontId="92" fillId="0" borderId="10" xfId="5" applyNumberFormat="1" applyFont="1" applyBorder="1" applyAlignment="1">
      <alignment horizontal="center" vertical="center" wrapText="1"/>
    </xf>
    <xf numFmtId="0" fontId="99" fillId="0" borderId="0" xfId="0" applyFont="1" applyAlignment="1">
      <alignment horizontal="right" wrapText="1"/>
    </xf>
    <xf numFmtId="0" fontId="102" fillId="0" borderId="0" xfId="0" applyFont="1" applyAlignment="1">
      <alignment horizontal="left"/>
    </xf>
    <xf numFmtId="0" fontId="75" fillId="0" borderId="0" xfId="275" applyAlignment="1">
      <alignment horizontal="left" wrapText="1"/>
    </xf>
    <xf numFmtId="0" fontId="103" fillId="0" borderId="0" xfId="275" applyFont="1" applyAlignment="1">
      <alignment horizontal="left"/>
    </xf>
    <xf numFmtId="0" fontId="75" fillId="0" borderId="0" xfId="275" applyAlignment="1">
      <alignment horizontal="left"/>
    </xf>
  </cellXfs>
  <cellStyles count="1186">
    <cellStyle name="1. izcēlums" xfId="119" xr:uid="{E6515FD2-4BA5-4190-B90D-2F08982C9DFC}"/>
    <cellStyle name="2. izcēlums" xfId="120" xr:uid="{B21D8767-345F-4C1C-9E7E-7E1A2DDA2B5E}"/>
    <cellStyle name="20% - Accent1 2" xfId="26" xr:uid="{00000000-0005-0000-0000-000000000000}"/>
    <cellStyle name="20% - Accent2 2" xfId="27" xr:uid="{00000000-0005-0000-0000-000001000000}"/>
    <cellStyle name="20% - Accent3 2" xfId="28" xr:uid="{00000000-0005-0000-0000-000002000000}"/>
    <cellStyle name="20% - Accent4 2" xfId="29" xr:uid="{00000000-0005-0000-0000-000003000000}"/>
    <cellStyle name="20% - Accent5 2" xfId="30" xr:uid="{00000000-0005-0000-0000-000004000000}"/>
    <cellStyle name="20% - Accent6 2" xfId="31" xr:uid="{00000000-0005-0000-0000-000005000000}"/>
    <cellStyle name="20% no 1. izcēluma" xfId="121" xr:uid="{C622CE33-2EEE-4A6C-8A65-003DC1DA8EDA}"/>
    <cellStyle name="20% no 2. izcēluma" xfId="122" xr:uid="{F851663C-1FBE-4EDF-A437-856EB2AAA096}"/>
    <cellStyle name="20% no 3. izcēluma" xfId="123" xr:uid="{0B885787-6B3F-4622-8BFC-5F21F134D6D3}"/>
    <cellStyle name="20% no 4. izcēluma" xfId="124" xr:uid="{CA06BFFF-7EE8-41B5-AD8A-B2E4C58196C9}"/>
    <cellStyle name="20% no 5. izcēluma" xfId="125" xr:uid="{2F78D1AC-1148-42AA-8B9C-FE32E1843458}"/>
    <cellStyle name="20% no 6. izcēluma" xfId="126" xr:uid="{55ACD546-CA99-4104-8DD9-86B1E588AB14}"/>
    <cellStyle name="3. izcēlums " xfId="127" xr:uid="{82DC3169-E285-4B07-B960-1C18EDDB14FD}"/>
    <cellStyle name="4. izcēlums" xfId="128" xr:uid="{13501205-66EB-40F4-9F22-BF48840ABA8E}"/>
    <cellStyle name="40% - Accent1 2" xfId="32" xr:uid="{00000000-0005-0000-0000-000006000000}"/>
    <cellStyle name="40% - Accent2 2" xfId="33" xr:uid="{00000000-0005-0000-0000-000007000000}"/>
    <cellStyle name="40% - Accent3 2" xfId="34" xr:uid="{00000000-0005-0000-0000-000008000000}"/>
    <cellStyle name="40% - Accent4 2" xfId="35" xr:uid="{00000000-0005-0000-0000-000009000000}"/>
    <cellStyle name="40% - Accent5 2" xfId="36" xr:uid="{00000000-0005-0000-0000-00000A000000}"/>
    <cellStyle name="40% - Accent6 2" xfId="37" xr:uid="{00000000-0005-0000-0000-00000B000000}"/>
    <cellStyle name="40% no 1. izcēluma" xfId="129" xr:uid="{A3C3D01A-360E-475B-A6BB-B3A347090B82}"/>
    <cellStyle name="40% no 2. izcēluma" xfId="130" xr:uid="{455A8232-EB5A-4DFD-A10F-34C2CF75390E}"/>
    <cellStyle name="40% no 3. izcēluma" xfId="131" xr:uid="{3E08DDA4-5541-4E8F-8F75-0093B327AA4E}"/>
    <cellStyle name="40% no 4. izcēluma" xfId="132" xr:uid="{3CCF353C-34B0-4311-B652-5546E71146E8}"/>
    <cellStyle name="40% no 5. izcēluma" xfId="133" xr:uid="{3F9AD3E5-BB7B-4FFB-A788-4B84CA237336}"/>
    <cellStyle name="40% no 6. izcēluma" xfId="134" xr:uid="{AC10675B-5FA4-4C86-B5E7-3BCB00511FBE}"/>
    <cellStyle name="5. izcēlums" xfId="135" xr:uid="{8824F73E-C7E0-48F6-81E9-0EB9EE5CE6D6}"/>
    <cellStyle name="6. izcēlums" xfId="136" xr:uid="{2306DCD7-9C0D-4695-8F8F-FA3303763107}"/>
    <cellStyle name="60% - Accent1 2" xfId="38" xr:uid="{00000000-0005-0000-0000-00000C000000}"/>
    <cellStyle name="60% - Accent2 2" xfId="39" xr:uid="{00000000-0005-0000-0000-00000D000000}"/>
    <cellStyle name="60% - Accent3 2" xfId="40" xr:uid="{00000000-0005-0000-0000-00000E000000}"/>
    <cellStyle name="60% - Accent4 2" xfId="41" xr:uid="{00000000-0005-0000-0000-00000F000000}"/>
    <cellStyle name="60% - Accent5 2" xfId="42" xr:uid="{00000000-0005-0000-0000-000010000000}"/>
    <cellStyle name="60% - Accent6 2" xfId="43" xr:uid="{00000000-0005-0000-0000-000011000000}"/>
    <cellStyle name="60% no 1. izcēluma" xfId="137" xr:uid="{CE7F5444-428F-4301-9271-9D19F0A10F99}"/>
    <cellStyle name="60% no 2. izcēluma" xfId="138" xr:uid="{32A257AA-F847-46BC-A989-9A57B86CF0F2}"/>
    <cellStyle name="60% no 3. izcēluma" xfId="139" xr:uid="{19707AF1-8631-439A-BBAF-113626F17F10}"/>
    <cellStyle name="60% no 4. izcēluma" xfId="140" xr:uid="{3230EF92-1A4D-473B-8D51-B03666AFF69A}"/>
    <cellStyle name="60% no 5. izcēluma" xfId="141" xr:uid="{EB3654CB-774E-4655-96E6-15C447F0F0F0}"/>
    <cellStyle name="60% no 6. izcēluma" xfId="142" xr:uid="{526E6ADC-5623-4E70-862E-D1539454A32B}"/>
    <cellStyle name="Accent1 - 20%" xfId="143" xr:uid="{1EB8B1C7-6672-4445-9959-00141F02DE05}"/>
    <cellStyle name="Accent1 - 40%" xfId="144" xr:uid="{1858FB70-7F8B-43E2-9A95-F771420EC2D1}"/>
    <cellStyle name="Accent1 - 60%" xfId="145" xr:uid="{14AEA4A2-31EA-47BC-99EF-6F17B05E5C52}"/>
    <cellStyle name="Accent1 2" xfId="44" xr:uid="{00000000-0005-0000-0000-000012000000}"/>
    <cellStyle name="Accent2 - 20%" xfId="146" xr:uid="{42D5559E-ADE8-4FD0-A5AB-343A77E0016B}"/>
    <cellStyle name="Accent2 - 40%" xfId="147" xr:uid="{C498B28F-E91D-4CF5-A8FF-488BD74C2075}"/>
    <cellStyle name="Accent2 - 60%" xfId="148" xr:uid="{B7CF0A17-8018-4F2E-9FE8-A7D0F1869482}"/>
    <cellStyle name="Accent2 2" xfId="45" xr:uid="{00000000-0005-0000-0000-000013000000}"/>
    <cellStyle name="Accent3 - 20%" xfId="149" xr:uid="{EABDEA60-2B34-4E5B-9778-E24DFF608897}"/>
    <cellStyle name="Accent3 - 40%" xfId="150" xr:uid="{E82BBE00-631F-460C-9D6A-05C15BC8CA16}"/>
    <cellStyle name="Accent3 - 60%" xfId="151" xr:uid="{D5DD5386-56C3-494A-A69F-E1BEA21DC336}"/>
    <cellStyle name="Accent3 2" xfId="46" xr:uid="{00000000-0005-0000-0000-000014000000}"/>
    <cellStyle name="Accent4 - 20%" xfId="152" xr:uid="{90969D76-922B-4B0F-A9D9-FB09EC5CE3E0}"/>
    <cellStyle name="Accent4 - 40%" xfId="153" xr:uid="{9CF2A826-8247-41DB-9CDA-A6AB43081CCB}"/>
    <cellStyle name="Accent4 - 60%" xfId="154" xr:uid="{E9BA1AD8-49E0-4726-B351-BD259A5BCF78}"/>
    <cellStyle name="Accent4 2" xfId="47" xr:uid="{00000000-0005-0000-0000-000015000000}"/>
    <cellStyle name="Accent5 - 20%" xfId="155" xr:uid="{1C1AFAF3-5AE2-4432-8117-A988A399C2F2}"/>
    <cellStyle name="Accent5 - 40%" xfId="156" xr:uid="{143F5748-CD86-492E-BFCC-0F543B23F3FB}"/>
    <cellStyle name="Accent5 - 60%" xfId="157" xr:uid="{A8B880AE-24DD-4432-BF5C-79AC07B7C2BC}"/>
    <cellStyle name="Accent5 2" xfId="48" xr:uid="{00000000-0005-0000-0000-000016000000}"/>
    <cellStyle name="Accent6 - 20%" xfId="158" xr:uid="{AA512BE0-9FEA-455E-9F6C-07E21A40E8B1}"/>
    <cellStyle name="Accent6 - 40%" xfId="159" xr:uid="{6D98ADAD-B6FC-408B-BC14-2106DB8B5128}"/>
    <cellStyle name="Accent6 - 60%" xfId="160" xr:uid="{1030F6AC-112E-4248-B308-A44A3579F629}"/>
    <cellStyle name="Accent6 2" xfId="49" xr:uid="{00000000-0005-0000-0000-000017000000}"/>
    <cellStyle name="Aprēķināšana" xfId="161" xr:uid="{EF5635F2-A0DE-418D-BFE3-A774D87A1DE2}"/>
    <cellStyle name="Bad 2" xfId="50" xr:uid="{00000000-0005-0000-0000-000018000000}"/>
    <cellStyle name="Brīdinājuma teksts" xfId="162" xr:uid="{E7773867-5C20-4FAD-A011-9EE0B95DCD78}"/>
    <cellStyle name="Calculation 2" xfId="51" xr:uid="{00000000-0005-0000-0000-000019000000}"/>
    <cellStyle name="Calculation 2 2" xfId="1179" xr:uid="{4898551B-B3A0-4CA3-9B2A-A370E6B16D2C}"/>
    <cellStyle name="Check Cell 2" xfId="52" xr:uid="{00000000-0005-0000-0000-00001A000000}"/>
    <cellStyle name="Comma 2" xfId="1" xr:uid="{00000000-0005-0000-0000-00001B000000}"/>
    <cellStyle name="Comma 2 10" xfId="947" xr:uid="{2DB04F11-6F38-4924-9C45-5D89571A7CFF}"/>
    <cellStyle name="Comma 2 11" xfId="1008" xr:uid="{BA4153F4-A6E9-4529-A082-C091CFA9CC9D}"/>
    <cellStyle name="Comma 2 2" xfId="86" xr:uid="{D22EE32A-C1DF-4F0E-85AA-A6C13A18C8F0}"/>
    <cellStyle name="Comma 2 2 10" xfId="1019" xr:uid="{D5A3F332-249C-4B92-A270-94648C6D940C}"/>
    <cellStyle name="Comma 2 2 2" xfId="297" xr:uid="{A2D70345-087C-4348-98D9-7D89ACDFCBA3}"/>
    <cellStyle name="Comma 2 2 2 2" xfId="301" xr:uid="{07C66989-9AC6-4722-8748-5CFB2C6FD5BE}"/>
    <cellStyle name="Comma 2 2 2 2 2" xfId="457" xr:uid="{79ED719F-A76A-4241-9D8B-1D696B34DBC4}"/>
    <cellStyle name="Comma 2 2 2 2 2 2" xfId="727" xr:uid="{5E97B8AA-AE78-4F85-B3E8-B47E909699D3}"/>
    <cellStyle name="Comma 2 2 2 2 3" xfId="862" xr:uid="{9CBBB82D-C2F3-4625-99B8-DDBF1F6800C4}"/>
    <cellStyle name="Comma 2 2 2 2 4" xfId="592" xr:uid="{1B1B0C17-DAEE-4ACF-969C-EBC31B634593}"/>
    <cellStyle name="Comma 2 2 2 2 5" xfId="997" xr:uid="{F806562B-EB25-4B34-8007-A52B3B507706}"/>
    <cellStyle name="Comma 2 2 2 2 6" xfId="1091" xr:uid="{EE6756B0-BD08-4D1D-9F19-EF77A4B07D13}"/>
    <cellStyle name="Comma 2 2 2 3" xfId="519" xr:uid="{29F1467F-8997-4019-8A66-68C2575BC290}"/>
    <cellStyle name="Comma 2 2 2 3 2" xfId="789" xr:uid="{6ECAC548-3555-4719-9593-FB1822BE79D3}"/>
    <cellStyle name="Comma 2 2 2 3 3" xfId="924" xr:uid="{A651F781-6111-43D0-BC10-2D64174861D0}"/>
    <cellStyle name="Comma 2 2 2 3 4" xfId="654" xr:uid="{E76C40B9-88DB-4E60-9DA9-3BE7231DCB95}"/>
    <cellStyle name="Comma 2 2 2 4" xfId="453" xr:uid="{08D7B2E4-FDB6-4193-8E2E-E53EB676A95E}"/>
    <cellStyle name="Comma 2 2 2 4 2" xfId="723" xr:uid="{397A65D5-4C93-4C5E-9212-AF948E73F490}"/>
    <cellStyle name="Comma 2 2 2 5" xfId="858" xr:uid="{EFEB75C3-869F-43A7-AD27-414DE4CB1AB8}"/>
    <cellStyle name="Comma 2 2 2 6" xfId="588" xr:uid="{86E7EC08-552E-424A-B569-31A238D427A7}"/>
    <cellStyle name="Comma 2 2 2 7" xfId="993" xr:uid="{76965D5F-85F9-4EE3-921C-5F5591D2361F}"/>
    <cellStyle name="Comma 2 2 2 8" xfId="1087" xr:uid="{90737B31-768A-4EB1-8836-AED00E645CF6}"/>
    <cellStyle name="Comma 2 2 3" xfId="283" xr:uid="{52E7AFF4-BA9B-4094-9DC3-A62A17EF950C}"/>
    <cellStyle name="Comma 2 2 3 2" xfId="447" xr:uid="{43EDE2DE-B483-4F64-88C1-DF43F300C97F}"/>
    <cellStyle name="Comma 2 2 3 2 2" xfId="717" xr:uid="{F54BB8CF-D659-434D-98E1-5C24E439FEB1}"/>
    <cellStyle name="Comma 2 2 3 3" xfId="852" xr:uid="{1E7FCD60-7626-48FA-82EF-CFD8494BC739}"/>
    <cellStyle name="Comma 2 2 3 4" xfId="582" xr:uid="{D907A822-9C81-4A0F-AAC3-AE657F47D934}"/>
    <cellStyle name="Comma 2 2 3 5" xfId="987" xr:uid="{4B6800F9-E3AB-42FB-BEEA-F8EF22EB5B9C}"/>
    <cellStyle name="Comma 2 2 3 6" xfId="1081" xr:uid="{99CCC0E5-9693-4879-BF09-C9B32D300EE4}"/>
    <cellStyle name="Comma 2 2 4" xfId="248" xr:uid="{94127B16-B744-464A-8DC9-1B8CB7A334AF}"/>
    <cellStyle name="Comma 2 2 4 2" xfId="481" xr:uid="{778C64C4-8F18-4D5A-9904-B6EEDF7F1A7B}"/>
    <cellStyle name="Comma 2 2 4 2 2" xfId="751" xr:uid="{17400C88-DCA7-4823-B412-63B9328E775B}"/>
    <cellStyle name="Comma 2 2 4 3" xfId="886" xr:uid="{5FE083F0-F8EF-4F9A-B8B5-29B832CC35BE}"/>
    <cellStyle name="Comma 2 2 4 4" xfId="616" xr:uid="{7F0B02C2-1ED0-4278-9F47-4F24B1592A06}"/>
    <cellStyle name="Comma 2 2 4 5" xfId="1058" xr:uid="{B11B1F95-9D8D-47A1-B013-F0A0E1AC872E}"/>
    <cellStyle name="Comma 2 2 5" xfId="346" xr:uid="{D1556C50-5593-4CD5-905C-6B90C58532AE}"/>
    <cellStyle name="Comma 2 2 5 2" xfId="688" xr:uid="{D15B3646-A4E4-42D0-92EB-9AC46F8FB577}"/>
    <cellStyle name="Comma 2 2 5 3" xfId="1113" xr:uid="{7176842A-5956-44B7-8429-CFC56CA70BA7}"/>
    <cellStyle name="Comma 2 2 6" xfId="384" xr:uid="{6296254C-C8E0-4B01-9296-AAAFF5D782AC}"/>
    <cellStyle name="Comma 2 2 6 2" xfId="823" xr:uid="{580F74DA-6710-43C7-988E-2905B93FAAE6}"/>
    <cellStyle name="Comma 2 2 6 3" xfId="1151" xr:uid="{E563ABA5-770E-42AF-B729-E52A6E6D36B2}"/>
    <cellStyle name="Comma 2 2 7" xfId="418" xr:uid="{F07755D2-0E85-44EB-84DD-A3639B898AC9}"/>
    <cellStyle name="Comma 2 2 8" xfId="553" xr:uid="{BE1D7BB6-DE85-44AB-A696-762C940BE00E}"/>
    <cellStyle name="Comma 2 2 9" xfId="958" xr:uid="{C835EE7E-856B-45FA-93A2-27DF8C7AD969}"/>
    <cellStyle name="Comma 2 3" xfId="99" xr:uid="{CADD97DA-EED8-4514-B188-629A3477312A}"/>
    <cellStyle name="Comma 2 3 2" xfId="253" xr:uid="{170AD42B-B73B-400E-B8DC-A6953A571045}"/>
    <cellStyle name="Comma 2 3 2 2" xfId="524" xr:uid="{458D8B64-0882-4562-92E2-52C435BBE80A}"/>
    <cellStyle name="Comma 2 3 2 2 2" xfId="794" xr:uid="{5CF6859C-D322-4E22-8D9F-76FBF2AF618C}"/>
    <cellStyle name="Comma 2 3 2 3" xfId="929" xr:uid="{D742902C-E763-48F4-8B2F-9676922BCF8E}"/>
    <cellStyle name="Comma 2 3 2 4" xfId="659" xr:uid="{FD597CB5-C8ED-48A8-ACB9-2E47865AD1E2}"/>
    <cellStyle name="Comma 2 3 2 5" xfId="1063" xr:uid="{973AF4D5-7959-4558-B1DA-937B5326B5C3}"/>
    <cellStyle name="Comma 2 3 3" xfId="358" xr:uid="{4971BEE5-E602-414B-826E-B602BD514007}"/>
    <cellStyle name="Comma 2 3 3 2" xfId="486" xr:uid="{E87D63AA-D37A-4642-8658-377EE137F058}"/>
    <cellStyle name="Comma 2 3 3 2 2" xfId="756" xr:uid="{8E36E4B3-B485-4BB0-8019-CBED7914CE95}"/>
    <cellStyle name="Comma 2 3 3 3" xfId="891" xr:uid="{97925826-A0E4-49D4-BB11-C7B67027D925}"/>
    <cellStyle name="Comma 2 3 3 4" xfId="621" xr:uid="{DC2400C9-EC40-4A35-B82E-617D4536B0FC}"/>
    <cellStyle name="Comma 2 3 3 5" xfId="1125" xr:uid="{6C1D3C74-6242-490F-8E62-C9A616398203}"/>
    <cellStyle name="Comma 2 3 4" xfId="389" xr:uid="{8B738BE9-3A44-4921-914F-15B0FBA25EF2}"/>
    <cellStyle name="Comma 2 3 4 2" xfId="693" xr:uid="{87A29A91-09E5-4683-9DCF-F8A26961DB8F}"/>
    <cellStyle name="Comma 2 3 4 3" xfId="1156" xr:uid="{07969617-1E23-478F-AFA4-922B93DB71F2}"/>
    <cellStyle name="Comma 2 3 5" xfId="423" xr:uid="{D7C66564-3D39-4F40-B91A-10DE494BD8A4}"/>
    <cellStyle name="Comma 2 3 5 2" xfId="828" xr:uid="{4899A608-BB76-4086-AD9A-0AFD2CCF0E57}"/>
    <cellStyle name="Comma 2 3 6" xfId="558" xr:uid="{ABE2DE7D-3861-4DB2-A6CE-8BC12C63E4C4}"/>
    <cellStyle name="Comma 2 3 7" xfId="963" xr:uid="{55B1987A-4313-4A6F-B8C8-DCE22A9A148E}"/>
    <cellStyle name="Comma 2 3 8" xfId="1031" xr:uid="{D1CB6177-AC59-4893-BF36-B4D51D98956C}"/>
    <cellStyle name="Comma 2 4" xfId="236" xr:uid="{6715C8FD-6E43-4E29-B120-E40330BCB0E8}"/>
    <cellStyle name="Comma 2 4 2" xfId="394" xr:uid="{291D93F7-743B-491D-926B-C204B1414BF4}"/>
    <cellStyle name="Comma 2 4 2 2" xfId="529" xr:uid="{E28C50A3-0E91-46D4-914C-1FB646EADBF7}"/>
    <cellStyle name="Comma 2 4 2 2 2" xfId="799" xr:uid="{D406D40F-61C9-4CCD-A5BD-D0C4426C53AC}"/>
    <cellStyle name="Comma 2 4 2 3" xfId="934" xr:uid="{7A758F53-F10E-47ED-949D-3D356151AE60}"/>
    <cellStyle name="Comma 2 4 2 4" xfId="664" xr:uid="{E8E19865-A68F-4ADF-99AE-0174C223A808}"/>
    <cellStyle name="Comma 2 4 2 5" xfId="1161" xr:uid="{C3FADFEC-8668-4AD4-9CAF-BBBA6894AD8D}"/>
    <cellStyle name="Comma 2 4 3" xfId="491" xr:uid="{14F8EF29-611F-463C-A2C3-9A89C6DA0048}"/>
    <cellStyle name="Comma 2 4 3 2" xfId="761" xr:uid="{51E00362-F4B5-4351-BC03-91F56CC4BEBA}"/>
    <cellStyle name="Comma 2 4 3 3" xfId="896" xr:uid="{768CF5D6-536D-436F-80A0-7F34A8EA671F}"/>
    <cellStyle name="Comma 2 4 3 4" xfId="626" xr:uid="{5292F21E-80E3-4344-AB6E-CD8B721DF3FC}"/>
    <cellStyle name="Comma 2 4 4" xfId="428" xr:uid="{A1554624-1AE3-4D92-9FDA-B8DEC01ADF5F}"/>
    <cellStyle name="Comma 2 4 4 2" xfId="698" xr:uid="{CCC7E6B1-BD1B-4FE5-99A9-C8E94C493971}"/>
    <cellStyle name="Comma 2 4 5" xfId="833" xr:uid="{926FE1AA-47D0-472E-A6A2-60D1891455B0}"/>
    <cellStyle name="Comma 2 4 6" xfId="563" xr:uid="{F1BC178B-8C95-4AE5-BBE6-3817F9BC5853}"/>
    <cellStyle name="Comma 2 4 7" xfId="968" xr:uid="{ABA47CD3-B75D-498A-9C9F-AD9F46FA1E36}"/>
    <cellStyle name="Comma 2 4 8" xfId="1046" xr:uid="{9BD94439-790D-4402-89FA-C2B73CDE4B9D}"/>
    <cellStyle name="Comma 2 5" xfId="280" xr:uid="{2E91A11B-7328-44CE-9D76-7010A97E9691}"/>
    <cellStyle name="Comma 2 5 2" xfId="508" xr:uid="{AD4258AC-BAF0-4F5C-9737-1F5E06BF02DB}"/>
    <cellStyle name="Comma 2 5 2 2" xfId="778" xr:uid="{BDEBE4BB-D9E0-462B-A993-6ADDC83C3A7A}"/>
    <cellStyle name="Comma 2 5 2 3" xfId="913" xr:uid="{5751CA75-6D9A-4C07-AA9A-9F88FDE38C27}"/>
    <cellStyle name="Comma 2 5 2 4" xfId="643" xr:uid="{CB406010-2F4A-4F71-B05B-0178E4AD59E9}"/>
    <cellStyle name="Comma 2 5 3" xfId="446" xr:uid="{1B4229F5-99FA-4EB2-8EB5-917587B9963E}"/>
    <cellStyle name="Comma 2 5 3 2" xfId="716" xr:uid="{C080B375-1029-4AB4-897D-69136C448397}"/>
    <cellStyle name="Comma 2 5 4" xfId="851" xr:uid="{D24CF59D-9FB9-418F-B40C-6477F74EA8C7}"/>
    <cellStyle name="Comma 2 5 5" xfId="581" xr:uid="{8F36C375-E075-4DB9-A85E-F79E23D21FD0}"/>
    <cellStyle name="Comma 2 5 6" xfId="986" xr:uid="{BB3F8E5E-FFA4-4EB5-97E4-2C29EED83836}"/>
    <cellStyle name="Comma 2 5 7" xfId="1080" xr:uid="{0E0AC1E0-922E-4D40-80B8-DA49D432205B}"/>
    <cellStyle name="Comma 2 6" xfId="335" xr:uid="{7251BCF5-E265-43C0-8947-71817068E822}"/>
    <cellStyle name="Comma 2 6 2" xfId="470" xr:uid="{7F70BE30-16E1-4AA6-B0CD-586B91808592}"/>
    <cellStyle name="Comma 2 6 2 2" xfId="740" xr:uid="{D6FEE196-315D-470C-A2B8-7C07B51C9669}"/>
    <cellStyle name="Comma 2 6 3" xfId="875" xr:uid="{22E2538F-57DA-4464-AE30-847301762EA8}"/>
    <cellStyle name="Comma 2 6 4" xfId="605" xr:uid="{597AA543-202F-4B37-BE5E-973F3E420C7F}"/>
    <cellStyle name="Comma 2 6 5" xfId="1102" xr:uid="{B2747CE7-91BB-43ED-8E0C-E03D1BC7BFF3}"/>
    <cellStyle name="Comma 2 7" xfId="373" xr:uid="{7869DF09-46FE-49A9-ACE3-101D247CD231}"/>
    <cellStyle name="Comma 2 7 2" xfId="677" xr:uid="{22F496D0-259B-4F67-86C4-FDAD47F654F0}"/>
    <cellStyle name="Comma 2 7 3" xfId="1140" xr:uid="{1177A1C2-B315-408F-A01B-48D3212E209F}"/>
    <cellStyle name="Comma 2 8" xfId="407" xr:uid="{903D0247-E246-45C4-816B-A6909B43DB0A}"/>
    <cellStyle name="Comma 2 8 2" xfId="812" xr:uid="{6F114717-F78F-455A-A40C-4657FB94D871}"/>
    <cellStyle name="Comma 2 9" xfId="542" xr:uid="{F13CA3EC-CEE4-43FD-9565-2B3C82F5FFC2}"/>
    <cellStyle name="Comma 3" xfId="2" xr:uid="{00000000-0005-0000-0000-00001C000000}"/>
    <cellStyle name="Comma 3 10" xfId="408" xr:uid="{F3ADB06F-DDF7-4075-978F-A1958F8739FF}"/>
    <cellStyle name="Comma 3 10 2" xfId="813" xr:uid="{355FD57C-3E73-4CE6-BD81-1092A0843FB5}"/>
    <cellStyle name="Comma 3 11" xfId="543" xr:uid="{0C948633-7CD4-41A8-87AE-34CE51C16D74}"/>
    <cellStyle name="Comma 3 12" xfId="948" xr:uid="{6E00E95F-3151-4B19-B7A8-2FDC27062E01}"/>
    <cellStyle name="Comma 3 13" xfId="1009" xr:uid="{5C74F531-1CCE-4670-A477-6B44296FC598}"/>
    <cellStyle name="Comma 3 2" xfId="87" xr:uid="{87A768E6-256C-4855-9585-B375D44CA097}"/>
    <cellStyle name="Comma 3 2 10" xfId="1020" xr:uid="{FA3D49CB-F4A4-4C7F-8469-3F476F90247F}"/>
    <cellStyle name="Comma 3 2 2" xfId="302" xr:uid="{E7053F75-64E3-4ECF-88B0-6070F488758B}"/>
    <cellStyle name="Comma 3 2 2 2" xfId="520" xr:uid="{D9AE527C-EED6-4CD4-B9E5-38BFFB844A2C}"/>
    <cellStyle name="Comma 3 2 2 2 2" xfId="790" xr:uid="{F1E3D40B-ACD2-4AFA-BD9F-A95BD90B977B}"/>
    <cellStyle name="Comma 3 2 2 2 3" xfId="925" xr:uid="{F31CC73D-C0F5-432C-95C4-E1F966E2539B}"/>
    <cellStyle name="Comma 3 2 2 2 4" xfId="655" xr:uid="{8DAA4746-5EDF-4A88-BC47-7B2A8A20D2CB}"/>
    <cellStyle name="Comma 3 2 2 3" xfId="458" xr:uid="{C5D9F3EA-6B69-495D-ABB4-2EEEB63AC63E}"/>
    <cellStyle name="Comma 3 2 2 3 2" xfId="728" xr:uid="{F74114E7-788E-4C60-9F41-9190EA8C4F93}"/>
    <cellStyle name="Comma 3 2 2 4" xfId="863" xr:uid="{AE2E08BC-99FE-4C98-87E9-0D0A50EFF68F}"/>
    <cellStyle name="Comma 3 2 2 5" xfId="593" xr:uid="{3A83066B-5791-4057-A728-71CDEA79B502}"/>
    <cellStyle name="Comma 3 2 2 6" xfId="998" xr:uid="{D32278BD-B249-4A33-B502-E6AB990CFA5D}"/>
    <cellStyle name="Comma 3 2 2 7" xfId="1092" xr:uid="{B41EFBFE-DE3C-4D7E-B388-BDD2854A371E}"/>
    <cellStyle name="Comma 3 2 3" xfId="298" xr:uid="{ECD49378-B284-451A-B75D-722969742547}"/>
    <cellStyle name="Comma 3 2 3 2" xfId="454" xr:uid="{B6C2F0E3-43EC-4409-838D-0CC337AEDB1F}"/>
    <cellStyle name="Comma 3 2 3 2 2" xfId="724" xr:uid="{27E75A01-045C-44CF-8C70-55CDCBADF893}"/>
    <cellStyle name="Comma 3 2 3 3" xfId="859" xr:uid="{93C75FD4-DF4F-4588-A238-CF1D5257D4B3}"/>
    <cellStyle name="Comma 3 2 3 4" xfId="589" xr:uid="{AE359165-061C-4D30-B8CC-9747D9300EDE}"/>
    <cellStyle name="Comma 3 2 3 5" xfId="994" xr:uid="{3F462058-0D3F-4852-A82B-35999FAC8B76}"/>
    <cellStyle name="Comma 3 2 3 6" xfId="1088" xr:uid="{45D641AA-4DFF-47FC-A838-40B90BF73C3D}"/>
    <cellStyle name="Comma 3 2 4" xfId="249" xr:uid="{6734959B-6B14-4A0D-9736-29CF4F87912E}"/>
    <cellStyle name="Comma 3 2 4 2" xfId="482" xr:uid="{C8E48B3A-D1BF-43CF-A8A6-F1722658B22E}"/>
    <cellStyle name="Comma 3 2 4 2 2" xfId="752" xr:uid="{BDB68957-7249-455C-A688-CC035E49354D}"/>
    <cellStyle name="Comma 3 2 4 3" xfId="887" xr:uid="{548DBF17-3642-4734-86B6-6099A11C5F0A}"/>
    <cellStyle name="Comma 3 2 4 4" xfId="617" xr:uid="{B0DBF354-14F2-4FDD-8440-EB92F02A66AF}"/>
    <cellStyle name="Comma 3 2 4 5" xfId="1059" xr:uid="{076E7E3E-ACB5-4CC0-BB88-D76012129C24}"/>
    <cellStyle name="Comma 3 2 5" xfId="347" xr:uid="{BE7CF3B9-8942-4F7D-A09E-73C20D0003C3}"/>
    <cellStyle name="Comma 3 2 5 2" xfId="689" xr:uid="{3D7FB828-D767-413F-A4A7-52202081CE82}"/>
    <cellStyle name="Comma 3 2 5 3" xfId="1114" xr:uid="{36F74FF4-833E-443C-8D76-5EA528E88CB9}"/>
    <cellStyle name="Comma 3 2 6" xfId="385" xr:uid="{948EC35E-A7D8-4E8D-9BD5-8633A19E4E89}"/>
    <cellStyle name="Comma 3 2 6 2" xfId="824" xr:uid="{BD681194-7777-44C0-9E89-372D129DCD28}"/>
    <cellStyle name="Comma 3 2 6 3" xfId="1152" xr:uid="{1AA61FC2-3A32-44D0-8DEF-85D141E49D45}"/>
    <cellStyle name="Comma 3 2 7" xfId="419" xr:uid="{E6EDB1C7-453D-4DA2-A152-3F1DEFDA96BA}"/>
    <cellStyle name="Comma 3 2 8" xfId="554" xr:uid="{F60FCEF4-B250-48AD-86C6-E73CD87AE2F7}"/>
    <cellStyle name="Comma 3 2 9" xfId="959" xr:uid="{AB633071-4842-4C1E-AA1D-6D1167A6E605}"/>
    <cellStyle name="Comma 3 3" xfId="100" xr:uid="{2C992E0F-E642-475B-83D4-7FA6F77EAF17}"/>
    <cellStyle name="Comma 3 3 2" xfId="299" xr:uid="{67C8240A-9B04-4171-8911-8893B6AFE544}"/>
    <cellStyle name="Comma 3 3 2 2" xfId="525" xr:uid="{32643973-C4E7-4708-BD2F-1C3BD2BF2CDE}"/>
    <cellStyle name="Comma 3 3 2 2 2" xfId="795" xr:uid="{3A3F7B9E-8715-4DF7-9D5D-08F11931ADBB}"/>
    <cellStyle name="Comma 3 3 2 2 3" xfId="930" xr:uid="{27B4258A-69B2-4326-B325-47A66B00A251}"/>
    <cellStyle name="Comma 3 3 2 2 4" xfId="660" xr:uid="{380B5528-AC75-4B00-9862-72D2DDA7A20D}"/>
    <cellStyle name="Comma 3 3 2 3" xfId="455" xr:uid="{4C60BD13-4C42-48E4-8A60-F52DBA72CC14}"/>
    <cellStyle name="Comma 3 3 2 3 2" xfId="725" xr:uid="{140B71B9-00F4-4A53-A91D-90A594A3002D}"/>
    <cellStyle name="Comma 3 3 2 4" xfId="860" xr:uid="{251D8536-FA35-42F3-B18D-C593FE4D8678}"/>
    <cellStyle name="Comma 3 3 2 5" xfId="590" xr:uid="{1BC6FC01-6563-4A78-9995-A809C93F1830}"/>
    <cellStyle name="Comma 3 3 2 6" xfId="995" xr:uid="{60E526E4-3B96-4F7C-B0B1-10D4BA618AC5}"/>
    <cellStyle name="Comma 3 3 2 7" xfId="1089" xr:uid="{D30877A4-C704-457C-9BEB-C355C1215E64}"/>
    <cellStyle name="Comma 3 3 3" xfId="254" xr:uid="{11BBFE24-97F0-48C8-AEB9-ACE8DE339B49}"/>
    <cellStyle name="Comma 3 3 3 2" xfId="487" xr:uid="{B4EF03F2-5D0E-46F4-A83E-FDCA4787925F}"/>
    <cellStyle name="Comma 3 3 3 2 2" xfId="757" xr:uid="{0D3895EE-71FE-4D55-B9C1-4BB3368A1BD0}"/>
    <cellStyle name="Comma 3 3 3 3" xfId="892" xr:uid="{04DF641B-14C5-4835-BC03-1E40F8B75279}"/>
    <cellStyle name="Comma 3 3 3 4" xfId="622" xr:uid="{420E0DA6-0070-4C52-90B7-03035BDCA985}"/>
    <cellStyle name="Comma 3 3 3 5" xfId="1064" xr:uid="{8EA2C683-EB6B-4E79-97BC-9B558D62921D}"/>
    <cellStyle name="Comma 3 3 4" xfId="359" xr:uid="{7B3AFF1D-05BC-40AA-A3DE-EEB9BAA29C0B}"/>
    <cellStyle name="Comma 3 3 4 2" xfId="694" xr:uid="{6501526B-9CD2-489D-A07D-FB857E3BEF59}"/>
    <cellStyle name="Comma 3 3 4 3" xfId="1126" xr:uid="{8A8C3D93-8933-4E14-A1B5-B14C68F20B23}"/>
    <cellStyle name="Comma 3 3 5" xfId="390" xr:uid="{8BAD38DA-3FC3-4D4C-A125-182342F86DA4}"/>
    <cellStyle name="Comma 3 3 5 2" xfId="829" xr:uid="{B02740AF-C6AA-4351-B81A-B480ED4B1D97}"/>
    <cellStyle name="Comma 3 3 5 3" xfId="1157" xr:uid="{82F528E3-5DE7-478E-B37B-56FD3159908F}"/>
    <cellStyle name="Comma 3 3 6" xfId="424" xr:uid="{35A26824-30BF-46FC-8F7E-9A95AC22C554}"/>
    <cellStyle name="Comma 3 3 7" xfId="559" xr:uid="{18ABCBB1-2DAD-40EB-86AD-F1D07EAAC058}"/>
    <cellStyle name="Comma 3 3 8" xfId="964" xr:uid="{43BC8103-0343-4645-B0E7-C831A1E27EE8}"/>
    <cellStyle name="Comma 3 3 9" xfId="1032" xr:uid="{84D414A1-2A86-480B-BA3A-ED0FE154DE9D}"/>
    <cellStyle name="Comma 3 4" xfId="237" xr:uid="{C903BB1C-5704-46CC-BE11-C77D01157A06}"/>
    <cellStyle name="Comma 3 4 2" xfId="304" xr:uid="{5DA141A4-7AD7-4108-A3AD-3CAB3FE944CE}"/>
    <cellStyle name="Comma 3 4 2 2" xfId="530" xr:uid="{5FFFAA79-5258-45C0-8450-6B53A42A0AAE}"/>
    <cellStyle name="Comma 3 4 2 2 2" xfId="800" xr:uid="{EF204A08-D930-4374-8753-1DB193B6F6E3}"/>
    <cellStyle name="Comma 3 4 2 2 3" xfId="935" xr:uid="{D66C3C48-1881-4825-92CF-75336025AC09}"/>
    <cellStyle name="Comma 3 4 2 2 4" xfId="665" xr:uid="{F3190AEA-7437-4F23-AE9F-A07FA34B0C14}"/>
    <cellStyle name="Comma 3 4 2 3" xfId="460" xr:uid="{267EE6FF-6B44-4BCF-A982-7FD6C5BB4D6C}"/>
    <cellStyle name="Comma 3 4 2 3 2" xfId="730" xr:uid="{9A45C46A-37B6-4795-A5E1-787B03737FDA}"/>
    <cellStyle name="Comma 3 4 2 4" xfId="865" xr:uid="{B9ED495F-C436-4551-A889-44D37B736820}"/>
    <cellStyle name="Comma 3 4 2 5" xfId="595" xr:uid="{22CD3169-682A-4216-B89B-06CA5704F5CA}"/>
    <cellStyle name="Comma 3 4 2 6" xfId="1000" xr:uid="{0A65C4BA-B09E-4C9F-9147-5B16F9080C94}"/>
    <cellStyle name="Comma 3 4 2 7" xfId="1094" xr:uid="{2B14CBB4-A5DB-4788-A7DD-30D608C6A38D}"/>
    <cellStyle name="Comma 3 4 3" xfId="395" xr:uid="{AD162825-0DCE-4F7C-B63E-D0425F7FE189}"/>
    <cellStyle name="Comma 3 4 3 2" xfId="492" xr:uid="{A734EEA0-F23E-4046-BEB4-7B719B8D7405}"/>
    <cellStyle name="Comma 3 4 3 2 2" xfId="762" xr:uid="{1CDD88A2-1AB7-44A6-BCDC-1504B07DF10C}"/>
    <cellStyle name="Comma 3 4 3 3" xfId="897" xr:uid="{3F173F2F-E95C-4311-B845-52146096CF4F}"/>
    <cellStyle name="Comma 3 4 3 4" xfId="627" xr:uid="{901AFD96-B9DF-4159-B546-07A80F7CA8EE}"/>
    <cellStyle name="Comma 3 4 3 5" xfId="1162" xr:uid="{ABDF3CC7-1E0E-48B3-976D-B7B94CBC547C}"/>
    <cellStyle name="Comma 3 4 4" xfId="429" xr:uid="{E3C3781E-1B64-4142-9ADB-F566E04E3094}"/>
    <cellStyle name="Comma 3 4 4 2" xfId="699" xr:uid="{57D94A49-45C1-452A-BA81-F89127CD17B4}"/>
    <cellStyle name="Comma 3 4 5" xfId="834" xr:uid="{A221B669-A99D-449B-82CF-9B9602B4CC5C}"/>
    <cellStyle name="Comma 3 4 6" xfId="564" xr:uid="{D26BBE3B-370E-48B2-B937-50E67BC93560}"/>
    <cellStyle name="Comma 3 4 7" xfId="969" xr:uid="{520D1136-A16A-481C-B11B-EA1134D5A99E}"/>
    <cellStyle name="Comma 3 4 8" xfId="1047" xr:uid="{C6FFCA42-152C-49B5-89BB-D68440CC0137}"/>
    <cellStyle name="Comma 3 5" xfId="328" xr:uid="{87B48A1E-F568-4A59-85E9-1E42A1A91794}"/>
    <cellStyle name="Comma 3 5 2" xfId="509" xr:uid="{2BF9B566-E1D6-442D-A2B0-C5DFEFFB0C27}"/>
    <cellStyle name="Comma 3 5 2 2" xfId="779" xr:uid="{390320C9-E4E9-48FD-84CB-B0EA42C9966D}"/>
    <cellStyle name="Comma 3 5 2 3" xfId="914" xr:uid="{F8A54622-85EC-44C8-B13E-3A7A84E26D41}"/>
    <cellStyle name="Comma 3 5 2 4" xfId="644" xr:uid="{06FBAB55-ACB4-4B29-B640-A8E124B53E48}"/>
    <cellStyle name="Comma 3 5 3" xfId="462" xr:uid="{2ECF4823-778C-45F3-B7F5-D4D052A02599}"/>
    <cellStyle name="Comma 3 5 3 2" xfId="732" xr:uid="{484BD2FA-624B-43BB-A69C-535620D048A7}"/>
    <cellStyle name="Comma 3 5 4" xfId="867" xr:uid="{A93199DD-5951-4591-B201-373AF8D6953F}"/>
    <cellStyle name="Comma 3 5 5" xfId="597" xr:uid="{B8EF597E-0AC4-44DE-AD12-80FEF6E71919}"/>
    <cellStyle name="Comma 3 5 6" xfId="1002" xr:uid="{386EEEB1-5537-47B6-8551-80FF287D5CC1}"/>
    <cellStyle name="Comma 3 5 7" xfId="1096" xr:uid="{5B27C533-0A9E-47AD-B73A-F6217F25B003}"/>
    <cellStyle name="Comma 3 6" xfId="333" xr:uid="{85822468-19A4-41A0-8DD8-7745494FCD4B}"/>
    <cellStyle name="Comma 3 6 2" xfId="467" xr:uid="{AD973D78-C9CE-4A8A-8BCE-5DFD80ED9262}"/>
    <cellStyle name="Comma 3 6 2 2" xfId="737" xr:uid="{94039D86-D35C-419C-873E-C10804053466}"/>
    <cellStyle name="Comma 3 6 3" xfId="872" xr:uid="{C56D92B2-4B05-4D65-8B50-507E06B5D51E}"/>
    <cellStyle name="Comma 3 6 4" xfId="602" xr:uid="{B2B75014-7DDB-453F-8648-927002B28013}"/>
    <cellStyle name="Comma 3 6 5" xfId="1007" xr:uid="{6C645A8B-33AD-40E9-B075-0439FFE17A44}"/>
    <cellStyle name="Comma 3 6 6" xfId="1101" xr:uid="{7BD442F4-B9D1-41F4-BAAC-828FDAD71B8A}"/>
    <cellStyle name="Comma 3 7" xfId="284" xr:uid="{CB862543-7C8C-448C-BF47-0446057A13B7}"/>
    <cellStyle name="Comma 3 7 2" xfId="448" xr:uid="{C02D70B2-EAF8-4F3C-8DFE-7CDFA155508E}"/>
    <cellStyle name="Comma 3 7 2 2" xfId="718" xr:uid="{82842A98-A14F-4116-A762-13D0F9ED31B8}"/>
    <cellStyle name="Comma 3 7 3" xfId="853" xr:uid="{192A8E32-1409-4A0C-A84A-1F66A035CAA4}"/>
    <cellStyle name="Comma 3 7 4" xfId="583" xr:uid="{0CE0C1AF-A382-4F7C-BF77-999EBC3A6FE2}"/>
    <cellStyle name="Comma 3 7 5" xfId="988" xr:uid="{1EFFCFB5-6740-4FF1-BF6B-988CAE65DCBC}"/>
    <cellStyle name="Comma 3 7 6" xfId="1082" xr:uid="{1F69097E-1D46-4BD6-88CB-296460CF3A89}"/>
    <cellStyle name="Comma 3 8" xfId="336" xr:uid="{6FB79DC5-4047-41A2-8952-1BD26A49A111}"/>
    <cellStyle name="Comma 3 8 2" xfId="471" xr:uid="{33CC8EB4-B095-4318-B72C-EE3EBA91E5A6}"/>
    <cellStyle name="Comma 3 8 2 2" xfId="741" xr:uid="{481145F5-16A5-432D-B139-8905FDDD1075}"/>
    <cellStyle name="Comma 3 8 3" xfId="876" xr:uid="{A0E94253-20B6-4B86-8129-39ECD5CF9158}"/>
    <cellStyle name="Comma 3 8 4" xfId="606" xr:uid="{5B13589A-3439-4880-B1E1-2CBE791A09E4}"/>
    <cellStyle name="Comma 3 8 5" xfId="1103" xr:uid="{6B54AAA2-8D17-4529-BBE6-DBC67F0FADA9}"/>
    <cellStyle name="Comma 3 9" xfId="374" xr:uid="{AD5D57CC-9131-4DD2-A060-492246C3D01C}"/>
    <cellStyle name="Comma 3 9 2" xfId="678" xr:uid="{C80C8720-3F29-4201-817E-D97E2B9DAA40}"/>
    <cellStyle name="Comma 3 9 3" xfId="1141" xr:uid="{BE317102-B42F-4393-9434-956D318D263F}"/>
    <cellStyle name="Comma 4" xfId="23" xr:uid="{00000000-0005-0000-0000-00001D000000}"/>
    <cellStyle name="Comma 4 2" xfId="91" xr:uid="{6ECB21AE-F146-4BB1-88E9-F9F4D131D346}"/>
    <cellStyle name="Comma 4 2 2" xfId="300" xr:uid="{26749D51-1AF0-49A8-9630-A18F2A0E5CBB}"/>
    <cellStyle name="Comma 4 2 2 2" xfId="533" xr:uid="{778759B4-D1FA-4CCC-8B0E-58383E1424D9}"/>
    <cellStyle name="Comma 4 2 2 2 2" xfId="803" xr:uid="{75C82E82-8C27-4824-ADDD-62B1EDB46BC5}"/>
    <cellStyle name="Comma 4 2 2 2 3" xfId="938" xr:uid="{B647A64B-E509-4501-AE5D-8DF6554F3A10}"/>
    <cellStyle name="Comma 4 2 2 2 4" xfId="668" xr:uid="{FEEB69D7-741E-4B42-9563-92FECED40975}"/>
    <cellStyle name="Comma 4 2 2 3" xfId="456" xr:uid="{FA1E5A43-6B97-4FAA-A53C-D63249438D2A}"/>
    <cellStyle name="Comma 4 2 2 3 2" xfId="726" xr:uid="{90A77545-8E62-492D-994C-E38070C707D9}"/>
    <cellStyle name="Comma 4 2 2 4" xfId="861" xr:uid="{2940D560-67AD-4B06-BB15-79E9A42F3DDD}"/>
    <cellStyle name="Comma 4 2 2 5" xfId="591" xr:uid="{FA3CBD24-035C-4673-B224-870538B4E21A}"/>
    <cellStyle name="Comma 4 2 2 6" xfId="996" xr:uid="{B6B21739-849D-4B93-8FE0-8735C9B17AFA}"/>
    <cellStyle name="Comma 4 2 2 7" xfId="1090" xr:uid="{336AE720-6482-48FF-B697-606344E121CF}"/>
    <cellStyle name="Comma 4 2 3" xfId="258" xr:uid="{937216A1-AAEF-417D-BA4E-05A527309D5F}"/>
    <cellStyle name="Comma 4 2 3 2" xfId="495" xr:uid="{7F48D26C-D62A-4335-A898-DDCE762F0F91}"/>
    <cellStyle name="Comma 4 2 3 2 2" xfId="765" xr:uid="{F10BC86C-DA59-43A6-813D-5F1C8E4F3CE3}"/>
    <cellStyle name="Comma 4 2 3 3" xfId="900" xr:uid="{2829E419-49DA-4ABC-AD32-7C2A5BA0F093}"/>
    <cellStyle name="Comma 4 2 3 4" xfId="630" xr:uid="{DC7ED916-AB5F-4839-BADD-4CE72F84DE2C}"/>
    <cellStyle name="Comma 4 2 3 5" xfId="1068" xr:uid="{491AF344-7913-4092-8B59-673F931EA658}"/>
    <cellStyle name="Comma 4 2 4" xfId="350" xr:uid="{4E823553-310E-474A-A86A-4054A53CCCB6}"/>
    <cellStyle name="Comma 4 2 4 2" xfId="702" xr:uid="{180CF2E1-D59E-4B23-8A40-FDB00DAE16C5}"/>
    <cellStyle name="Comma 4 2 4 3" xfId="1117" xr:uid="{12B51A78-CEC7-4AE8-958F-63821341F19E}"/>
    <cellStyle name="Comma 4 2 5" xfId="398" xr:uid="{EC833458-FDAA-469C-9F98-50DD2966B508}"/>
    <cellStyle name="Comma 4 2 5 2" xfId="837" xr:uid="{FB2611E2-EBE1-4B7D-8EAD-88136FEE756F}"/>
    <cellStyle name="Comma 4 2 5 3" xfId="1165" xr:uid="{CB8AC714-563F-4C96-B69A-7EFBE87E9F52}"/>
    <cellStyle name="Comma 4 2 6" xfId="432" xr:uid="{151FFDE9-4E80-483F-9893-7574D23779E8}"/>
    <cellStyle name="Comma 4 2 7" xfId="567" xr:uid="{6BA23E5D-C7B6-4779-ABDC-C33919D08492}"/>
    <cellStyle name="Comma 4 2 8" xfId="972" xr:uid="{6CAD7995-F9E8-4200-B8CC-BD7806B767E8}"/>
    <cellStyle name="Comma 4 2 9" xfId="1023" xr:uid="{BB0E5E17-5BD0-4A14-B85D-70530E0282CC}"/>
    <cellStyle name="Comma 4 3" xfId="296" xr:uid="{9334965C-EAF9-4CB6-8BF1-6670BB33CC0E}"/>
    <cellStyle name="Comma 4 3 2" xfId="452" xr:uid="{D4146439-FB00-4BD0-BA09-6707D1EA6605}"/>
    <cellStyle name="Comma 4 3 2 2" xfId="722" xr:uid="{495E31E1-0F26-493C-B113-655089CC2D0B}"/>
    <cellStyle name="Comma 4 3 3" xfId="857" xr:uid="{609696E6-5E90-4017-AAC9-68A1FDF4313E}"/>
    <cellStyle name="Comma 4 3 4" xfId="587" xr:uid="{57A04327-2C26-422C-9D70-B07D08FC5242}"/>
    <cellStyle name="Comma 4 3 5" xfId="992" xr:uid="{913FED16-117F-4E93-B63B-776BB3C5D63A}"/>
    <cellStyle name="Comma 4 3 6" xfId="1086" xr:uid="{D0086AB2-3ECA-47B4-94CE-48848A6D877F}"/>
    <cellStyle name="Comma 5" xfId="109" xr:uid="{CD3516EF-ED45-4A0C-AAFA-ED3B7EB760DA}"/>
    <cellStyle name="Comma 5 2" xfId="324" xr:uid="{1987E746-959E-478C-926F-E2FD8C5FD341}"/>
    <cellStyle name="Comma 5 2 2" xfId="518" xr:uid="{95A72C6C-8CD5-4320-B282-74AAD36C7811}"/>
    <cellStyle name="Comma 5 2 2 2" xfId="788" xr:uid="{55917D6A-C849-4976-A56B-AEFCD6031009}"/>
    <cellStyle name="Comma 5 2 2 3" xfId="923" xr:uid="{C2BD22A2-E8EF-4384-812D-68BEC570C51C}"/>
    <cellStyle name="Comma 5 2 2 4" xfId="653" xr:uid="{BDF90883-19A8-4B96-A1BF-F11CB09D5F2B}"/>
    <cellStyle name="Comma 5 2 3" xfId="461" xr:uid="{9F09460C-4A44-4C41-B145-5F5F17313632}"/>
    <cellStyle name="Comma 5 2 3 2" xfId="731" xr:uid="{389FFAB6-6643-49E9-9F6B-062C678FE1F4}"/>
    <cellStyle name="Comma 5 2 4" xfId="866" xr:uid="{3A14DF8B-B587-419A-A853-251594D7533F}"/>
    <cellStyle name="Comma 5 2 5" xfId="596" xr:uid="{214B8FE4-D0B3-4C69-AC08-543479182327}"/>
    <cellStyle name="Comma 5 2 6" xfId="1001" xr:uid="{B06DD207-F733-4AA3-84CF-B7B207D53AAD}"/>
    <cellStyle name="Comma 5 2 7" xfId="1095" xr:uid="{09BCCD40-0F56-4E1D-8636-D4CB9381BC1E}"/>
    <cellStyle name="Comma 5 3" xfId="247" xr:uid="{7A92979B-00D6-4587-888A-D547A68AD641}"/>
    <cellStyle name="Comma 5 3 2" xfId="480" xr:uid="{79339C86-9586-4B12-96BA-C41A8948D5C3}"/>
    <cellStyle name="Comma 5 3 2 2" xfId="750" xr:uid="{9EFF763D-086D-477C-9F71-D27FD51E950B}"/>
    <cellStyle name="Comma 5 3 3" xfId="885" xr:uid="{2B13761D-D5AA-4F08-932F-25E8E4110458}"/>
    <cellStyle name="Comma 5 3 4" xfId="615" xr:uid="{C59C3D4B-A4E7-48DE-9B65-CDB1B9BCC5D3}"/>
    <cellStyle name="Comma 5 3 5" xfId="1057" xr:uid="{6DDECFB5-C0EE-438C-92BD-40BA20265556}"/>
    <cellStyle name="Comma 5 4" xfId="368" xr:uid="{E6E85C85-456D-4BD9-BC06-39253B1CFA84}"/>
    <cellStyle name="Comma 5 4 2" xfId="687" xr:uid="{3E6E893D-08E1-4758-BFA3-AD6686E50B89}"/>
    <cellStyle name="Comma 5 4 3" xfId="1135" xr:uid="{2D4EBCEC-DA7F-4245-BDD0-EB905473BDC2}"/>
    <cellStyle name="Comma 5 5" xfId="383" xr:uid="{A8A6D7CF-D614-4439-A3B1-3F716AF7F2E7}"/>
    <cellStyle name="Comma 5 5 2" xfId="822" xr:uid="{030731F7-2ABC-4F00-8801-9275B66AC093}"/>
    <cellStyle name="Comma 5 5 3" xfId="1150" xr:uid="{17A732A6-FDCD-4AA0-B26C-E2C10207EC97}"/>
    <cellStyle name="Comma 5 6" xfId="417" xr:uid="{C4DE1491-08D8-4A11-8CA8-6ED9124DC7C5}"/>
    <cellStyle name="Comma 5 7" xfId="552" xr:uid="{2B0A43FC-1AA0-4D84-B726-5136560AD0D8}"/>
    <cellStyle name="Comma 5 8" xfId="957" xr:uid="{A55D66FB-8BA0-4F82-BBCD-88DE25D967F3}"/>
    <cellStyle name="Comma 5 9" xfId="1041" xr:uid="{8BC69DFD-2F32-4171-91DC-4EB0067A7E76}"/>
    <cellStyle name="Comma 6" xfId="265" xr:uid="{BBC2239A-6027-4604-ADAC-D0991D0B740E}"/>
    <cellStyle name="Comma 6 2" xfId="406" xr:uid="{E2B00E4E-6CA0-4B28-BAA9-914E5E72F8AE}"/>
    <cellStyle name="Comma 6 2 2" xfId="541" xr:uid="{E4209FD2-1AAA-45D2-A6DC-FB3E70518A79}"/>
    <cellStyle name="Comma 6 2 2 2" xfId="811" xr:uid="{8227D837-755D-4532-994A-3E8B50DCFD24}"/>
    <cellStyle name="Comma 6 2 3" xfId="946" xr:uid="{89182477-72F0-4484-8E34-9B67E457C034}"/>
    <cellStyle name="Comma 6 2 4" xfId="676" xr:uid="{8C7B9107-9DD7-4E2D-B4EE-7B2285ED91EA}"/>
    <cellStyle name="Comma 6 2 5" xfId="1173" xr:uid="{62DE6C05-A90B-40B0-852C-808F5146C1D8}"/>
    <cellStyle name="Comma 6 3" xfId="503" xr:uid="{19CD0E4F-D990-4E0B-B71D-919BF407200E}"/>
    <cellStyle name="Comma 6 3 2" xfId="773" xr:uid="{CEFC789B-DCA7-4629-9F3C-BAB64ECBBFE2}"/>
    <cellStyle name="Comma 6 3 3" xfId="908" xr:uid="{760344FB-9ECC-4373-859E-A6487BD173E4}"/>
    <cellStyle name="Comma 6 3 4" xfId="638" xr:uid="{C8C1DB03-65E6-4C4D-B7DC-688AC1FE3240}"/>
    <cellStyle name="Comma 6 4" xfId="440" xr:uid="{1C5E494F-01FA-45CC-8973-ACE2CE946043}"/>
    <cellStyle name="Comma 6 4 2" xfId="710" xr:uid="{32485233-B56C-4E07-AA71-04AB754B0D88}"/>
    <cellStyle name="Comma 6 5" xfId="845" xr:uid="{B5D43558-D9A6-41EF-896E-16C9182D2475}"/>
    <cellStyle name="Comma 6 6" xfId="575" xr:uid="{AA419DCA-ABD5-4817-9DFD-AA678C86C3D4}"/>
    <cellStyle name="Comma 6 7" xfId="980" xr:uid="{6E39CB51-067B-465D-B76F-8B85409039AC}"/>
    <cellStyle name="Comma 6 8" xfId="1074" xr:uid="{91C2F752-DBF5-4A0C-AB4A-C708641D3618}"/>
    <cellStyle name="Comma 7" xfId="331" xr:uid="{B3C9DC83-D140-4FEB-9CE7-A6B1EC9E0C9E}"/>
    <cellStyle name="Comma 7 2" xfId="465" xr:uid="{AE993298-BA33-4DF8-97B8-9F5FDE09A792}"/>
    <cellStyle name="Comma 7 2 2" xfId="735" xr:uid="{2F0C15FB-D05F-471E-ABFC-60741854DCBD}"/>
    <cellStyle name="Comma 7 3" xfId="870" xr:uid="{932EDE53-364A-4AF3-9BFD-484B65D2382A}"/>
    <cellStyle name="Comma 7 4" xfId="600" xr:uid="{BAEE2CF2-47B0-438E-BDF2-BABDC5822F9D}"/>
    <cellStyle name="Comma 7 5" xfId="1005" xr:uid="{FAD8D9F3-B669-46B9-82F2-69B5B4CE66CC}"/>
    <cellStyle name="Comma 7 6" xfId="1099" xr:uid="{AB6787B4-D4C6-41F8-8085-2863B0FA8792}"/>
    <cellStyle name="Comma 8" xfId="1174" xr:uid="{396F0A5D-403E-46A4-B8B1-328EBE17C39F}"/>
    <cellStyle name="Currency 2" xfId="53" xr:uid="{00000000-0005-0000-0000-00001E000000}"/>
    <cellStyle name="Currency 2 2" xfId="332" xr:uid="{0E3C5C55-5875-4D68-8CE2-F1EFFC5BC34B}"/>
    <cellStyle name="Currency 2 2 2" xfId="466" xr:uid="{970EFCB4-F86E-4426-8B4F-40356D8F27A6}"/>
    <cellStyle name="Currency 2 2 2 2" xfId="736" xr:uid="{4BD53A45-C8D9-4D2B-9C07-B7ED2A86A683}"/>
    <cellStyle name="Currency 2 2 3" xfId="871" xr:uid="{CC6CAA25-276A-4DA6-82DF-519B5BB1E67C}"/>
    <cellStyle name="Currency 2 2 4" xfId="601" xr:uid="{361FB16E-552F-4AF8-8347-6702C50DAB81}"/>
    <cellStyle name="Currency 2 2 5" xfId="1006" xr:uid="{6C41AF8C-43E1-4519-B3F8-5552E0583533}"/>
    <cellStyle name="Currency 2 2 6" xfId="1100" xr:uid="{F61B6AB5-C77C-4278-AC06-624B687D45FE}"/>
    <cellStyle name="Emphasis 1" xfId="163" xr:uid="{6609E444-C846-46F2-9253-2A1FCA062246}"/>
    <cellStyle name="Emphasis 2" xfId="164" xr:uid="{DEDC780B-CC86-49FD-ACD4-D98985AC49A7}"/>
    <cellStyle name="Emphasis 3" xfId="165" xr:uid="{A5AA67FA-123D-42CA-9154-EB1B4D6A46C2}"/>
    <cellStyle name="Excel Built-in Neutral" xfId="274" xr:uid="{CB789829-26C1-4AF2-8B97-360F682524E7}"/>
    <cellStyle name="Excel Built-in Normal" xfId="279" xr:uid="{2309668A-EF83-481E-B915-7E3DF1309E00}"/>
    <cellStyle name="Excel Built-in Normal 1" xfId="293" xr:uid="{D8B12966-0BB4-421A-B313-81B60D724516}"/>
    <cellStyle name="Excel Built-in Normal 1 2" xfId="316" xr:uid="{968F576F-826E-46F1-A1AF-9C1E65359FE1}"/>
    <cellStyle name="Excel Built-in Normal 2" xfId="307" xr:uid="{E72ED2B2-09B5-41D9-84CF-8D58BDE03593}"/>
    <cellStyle name="Excel Built-in Normal 2 2" xfId="317" xr:uid="{CDBE0878-48F8-4913-81A1-3A2AC33501A9}"/>
    <cellStyle name="Excel Built-in Normal 3" xfId="308" xr:uid="{6E73864F-1711-438F-A020-E3FC6A25471B}"/>
    <cellStyle name="Excel Built-in Normal 3 2" xfId="318" xr:uid="{386D4413-F2F9-4019-BE10-8D3A157C70C9}"/>
    <cellStyle name="Excel Built-in Normal 4" xfId="306" xr:uid="{89D58C26-1B7C-4F79-AC5D-B0CD8EA87A92}"/>
    <cellStyle name="Excel Built-in Normal 5" xfId="315" xr:uid="{FC4117C1-5EE6-4F39-890F-A917B314568C}"/>
    <cellStyle name="exo" xfId="3" xr:uid="{00000000-0005-0000-0000-00001F000000}"/>
    <cellStyle name="Explanatory Text 2" xfId="54" xr:uid="{00000000-0005-0000-0000-000020000000}"/>
    <cellStyle name="Good 2" xfId="55" xr:uid="{00000000-0005-0000-0000-000021000000}"/>
    <cellStyle name="Heading" xfId="309" xr:uid="{3F61D9E9-F2D4-4C1E-9477-59093928283B}"/>
    <cellStyle name="Heading 1 2" xfId="56" xr:uid="{00000000-0005-0000-0000-000022000000}"/>
    <cellStyle name="Heading 2 2" xfId="57" xr:uid="{00000000-0005-0000-0000-000023000000}"/>
    <cellStyle name="Heading 3 2" xfId="58" xr:uid="{00000000-0005-0000-0000-000024000000}"/>
    <cellStyle name="Heading 4 2" xfId="59" xr:uid="{00000000-0005-0000-0000-000025000000}"/>
    <cellStyle name="Heading 5" xfId="319" xr:uid="{C87889DF-2D2C-41D2-8BAA-C66030649448}"/>
    <cellStyle name="Heading1" xfId="310" xr:uid="{10E44FAF-83F3-4E57-BEAC-2865BCF1C5C8}"/>
    <cellStyle name="Heading1 2" xfId="320" xr:uid="{C8CAFB0D-C156-47EF-B5BB-AEA0796CDF1C}"/>
    <cellStyle name="Hyperlink 2" xfId="327" xr:uid="{F9D21E00-086D-4EBD-8D17-58959DEC6473}"/>
    <cellStyle name="Ievade" xfId="166" xr:uid="{A1030755-62D9-41B9-B8F5-725F8212702C}"/>
    <cellStyle name="Input 2" xfId="60" xr:uid="{00000000-0005-0000-0000-000026000000}"/>
    <cellStyle name="Input 2 2" xfId="1180" xr:uid="{91182F8D-FEE2-406D-AC2E-9E9E6A6E06A6}"/>
    <cellStyle name="Izvade" xfId="167" xr:uid="{86F96EFE-8EBB-41ED-9E80-6EB6B7B7301F}"/>
    <cellStyle name="Koefic." xfId="4" xr:uid="{00000000-0005-0000-0000-000027000000}"/>
    <cellStyle name="Kopsumma" xfId="168" xr:uid="{724A25F1-CC68-4E7B-B784-B2BA9F4DA5E7}"/>
    <cellStyle name="Labs" xfId="169" xr:uid="{9C33550D-4012-444B-91E9-18A84323B4E7}"/>
    <cellStyle name="Linked Cell 2" xfId="61" xr:uid="{00000000-0005-0000-0000-000028000000}"/>
    <cellStyle name="Neitrāls" xfId="170" xr:uid="{15923DA6-4A02-43FF-A71E-B5B302CE5EAD}"/>
    <cellStyle name="Neutral 2" xfId="62" xr:uid="{00000000-0005-0000-0000-000029000000}"/>
    <cellStyle name="Normal" xfId="0" builtinId="0"/>
    <cellStyle name="Normal 10" xfId="5" xr:uid="{00000000-0005-0000-0000-00002B000000}"/>
    <cellStyle name="Normal 10 2" xfId="83" xr:uid="{00000000-0005-0000-0000-00002C000000}"/>
    <cellStyle name="Normal 10 2 2" xfId="84" xr:uid="{00000000-0005-0000-0000-00002D000000}"/>
    <cellStyle name="Normal 10 3" xfId="325" xr:uid="{6D792D4C-D88E-4338-8A5D-7FC0ADB0EB86}"/>
    <cellStyle name="Normal 10 7" xfId="334" xr:uid="{70C26286-43A9-464E-9057-6F8B82F9944A}"/>
    <cellStyle name="Normal 11" xfId="6" xr:uid="{00000000-0005-0000-0000-00002E000000}"/>
    <cellStyle name="Normal 11 2" xfId="330" xr:uid="{2B30DB33-37C6-49C4-917F-899E862BD288}"/>
    <cellStyle name="Normal 11 2 2" xfId="464" xr:uid="{E57C5778-B732-4B68-9598-76FA7DCDA9AB}"/>
    <cellStyle name="Normal 11 2 2 2" xfId="734" xr:uid="{08B06FF6-7955-4BF6-9181-ED5F3EF5ECEE}"/>
    <cellStyle name="Normal 11 2 3" xfId="869" xr:uid="{AEC5208A-8AF1-416D-BA23-76FF920C588A}"/>
    <cellStyle name="Normal 11 2 4" xfId="599" xr:uid="{3CC1C849-2394-4AC4-8613-BE4F4459B6D8}"/>
    <cellStyle name="Normal 11 2 5" xfId="1004" xr:uid="{53498BB2-DC1D-474E-BD32-B1D6E32D6D7E}"/>
    <cellStyle name="Normal 11 2 6" xfId="1098" xr:uid="{7D1B92EA-64B6-40C9-830A-FD96E9BDCBC0}"/>
    <cellStyle name="Normal 12" xfId="63" xr:uid="{00000000-0005-0000-0000-00002F000000}"/>
    <cellStyle name="Normal 13" xfId="64" xr:uid="{00000000-0005-0000-0000-000030000000}"/>
    <cellStyle name="Normal 14" xfId="24" xr:uid="{00000000-0005-0000-0000-000031000000}"/>
    <cellStyle name="Normal 14 2 2" xfId="82" xr:uid="{00000000-0005-0000-0000-000032000000}"/>
    <cellStyle name="Normal 14 2 2 2" xfId="98" xr:uid="{16CE0492-AA89-4FB4-BE22-10EACAF5EC36}"/>
    <cellStyle name="Normal 14 2 2 2 2" xfId="357" xr:uid="{C2EC88CD-33BC-4BF6-899C-3221CE7DA1EE}"/>
    <cellStyle name="Normal 14 2 2 2 2 2" xfId="810" xr:uid="{EA3A15EA-2B3D-4214-9E79-BE1ED744E59C}"/>
    <cellStyle name="Normal 14 2 2 2 2 3" xfId="1124" xr:uid="{D1941189-4162-4842-9E13-9275F5785494}"/>
    <cellStyle name="Normal 14 2 2 2 3" xfId="540" xr:uid="{E512BCC3-A0BE-43BA-8184-26C586CE8677}"/>
    <cellStyle name="Normal 14 2 2 2 3 2" xfId="945" xr:uid="{669A7B56-9813-4D97-8BEC-2441B4B0ECF7}"/>
    <cellStyle name="Normal 14 2 2 2 4" xfId="675" xr:uid="{CF6314B6-B571-4266-A8D3-7D3C29710409}"/>
    <cellStyle name="Normal 14 2 2 2 5" xfId="1030" xr:uid="{D138D126-A8BA-44C9-AEF6-5754E2576A43}"/>
    <cellStyle name="Normal 14 2 2 3" xfId="246" xr:uid="{ED427791-6DBE-48B5-8D87-99D385BB8E58}"/>
    <cellStyle name="Normal 14 2 2 3 2" xfId="502" xr:uid="{83A34F26-7255-42BE-8109-EC1B6BD449A8}"/>
    <cellStyle name="Normal 14 2 2 3 2 2" xfId="772" xr:uid="{53466D4E-D7AD-4300-AA97-E3C08CA4C315}"/>
    <cellStyle name="Normal 14 2 2 3 3" xfId="907" xr:uid="{D0E81E67-355F-4581-A38D-2982D6797E86}"/>
    <cellStyle name="Normal 14 2 2 3 4" xfId="637" xr:uid="{D07AA393-877A-4F78-B80E-B9B59FD22C7E}"/>
    <cellStyle name="Normal 14 2 2 3 5" xfId="1056" xr:uid="{DB435992-764F-4ECD-A0BB-2E75E2F79E3D}"/>
    <cellStyle name="Normal 14 2 2 4" xfId="345" xr:uid="{CC5F8D2C-B4C0-41D8-A0EE-88F6781C3F8F}"/>
    <cellStyle name="Normal 14 2 2 4 2" xfId="709" xr:uid="{E6E82E20-7B9D-4F03-829F-E06B6A6044D6}"/>
    <cellStyle name="Normal 14 2 2 4 3" xfId="1112" xr:uid="{466DCDF8-468D-4AD6-8128-A1FFA9804226}"/>
    <cellStyle name="Normal 14 2 2 5" xfId="405" xr:uid="{9323D320-DB54-4A8C-B24E-E6EC62F598B9}"/>
    <cellStyle name="Normal 14 2 2 5 2" xfId="844" xr:uid="{7962C1B7-E259-481B-995F-7D2A635E63C1}"/>
    <cellStyle name="Normal 14 2 2 5 3" xfId="1172" xr:uid="{7CA0A6A2-96BD-41EE-A177-2DFED02A45FB}"/>
    <cellStyle name="Normal 14 2 2 6" xfId="439" xr:uid="{36F8F5B3-BA55-4E50-839E-0C74CFF071DA}"/>
    <cellStyle name="Normal 14 2 2 7" xfId="574" xr:uid="{6B4826B6-E190-4493-9E8B-2DAA72697869}"/>
    <cellStyle name="Normal 14 2 2 8" xfId="979" xr:uid="{65D3BC81-C37C-40FC-BC11-3CD01C692553}"/>
    <cellStyle name="Normal 14 2 2 9" xfId="1018" xr:uid="{B4B8A693-0CDE-44BE-9862-4D6A97956714}"/>
    <cellStyle name="Normal 15" xfId="110" xr:uid="{C23D5C6E-891C-472E-A82E-8131A02AA002}"/>
    <cellStyle name="Normal 15 2" xfId="267" xr:uid="{44DFFA22-BD05-4D41-9ABB-F7D7FC776266}"/>
    <cellStyle name="Normal 15 3" xfId="369" xr:uid="{5C106EB7-F546-4221-95C6-754F9ED66936}"/>
    <cellStyle name="Normal 15 3 2" xfId="1136" xr:uid="{8CD9C152-7DB7-48C4-9D8E-ECC821C6EFC4}"/>
    <cellStyle name="Normal 15 4" xfId="1042" xr:uid="{9CD87CC0-A50B-4753-A542-8B5F05989D66}"/>
    <cellStyle name="Normal 16" xfId="112" xr:uid="{470AA7F1-7C4C-419B-AF03-5D2B1893558B}"/>
    <cellStyle name="Normal 16 2" xfId="273" xr:uid="{670B772A-88CB-4A8E-8AC4-632A49D5E1A1}"/>
    <cellStyle name="Normal 16 2 2" xfId="715" xr:uid="{EB0D7CBB-27BF-41C0-96FC-8295931DF2CE}"/>
    <cellStyle name="Normal 16 2 3" xfId="1079" xr:uid="{9F12BFEE-5DCC-4921-A882-44BA149D6908}"/>
    <cellStyle name="Normal 16 3" xfId="445" xr:uid="{B50AFFC1-826F-4185-A2E6-B97401D6B77D}"/>
    <cellStyle name="Normal 16 3 2" xfId="850" xr:uid="{54561553-1BB8-4C0F-9430-019B46BA5849}"/>
    <cellStyle name="Normal 16 4" xfId="580" xr:uid="{CC61EC8B-40C5-4D45-8BED-B06BD7D97BA8}"/>
    <cellStyle name="Normal 16 5" xfId="985" xr:uid="{1D20ED67-A5A6-4AB0-948A-B9E25C1FA515}"/>
    <cellStyle name="Normal 19" xfId="7" xr:uid="{00000000-0005-0000-0000-000033000000}"/>
    <cellStyle name="Normal 19 10" xfId="949" xr:uid="{C85D6D74-8899-4025-BF9C-976CDF17D5E6}"/>
    <cellStyle name="Normal 19 11" xfId="1010" xr:uid="{086378F0-9BE3-4409-A01F-FFAEEB0AE77B}"/>
    <cellStyle name="Normal 19 2" xfId="88" xr:uid="{0517A3E0-0314-4196-A9E5-81B919E188EE}"/>
    <cellStyle name="Normal 19 2 2" xfId="250" xr:uid="{517C1DA5-EB68-49CC-8F8D-5C61193856CE}"/>
    <cellStyle name="Normal 19 2 2 2" xfId="521" xr:uid="{219E7D78-1B70-4403-94F3-AF6FFF5B2E07}"/>
    <cellStyle name="Normal 19 2 2 2 2" xfId="791" xr:uid="{EDFD10FF-28DE-4803-AF4A-10659A81C0C2}"/>
    <cellStyle name="Normal 19 2 2 3" xfId="926" xr:uid="{238248EF-1759-4C19-BDC3-01AAB911E64B}"/>
    <cellStyle name="Normal 19 2 2 4" xfId="656" xr:uid="{5809D327-12B0-4E17-9027-039239DAD153}"/>
    <cellStyle name="Normal 19 2 2 5" xfId="1060" xr:uid="{DE74964C-0516-4A6A-8ADB-0777F9CD13D3}"/>
    <cellStyle name="Normal 19 2 3" xfId="348" xr:uid="{C652D204-66E6-45C1-8B35-51CC8B0834D2}"/>
    <cellStyle name="Normal 19 2 3 2" xfId="483" xr:uid="{7EBFD8CB-45CD-4542-8DCE-0C99F0E462EA}"/>
    <cellStyle name="Normal 19 2 3 2 2" xfId="753" xr:uid="{18BFC393-D063-4203-970A-854BC7B75BC7}"/>
    <cellStyle name="Normal 19 2 3 3" xfId="888" xr:uid="{DD193F78-8C7E-41B4-9F31-07A4B9E1DD74}"/>
    <cellStyle name="Normal 19 2 3 4" xfId="618" xr:uid="{B85066AA-DDC2-41DE-8BC8-DC07B310FA5F}"/>
    <cellStyle name="Normal 19 2 3 5" xfId="1115" xr:uid="{097536B8-6871-4249-AC72-7E50D9FD10FE}"/>
    <cellStyle name="Normal 19 2 4" xfId="386" xr:uid="{7ECD5389-6065-48BD-B2DA-A33578C18425}"/>
    <cellStyle name="Normal 19 2 4 2" xfId="690" xr:uid="{895C9A32-94B9-49E8-856E-F9AC82A636CB}"/>
    <cellStyle name="Normal 19 2 4 3" xfId="1153" xr:uid="{C78AB811-E392-4821-A8E2-E159BF7E0BC4}"/>
    <cellStyle name="Normal 19 2 5" xfId="420" xr:uid="{9093CB7F-87BF-4E7E-9ACC-5033FA1FBB22}"/>
    <cellStyle name="Normal 19 2 5 2" xfId="825" xr:uid="{674E5D05-0E2B-48CD-BE7A-22AFFB0CA495}"/>
    <cellStyle name="Normal 19 2 6" xfId="555" xr:uid="{AC23972D-05A7-4261-B9F3-25882B497A4C}"/>
    <cellStyle name="Normal 19 2 7" xfId="960" xr:uid="{3860C617-9828-4CC6-9D5B-E02858885306}"/>
    <cellStyle name="Normal 19 2 8" xfId="1021" xr:uid="{3CE9AD40-8B65-403E-844A-4BE593FD04FE}"/>
    <cellStyle name="Normal 19 3" xfId="101" xr:uid="{7DFBA69F-C752-41F6-BA52-4C03D0743ECD}"/>
    <cellStyle name="Normal 19 3 2" xfId="255" xr:uid="{09647F56-1B6A-4C80-A9DF-50DDFC7D6845}"/>
    <cellStyle name="Normal 19 3 2 2" xfId="526" xr:uid="{726213B5-86E8-4AC0-A6B6-47A716F06499}"/>
    <cellStyle name="Normal 19 3 2 2 2" xfId="796" xr:uid="{4A584371-403B-45CA-AC02-6A8909BFA5F5}"/>
    <cellStyle name="Normal 19 3 2 3" xfId="931" xr:uid="{82659051-C5BF-4A15-AFE2-EA3819B3A994}"/>
    <cellStyle name="Normal 19 3 2 4" xfId="661" xr:uid="{1AF1AA9B-9611-461A-A021-D88221796CD6}"/>
    <cellStyle name="Normal 19 3 2 5" xfId="1065" xr:uid="{135A4D6F-5F20-4389-9696-6D8AE0824680}"/>
    <cellStyle name="Normal 19 3 3" xfId="360" xr:uid="{19BE9BF4-CD96-4846-8DBC-50E89E32F65C}"/>
    <cellStyle name="Normal 19 3 3 2" xfId="488" xr:uid="{C41D7A7D-C1D6-400A-BF81-FE8613F77775}"/>
    <cellStyle name="Normal 19 3 3 2 2" xfId="758" xr:uid="{83D6DBE5-B106-47FE-AAD4-A9E5ADEF5018}"/>
    <cellStyle name="Normal 19 3 3 3" xfId="893" xr:uid="{C51A70AF-D290-4D4E-B7B2-9E985F6556C3}"/>
    <cellStyle name="Normal 19 3 3 4" xfId="623" xr:uid="{D646F4CE-7D6E-43E9-8E7C-44AEC5087A64}"/>
    <cellStyle name="Normal 19 3 3 5" xfId="1127" xr:uid="{E855C670-E5A3-46F3-9FC5-225A5A557F69}"/>
    <cellStyle name="Normal 19 3 4" xfId="391" xr:uid="{1714C63C-4E79-407B-8F4A-1F338891CB3F}"/>
    <cellStyle name="Normal 19 3 4 2" xfId="695" xr:uid="{EF12686A-9AD2-4B20-B949-FDB1BB20E52E}"/>
    <cellStyle name="Normal 19 3 4 3" xfId="1158" xr:uid="{008BABDD-4C45-4DC3-9125-53C44D91B0B8}"/>
    <cellStyle name="Normal 19 3 5" xfId="425" xr:uid="{55B2480C-0FB0-4F25-8707-1AEAA99C10E5}"/>
    <cellStyle name="Normal 19 3 5 2" xfId="830" xr:uid="{6919AF02-F5BD-4BB0-B2D6-AAE11455CB77}"/>
    <cellStyle name="Normal 19 3 6" xfId="560" xr:uid="{162FACF4-E1B8-434E-B58F-B6BFD3FC197C}"/>
    <cellStyle name="Normal 19 3 7" xfId="965" xr:uid="{06C6E2D8-4463-4970-A333-866EC8E05D68}"/>
    <cellStyle name="Normal 19 3 8" xfId="1033" xr:uid="{0ADD2704-CA85-4181-8246-A902ABC3C880}"/>
    <cellStyle name="Normal 19 4" xfId="238" xr:uid="{4E387D43-5BC2-4356-B0F0-9A73BEB42FBC}"/>
    <cellStyle name="Normal 19 4 2" xfId="396" xr:uid="{F1E7766D-0BD7-4F24-B25E-A20F67678830}"/>
    <cellStyle name="Normal 19 4 2 2" xfId="531" xr:uid="{8F1854BB-9871-4AB9-85DC-C4776E94257D}"/>
    <cellStyle name="Normal 19 4 2 2 2" xfId="801" xr:uid="{E1ABCE63-98DD-4A72-BFA8-1667DD972B14}"/>
    <cellStyle name="Normal 19 4 2 3" xfId="936" xr:uid="{8B671D43-1D83-4844-A8EC-855769D146D8}"/>
    <cellStyle name="Normal 19 4 2 4" xfId="666" xr:uid="{F248ACE5-8CD8-4CD1-A285-B0B453588117}"/>
    <cellStyle name="Normal 19 4 2 5" xfId="1163" xr:uid="{FA68AE5A-F9CF-474B-9121-78A0BAEC32EC}"/>
    <cellStyle name="Normal 19 4 3" xfId="493" xr:uid="{A4B36624-542C-49C7-A904-DA9A1DFEFB40}"/>
    <cellStyle name="Normal 19 4 3 2" xfId="763" xr:uid="{290E2CF1-62FA-4299-9597-AEBE140C2CC1}"/>
    <cellStyle name="Normal 19 4 3 3" xfId="898" xr:uid="{20AEA0D4-FA83-4960-94AB-841149F068A1}"/>
    <cellStyle name="Normal 19 4 3 4" xfId="628" xr:uid="{3626C0A7-D297-49C3-A5FB-E10AFCE22E41}"/>
    <cellStyle name="Normal 19 4 4" xfId="430" xr:uid="{C6091334-FB5E-4991-8E06-A5FD74ADB073}"/>
    <cellStyle name="Normal 19 4 4 2" xfId="700" xr:uid="{1EFA0CD2-A83F-4838-9481-B7CE4ACFDC1A}"/>
    <cellStyle name="Normal 19 4 5" xfId="835" xr:uid="{B6716A33-6CC9-4CA0-B54A-7DF02674A714}"/>
    <cellStyle name="Normal 19 4 6" xfId="565" xr:uid="{7F63A44D-202C-49F9-83F9-B4BB4FB0ADDE}"/>
    <cellStyle name="Normal 19 4 7" xfId="970" xr:uid="{5CDEA477-496F-41E9-8106-25FD73A1DD42}"/>
    <cellStyle name="Normal 19 4 8" xfId="1048" xr:uid="{6D0B3CC1-9AB3-4CCD-94DA-0FADA59DA4FB}"/>
    <cellStyle name="Normal 19 5" xfId="337" xr:uid="{1AEA1654-6BA4-4BB3-B97F-CD4289CE6201}"/>
    <cellStyle name="Normal 19 5 2" xfId="510" xr:uid="{25D7E016-9554-47DB-85EB-7551828A40F2}"/>
    <cellStyle name="Normal 19 5 2 2" xfId="780" xr:uid="{A25E468E-5AAF-47D1-8F78-62DE9622F072}"/>
    <cellStyle name="Normal 19 5 3" xfId="915" xr:uid="{72696787-9288-4A06-B663-8A4E867F63D7}"/>
    <cellStyle name="Normal 19 5 4" xfId="645" xr:uid="{3809E19F-5930-4B11-B060-49D79838000E}"/>
    <cellStyle name="Normal 19 5 5" xfId="1104" xr:uid="{2E33A86F-4B95-4944-B34F-90D0FCF469F4}"/>
    <cellStyle name="Normal 19 6" xfId="375" xr:uid="{268A1DEE-3635-4C0F-9202-A9BD4FD2712B}"/>
    <cellStyle name="Normal 19 6 2" xfId="472" xr:uid="{BBF61B4F-38DC-435A-B5FB-45D7885EE180}"/>
    <cellStyle name="Normal 19 6 2 2" xfId="742" xr:uid="{15B285A6-C5A9-4379-83CA-03053FC06C18}"/>
    <cellStyle name="Normal 19 6 3" xfId="877" xr:uid="{6FFC8C94-A901-48CE-8C25-2AC8EDAA4622}"/>
    <cellStyle name="Normal 19 6 4" xfId="607" xr:uid="{2D10FCA6-DD4C-49E4-A767-C6AE1BCD3141}"/>
    <cellStyle name="Normal 19 6 5" xfId="1142" xr:uid="{B1FDF195-AE98-4314-85C9-159A735E2D25}"/>
    <cellStyle name="Normal 19 7" xfId="409" xr:uid="{5A506B51-114B-47C2-8C6A-F24224A9D702}"/>
    <cellStyle name="Normal 19 7 2" xfId="679" xr:uid="{DEBB50DF-7599-48E5-9FFB-48767DC165C2}"/>
    <cellStyle name="Normal 19 8" xfId="814" xr:uid="{3051811F-6AFF-4209-A347-E8C95918E283}"/>
    <cellStyle name="Normal 19 9" xfId="544" xr:uid="{4CB498C0-ECD3-40AC-A805-3433A0016241}"/>
    <cellStyle name="Normal 2" xfId="8" xr:uid="{00000000-0005-0000-0000-000034000000}"/>
    <cellStyle name="Normal 2 2" xfId="9" xr:uid="{00000000-0005-0000-0000-000035000000}"/>
    <cellStyle name="Normal 2 2 10" xfId="1175" xr:uid="{AFC5D71B-616A-4214-982B-5A75F09EC56B}"/>
    <cellStyle name="Normal 2 2 2" xfId="10" xr:uid="{00000000-0005-0000-0000-000036000000}"/>
    <cellStyle name="Normal 2 2 2 2" xfId="85" xr:uid="{00000000-0005-0000-0000-000037000000}"/>
    <cellStyle name="Normal 2 2 2 2 2" xfId="290" xr:uid="{FED6DE06-37A6-4789-B5A5-D8877BCE0704}"/>
    <cellStyle name="Normal 2 2 2 2 2 2" xfId="721" xr:uid="{2B56D205-0D22-4922-929A-A800733CFA7D}"/>
    <cellStyle name="Normal 2 2 2 2 2 3" xfId="1085" xr:uid="{DBC6686F-3B0A-49D3-9C18-085F6D076809}"/>
    <cellStyle name="Normal 2 2 2 2 3" xfId="451" xr:uid="{9DE1D3C9-4078-4684-819C-D01D5299AD64}"/>
    <cellStyle name="Normal 2 2 2 2 3 2" xfId="856" xr:uid="{ABB42A01-78FE-4DEB-8059-D2F1A4F57468}"/>
    <cellStyle name="Normal 2 2 2 2 4" xfId="586" xr:uid="{AC7BAC61-05FE-4912-96D3-95A067F54859}"/>
    <cellStyle name="Normal 2 2 2 2 5" xfId="991" xr:uid="{DB89CFF4-991D-4751-8FA9-8347388EEE3A}"/>
    <cellStyle name="Normal 2 2 2 3" xfId="1178" xr:uid="{10ACE808-621C-452E-B888-B66550662BC6}"/>
    <cellStyle name="Normal 2 2 2 4" xfId="1181" xr:uid="{F1631DE5-2245-4585-A488-DDEBE3F29470}"/>
    <cellStyle name="Normal 2 2 3" xfId="65" xr:uid="{00000000-0005-0000-0000-000038000000}"/>
    <cellStyle name="Normal 2 2 3 2" xfId="311" xr:uid="{B6B3DA55-83E7-468C-8AA4-EEF61BD270EC}"/>
    <cellStyle name="Normal 2 2 4" xfId="115" xr:uid="{E7C68128-AF59-422C-B5EE-25DD68A2FBDD}"/>
    <cellStyle name="Normal 2 2 5" xfId="1177" xr:uid="{E83503B7-F837-498D-B570-62A800E0C88C}"/>
    <cellStyle name="Normal 2 3" xfId="11" xr:uid="{00000000-0005-0000-0000-000039000000}"/>
    <cellStyle name="Normal 2 3 2" xfId="66" xr:uid="{00000000-0005-0000-0000-00003A000000}"/>
    <cellStyle name="Normal 2 3 2 10" xfId="1012" xr:uid="{E2C3331F-4924-4D06-9716-B259F9D164C1}"/>
    <cellStyle name="Normal 2 3 2 2" xfId="92" xr:uid="{65FBE76D-2F89-41AF-AB1C-7015A3BB0765}"/>
    <cellStyle name="Normal 2 3 2 2 2" xfId="259" xr:uid="{9D026342-86E4-4BE3-8522-D1BD1AF4C664}"/>
    <cellStyle name="Normal 2 3 2 2 2 2" xfId="534" xr:uid="{27006C7F-A58C-4E95-BDA5-47DA05E16F24}"/>
    <cellStyle name="Normal 2 3 2 2 2 2 2" xfId="804" xr:uid="{836863F4-B83F-4A42-AA65-D329417E845B}"/>
    <cellStyle name="Normal 2 3 2 2 2 3" xfId="939" xr:uid="{BF399295-937F-4D48-974F-90C28DD87857}"/>
    <cellStyle name="Normal 2 3 2 2 2 4" xfId="669" xr:uid="{74CEF84F-A15A-4765-AF1B-346A11F29629}"/>
    <cellStyle name="Normal 2 3 2 2 2 5" xfId="1069" xr:uid="{A9D6F981-7981-472E-9EB9-70D983D7E667}"/>
    <cellStyle name="Normal 2 3 2 2 3" xfId="351" xr:uid="{4407D79B-B780-4AED-BB0B-73ED1BB94B4B}"/>
    <cellStyle name="Normal 2 3 2 2 3 2" xfId="496" xr:uid="{406F75F1-D199-4703-8752-452951EDDED6}"/>
    <cellStyle name="Normal 2 3 2 2 3 2 2" xfId="766" xr:uid="{0F502BF3-B2D4-4F85-B69B-6BFD7FBCDCB0}"/>
    <cellStyle name="Normal 2 3 2 2 3 3" xfId="901" xr:uid="{2BD114B5-1B78-4819-A186-E3F8030746E9}"/>
    <cellStyle name="Normal 2 3 2 2 3 4" xfId="631" xr:uid="{8078B59E-359A-40ED-BFC9-531F8C2D5DA7}"/>
    <cellStyle name="Normal 2 3 2 2 3 5" xfId="1118" xr:uid="{13228830-A17F-4F20-A2D5-D0314AE8B992}"/>
    <cellStyle name="Normal 2 3 2 2 4" xfId="399" xr:uid="{DA55A244-A8CC-4738-84FE-0F6BF6A64ED6}"/>
    <cellStyle name="Normal 2 3 2 2 4 2" xfId="703" xr:uid="{FF04416C-ADDD-47DE-B3CD-241DFD435715}"/>
    <cellStyle name="Normal 2 3 2 2 4 3" xfId="1166" xr:uid="{A4956CCD-9A3D-4D50-85F7-6DC2BC4786C7}"/>
    <cellStyle name="Normal 2 3 2 2 5" xfId="433" xr:uid="{F474C879-9BC1-42FE-B864-DCF2E19B2175}"/>
    <cellStyle name="Normal 2 3 2 2 5 2" xfId="838" xr:uid="{75A7C169-A080-499F-9D71-3014981CE4CE}"/>
    <cellStyle name="Normal 2 3 2 2 6" xfId="568" xr:uid="{CBC8C044-7825-4348-9D39-9AB30201F199}"/>
    <cellStyle name="Normal 2 3 2 2 7" xfId="973" xr:uid="{7168BA8A-7568-4FFD-8D69-A0B509D0165C}"/>
    <cellStyle name="Normal 2 3 2 2 8" xfId="1024" xr:uid="{EEECFC6C-5204-4B2D-869F-B00903285C77}"/>
    <cellStyle name="Normal 2 3 2 3" xfId="103" xr:uid="{E17B00CD-F6AF-4A4C-90DF-A0DC830671B6}"/>
    <cellStyle name="Normal 2 3 2 3 2" xfId="321" xr:uid="{4CDC490C-32FC-4ECE-9F8D-DBED0FF5BD27}"/>
    <cellStyle name="Normal 2 3 2 3 2 2" xfId="512" xr:uid="{AA7F32D8-5AE5-4EAC-BDA3-75F3D018B2C7}"/>
    <cellStyle name="Normal 2 3 2 3 2 2 2" xfId="782" xr:uid="{889089DE-FC0C-43D1-9A77-89F0D3E90CCE}"/>
    <cellStyle name="Normal 2 3 2 3 2 3" xfId="917" xr:uid="{B6622B23-AC7F-4306-9DA1-12780E0B074F}"/>
    <cellStyle name="Normal 2 3 2 3 2 4" xfId="647" xr:uid="{CDB23404-A2DE-403E-BD48-B5109C1CD5CD}"/>
    <cellStyle name="Normal 2 3 2 3 3" xfId="362" xr:uid="{06CCC616-3FA4-414A-AD36-8B9EC3980E2C}"/>
    <cellStyle name="Normal 2 3 2 3 3 2" xfId="1129" xr:uid="{B1C88D5E-2B16-435A-8058-342C5F2C7A72}"/>
    <cellStyle name="Normal 2 3 2 3 4" xfId="1035" xr:uid="{012066BB-38DB-47A1-8BAF-3B6C884E072F}"/>
    <cellStyle name="Normal 2 3 2 4" xfId="240" xr:uid="{22038B6A-1779-46DE-9F55-762480FAAAF9}"/>
    <cellStyle name="Normal 2 3 2 4 2" xfId="474" xr:uid="{E5D77EF1-2F05-4451-A4E8-3C8972794FEB}"/>
    <cellStyle name="Normal 2 3 2 4 2 2" xfId="744" xr:uid="{AD7D2618-A83B-4653-91C2-226BC9805E9E}"/>
    <cellStyle name="Normal 2 3 2 4 3" xfId="879" xr:uid="{CED9502D-2B31-4F1D-BA01-2FEDB806473A}"/>
    <cellStyle name="Normal 2 3 2 4 4" xfId="609" xr:uid="{5CA32114-8D1B-48A1-8F3C-C2D5D17A51CA}"/>
    <cellStyle name="Normal 2 3 2 4 5" xfId="1050" xr:uid="{789AA2CC-5071-45AB-B7C2-9FE25E5CEC69}"/>
    <cellStyle name="Normal 2 3 2 5" xfId="339" xr:uid="{D0A7290E-2704-430D-AF76-381F92F88E51}"/>
    <cellStyle name="Normal 2 3 2 5 2" xfId="681" xr:uid="{F22ACD95-601E-409E-8314-5F1A00D9D77F}"/>
    <cellStyle name="Normal 2 3 2 5 3" xfId="1106" xr:uid="{DF075894-9828-48CD-B432-F5ADA300A1CA}"/>
    <cellStyle name="Normal 2 3 2 6" xfId="377" xr:uid="{A8FEFFC0-44B8-4E0D-9587-41516290F11B}"/>
    <cellStyle name="Normal 2 3 2 6 2" xfId="816" xr:uid="{2A5F86A7-9A20-4089-AB96-072A10975737}"/>
    <cellStyle name="Normal 2 3 2 6 3" xfId="1144" xr:uid="{236B8C5E-13DF-471E-8BD5-B9F65E5295F6}"/>
    <cellStyle name="Normal 2 3 2 7" xfId="411" xr:uid="{42D1BBC2-557B-4B71-983C-DFFDDFE93081}"/>
    <cellStyle name="Normal 2 3 2 8" xfId="546" xr:uid="{E36A9AB9-0305-4B6B-A57C-777917CD7639}"/>
    <cellStyle name="Normal 2 3 2 9" xfId="951" xr:uid="{42E941FA-C718-4665-AC87-7A6E0C011D7F}"/>
    <cellStyle name="Normal 2 3 3" xfId="118" xr:uid="{42ECBE13-7CF2-4A53-B32D-6AD32C3AFFC8}"/>
    <cellStyle name="Normal 2 3 4" xfId="286" xr:uid="{64AEB524-0304-49C5-9083-EF8DC9BE93E5}"/>
    <cellStyle name="Normal 2 3 4 2" xfId="449" xr:uid="{6DA04A88-DA82-430B-8ABC-24DB13B2B351}"/>
    <cellStyle name="Normal 2 3 4 2 2" xfId="719" xr:uid="{5A017DF0-6FBB-4433-841E-7F41F40B059E}"/>
    <cellStyle name="Normal 2 3 4 3" xfId="854" xr:uid="{132C67BA-D490-4F6C-9B40-4A2F0A5BBF7C}"/>
    <cellStyle name="Normal 2 3 4 4" xfId="584" xr:uid="{400CD7BF-CCCF-47E4-A279-75CF12F157DB}"/>
    <cellStyle name="Normal 2 3 4 5" xfId="989" xr:uid="{5EB067E9-E681-4E7C-A7D8-EABE58A86C6C}"/>
    <cellStyle name="Normal 2 3 4 6" xfId="1083" xr:uid="{C6EC4CBB-BC60-4BF9-AF68-5C5339DE5922}"/>
    <cellStyle name="Normal 2 4" xfId="113" xr:uid="{4E60B398-E7F3-49D3-BF6C-E5EAB43270E6}"/>
    <cellStyle name="Normal 2 4 2" xfId="294" xr:uid="{DE450164-AC66-40BA-BB07-C9253EA414AF}"/>
    <cellStyle name="Normal 2 4 3" xfId="266" xr:uid="{1A349E27-A867-4BC7-87D2-E1A86A403BC6}"/>
    <cellStyle name="Normal 2 5" xfId="114" xr:uid="{122FA8B2-DB6F-402D-BF99-3C6595A6DBA0}"/>
    <cellStyle name="Normal 2 5 2" xfId="326" xr:uid="{BB4DFC99-21EB-48B0-B6F4-8A56EEA2AFF9}"/>
    <cellStyle name="Normal 2 6" xfId="268" xr:uid="{C1B91166-4E80-4198-AC7F-76A8BDCADBD0}"/>
    <cellStyle name="Normal 2_Operat_uzsk_pieteik_stacion_2011" xfId="67" xr:uid="{00000000-0005-0000-0000-00003B000000}"/>
    <cellStyle name="Normal 3" xfId="12" xr:uid="{00000000-0005-0000-0000-00003C000000}"/>
    <cellStyle name="Normal 3 10" xfId="376" xr:uid="{2FCA2F62-7107-4068-A017-FC01F3121AA7}"/>
    <cellStyle name="Normal 3 10 2" xfId="473" xr:uid="{5DC6C200-F7E0-4B4E-B1A1-D7695F61E1B2}"/>
    <cellStyle name="Normal 3 10 2 2" xfId="743" xr:uid="{CCF9AA01-13BA-45B7-A4A1-10563B40E16E}"/>
    <cellStyle name="Normal 3 10 3" xfId="878" xr:uid="{A61CCC5B-31E1-4DB7-9019-CB9C6F0DB4B4}"/>
    <cellStyle name="Normal 3 10 4" xfId="608" xr:uid="{A63629EE-1598-470E-89C9-342F58441EBF}"/>
    <cellStyle name="Normal 3 10 5" xfId="1143" xr:uid="{36BCBF71-D9E4-46FE-A8FE-9303D8BB546D}"/>
    <cellStyle name="Normal 3 11" xfId="410" xr:uid="{D86EECBA-6E50-4914-9A4C-7CC2A90CDEBD}"/>
    <cellStyle name="Normal 3 11 2" xfId="680" xr:uid="{6FE4373B-238E-42A1-A181-B3990F3F5F28}"/>
    <cellStyle name="Normal 3 12" xfId="815" xr:uid="{E9C1DC08-C3B9-4246-B407-2752BF1C713C}"/>
    <cellStyle name="Normal 3 13" xfId="545" xr:uid="{FAA245CA-D848-467B-824D-B0B9C163F66A}"/>
    <cellStyle name="Normal 3 14" xfId="950" xr:uid="{ABAB1C52-E742-4EBA-871A-922A853BDBEE}"/>
    <cellStyle name="Normal 3 15" xfId="1011" xr:uid="{C0C6EA81-3E03-4781-A893-0FDB5A9DD1D9}"/>
    <cellStyle name="Normal 3 2" xfId="68" xr:uid="{00000000-0005-0000-0000-00003D000000}"/>
    <cellStyle name="Normal 3 2 2" xfId="69" xr:uid="{00000000-0005-0000-0000-00003E000000}"/>
    <cellStyle name="Normal 3 2 3" xfId="329" xr:uid="{F0167729-6F66-4900-81C4-9DA196938637}"/>
    <cellStyle name="Normal 3 2 3 2" xfId="463" xr:uid="{DA28A897-BCE7-47AF-9037-CC04F7E2FB4E}"/>
    <cellStyle name="Normal 3 2 3 2 2" xfId="733" xr:uid="{6559FDDC-2C74-40DC-8782-2DD49A39DB7A}"/>
    <cellStyle name="Normal 3 2 3 3" xfId="868" xr:uid="{2EEEA470-4042-464B-B5DF-13A00E99D856}"/>
    <cellStyle name="Normal 3 2 3 4" xfId="598" xr:uid="{A36FB5FD-CDEA-4654-BFE1-706B0035E70A}"/>
    <cellStyle name="Normal 3 2 3 5" xfId="1003" xr:uid="{B710BB9A-C429-4394-BC0B-BDD61762A4E9}"/>
    <cellStyle name="Normal 3 2 3 6" xfId="1097" xr:uid="{D8AE1629-6784-46F1-A979-758DEC00F483}"/>
    <cellStyle name="Normal 3 2 4" xfId="287" xr:uid="{D852C267-2697-46E5-A5A9-8AAFE6F8AF0B}"/>
    <cellStyle name="Normal 3 2 4 2" xfId="450" xr:uid="{1ACD329B-9993-4113-8B60-00F9BEE8F3E8}"/>
    <cellStyle name="Normal 3 2 4 2 2" xfId="720" xr:uid="{320FD8BB-DBE0-4281-8795-0ECA4840CA46}"/>
    <cellStyle name="Normal 3 2 4 3" xfId="855" xr:uid="{50D8457C-6BA5-4FB6-AEE7-7FC0C6502748}"/>
    <cellStyle name="Normal 3 2 4 4" xfId="585" xr:uid="{9ADFCCEC-0194-4D15-A9BE-3906DAC93DBC}"/>
    <cellStyle name="Normal 3 2 4 5" xfId="990" xr:uid="{98182F65-5072-4CD4-A70F-2D626B0821A3}"/>
    <cellStyle name="Normal 3 2 4 6" xfId="1084" xr:uid="{E0F94173-1458-402F-AF42-C815D434FBD6}"/>
    <cellStyle name="Normal 3 3" xfId="70" xr:uid="{00000000-0005-0000-0000-00003F000000}"/>
    <cellStyle name="Normal 3 3 10" xfId="1013" xr:uid="{A2C3F9FC-35EF-484B-9E67-7FD150034451}"/>
    <cellStyle name="Normal 3 3 2" xfId="93" xr:uid="{6E8434B8-F69D-49D1-98F9-653AF6884D93}"/>
    <cellStyle name="Normal 3 3 2 2" xfId="260" xr:uid="{23C08242-FD9F-4CE5-939D-AE041C5CD6C6}"/>
    <cellStyle name="Normal 3 3 2 2 2" xfId="535" xr:uid="{0707F068-D595-46C0-932E-077AAA916998}"/>
    <cellStyle name="Normal 3 3 2 2 2 2" xfId="805" xr:uid="{5714117A-7D98-4808-A873-0291B84AAE24}"/>
    <cellStyle name="Normal 3 3 2 2 3" xfId="940" xr:uid="{B6335B4C-8133-48E1-A596-95BE9CFA05F6}"/>
    <cellStyle name="Normal 3 3 2 2 4" xfId="670" xr:uid="{D1388662-94A8-4B1D-A4CB-D4E1AE2D2440}"/>
    <cellStyle name="Normal 3 3 2 2 5" xfId="1070" xr:uid="{C3F128EE-245F-4DF6-A9E7-EDB407C8C84D}"/>
    <cellStyle name="Normal 3 3 2 3" xfId="352" xr:uid="{81340144-8E88-45EC-97FC-C900E882F69C}"/>
    <cellStyle name="Normal 3 3 2 3 2" xfId="497" xr:uid="{E6E976EF-592B-451C-B6B2-955005EA7BAD}"/>
    <cellStyle name="Normal 3 3 2 3 2 2" xfId="767" xr:uid="{F35A7F2C-2FFF-4930-B185-54D10F91D142}"/>
    <cellStyle name="Normal 3 3 2 3 3" xfId="902" xr:uid="{D246412E-519C-42F2-A407-EE570316D984}"/>
    <cellStyle name="Normal 3 3 2 3 4" xfId="632" xr:uid="{784449EF-2C76-4B7A-84A7-4CB0A61EBA40}"/>
    <cellStyle name="Normal 3 3 2 3 5" xfId="1119" xr:uid="{903FE93F-D1C9-4888-B5FA-605591E3B8AF}"/>
    <cellStyle name="Normal 3 3 2 4" xfId="400" xr:uid="{EFB2FFDD-BBE4-4969-B9A3-A25BCB1A0046}"/>
    <cellStyle name="Normal 3 3 2 4 2" xfId="704" xr:uid="{933C16F1-5B3B-43C5-9658-F2A353CC3661}"/>
    <cellStyle name="Normal 3 3 2 4 3" xfId="1167" xr:uid="{64C238A1-D309-425D-A108-7AD3E83D6749}"/>
    <cellStyle name="Normal 3 3 2 5" xfId="434" xr:uid="{B280FA07-DAC1-49CA-875B-CDD47E7E3A9B}"/>
    <cellStyle name="Normal 3 3 2 5 2" xfId="839" xr:uid="{12EFB9A8-A6DC-4957-9A93-8AAD8AD95960}"/>
    <cellStyle name="Normal 3 3 2 6" xfId="569" xr:uid="{F983F5D6-CD78-4292-93B5-9D646F29129C}"/>
    <cellStyle name="Normal 3 3 2 7" xfId="974" xr:uid="{03512AD8-6D33-452B-B6B9-7B3D4D7BF80B}"/>
    <cellStyle name="Normal 3 3 2 8" xfId="1025" xr:uid="{66BE4E21-DF38-44FE-962F-3091337873EC}"/>
    <cellStyle name="Normal 3 3 3" xfId="104" xr:uid="{F19B0FDE-D8B8-496B-B77E-678E7A640B01}"/>
    <cellStyle name="Normal 3 3 3 2" xfId="363" xr:uid="{17C4C57A-7223-4D9E-AAE7-D1E7EBF887C7}"/>
    <cellStyle name="Normal 3 3 3 2 2" xfId="783" xr:uid="{A7DA28D3-6973-4A54-ACB3-17EC9A82E1C8}"/>
    <cellStyle name="Normal 3 3 3 2 3" xfId="1130" xr:uid="{F1EE6DEF-8CB1-4AAB-B4AE-9CD374DA904D}"/>
    <cellStyle name="Normal 3 3 3 3" xfId="513" xr:uid="{D34740D6-F01A-4FC9-8E94-E25031C36B1A}"/>
    <cellStyle name="Normal 3 3 3 3 2" xfId="918" xr:uid="{84807204-7874-4B12-B1D1-8D63538178AB}"/>
    <cellStyle name="Normal 3 3 3 4" xfId="648" xr:uid="{038D816F-775C-4E66-ACE0-647540CF8BC4}"/>
    <cellStyle name="Normal 3 3 3 5" xfId="1036" xr:uid="{E5F54895-1CBD-4619-B9FE-1E3A3582EBC2}"/>
    <cellStyle name="Normal 3 3 4" xfId="241" xr:uid="{461FD486-F199-4C35-9A2D-D483B41DD053}"/>
    <cellStyle name="Normal 3 3 4 2" xfId="475" xr:uid="{81F9B15A-CF4C-442D-A18D-EC025E93C3B6}"/>
    <cellStyle name="Normal 3 3 4 2 2" xfId="745" xr:uid="{775C83C2-B919-4B0B-BF9E-C81D87074EE7}"/>
    <cellStyle name="Normal 3 3 4 3" xfId="880" xr:uid="{F9AA4836-1B0F-4E13-AA7C-B11B2AAE8F13}"/>
    <cellStyle name="Normal 3 3 4 4" xfId="610" xr:uid="{499BD712-4843-4130-9930-0F093E0A5309}"/>
    <cellStyle name="Normal 3 3 4 5" xfId="1051" xr:uid="{62A63A66-F9C6-4AA4-89E8-8D8A911707DF}"/>
    <cellStyle name="Normal 3 3 5" xfId="340" xr:uid="{BB614823-E542-4B0C-87CE-D85F23301DD0}"/>
    <cellStyle name="Normal 3 3 5 2" xfId="682" xr:uid="{18343C80-1DEC-441A-A069-145A85734C7C}"/>
    <cellStyle name="Normal 3 3 5 3" xfId="1107" xr:uid="{91276C76-DA8A-4A84-AFFC-05F9DC792A4B}"/>
    <cellStyle name="Normal 3 3 6" xfId="378" xr:uid="{27736835-652C-465F-964A-479D96E7EDCB}"/>
    <cellStyle name="Normal 3 3 6 2" xfId="817" xr:uid="{C3711DEA-F3C7-4195-9DEB-9F88389DE83F}"/>
    <cellStyle name="Normal 3 3 6 3" xfId="1145" xr:uid="{BC185027-A86F-4AD5-9E73-260C94EC74EB}"/>
    <cellStyle name="Normal 3 3 7" xfId="412" xr:uid="{92481244-5441-4317-9B1E-04743B833749}"/>
    <cellStyle name="Normal 3 3 8" xfId="547" xr:uid="{39F4059B-49B0-488C-AB19-1B3E6A20EED3}"/>
    <cellStyle name="Normal 3 3 9" xfId="952" xr:uid="{D67D438C-8608-437F-87CA-9DD1898AFE7D}"/>
    <cellStyle name="Normal 3 4" xfId="89" xr:uid="{E63445A5-E88C-42A7-91F9-B69EAADF1B6D}"/>
    <cellStyle name="Normal 3 4 2" xfId="116" xr:uid="{0DED6BE8-109F-45A3-8AC3-DAB518342968}"/>
    <cellStyle name="Normal 3 4 2 2" xfId="371" xr:uid="{DDDCE6D6-C760-4D53-AAA6-75F29B1B8AF6}"/>
    <cellStyle name="Normal 3 4 2 2 2" xfId="792" xr:uid="{C9CB914F-E6AA-4735-82DB-4C99E686C912}"/>
    <cellStyle name="Normal 3 4 2 2 3" xfId="1138" xr:uid="{CA190289-D459-4DB8-AD5E-8B5C95FAF56B}"/>
    <cellStyle name="Normal 3 4 2 3" xfId="522" xr:uid="{2A74ABFC-53C8-49A2-A104-8D00B56BC8D1}"/>
    <cellStyle name="Normal 3 4 2 3 2" xfId="927" xr:uid="{E0383817-4FF4-4971-9604-E13B5899F5C3}"/>
    <cellStyle name="Normal 3 4 2 4" xfId="657" xr:uid="{693EB234-C6F2-4D29-ADC3-0F2D039D3D34}"/>
    <cellStyle name="Normal 3 4 2 5" xfId="1044" xr:uid="{14B2EC72-48C5-4034-A1E2-B829B80744E8}"/>
    <cellStyle name="Normal 3 4 3" xfId="251" xr:uid="{20C601DA-3EB1-4094-9DAC-9E979FD6D72A}"/>
    <cellStyle name="Normal 3 4 3 2" xfId="484" xr:uid="{440FCC32-D2D8-4847-8C2D-A810FEDC2DDC}"/>
    <cellStyle name="Normal 3 4 3 2 2" xfId="754" xr:uid="{4A833242-169D-4ECA-B9AE-87BF92FC9BEE}"/>
    <cellStyle name="Normal 3 4 3 3" xfId="889" xr:uid="{E835691F-5860-4607-A929-D543DB3E4452}"/>
    <cellStyle name="Normal 3 4 3 4" xfId="619" xr:uid="{8AAED207-DABF-48EB-8CC1-111BC8D2104C}"/>
    <cellStyle name="Normal 3 4 3 5" xfId="1061" xr:uid="{3642E71A-D14A-4FD2-8ECE-BED54119C742}"/>
    <cellStyle name="Normal 3 4 4" xfId="349" xr:uid="{FC39822E-21BC-4299-86FC-55EF35CEF5D5}"/>
    <cellStyle name="Normal 3 4 4 2" xfId="691" xr:uid="{7CBEBA71-5399-4364-A461-9539459941D3}"/>
    <cellStyle name="Normal 3 4 4 3" xfId="1116" xr:uid="{15119035-7EE5-405E-98DE-D9B3B44177E6}"/>
    <cellStyle name="Normal 3 4 5" xfId="387" xr:uid="{A1602D72-42F2-4BCA-83B0-B4F8DA65BADC}"/>
    <cellStyle name="Normal 3 4 5 2" xfId="826" xr:uid="{380C11F4-53BD-455C-B4B6-13760A8F6E98}"/>
    <cellStyle name="Normal 3 4 5 3" xfId="1154" xr:uid="{E0D526D7-7F58-4BF2-9C7E-49F77238D6CD}"/>
    <cellStyle name="Normal 3 4 6" xfId="421" xr:uid="{35EEAB26-2055-4228-85CD-A87F5BCC5E50}"/>
    <cellStyle name="Normal 3 4 7" xfId="556" xr:uid="{29874F90-1FBE-4220-84F0-4A980316CD21}"/>
    <cellStyle name="Normal 3 4 8" xfId="961" xr:uid="{A7520364-4391-48BB-9E29-D6029EFE9CD3}"/>
    <cellStyle name="Normal 3 4 9" xfId="1022" xr:uid="{E8376B97-CB04-4C77-95B4-D3B67C47405E}"/>
    <cellStyle name="Normal 3 49" xfId="1176" xr:uid="{019450B1-4EA6-4958-8897-7DFB762BFE4F}"/>
    <cellStyle name="Normal 3 5" xfId="102" xr:uid="{66F44E82-232F-43E9-B0D0-B88597ECCBCB}"/>
    <cellStyle name="Normal 3 5 2" xfId="256" xr:uid="{051F632D-BB72-40D6-9BBF-C044E818CA2E}"/>
    <cellStyle name="Normal 3 5 2 2" xfId="527" xr:uid="{935C1A24-6B9D-4C7C-8CAF-C0230625DF29}"/>
    <cellStyle name="Normal 3 5 2 2 2" xfId="797" xr:uid="{FF63D372-1671-41AB-8202-0D3F36D343ED}"/>
    <cellStyle name="Normal 3 5 2 3" xfId="932" xr:uid="{6A01814C-E04A-4570-B116-9FB24AD6C261}"/>
    <cellStyle name="Normal 3 5 2 4" xfId="662" xr:uid="{A44C7468-55A5-4022-AC7A-90F5A162788D}"/>
    <cellStyle name="Normal 3 5 2 5" xfId="1066" xr:uid="{DDBFD825-0FFE-46F6-946A-037ED4C8A796}"/>
    <cellStyle name="Normal 3 5 3" xfId="361" xr:uid="{1C121D54-96F8-47ED-B21C-7DF7D5BBDA90}"/>
    <cellStyle name="Normal 3 5 3 2" xfId="489" xr:uid="{776BA6A4-E25B-47CA-9CB8-FD83A026CC96}"/>
    <cellStyle name="Normal 3 5 3 2 2" xfId="759" xr:uid="{324975C9-7D6D-424E-AD88-BC552E1F4CD5}"/>
    <cellStyle name="Normal 3 5 3 3" xfId="894" xr:uid="{DF860E1D-AD7E-404F-829C-65B8B821BA17}"/>
    <cellStyle name="Normal 3 5 3 4" xfId="624" xr:uid="{E558E149-38D3-4327-953F-20CACE62DB05}"/>
    <cellStyle name="Normal 3 5 3 5" xfId="1128" xr:uid="{DD5CA13A-8271-4618-8FB5-8238CFA4C883}"/>
    <cellStyle name="Normal 3 5 4" xfId="392" xr:uid="{CE649337-A0FB-4CB4-9E18-52331B0AE110}"/>
    <cellStyle name="Normal 3 5 4 2" xfId="696" xr:uid="{117870B0-9154-49F7-B35D-4CD16C69DE49}"/>
    <cellStyle name="Normal 3 5 4 3" xfId="1159" xr:uid="{ED03CE32-C1F8-4D1F-A735-3DB85F68D076}"/>
    <cellStyle name="Normal 3 5 5" xfId="426" xr:uid="{DD279668-D034-4D84-ABE0-5C0E4A5B6FCE}"/>
    <cellStyle name="Normal 3 5 5 2" xfId="831" xr:uid="{EA3B2A2F-2E9F-4CA2-BAFB-AC66E25DF6E5}"/>
    <cellStyle name="Normal 3 5 6" xfId="561" xr:uid="{1C420D76-4537-4795-9A9B-6C5CACF9D371}"/>
    <cellStyle name="Normal 3 5 7" xfId="966" xr:uid="{7E86EF26-E12E-4276-91D8-05E823719D91}"/>
    <cellStyle name="Normal 3 5 8" xfId="1034" xr:uid="{3A3D6CFB-53A7-4493-809F-ED4896884B70}"/>
    <cellStyle name="Normal 3 6" xfId="239" xr:uid="{5B294584-E920-411D-A93B-EBCD72A4D60B}"/>
    <cellStyle name="Normal 3 6 2" xfId="397" xr:uid="{A5538EE1-AA09-44EF-8F2B-8981898465CD}"/>
    <cellStyle name="Normal 3 6 2 2" xfId="532" xr:uid="{7BED0342-1AB7-499F-B34B-1A7CE42ABE58}"/>
    <cellStyle name="Normal 3 6 2 2 2" xfId="802" xr:uid="{69D11E03-E98A-47B8-A283-4282049E2AB9}"/>
    <cellStyle name="Normal 3 6 2 3" xfId="937" xr:uid="{052273FA-E293-40DF-A6BC-64D43E540904}"/>
    <cellStyle name="Normal 3 6 2 4" xfId="667" xr:uid="{8B43A4B3-6165-47CA-BF05-2513A51D63A0}"/>
    <cellStyle name="Normal 3 6 2 5" xfId="1164" xr:uid="{4C7763D9-8495-4DDE-A757-F28BCE1D3029}"/>
    <cellStyle name="Normal 3 6 3" xfId="494" xr:uid="{C59A7EC9-66D3-4F00-8564-3F1BDD479FBC}"/>
    <cellStyle name="Normal 3 6 3 2" xfId="764" xr:uid="{BA4B407C-6A4E-4330-9E2C-F0D455A422F4}"/>
    <cellStyle name="Normal 3 6 3 3" xfId="899" xr:uid="{BA67B2B6-AD2F-4532-B35D-CDCD299610B3}"/>
    <cellStyle name="Normal 3 6 3 4" xfId="629" xr:uid="{1FF759EF-A769-45BD-845D-D20B7AFCF946}"/>
    <cellStyle name="Normal 3 6 4" xfId="431" xr:uid="{8D8436DC-276A-432F-8239-4385ACCF6989}"/>
    <cellStyle name="Normal 3 6 4 2" xfId="701" xr:uid="{122C7EB9-9B43-4C51-B12A-52AD19564605}"/>
    <cellStyle name="Normal 3 6 5" xfId="836" xr:uid="{07BA071B-C2DE-4797-AA52-90689CCBD835}"/>
    <cellStyle name="Normal 3 6 6" xfId="566" xr:uid="{3088B4DB-B127-4CD1-BBED-D7CA92EF21FF}"/>
    <cellStyle name="Normal 3 6 7" xfId="971" xr:uid="{1BE9283C-A857-412C-976B-6D534090CCC2}"/>
    <cellStyle name="Normal 3 6 8" xfId="1049" xr:uid="{42792308-6C38-434A-A0ED-ED3F57BD8B9B}"/>
    <cellStyle name="Normal 3 7" xfId="269" xr:uid="{1510AEA0-90B3-4F38-A975-5818CA161996}"/>
    <cellStyle name="Normal 3 7 2" xfId="504" xr:uid="{AC379245-7002-43F4-B70D-7A89D2BB62D1}"/>
    <cellStyle name="Normal 3 7 2 2" xfId="774" xr:uid="{7C26884B-5128-43FC-827E-056373B8A735}"/>
    <cellStyle name="Normal 3 7 2 3" xfId="909" xr:uid="{9BE61180-8C56-44A1-99BC-4F2BCF454722}"/>
    <cellStyle name="Normal 3 7 2 4" xfId="639" xr:uid="{06D55C36-059A-4488-8A4B-14B419E53179}"/>
    <cellStyle name="Normal 3 7 3" xfId="441" xr:uid="{35E2D45D-B4DE-4381-BF65-016C79969C99}"/>
    <cellStyle name="Normal 3 7 3 2" xfId="711" xr:uid="{781FF990-4AA0-45A4-BBB5-EDEA60B824DA}"/>
    <cellStyle name="Normal 3 7 4" xfId="846" xr:uid="{EF3830FD-29A5-424A-9DEC-8C00573607DC}"/>
    <cellStyle name="Normal 3 7 5" xfId="576" xr:uid="{AF78EE11-35DF-46F4-AA1A-E044C7A22977}"/>
    <cellStyle name="Normal 3 7 6" xfId="981" xr:uid="{B4FD1C61-4162-4A05-94F1-DC2EEFC97B56}"/>
    <cellStyle name="Normal 3 7 7" xfId="1075" xr:uid="{6A878F57-98E6-403A-84ED-D4CB7A6060EE}"/>
    <cellStyle name="Normal 3 8" xfId="271" xr:uid="{20A7205D-F1C1-49CE-B2AA-11270374F85D}"/>
    <cellStyle name="Normal 3 8 2" xfId="506" xr:uid="{993E18EF-A2D3-43DC-8AD9-2AE6443D3697}"/>
    <cellStyle name="Normal 3 8 2 2" xfId="776" xr:uid="{41160122-A97F-41BA-9C89-B1F8FCCED2A2}"/>
    <cellStyle name="Normal 3 8 2 3" xfId="911" xr:uid="{5E81E1EF-FD61-4681-B921-6041951E4BA9}"/>
    <cellStyle name="Normal 3 8 2 4" xfId="641" xr:uid="{288D757D-C999-4391-9C01-5D61B4610C15}"/>
    <cellStyle name="Normal 3 8 3" xfId="443" xr:uid="{CC116A75-A796-4EE4-94D3-B5804B70C6FD}"/>
    <cellStyle name="Normal 3 8 3 2" xfId="713" xr:uid="{BF7D2CAD-E552-4EEA-A40D-48517CE10D43}"/>
    <cellStyle name="Normal 3 8 4" xfId="848" xr:uid="{C405973C-DFC5-48C3-8F62-0804D42720B0}"/>
    <cellStyle name="Normal 3 8 5" xfId="578" xr:uid="{AEA49B14-D52D-4B15-A055-62D87F489D74}"/>
    <cellStyle name="Normal 3 8 6" xfId="983" xr:uid="{FA2FEF88-ABF1-446A-95F2-56573768786A}"/>
    <cellStyle name="Normal 3 8 7" xfId="1077" xr:uid="{74F28F82-5C39-4887-9AEE-6B6BCC5E9229}"/>
    <cellStyle name="Normal 3 9" xfId="338" xr:uid="{C815F215-94ED-4376-B683-DCBD193D00D0}"/>
    <cellStyle name="Normal 3 9 2" xfId="511" xr:uid="{C0BDA3D4-C8FA-4B5D-BFCE-4C7BF6FA85CB}"/>
    <cellStyle name="Normal 3 9 2 2" xfId="781" xr:uid="{14AC4E5E-4A3D-47FE-8EE0-9C74D7DFC7EE}"/>
    <cellStyle name="Normal 3 9 2 3" xfId="916" xr:uid="{240F45E3-7430-42B7-9FD2-E2B221E80CBA}"/>
    <cellStyle name="Normal 3 9 2 4" xfId="646" xr:uid="{A1633AD1-E67D-444E-983A-BBF895D2D1C2}"/>
    <cellStyle name="Normal 3 9 3" xfId="468" xr:uid="{0C8ACEDA-C4D7-4D39-B801-24F6D618C406}"/>
    <cellStyle name="Normal 3 9 3 2" xfId="738" xr:uid="{C0FACE38-9FD8-48A2-83D9-A516D23797FA}"/>
    <cellStyle name="Normal 3 9 4" xfId="873" xr:uid="{8CAA018C-90B4-4A88-8AED-E105474994DC}"/>
    <cellStyle name="Normal 3 9 5" xfId="603" xr:uid="{DCC09339-8AC1-4936-8727-CA6AE39F29D5}"/>
    <cellStyle name="Normal 3 9 6" xfId="1105" xr:uid="{7D419E2F-A68F-4DD0-9EF4-A7F546E68523}"/>
    <cellStyle name="Normal 4" xfId="13" xr:uid="{00000000-0005-0000-0000-000040000000}"/>
    <cellStyle name="Normal 4 2" xfId="71" xr:uid="{00000000-0005-0000-0000-000041000000}"/>
    <cellStyle name="Normal 4 2 10" xfId="1014" xr:uid="{AB2DB050-93D3-45AF-B7F5-E1015057DE8F}"/>
    <cellStyle name="Normal 4 2 2" xfId="94" xr:uid="{1CF6409C-A497-41E2-B8C5-0AC0F00BC2B9}"/>
    <cellStyle name="Normal 4 2 2 2" xfId="261" xr:uid="{9179D16E-7312-47B5-8B13-078A207CE6C2}"/>
    <cellStyle name="Normal 4 2 2 2 2" xfId="536" xr:uid="{0F9BF5AD-A65B-4491-9E7D-E2E1549130C3}"/>
    <cellStyle name="Normal 4 2 2 2 2 2" xfId="806" xr:uid="{0C15C758-645A-4597-AEC4-32AF1A5CC2B1}"/>
    <cellStyle name="Normal 4 2 2 2 3" xfId="941" xr:uid="{9FBB9383-2E8E-4B21-9BB1-6DA7DD1278E8}"/>
    <cellStyle name="Normal 4 2 2 2 4" xfId="671" xr:uid="{5A41AC3B-2420-4279-BBD1-C243132503FA}"/>
    <cellStyle name="Normal 4 2 2 2 5" xfId="1071" xr:uid="{62794168-6DE3-44ED-8585-84E46B268E60}"/>
    <cellStyle name="Normal 4 2 2 3" xfId="353" xr:uid="{29E310F8-CA83-4ECF-87F1-139D4A43C522}"/>
    <cellStyle name="Normal 4 2 2 3 2" xfId="498" xr:uid="{19B9AE7C-3106-4C8E-8ED9-4157781E8668}"/>
    <cellStyle name="Normal 4 2 2 3 2 2" xfId="768" xr:uid="{7FE6375B-2F89-4F62-ADB1-3E6BFB509EE7}"/>
    <cellStyle name="Normal 4 2 2 3 3" xfId="903" xr:uid="{31292C40-A2E8-41BF-979D-0AF7110DB473}"/>
    <cellStyle name="Normal 4 2 2 3 4" xfId="633" xr:uid="{63BAD789-91E2-47FB-8704-D1DBBDE6D781}"/>
    <cellStyle name="Normal 4 2 2 3 5" xfId="1120" xr:uid="{E9DD326C-1B7A-4282-B66E-A46950DBD711}"/>
    <cellStyle name="Normal 4 2 2 4" xfId="401" xr:uid="{C4B53FD9-4ED6-4ABC-B717-1A5EB0E30428}"/>
    <cellStyle name="Normal 4 2 2 4 2" xfId="705" xr:uid="{D8073F55-12C2-453F-8364-CECC28493BA8}"/>
    <cellStyle name="Normal 4 2 2 4 3" xfId="1168" xr:uid="{6BEA26BD-210B-4E7C-BCA5-451C596C3B7B}"/>
    <cellStyle name="Normal 4 2 2 5" xfId="435" xr:uid="{541E27EF-9A7F-4059-B9DC-C93537DFB547}"/>
    <cellStyle name="Normal 4 2 2 5 2" xfId="840" xr:uid="{7BF40AEC-E6C6-49A5-8A18-20190C10D496}"/>
    <cellStyle name="Normal 4 2 2 6" xfId="570" xr:uid="{5F0AF5E7-9A4B-4391-8E6F-D2D089DC38A7}"/>
    <cellStyle name="Normal 4 2 2 7" xfId="975" xr:uid="{9FFE3B08-82D3-4588-B2AC-0B81F3E42AF1}"/>
    <cellStyle name="Normal 4 2 2 8" xfId="1026" xr:uid="{F7555387-9FE0-4D16-ADEE-F1D76EF55D58}"/>
    <cellStyle name="Normal 4 2 3" xfId="105" xr:uid="{8C562AC1-921A-41EC-BD34-C82AA8757C23}"/>
    <cellStyle name="Normal 4 2 3 2" xfId="281" xr:uid="{9572E839-6970-4717-8978-3CC63AC7E3DE}"/>
    <cellStyle name="Normal 4 2 3 2 2" xfId="514" xr:uid="{A6F193B8-1633-4A05-9D29-94F678CE5A94}"/>
    <cellStyle name="Normal 4 2 3 2 2 2" xfId="784" xr:uid="{16B72537-DD89-4D55-AA9A-90C14F653037}"/>
    <cellStyle name="Normal 4 2 3 2 3" xfId="919" xr:uid="{9ECAD301-EF82-481C-857E-60A3DD783BCE}"/>
    <cellStyle name="Normal 4 2 3 2 4" xfId="649" xr:uid="{539A35EA-E159-4CCC-B0B3-5F28A042BAB5}"/>
    <cellStyle name="Normal 4 2 3 3" xfId="364" xr:uid="{1796356B-FBBF-43B6-B7EC-482B7E708CDE}"/>
    <cellStyle name="Normal 4 2 3 3 2" xfId="1131" xr:uid="{7F68568C-2430-4751-9667-91CA7074F9D4}"/>
    <cellStyle name="Normal 4 2 3 4" xfId="1037" xr:uid="{DB38C9D3-6974-4BFB-B916-DD6172DD9314}"/>
    <cellStyle name="Normal 4 2 4" xfId="242" xr:uid="{BE1EB656-7E38-4A18-AB74-31E87D93DBB9}"/>
    <cellStyle name="Normal 4 2 4 2" xfId="476" xr:uid="{9D175F24-6A7B-4DA6-B400-54F9BC8AAFE1}"/>
    <cellStyle name="Normal 4 2 4 2 2" xfId="746" xr:uid="{AEECC0CA-5D8B-4F8C-888C-49DB04D2EFEE}"/>
    <cellStyle name="Normal 4 2 4 3" xfId="881" xr:uid="{0B9BC53A-DBD0-4B91-A26A-0F4D06B0F756}"/>
    <cellStyle name="Normal 4 2 4 4" xfId="611" xr:uid="{FD9CB57F-79FE-4A36-9534-83D1DBADD772}"/>
    <cellStyle name="Normal 4 2 4 5" xfId="1052" xr:uid="{98A85FC2-E50F-4E67-9EEC-76E21760DA9B}"/>
    <cellStyle name="Normal 4 2 5" xfId="341" xr:uid="{53410396-1E4C-43FF-94EB-4BBCA7E4BD7C}"/>
    <cellStyle name="Normal 4 2 5 2" xfId="683" xr:uid="{DFBE4099-25C0-401B-B04A-FDC1C93A3B8B}"/>
    <cellStyle name="Normal 4 2 5 3" xfId="1108" xr:uid="{34180175-D8EF-49C9-9F46-F24C49D4F6F2}"/>
    <cellStyle name="Normal 4 2 6" xfId="379" xr:uid="{6684C030-25CB-4C6C-91B7-DBDE063A314E}"/>
    <cellStyle name="Normal 4 2 6 2" xfId="818" xr:uid="{94350823-9BE4-42D1-963F-689D2B520A01}"/>
    <cellStyle name="Normal 4 2 6 3" xfId="1146" xr:uid="{304E4E47-3FCD-4B69-B4E4-4007CBCB7C9B}"/>
    <cellStyle name="Normal 4 2 7" xfId="413" xr:uid="{2681C7B9-DBE7-41C6-B089-C750ED368D59}"/>
    <cellStyle name="Normal 4 2 8" xfId="548" xr:uid="{EE72A0FD-4449-40C5-877F-EE8D32254D39}"/>
    <cellStyle name="Normal 4 2 9" xfId="953" xr:uid="{C99330C3-1F7D-43B0-8054-188400FC26C5}"/>
    <cellStyle name="Normal 4 3" xfId="72" xr:uid="{00000000-0005-0000-0000-000042000000}"/>
    <cellStyle name="Normal 4 4" xfId="277" xr:uid="{4ACAC931-2D27-4034-881B-1632EF4078CE}"/>
    <cellStyle name="Normal 5" xfId="14" xr:uid="{00000000-0005-0000-0000-000043000000}"/>
    <cellStyle name="Normal 5 2" xfId="73" xr:uid="{00000000-0005-0000-0000-000044000000}"/>
    <cellStyle name="Normal 5 2 10" xfId="1015" xr:uid="{2D8FD279-7299-449B-BED6-FD32DC4E3A7E}"/>
    <cellStyle name="Normal 5 2 2" xfId="95" xr:uid="{BFA52FC2-568B-4A75-946B-6F806B2BFFD7}"/>
    <cellStyle name="Normal 5 2 2 2" xfId="262" xr:uid="{F8490417-98D3-4953-A89D-138BD47D4B1A}"/>
    <cellStyle name="Normal 5 2 2 2 2" xfId="537" xr:uid="{0C6245C9-2F7F-4F0B-9E61-2C01E1174122}"/>
    <cellStyle name="Normal 5 2 2 2 2 2" xfId="807" xr:uid="{BE32606C-941E-4603-B154-2FA3ADC3627B}"/>
    <cellStyle name="Normal 5 2 2 2 3" xfId="942" xr:uid="{86EB136F-19C1-4B6C-8968-3B204B42C1F8}"/>
    <cellStyle name="Normal 5 2 2 2 4" xfId="672" xr:uid="{806BBA91-D136-482D-BB7D-6BFA94DB02BA}"/>
    <cellStyle name="Normal 5 2 2 2 5" xfId="1072" xr:uid="{DE70F09F-8E1E-4D4C-B63E-DE2871A3EE72}"/>
    <cellStyle name="Normal 5 2 2 3" xfId="354" xr:uid="{61EEF4D2-CA16-49B8-A721-66D36758FBA3}"/>
    <cellStyle name="Normal 5 2 2 3 2" xfId="499" xr:uid="{CE24E678-4AAB-42B1-90F0-C8E0DB5716EC}"/>
    <cellStyle name="Normal 5 2 2 3 2 2" xfId="769" xr:uid="{0C0D9F97-BFDB-43D0-97CC-26864A7EA626}"/>
    <cellStyle name="Normal 5 2 2 3 3" xfId="904" xr:uid="{96E3F602-69DB-49E8-B042-D187053A7ECF}"/>
    <cellStyle name="Normal 5 2 2 3 4" xfId="634" xr:uid="{A0AB58C7-9A75-405E-A992-2B157C2AEA77}"/>
    <cellStyle name="Normal 5 2 2 3 5" xfId="1121" xr:uid="{F78830AB-1A72-413C-924B-266FF6F33FC0}"/>
    <cellStyle name="Normal 5 2 2 4" xfId="402" xr:uid="{DA9D49D3-C645-407D-A059-696E85C7BD10}"/>
    <cellStyle name="Normal 5 2 2 4 2" xfId="706" xr:uid="{ED8B5F2B-7D7D-4FAD-A989-9E383C428B40}"/>
    <cellStyle name="Normal 5 2 2 4 3" xfId="1169" xr:uid="{D35BC55C-E670-4D2D-BFB9-ADC7428E877A}"/>
    <cellStyle name="Normal 5 2 2 5" xfId="436" xr:uid="{A14E19AE-27ED-439E-9C5E-A842AA5C10B2}"/>
    <cellStyle name="Normal 5 2 2 5 2" xfId="841" xr:uid="{D745694E-6656-44C3-A29E-03A1444EB47C}"/>
    <cellStyle name="Normal 5 2 2 6" xfId="571" xr:uid="{D6AD9A57-79C3-47CD-9037-D07C4F019129}"/>
    <cellStyle name="Normal 5 2 2 7" xfId="976" xr:uid="{02B561E4-FCAF-46A8-B9A0-8A0B743E55C1}"/>
    <cellStyle name="Normal 5 2 2 8" xfId="1027" xr:uid="{00AF18DC-DFD1-4273-A9C6-494533871337}"/>
    <cellStyle name="Normal 5 2 3" xfId="106" xr:uid="{A2E37DE0-4C06-4859-957D-6651EBA4D229}"/>
    <cellStyle name="Normal 5 2 3 2" xfId="282" xr:uid="{E29AF8E3-8310-4AF8-9C18-EE56E01D0D55}"/>
    <cellStyle name="Normal 5 2 3 2 2" xfId="515" xr:uid="{8910D2D9-947F-4A7E-B44C-1F9AB94CC2F4}"/>
    <cellStyle name="Normal 5 2 3 2 2 2" xfId="785" xr:uid="{DAB6AF72-A308-4CDC-8C02-3B8158D65BD7}"/>
    <cellStyle name="Normal 5 2 3 2 3" xfId="920" xr:uid="{92D6D837-61FE-465D-88E4-024E8B4B8701}"/>
    <cellStyle name="Normal 5 2 3 2 4" xfId="650" xr:uid="{E2E610B7-85A6-4932-8395-F0B973859404}"/>
    <cellStyle name="Normal 5 2 3 3" xfId="365" xr:uid="{AF34BDCE-9521-4F57-B7F2-4F6C484B0664}"/>
    <cellStyle name="Normal 5 2 3 3 2" xfId="1132" xr:uid="{45D7B9A3-B5BD-4822-A6A3-D77CC38E666D}"/>
    <cellStyle name="Normal 5 2 3 4" xfId="1038" xr:uid="{DD75C81C-095C-4905-9193-3CDB74AFACA4}"/>
    <cellStyle name="Normal 5 2 4" xfId="243" xr:uid="{7CDCCC80-A483-45B2-8ECE-C5D312B65D91}"/>
    <cellStyle name="Normal 5 2 4 2" xfId="477" xr:uid="{F170B76A-9DF2-4441-AAF1-5417DFEB4935}"/>
    <cellStyle name="Normal 5 2 4 2 2" xfId="747" xr:uid="{4DDB3DFB-696A-4D04-B85C-4E8D5C414C9E}"/>
    <cellStyle name="Normal 5 2 4 3" xfId="882" xr:uid="{2F61533F-6CD3-41D6-B4A8-F9A370D55A2B}"/>
    <cellStyle name="Normal 5 2 4 4" xfId="612" xr:uid="{29874B4F-8564-48F0-8A3D-0B4D6DF9281E}"/>
    <cellStyle name="Normal 5 2 4 5" xfId="1053" xr:uid="{2EBCCF22-1D94-46AA-A759-24C860A25982}"/>
    <cellStyle name="Normal 5 2 5" xfId="342" xr:uid="{7EBD2D88-29D3-4F7B-AE3B-A509A629BCFE}"/>
    <cellStyle name="Normal 5 2 5 2" xfId="684" xr:uid="{E1561E05-DE4B-418C-81A5-64B441F5564A}"/>
    <cellStyle name="Normal 5 2 5 3" xfId="1109" xr:uid="{8DF2B746-A1B9-4EDD-AD08-96141670D46F}"/>
    <cellStyle name="Normal 5 2 6" xfId="380" xr:uid="{4621AB54-1462-4200-9688-5F54A3C54704}"/>
    <cellStyle name="Normal 5 2 6 2" xfId="819" xr:uid="{58754A92-64C2-4E6F-8CEF-0CEB75F01AF9}"/>
    <cellStyle name="Normal 5 2 6 3" xfId="1147" xr:uid="{D47C71EB-912F-44AC-90AD-B44C3C2FD9C0}"/>
    <cellStyle name="Normal 5 2 7" xfId="414" xr:uid="{95A3BCB7-ABA1-4BF2-BC57-C66388571635}"/>
    <cellStyle name="Normal 5 2 8" xfId="549" xr:uid="{93457A7B-87C5-4028-AF00-A44BF20AED2D}"/>
    <cellStyle name="Normal 5 2 9" xfId="954" xr:uid="{AABDD89B-C967-4964-923F-753CCAE1F1B0}"/>
    <cellStyle name="Normal 5 3" xfId="278" xr:uid="{8213D353-A7DA-4888-83D9-E08F65F0ACE0}"/>
    <cellStyle name="Normal 6" xfId="15" xr:uid="{00000000-0005-0000-0000-000045000000}"/>
    <cellStyle name="Normal 6 2" xfId="25" xr:uid="{00000000-0005-0000-0000-000046000000}"/>
    <cellStyle name="Normal 6 2 2" xfId="292" xr:uid="{04C2A3CF-BE55-405B-8F8B-7D4773A9A2A5}"/>
    <cellStyle name="Normal 6 3" xfId="291" xr:uid="{82717293-3D1B-445C-9D85-D79756C63608}"/>
    <cellStyle name="Normal 6 4" xfId="295" xr:uid="{470F7148-A671-45F4-9791-9E9089F905CC}"/>
    <cellStyle name="Normal 6 5" xfId="285" xr:uid="{C1875577-F39D-421A-A3E7-83A95EFC3C64}"/>
    <cellStyle name="Normal 7" xfId="22" xr:uid="{00000000-0005-0000-0000-000047000000}"/>
    <cellStyle name="Normal 7 2" xfId="74" xr:uid="{00000000-0005-0000-0000-000048000000}"/>
    <cellStyle name="Normal 7 3" xfId="314" xr:uid="{605EED8B-8E47-4A34-A455-2F45B5D1BBB1}"/>
    <cellStyle name="Normal 8" xfId="16" xr:uid="{00000000-0005-0000-0000-000049000000}"/>
    <cellStyle name="Normal 8 2" xfId="90" xr:uid="{2F83599D-D342-4A85-9929-853E39B47626}"/>
    <cellStyle name="Normal 8 3" xfId="288" xr:uid="{02F041BD-5414-4921-93FA-D4FF9E24F10D}"/>
    <cellStyle name="Normal 9" xfId="75" xr:uid="{00000000-0005-0000-0000-00004A000000}"/>
    <cellStyle name="Normal 9 10" xfId="955" xr:uid="{6379E602-271C-48A5-81FE-1E096679720D}"/>
    <cellStyle name="Normal 9 11" xfId="1016" xr:uid="{246AD46B-A939-484F-BC69-9CF34A4CC101}"/>
    <cellStyle name="Normal 9 2" xfId="76" xr:uid="{00000000-0005-0000-0000-00004B000000}"/>
    <cellStyle name="Normal 9 2 10" xfId="956" xr:uid="{7E4B9237-8048-490C-AD5B-BB4952EC905E}"/>
    <cellStyle name="Normal 9 2 11" xfId="1017" xr:uid="{62940A5C-4378-4A13-844D-B6951FB99E21}"/>
    <cellStyle name="Normal 9 2 2" xfId="97" xr:uid="{BE00647F-C599-4E54-9BDA-9A6E3D6D5060}"/>
    <cellStyle name="Normal 9 2 2 2" xfId="252" xr:uid="{43252F9C-AB2D-424F-9027-E5A29AF0D14D}"/>
    <cellStyle name="Normal 9 2 2 2 2" xfId="523" xr:uid="{50C997EA-EE30-4B80-B1E4-26EF635626EF}"/>
    <cellStyle name="Normal 9 2 2 2 2 2" xfId="793" xr:uid="{4FD03957-87A5-4D33-9D1F-3A68C6C5FFF6}"/>
    <cellStyle name="Normal 9 2 2 2 3" xfId="928" xr:uid="{F9B52208-667A-45C8-8E26-C35F60B121FD}"/>
    <cellStyle name="Normal 9 2 2 2 4" xfId="658" xr:uid="{3A533A39-F069-418F-A4A6-545D01CD6923}"/>
    <cellStyle name="Normal 9 2 2 2 5" xfId="1062" xr:uid="{6A085E35-71B6-4931-9656-84B1B2F33733}"/>
    <cellStyle name="Normal 9 2 2 3" xfId="356" xr:uid="{0E9D9399-5328-4933-A862-8CC52EEDA3C5}"/>
    <cellStyle name="Normal 9 2 2 3 2" xfId="485" xr:uid="{807D7B74-7EDE-40D2-B4E5-77A8AA9396F9}"/>
    <cellStyle name="Normal 9 2 2 3 2 2" xfId="755" xr:uid="{7F598DEF-4C1C-499C-BA4A-A80D1C99A923}"/>
    <cellStyle name="Normal 9 2 2 3 3" xfId="890" xr:uid="{8CE99CC3-C236-4B07-817B-1334F6F35A17}"/>
    <cellStyle name="Normal 9 2 2 3 4" xfId="620" xr:uid="{206D671F-19C7-4846-9551-4AE5FC352F1F}"/>
    <cellStyle name="Normal 9 2 2 3 5" xfId="1123" xr:uid="{B8C80383-9C0D-4525-9149-DD9ED09C3BCC}"/>
    <cellStyle name="Normal 9 2 2 4" xfId="388" xr:uid="{7B65EFCF-630A-4DC2-9A33-3B09893085ED}"/>
    <cellStyle name="Normal 9 2 2 4 2" xfId="692" xr:uid="{F9F98520-99BB-4E11-9CA8-9618CD558C70}"/>
    <cellStyle name="Normal 9 2 2 4 3" xfId="1155" xr:uid="{3D1BB2FC-F01A-4461-8BA4-81083D61CA80}"/>
    <cellStyle name="Normal 9 2 2 5" xfId="422" xr:uid="{DCC8A6C9-1F3F-465F-B1B0-5B56AF486548}"/>
    <cellStyle name="Normal 9 2 2 5 2" xfId="827" xr:uid="{5CCB5E10-15B6-46B0-AA5B-F3A3B8A7C746}"/>
    <cellStyle name="Normal 9 2 2 6" xfId="557" xr:uid="{2FC6CDA2-D4CA-4DE6-B27D-23F5ED223168}"/>
    <cellStyle name="Normal 9 2 2 7" xfId="962" xr:uid="{29F9EF1B-03F5-43B7-B332-8CB8A829F7B9}"/>
    <cellStyle name="Normal 9 2 2 8" xfId="1029" xr:uid="{D89EC478-FB96-4641-BCEF-98749030552B}"/>
    <cellStyle name="Normal 9 2 3" xfId="108" xr:uid="{0D44A29E-A8B2-4118-BA4C-3D4126AD92B7}"/>
    <cellStyle name="Normal 9 2 3 2" xfId="257" xr:uid="{9751CDC3-4C22-4B4F-8246-8A6367638B8E}"/>
    <cellStyle name="Normal 9 2 3 2 2" xfId="528" xr:uid="{8AE0F669-49CE-4A54-BED7-6BE99F0283CF}"/>
    <cellStyle name="Normal 9 2 3 2 2 2" xfId="798" xr:uid="{CCBBE326-C788-4600-9637-C7BD6CF1ADA2}"/>
    <cellStyle name="Normal 9 2 3 2 3" xfId="933" xr:uid="{9657EC5C-6860-420F-BA34-054415037ED7}"/>
    <cellStyle name="Normal 9 2 3 2 4" xfId="663" xr:uid="{C5BA677B-E5A4-4F4B-9EB9-3E8170DBF143}"/>
    <cellStyle name="Normal 9 2 3 2 5" xfId="1067" xr:uid="{4F924C94-9140-46E4-8732-C537940A55B7}"/>
    <cellStyle name="Normal 9 2 3 3" xfId="367" xr:uid="{EF2A5E6C-2466-4F95-BF33-42DA6D0CDB72}"/>
    <cellStyle name="Normal 9 2 3 3 2" xfId="490" xr:uid="{79C7B84C-5A37-47C8-A9CB-1060F4AEE8EB}"/>
    <cellStyle name="Normal 9 2 3 3 2 2" xfId="760" xr:uid="{BC9790E0-B3BD-41B9-8245-62C724EF8B56}"/>
    <cellStyle name="Normal 9 2 3 3 3" xfId="895" xr:uid="{ADB5CED5-51E4-49A9-A6F4-6602FABD31B4}"/>
    <cellStyle name="Normal 9 2 3 3 4" xfId="625" xr:uid="{97DC2AF8-72A8-4B16-A7B2-36C2122C5DFB}"/>
    <cellStyle name="Normal 9 2 3 3 5" xfId="1134" xr:uid="{D7D731B8-70CC-4FC9-990F-D5D382FA6858}"/>
    <cellStyle name="Normal 9 2 3 4" xfId="393" xr:uid="{3CECA9B0-A3A4-4174-A726-F274F7CD7027}"/>
    <cellStyle name="Normal 9 2 3 4 2" xfId="697" xr:uid="{C57F08F7-A4E1-4B55-9FE1-A157E10F1C95}"/>
    <cellStyle name="Normal 9 2 3 4 3" xfId="1160" xr:uid="{6DB1F099-FFA2-46F2-96B6-EB153E86AA0D}"/>
    <cellStyle name="Normal 9 2 3 5" xfId="427" xr:uid="{A125F725-0772-45F6-9602-2D5C8CCB5699}"/>
    <cellStyle name="Normal 9 2 3 5 2" xfId="832" xr:uid="{1AE408D2-1B59-4D82-BDC8-8A9FF25D6030}"/>
    <cellStyle name="Normal 9 2 3 6" xfId="562" xr:uid="{20A30E36-F8AA-41DF-BE52-47AC82EA6029}"/>
    <cellStyle name="Normal 9 2 3 7" xfId="967" xr:uid="{42883C2A-EF11-4846-A7E9-3944A6CA1CAD}"/>
    <cellStyle name="Normal 9 2 3 8" xfId="1040" xr:uid="{DFCF1868-BE80-4AF0-8DE1-05F9AD6D5AF2}"/>
    <cellStyle name="Normal 9 2 4" xfId="245" xr:uid="{332DAC07-6822-4C89-9CF3-A2E05F88D77C}"/>
    <cellStyle name="Normal 9 2 4 2" xfId="404" xr:uid="{1BA27E7C-2F6C-45C5-BC58-B544F522D385}"/>
    <cellStyle name="Normal 9 2 4 2 2" xfId="539" xr:uid="{58545362-B83E-4F48-BC15-6BDA659A33EC}"/>
    <cellStyle name="Normal 9 2 4 2 2 2" xfId="809" xr:uid="{025F01B2-E38D-481F-99B2-A12917CCC089}"/>
    <cellStyle name="Normal 9 2 4 2 3" xfId="944" xr:uid="{3A979E42-4579-49A9-8C2B-1266D0DE9964}"/>
    <cellStyle name="Normal 9 2 4 2 4" xfId="674" xr:uid="{B4D4BB92-B61D-4AA4-94DF-98DF4A569536}"/>
    <cellStyle name="Normal 9 2 4 2 5" xfId="1171" xr:uid="{500B407A-3684-404C-9485-0BE2BDBAD698}"/>
    <cellStyle name="Normal 9 2 4 3" xfId="501" xr:uid="{DEEE4BED-4958-4E77-960A-6B9843A8CA5C}"/>
    <cellStyle name="Normal 9 2 4 3 2" xfId="771" xr:uid="{21B22002-9ECD-46E6-9EB8-39E64F8158C3}"/>
    <cellStyle name="Normal 9 2 4 3 3" xfId="906" xr:uid="{7793289F-E71D-47D9-BCE0-65BB431C3BDE}"/>
    <cellStyle name="Normal 9 2 4 3 4" xfId="636" xr:uid="{0BDB2B55-24C3-4416-93AF-BE0220B933CA}"/>
    <cellStyle name="Normal 9 2 4 4" xfId="438" xr:uid="{4A4C6DDC-2879-46BE-8D52-EA595CDC4C51}"/>
    <cellStyle name="Normal 9 2 4 4 2" xfId="708" xr:uid="{6255AB16-F913-4748-B908-F86BDA70178B}"/>
    <cellStyle name="Normal 9 2 4 5" xfId="843" xr:uid="{F146C564-120C-49E5-B802-E8D0404FDFB7}"/>
    <cellStyle name="Normal 9 2 4 6" xfId="573" xr:uid="{DA8DC80E-203C-4A40-B58F-78EAA432B836}"/>
    <cellStyle name="Normal 9 2 4 7" xfId="978" xr:uid="{35FCCCB0-BBB4-4C78-A278-10D179E5D8A2}"/>
    <cellStyle name="Normal 9 2 4 8" xfId="1055" xr:uid="{201D2F42-4242-4B1F-8B2C-3A4754708DED}"/>
    <cellStyle name="Normal 9 2 5" xfId="344" xr:uid="{9760614E-41C8-4D18-AE61-A3DDF6720D68}"/>
    <cellStyle name="Normal 9 2 5 2" xfId="517" xr:uid="{0A552E23-E21A-48C9-A3A6-BA3C5589654D}"/>
    <cellStyle name="Normal 9 2 5 2 2" xfId="787" xr:uid="{7C173A00-3B7D-491C-AF84-49EE11A0E964}"/>
    <cellStyle name="Normal 9 2 5 3" xfId="922" xr:uid="{4E8A0F9F-0504-4F9B-AEC2-B5F5F7A3BB57}"/>
    <cellStyle name="Normal 9 2 5 4" xfId="652" xr:uid="{14D3D085-BECA-4E84-867D-4E6992DCB0F7}"/>
    <cellStyle name="Normal 9 2 5 5" xfId="1111" xr:uid="{D3FE41D3-A981-44D4-93A8-7D1BA0A243A8}"/>
    <cellStyle name="Normal 9 2 6" xfId="382" xr:uid="{44E86A9C-AF41-46F1-924A-BBC60B0B592C}"/>
    <cellStyle name="Normal 9 2 6 2" xfId="479" xr:uid="{40D95B33-4644-4FFD-AE45-B39D359150D5}"/>
    <cellStyle name="Normal 9 2 6 2 2" xfId="749" xr:uid="{60F7747B-3B38-4D37-BF05-07987762A26E}"/>
    <cellStyle name="Normal 9 2 6 3" xfId="884" xr:uid="{6D94E48B-C491-4125-954F-DF021F6A31F4}"/>
    <cellStyle name="Normal 9 2 6 4" xfId="614" xr:uid="{B69DFEB8-1B70-4221-A4FC-307F10E5B455}"/>
    <cellStyle name="Normal 9 2 6 5" xfId="1149" xr:uid="{4F44AD84-A4FF-489F-8428-AAA9BC240AA0}"/>
    <cellStyle name="Normal 9 2 7" xfId="416" xr:uid="{95CB0642-653A-4075-BF14-A8DBB12F48DC}"/>
    <cellStyle name="Normal 9 2 7 2" xfId="686" xr:uid="{3EE15E87-8F74-4089-A1F1-8819484681A9}"/>
    <cellStyle name="Normal 9 2 8" xfId="821" xr:uid="{F2CD0F85-E475-4D4F-BFA3-14BAB3F9B587}"/>
    <cellStyle name="Normal 9 2 9" xfId="551" xr:uid="{55FBFB76-CF0A-45E3-AB5D-0725DFB80F8E}"/>
    <cellStyle name="Normal 9 3" xfId="96" xr:uid="{21B5D14C-9043-4C19-9308-2126E17B3F16}"/>
    <cellStyle name="Normal 9 3 2" xfId="263" xr:uid="{610CE607-4FC5-424A-A318-52049EF1C9CF}"/>
    <cellStyle name="Normal 9 3 2 2" xfId="538" xr:uid="{88201F98-0CCD-413C-B93F-8318A1EA5FF8}"/>
    <cellStyle name="Normal 9 3 2 2 2" xfId="808" xr:uid="{A80F2DDA-5FE3-4AC1-BBCF-73DF88DFDCA1}"/>
    <cellStyle name="Normal 9 3 2 3" xfId="943" xr:uid="{2ACCBA06-466A-4942-BC51-77040C89773B}"/>
    <cellStyle name="Normal 9 3 2 4" xfId="673" xr:uid="{D83A96AF-EA1B-4702-B9A2-A2004E3D9403}"/>
    <cellStyle name="Normal 9 3 2 5" xfId="1073" xr:uid="{846F4FBF-15BD-4536-92D3-31EAE619A6F9}"/>
    <cellStyle name="Normal 9 3 3" xfId="355" xr:uid="{9B7D49C7-8D24-4981-A2E3-B0C5ECF4E49B}"/>
    <cellStyle name="Normal 9 3 3 2" xfId="500" xr:uid="{83DF1751-832F-4762-8A61-200D06ADAFA5}"/>
    <cellStyle name="Normal 9 3 3 2 2" xfId="770" xr:uid="{81A99C9B-8D52-4926-B0CE-AC08DCC0A16D}"/>
    <cellStyle name="Normal 9 3 3 3" xfId="905" xr:uid="{E2B7B787-D06B-4712-908B-398EED8CA8B6}"/>
    <cellStyle name="Normal 9 3 3 4" xfId="635" xr:uid="{24CF8F01-E618-4AD6-AE00-836B8F0C964C}"/>
    <cellStyle name="Normal 9 3 3 5" xfId="1122" xr:uid="{F9E35251-35FC-4C57-95D6-69CCDD0BEF0A}"/>
    <cellStyle name="Normal 9 3 4" xfId="403" xr:uid="{4C6F5212-686D-4615-91DD-B1387D764F11}"/>
    <cellStyle name="Normal 9 3 4 2" xfId="707" xr:uid="{C55C9AA7-ECE7-4961-B659-17B43ECF9523}"/>
    <cellStyle name="Normal 9 3 4 3" xfId="1170" xr:uid="{71495FED-D865-4C84-97F5-C4D2F1DB8C2F}"/>
    <cellStyle name="Normal 9 3 5" xfId="437" xr:uid="{0BCF9FFB-CE4A-40EB-9C50-B669504E0C18}"/>
    <cellStyle name="Normal 9 3 5 2" xfId="842" xr:uid="{6B7BC94A-BF32-4888-B1F5-42ACFE8DF870}"/>
    <cellStyle name="Normal 9 3 6" xfId="572" xr:uid="{9E8A4A92-52C1-4C9B-9F6C-26E3709C508C}"/>
    <cellStyle name="Normal 9 3 7" xfId="977" xr:uid="{AFE70B85-CFB0-47FA-8942-733ED8FE30EA}"/>
    <cellStyle name="Normal 9 3 8" xfId="1028" xr:uid="{FA24CF43-FDED-4B6E-9F72-F62FF5E6198B}"/>
    <cellStyle name="Normal 9 4" xfId="107" xr:uid="{551C28F0-F02D-4748-BF0F-3BD958CA7D18}"/>
    <cellStyle name="Normal 9 4 2" xfId="289" xr:uid="{35BD7141-A500-4ED8-8E0E-829600F1B239}"/>
    <cellStyle name="Normal 9 4 2 2" xfId="516" xr:uid="{9BFC1D4B-0C44-4E93-A903-790C49E47833}"/>
    <cellStyle name="Normal 9 4 2 2 2" xfId="786" xr:uid="{65D1B964-E220-49DA-B192-250212AAB5AB}"/>
    <cellStyle name="Normal 9 4 2 3" xfId="921" xr:uid="{0D05D693-6891-4590-BD44-BA031BD825D6}"/>
    <cellStyle name="Normal 9 4 2 4" xfId="651" xr:uid="{FF125089-60B1-4BC0-A2AA-E79F5E21823C}"/>
    <cellStyle name="Normal 9 4 3" xfId="366" xr:uid="{8D9C571E-D641-42E1-B2F9-AC6C390D6E90}"/>
    <cellStyle name="Normal 9 4 3 2" xfId="1133" xr:uid="{C0953420-4136-476A-8205-F515EF60C59F}"/>
    <cellStyle name="Normal 9 4 4" xfId="1039" xr:uid="{C215457C-A7C5-4C1A-8658-68CD387A7EE9}"/>
    <cellStyle name="Normal 9 5" xfId="244" xr:uid="{8D371ADC-DD80-4270-BB7A-2EECDC2E37A0}"/>
    <cellStyle name="Normal 9 5 2" xfId="478" xr:uid="{7FCC3308-A3D7-4019-85FB-4AD68056202E}"/>
    <cellStyle name="Normal 9 5 2 2" xfId="748" xr:uid="{A428635B-DA69-40E2-90BB-3D8F9A2C088E}"/>
    <cellStyle name="Normal 9 5 3" xfId="883" xr:uid="{15391DF3-11CE-4C1E-B8D2-F67AC099D231}"/>
    <cellStyle name="Normal 9 5 4" xfId="613" xr:uid="{1C07B8BF-FE30-49A5-B051-FA51ED0B8E4E}"/>
    <cellStyle name="Normal 9 5 5" xfId="1054" xr:uid="{343DAE60-C443-4706-9A79-246AAC2BC0EF}"/>
    <cellStyle name="Normal 9 6" xfId="343" xr:uid="{CFDF5000-AB3D-476A-A19D-F6C45E6A781C}"/>
    <cellStyle name="Normal 9 6 2" xfId="685" xr:uid="{600FD276-4245-42D8-8AB4-A5009EF9F9DF}"/>
    <cellStyle name="Normal 9 6 3" xfId="1110" xr:uid="{0E115000-37DF-46F6-8C06-7F2E46FAA770}"/>
    <cellStyle name="Normal 9 7" xfId="381" xr:uid="{20A783CE-097A-4D5B-B1D3-F9EC9E8E816F}"/>
    <cellStyle name="Normal 9 7 2" xfId="820" xr:uid="{0CA7CDE4-8357-42CA-A5F1-AD2967B73237}"/>
    <cellStyle name="Normal 9 7 3" xfId="1148" xr:uid="{02E330CA-3E76-405E-839E-029CBA3534A9}"/>
    <cellStyle name="Normal 9 8" xfId="415" xr:uid="{08005B29-DDAF-40D4-8C54-77A6BA10B683}"/>
    <cellStyle name="Normal 9 9" xfId="550" xr:uid="{F34E5B98-6F42-4CC3-9061-507F93B64640}"/>
    <cellStyle name="Nosaukums" xfId="171" xr:uid="{A4CE7F28-BBCA-4ACE-B223-E9CC86312236}"/>
    <cellStyle name="Note 2" xfId="77" xr:uid="{00000000-0005-0000-0000-00004C000000}"/>
    <cellStyle name="Note 2 2" xfId="172" xr:uid="{607F9E89-E106-441B-AE38-E52558401455}"/>
    <cellStyle name="Note 2 3" xfId="1182" xr:uid="{C068DB68-CDD2-48F5-A9BD-8DD09DB0E1CF}"/>
    <cellStyle name="Note 2 4" xfId="1185" xr:uid="{E30BA7E8-E46A-46A6-AA9C-A2A4278FA767}"/>
    <cellStyle name="Output 2" xfId="78" xr:uid="{00000000-0005-0000-0000-00004D000000}"/>
    <cellStyle name="Output 2 2" xfId="1183" xr:uid="{4FEC4C75-D4FA-454C-9310-C8F7959143A2}"/>
    <cellStyle name="Parastais_FMLikp01_p05_221205_pap_afp_makp" xfId="17" xr:uid="{00000000-0005-0000-0000-00004E000000}"/>
    <cellStyle name="Parasts 2" xfId="275" xr:uid="{F807EBC9-19EF-4289-9938-42CCB57D0BD8}"/>
    <cellStyle name="Parasts 3" xfId="276" xr:uid="{EFCE6E87-2B0B-4F37-A44B-11BCE1233927}"/>
    <cellStyle name="Parasts 4" xfId="305" xr:uid="{7F3FB213-57BE-40A9-A7F0-B9B3EE44DA97}"/>
    <cellStyle name="Paskaidrojošs teksts" xfId="173" xr:uid="{FBA926C6-EC6B-4D21-9D5E-694D4C41BD2E}"/>
    <cellStyle name="Pārbaudes šūna" xfId="174" xr:uid="{15E94FC9-567A-4955-8B4F-959A3D15FF19}"/>
    <cellStyle name="Percent 2" xfId="18" xr:uid="{00000000-0005-0000-0000-00004F000000}"/>
    <cellStyle name="Percent 2 2" xfId="117" xr:uid="{2C9717BE-8EF6-4AC0-BF91-8B818268F964}"/>
    <cellStyle name="Percent 2 2 2" xfId="270" xr:uid="{46B7A9DB-17B5-4BD8-A7B1-AB15DF8D841B}"/>
    <cellStyle name="Percent 2 2 2 2" xfId="505" xr:uid="{92EFA903-B1AE-4CB0-8069-BF04C02114F3}"/>
    <cellStyle name="Percent 2 2 2 2 2" xfId="775" xr:uid="{0963EF45-D161-4EFA-ACD6-DB0A87D13FDD}"/>
    <cellStyle name="Percent 2 2 2 3" xfId="910" xr:uid="{2B06DA8B-E89E-4F00-BB0F-875B658033DB}"/>
    <cellStyle name="Percent 2 2 2 4" xfId="640" xr:uid="{BCCE5B40-71E6-4759-8655-1D702AC6580A}"/>
    <cellStyle name="Percent 2 2 2 5" xfId="1076" xr:uid="{574ABD8C-BBAE-4253-9DD8-DE2E29AC8A78}"/>
    <cellStyle name="Percent 2 2 3" xfId="372" xr:uid="{68C14CB5-7034-455F-B219-42811C960B77}"/>
    <cellStyle name="Percent 2 2 3 2" xfId="712" xr:uid="{D73D7BE7-BF45-4B62-A693-0EB157886544}"/>
    <cellStyle name="Percent 2 2 3 3" xfId="1139" xr:uid="{F87533CB-5BF3-4252-9F4B-1E24BD0E7DBD}"/>
    <cellStyle name="Percent 2 2 4" xfId="442" xr:uid="{545C6F9E-F5FB-4450-B843-C302C924364C}"/>
    <cellStyle name="Percent 2 2 4 2" xfId="847" xr:uid="{F44A17EC-D212-4981-B523-DA049AA1A7C1}"/>
    <cellStyle name="Percent 2 2 5" xfId="577" xr:uid="{4E8A06FB-9214-49AC-901B-56E0C40AF9A9}"/>
    <cellStyle name="Percent 2 2 6" xfId="982" xr:uid="{6EF311B5-0840-4561-9119-56555598A6B0}"/>
    <cellStyle name="Percent 2 2 7" xfId="1045" xr:uid="{3104AA07-D9CE-43DD-8EEF-10A87058B56C}"/>
    <cellStyle name="Percent 2 3" xfId="272" xr:uid="{67BE8ACF-F8AD-4281-BAB2-A536EBDDF0B0}"/>
    <cellStyle name="Percent 2 3 2" xfId="507" xr:uid="{8074671D-5EF8-462B-97A9-1441461F564E}"/>
    <cellStyle name="Percent 2 3 2 2" xfId="777" xr:uid="{8EADF4DE-4299-46C7-B6D4-04A0766E2C11}"/>
    <cellStyle name="Percent 2 3 2 3" xfId="912" xr:uid="{90B13E7F-8504-46F1-BAF9-82288CF0CBAE}"/>
    <cellStyle name="Percent 2 3 2 4" xfId="642" xr:uid="{4C5BCF55-D29F-4FD9-8912-59D5928709FF}"/>
    <cellStyle name="Percent 2 3 3" xfId="444" xr:uid="{310F7296-2E8D-434F-A2EC-6804476A3357}"/>
    <cellStyle name="Percent 2 3 3 2" xfId="714" xr:uid="{98AB0E75-3678-4A0A-9CE9-2E5649C14AED}"/>
    <cellStyle name="Percent 2 3 4" xfId="849" xr:uid="{46239D7E-23F4-41A6-9A56-02646F8B6997}"/>
    <cellStyle name="Percent 2 3 5" xfId="579" xr:uid="{91B3FDD5-5BD1-46BB-8C76-E6AF6F63D823}"/>
    <cellStyle name="Percent 2 3 6" xfId="984" xr:uid="{15376843-E518-46FF-BAA8-FC6F1FDEF14B}"/>
    <cellStyle name="Percent 2 3 7" xfId="1078" xr:uid="{B3C1EFDA-D271-433F-AB74-7804225159D2}"/>
    <cellStyle name="Percent 2 4" xfId="469" xr:uid="{8C584285-43AE-4AAB-882D-C39C3E6A51B9}"/>
    <cellStyle name="Percent 2 4 2" xfId="739" xr:uid="{D5BBC1A8-CBDD-4E17-B827-2F53A88DAC8C}"/>
    <cellStyle name="Percent 2 4 3" xfId="874" xr:uid="{7F1FFD75-14E4-48FF-BAA7-B01AF15CA92A}"/>
    <cellStyle name="Percent 2 4 4" xfId="604" xr:uid="{1F72E7CE-6EAD-436F-ABA6-BC2E60C7C88B}"/>
    <cellStyle name="Percent 3" xfId="111" xr:uid="{FEA0374E-DF83-46AD-8546-1D1B21ACA887}"/>
    <cellStyle name="Percent 3 2" xfId="303" xr:uid="{1D19F39E-E083-488D-A5C3-BAE4EED3A6E9}"/>
    <cellStyle name="Percent 3 2 2" xfId="729" xr:uid="{EFB5F345-F033-4016-AFB8-B230C8496D9F}"/>
    <cellStyle name="Percent 3 2 3" xfId="1093" xr:uid="{2D2EB44F-F914-4C1F-8CFA-C3040FAF79D9}"/>
    <cellStyle name="Percent 3 3" xfId="370" xr:uid="{2ECE6B5A-D32B-46EC-BAF3-7F66706E37A0}"/>
    <cellStyle name="Percent 3 3 2" xfId="864" xr:uid="{2D69E467-AB16-4744-A4E7-87E6DB452F98}"/>
    <cellStyle name="Percent 3 3 3" xfId="1137" xr:uid="{D82360B0-20A3-4EBA-B6B6-0721C52106BE}"/>
    <cellStyle name="Percent 3 4" xfId="459" xr:uid="{4E78A9B1-DD24-46AC-B654-27EAD6395F7F}"/>
    <cellStyle name="Percent 3 5" xfId="594" xr:uid="{7CB7C417-0E96-42FD-9089-88CE960A4976}"/>
    <cellStyle name="Percent 3 6" xfId="999" xr:uid="{DA991001-3D84-45D9-8091-0B8AAC8A0553}"/>
    <cellStyle name="Percent 3 7" xfId="1043" xr:uid="{EC0AD9C7-6FB9-4283-B6C2-70D698AD6302}"/>
    <cellStyle name="Pie??m." xfId="19" xr:uid="{00000000-0005-0000-0000-000050000000}"/>
    <cellStyle name="Piezīme" xfId="175" xr:uid="{03495ED5-D6A0-4C56-BF71-1D9A94C423ED}"/>
    <cellStyle name="Piezīme 2" xfId="176" xr:uid="{5C8ADA65-890F-4FDB-BE99-161B5939F192}"/>
    <cellStyle name="Result" xfId="312" xr:uid="{AE4083E7-3E0C-4F5A-B159-0698E610713A}"/>
    <cellStyle name="Result 2" xfId="322" xr:uid="{62B43FCE-D946-4A33-B29C-D7F5251B02A8}"/>
    <cellStyle name="Result2" xfId="313" xr:uid="{CFC7C752-436F-4B4F-857F-07ED6005F393}"/>
    <cellStyle name="Result2 2" xfId="323" xr:uid="{DA1989A9-4489-499E-A30A-F537B089F57D}"/>
    <cellStyle name="Saistītā šūna" xfId="177" xr:uid="{77CE78B0-2608-49DB-90BF-B87A22568ADF}"/>
    <cellStyle name="SAPBEXaggData" xfId="178" xr:uid="{12C621D9-EF3C-472B-9CED-34F880FC88A4}"/>
    <cellStyle name="SAPBEXaggDataEmph" xfId="179" xr:uid="{3769B137-905A-45C8-8479-BC6B90B4765E}"/>
    <cellStyle name="SAPBEXaggItem" xfId="180" xr:uid="{BB6BF287-EEBB-423D-AA78-E3F4D4C810F6}"/>
    <cellStyle name="SAPBEXaggItemX" xfId="181" xr:uid="{7AAEB5B9-F80A-470D-80F1-1E756F5DD6FC}"/>
    <cellStyle name="SAPBEXchaText" xfId="182" xr:uid="{B64054D0-F6A2-4510-984C-6B784BE0BE7D}"/>
    <cellStyle name="SAPBEXexcBad7" xfId="183" xr:uid="{E3B7870A-AEEE-473A-9711-585CD3E40DCA}"/>
    <cellStyle name="SAPBEXexcBad8" xfId="184" xr:uid="{7C49BDC6-6BF7-4980-8255-EB4F3D660CF9}"/>
    <cellStyle name="SAPBEXexcBad9" xfId="185" xr:uid="{75BDF590-CADF-4E2A-90C4-05FC1D6A1CE7}"/>
    <cellStyle name="SAPBEXexcCritical4" xfId="186" xr:uid="{011533BC-17F2-45BC-8781-1136444C4445}"/>
    <cellStyle name="SAPBEXexcCritical5" xfId="187" xr:uid="{8EAFF16F-92FD-4FF8-932C-141CED9E8DC2}"/>
    <cellStyle name="SAPBEXexcCritical6" xfId="188" xr:uid="{3D68A71A-2FF0-46D8-A8E3-ED95AB734821}"/>
    <cellStyle name="SAPBEXexcGood1" xfId="189" xr:uid="{BE6BCCA2-91C0-476A-80B0-F341AA54AC33}"/>
    <cellStyle name="SAPBEXexcGood2" xfId="190" xr:uid="{6C0EE890-1C0C-4112-92CD-CA8C89EB7B43}"/>
    <cellStyle name="SAPBEXexcGood3" xfId="191" xr:uid="{81FB6B68-D9C6-4E14-8FF4-39383E15E58B}"/>
    <cellStyle name="SAPBEXfilterDrill" xfId="192" xr:uid="{766EF7D0-CE12-4914-ABD5-59C496C1EF6B}"/>
    <cellStyle name="SAPBEXfilterItem" xfId="193" xr:uid="{20945502-7AFF-41C8-AF80-5EB38101D6D3}"/>
    <cellStyle name="SAPBEXfilterText" xfId="194" xr:uid="{820BB229-6503-47CD-8BCA-895C2E60C1AB}"/>
    <cellStyle name="SAPBEXfilterText 2" xfId="195" xr:uid="{D91E3D59-EAF2-4072-9DC6-E2E8B54C0020}"/>
    <cellStyle name="SAPBEXformats" xfId="196" xr:uid="{C30B486C-F993-431C-9854-53EAEDEDC98A}"/>
    <cellStyle name="SAPBEXheaderItem" xfId="197" xr:uid="{BD297734-F1AF-460C-9A6F-A44ADA5320F7}"/>
    <cellStyle name="SAPBEXheaderItem 2" xfId="198" xr:uid="{75202E2B-B14D-4FFA-B003-FE8E670CD53E}"/>
    <cellStyle name="SAPBEXheaderText" xfId="199" xr:uid="{4CC8F0E3-8B4E-4653-8D01-CDDDB4E64DA2}"/>
    <cellStyle name="SAPBEXheaderText 2" xfId="200" xr:uid="{5F0FA097-BCF5-4223-B14E-00C2877BFC7D}"/>
    <cellStyle name="SAPBEXHLevel0" xfId="201" xr:uid="{33F8E6E0-D2EF-4468-900C-CECBA472F7C7}"/>
    <cellStyle name="SAPBEXHLevel0 2" xfId="202" xr:uid="{62D8718B-ADC7-407E-8E45-1E3079CF5E7E}"/>
    <cellStyle name="SAPBEXHLevel0X" xfId="203" xr:uid="{E0F636FE-0A29-45D1-AE7A-AEF48F85B9BB}"/>
    <cellStyle name="SAPBEXHLevel0X 2" xfId="204" xr:uid="{BF2D7A66-87FD-4EB2-8D23-60A99EA869A5}"/>
    <cellStyle name="SAPBEXHLevel1" xfId="205" xr:uid="{97FC4042-5929-4613-B849-309F96AB46AB}"/>
    <cellStyle name="SAPBEXHLevel1 2" xfId="206" xr:uid="{DF61C3C3-05C3-436D-B166-BBE60FC363FD}"/>
    <cellStyle name="SAPBEXHLevel1X" xfId="207" xr:uid="{06FA0ADE-6D81-481F-A652-8B41ABC6FB54}"/>
    <cellStyle name="SAPBEXHLevel1X 2" xfId="208" xr:uid="{5CBD7C17-2E4D-4EF5-994E-C12BECECD7BC}"/>
    <cellStyle name="SAPBEXHLevel2" xfId="209" xr:uid="{E09BD330-8154-4C69-BB42-09F9555C5445}"/>
    <cellStyle name="SAPBEXHLevel2 2" xfId="210" xr:uid="{3820D41C-8D2E-46D6-AE9B-DAA685BEBD34}"/>
    <cellStyle name="SAPBEXHLevel2X" xfId="211" xr:uid="{1F7A1331-BE98-4FF5-B1A5-7FA199725BD6}"/>
    <cellStyle name="SAPBEXHLevel2X 2" xfId="212" xr:uid="{CB935FE1-0835-4E6F-9BAF-54362C95C4A8}"/>
    <cellStyle name="SAPBEXHLevel3" xfId="213" xr:uid="{1E802C9F-BFF4-4682-B403-4F18A569BD0F}"/>
    <cellStyle name="SAPBEXHLevel3 2" xfId="214" xr:uid="{28CBA070-5A02-4FD6-9E58-EFBC71F58B38}"/>
    <cellStyle name="SAPBEXHLevel3X" xfId="215" xr:uid="{5DA1552F-6530-4F9B-83E8-58D5C7E9E57C}"/>
    <cellStyle name="SAPBEXHLevel3X 2" xfId="216" xr:uid="{06D90516-BA06-45FF-A1CE-42166896071A}"/>
    <cellStyle name="SAPBEXinputData" xfId="217" xr:uid="{A6F4B05B-9FAB-45B7-AA83-12DC8032E67D}"/>
    <cellStyle name="SAPBEXinputData 2" xfId="218" xr:uid="{B78249D3-4FE6-401D-80C6-88BAA27E3798}"/>
    <cellStyle name="SAPBEXresData" xfId="219" xr:uid="{F4617E5A-2C52-47FC-B663-BE462A89744F}"/>
    <cellStyle name="SAPBEXresDataEmph" xfId="220" xr:uid="{CF4FCC92-7527-4268-AD95-A453670CACBC}"/>
    <cellStyle name="SAPBEXresItem" xfId="221" xr:uid="{D3CF03E3-8F4F-436A-84A7-F06A2F2AF0F3}"/>
    <cellStyle name="SAPBEXresItemX" xfId="222" xr:uid="{F321D8F6-8789-46E7-AC47-D651023AC0F1}"/>
    <cellStyle name="SAPBEXstdData" xfId="223" xr:uid="{3B4E960F-5A28-455C-963D-B59B478ED546}"/>
    <cellStyle name="SAPBEXstdDataEmph" xfId="224" xr:uid="{C027F1B4-6E74-4B01-84F1-67457F960327}"/>
    <cellStyle name="SAPBEXstdItem" xfId="225" xr:uid="{D7348FCE-B84D-4BEA-88CD-532D41334FF6}"/>
    <cellStyle name="SAPBEXstdItemX" xfId="226" xr:uid="{706B5C87-B550-4413-B1A4-F91E780031E7}"/>
    <cellStyle name="SAPBEXtitle" xfId="227" xr:uid="{CEA52357-F405-4599-94DB-3EDC6813E2CF}"/>
    <cellStyle name="SAPBEXtitle 2" xfId="228" xr:uid="{CEEB9620-1472-48DE-8685-6BFBAA05AFBA}"/>
    <cellStyle name="SAPBEXundefined" xfId="229" xr:uid="{3F17FC06-490C-433B-9FA6-5D356BCC07AF}"/>
    <cellStyle name="Sheet Title" xfId="230" xr:uid="{05091E44-8263-40C1-9081-C65B6A493AAB}"/>
    <cellStyle name="Slikts" xfId="231" xr:uid="{23F3FECC-8358-4F6F-B465-AE283C49924F}"/>
    <cellStyle name="Style 1" xfId="20" xr:uid="{00000000-0005-0000-0000-000051000000}"/>
    <cellStyle name="TableStyleLight1" xfId="264" xr:uid="{6403DB0D-2A4A-436A-95C9-CD871D20CEE9}"/>
    <cellStyle name="Title 2" xfId="79" xr:uid="{00000000-0005-0000-0000-000052000000}"/>
    <cellStyle name="Total 2" xfId="80" xr:uid="{00000000-0005-0000-0000-000053000000}"/>
    <cellStyle name="Total 2 2" xfId="1184" xr:uid="{0BB16A96-CBBA-4991-A03F-836994A4976E}"/>
    <cellStyle name="V?st." xfId="21" xr:uid="{00000000-0005-0000-0000-000054000000}"/>
    <cellStyle name="Virsraksts 1" xfId="232" xr:uid="{6F05A87A-44A0-4177-9FC7-2CE29B2E9AA0}"/>
    <cellStyle name="Virsraksts 2" xfId="233" xr:uid="{27C52AC2-D4D4-41F9-BEFF-B8A2E0CCD4D1}"/>
    <cellStyle name="Virsraksts 3" xfId="234" xr:uid="{E23D4640-4DEF-49EC-B3EF-BEC4B6691857}"/>
    <cellStyle name="Virsraksts 4" xfId="235" xr:uid="{CB3799E2-9992-4B54-9D04-9912B7D13412}"/>
    <cellStyle name="Warning Text 2" xfId="81" xr:uid="{00000000-0005-0000-0000-000055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D4D0C8"/>
      <rgbColor rgb="00000000"/>
      <rgbColor rgb="00D4D0C8"/>
      <rgbColor rgb="00000000"/>
      <rgbColor rgb="00FFFFFF"/>
      <rgbColor rgb="00000000"/>
      <rgbColor rgb="00FFFFFF"/>
      <rgbColor rgb="00000000"/>
      <rgbColor rgb="00D4D0C8"/>
      <rgbColor rgb="00000000"/>
      <rgbColor rgb="00D4D0C8"/>
      <rgbColor rgb="0000000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mbulatoro_pakalpojumu_nodala\Planosana_2013\SAVA\P&#256;RPLANO&#352;ANA\parplanosana_9menesi\R0020%20-SAVA_izpilde_veiktais_darbs_09201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N:\Ambulatoro_pakalpojumu_nodala\Planosana_2012\SAVA\!_Grozijumi%202012.gada%20laikaa\Egija_Grozijumi%20ar%2001.10.2012_NEPIENEMTIE\Apaksas%20SAVA%20rikojumam.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135">
          <cell r="A135" t="str">
            <v>Recover</v>
          </cell>
        </row>
      </sheetData>
      <sheetData sheetId="13" refreshError="1"/>
      <sheetData sheetId="14" refreshError="1"/>
      <sheetData sheetId="15">
        <row r="4">
          <cell r="G4" t="str">
            <v>010000495-AP025</v>
          </cell>
        </row>
      </sheetData>
      <sheetData sheetId="16"/>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89F5D-F400-4EAE-9773-059169746974}">
  <dimension ref="A1:L21"/>
  <sheetViews>
    <sheetView tabSelected="1" workbookViewId="0">
      <selection activeCell="B7" sqref="B7:B8"/>
    </sheetView>
  </sheetViews>
  <sheetFormatPr defaultRowHeight="12.75"/>
  <cols>
    <col min="1" max="1" width="64.28515625" customWidth="1"/>
    <col min="2" max="2" width="23.28515625" customWidth="1"/>
    <col min="3" max="3" width="20" customWidth="1"/>
    <col min="4" max="5" width="17.85546875" customWidth="1"/>
    <col min="6" max="6" width="19.28515625" customWidth="1"/>
    <col min="7" max="7" width="19.5703125" customWidth="1"/>
    <col min="8" max="8" width="19.85546875" customWidth="1"/>
    <col min="9" max="9" width="24.140625" customWidth="1"/>
    <col min="10" max="10" width="21.7109375" customWidth="1"/>
    <col min="11" max="11" width="18.28515625" customWidth="1"/>
  </cols>
  <sheetData>
    <row r="1" spans="1:12">
      <c r="H1" s="110" t="s">
        <v>74</v>
      </c>
      <c r="I1" s="110"/>
      <c r="J1" s="110"/>
    </row>
    <row r="2" spans="1:12">
      <c r="H2" s="110"/>
      <c r="I2" s="110"/>
      <c r="J2" s="110"/>
    </row>
    <row r="3" spans="1:12">
      <c r="H3" s="86"/>
      <c r="I3" s="86"/>
      <c r="J3" s="86"/>
    </row>
    <row r="4" spans="1:12" ht="36.75" customHeight="1">
      <c r="A4" s="109" t="s">
        <v>73</v>
      </c>
      <c r="B4" s="109"/>
      <c r="C4" s="109"/>
      <c r="D4" s="109"/>
      <c r="E4" s="109"/>
      <c r="F4" s="109"/>
      <c r="G4" s="109"/>
      <c r="H4" s="109"/>
      <c r="I4" s="109"/>
    </row>
    <row r="5" spans="1:12" ht="18.75">
      <c r="A5" s="85"/>
      <c r="B5" s="85"/>
      <c r="C5" s="85"/>
      <c r="D5" s="85"/>
      <c r="E5" s="85"/>
      <c r="F5" s="85"/>
    </row>
    <row r="6" spans="1:12" ht="15.75">
      <c r="A6" s="57" t="s">
        <v>60</v>
      </c>
    </row>
    <row r="7" spans="1:12" ht="12.75" customHeight="1">
      <c r="A7" s="112"/>
      <c r="B7" s="111" t="s">
        <v>99</v>
      </c>
      <c r="C7" s="111" t="s">
        <v>100</v>
      </c>
      <c r="D7" s="112" t="s">
        <v>101</v>
      </c>
      <c r="E7" s="114" t="s">
        <v>139</v>
      </c>
      <c r="F7" s="111" t="s">
        <v>137</v>
      </c>
      <c r="G7" s="111" t="s">
        <v>102</v>
      </c>
      <c r="H7" s="111" t="s">
        <v>103</v>
      </c>
      <c r="I7" s="111" t="s">
        <v>104</v>
      </c>
      <c r="J7" s="112" t="s">
        <v>105</v>
      </c>
    </row>
    <row r="8" spans="1:12" ht="129.75" customHeight="1">
      <c r="A8" s="113"/>
      <c r="B8" s="111"/>
      <c r="C8" s="111"/>
      <c r="D8" s="113"/>
      <c r="E8" s="113"/>
      <c r="F8" s="111"/>
      <c r="G8" s="111"/>
      <c r="H8" s="111"/>
      <c r="I8" s="111"/>
      <c r="J8" s="113"/>
    </row>
    <row r="9" spans="1:12" ht="15">
      <c r="A9" s="58" t="s">
        <v>70</v>
      </c>
      <c r="B9" s="59">
        <f>'2024.g.-2023.g.'!B7</f>
        <v>52001578</v>
      </c>
      <c r="C9" s="60">
        <f>ROUND('2024_fin_prognoze'!M7,0)</f>
        <v>65322246</v>
      </c>
      <c r="D9" s="60">
        <v>1187246</v>
      </c>
      <c r="E9" s="60">
        <f>B9-C9-D9</f>
        <v>-14507914</v>
      </c>
      <c r="F9" s="105">
        <f>ROUND(Ietaupījums_2024_2025!P30,0)</f>
        <v>3936000</v>
      </c>
      <c r="G9" s="41">
        <f>B9+F9-C9-D9</f>
        <v>-10571914</v>
      </c>
      <c r="H9" s="61">
        <f>-398813</f>
        <v>-398813</v>
      </c>
      <c r="I9" s="101">
        <v>10970727</v>
      </c>
      <c r="J9" s="41">
        <f>G9+H9+I9</f>
        <v>0</v>
      </c>
      <c r="K9" s="30"/>
      <c r="L9" s="55"/>
    </row>
    <row r="10" spans="1:12">
      <c r="B10" s="62"/>
      <c r="C10" s="62"/>
      <c r="D10" s="62"/>
      <c r="E10" s="62"/>
      <c r="F10" s="62"/>
      <c r="G10" s="63"/>
      <c r="H10" s="30"/>
      <c r="I10" s="30"/>
      <c r="J10" s="30"/>
      <c r="K10" s="30"/>
    </row>
    <row r="11" spans="1:12" ht="15.75">
      <c r="A11" s="57" t="s">
        <v>66</v>
      </c>
      <c r="B11" s="62"/>
      <c r="C11" s="62"/>
      <c r="D11" s="62"/>
      <c r="E11" s="62"/>
      <c r="F11" s="62"/>
      <c r="G11" s="63"/>
      <c r="H11" s="30"/>
      <c r="I11" s="30"/>
      <c r="J11" s="30"/>
      <c r="K11" s="30"/>
    </row>
    <row r="12" spans="1:12" ht="12.75" customHeight="1">
      <c r="A12" s="111"/>
      <c r="B12" s="111" t="s">
        <v>106</v>
      </c>
      <c r="C12" s="112" t="s">
        <v>107</v>
      </c>
      <c r="D12" s="111" t="s">
        <v>108</v>
      </c>
      <c r="E12" s="114" t="s">
        <v>139</v>
      </c>
      <c r="F12" s="111" t="s">
        <v>138</v>
      </c>
      <c r="G12" s="111" t="s">
        <v>109</v>
      </c>
      <c r="H12" s="111" t="s">
        <v>110</v>
      </c>
      <c r="I12" s="111" t="s">
        <v>111</v>
      </c>
      <c r="J12" s="111" t="s">
        <v>112</v>
      </c>
      <c r="K12" s="30"/>
    </row>
    <row r="13" spans="1:12" ht="144" customHeight="1">
      <c r="A13" s="111"/>
      <c r="B13" s="111"/>
      <c r="C13" s="113"/>
      <c r="D13" s="111"/>
      <c r="E13" s="113"/>
      <c r="F13" s="111"/>
      <c r="G13" s="111"/>
      <c r="H13" s="111"/>
      <c r="I13" s="111"/>
      <c r="J13" s="111"/>
      <c r="K13" s="30"/>
    </row>
    <row r="14" spans="1:12" ht="12.75" customHeight="1">
      <c r="A14" s="58" t="s">
        <v>70</v>
      </c>
      <c r="B14" s="61">
        <v>49823493</v>
      </c>
      <c r="C14" s="61">
        <v>2217645</v>
      </c>
      <c r="D14" s="61">
        <f>ROUND(C9*'2024.g.-2023.g.'!J7,0)</f>
        <v>69764159</v>
      </c>
      <c r="E14" s="61">
        <f>B14+C14-D14</f>
        <v>-17723021</v>
      </c>
      <c r="F14" s="105">
        <f>ROUND(Ietaupījums_2024_2025!U30,0)</f>
        <v>7417982</v>
      </c>
      <c r="G14" s="41">
        <f>B14+C14+F14-D14</f>
        <v>-10305039</v>
      </c>
      <c r="H14" s="43">
        <v>-683663</v>
      </c>
      <c r="I14" s="101">
        <v>10988702</v>
      </c>
      <c r="J14" s="41">
        <f>G14+H14+I14</f>
        <v>0</v>
      </c>
      <c r="K14" s="30"/>
    </row>
    <row r="15" spans="1:12" ht="12.75" customHeight="1">
      <c r="A15" s="83"/>
      <c r="B15" s="62"/>
      <c r="C15" s="62"/>
      <c r="D15" s="62"/>
      <c r="E15" s="62"/>
      <c r="F15" s="62"/>
      <c r="G15" s="63"/>
      <c r="H15" s="30"/>
      <c r="I15" s="30"/>
      <c r="J15" s="63"/>
      <c r="K15" s="30"/>
    </row>
    <row r="16" spans="1:12" ht="15">
      <c r="A16" s="84" t="s">
        <v>72</v>
      </c>
    </row>
    <row r="17" spans="1:3" ht="15">
      <c r="A17" s="68" t="s">
        <v>67</v>
      </c>
    </row>
    <row r="18" spans="1:3" ht="15.75">
      <c r="B18" s="2"/>
      <c r="C18" s="2"/>
    </row>
    <row r="19" spans="1:3" ht="15.75">
      <c r="B19" s="2"/>
      <c r="C19" s="2"/>
    </row>
    <row r="20" spans="1:3" ht="15.75">
      <c r="B20" s="2"/>
      <c r="C20" s="2"/>
    </row>
    <row r="21" spans="1:3" ht="15.75">
      <c r="B21" s="2"/>
      <c r="C21" s="2"/>
    </row>
  </sheetData>
  <mergeCells count="22">
    <mergeCell ref="G12:G13"/>
    <mergeCell ref="H12:H13"/>
    <mergeCell ref="I12:I13"/>
    <mergeCell ref="J12:J13"/>
    <mergeCell ref="E7:E8"/>
    <mergeCell ref="E12:E13"/>
    <mergeCell ref="A12:A13"/>
    <mergeCell ref="B12:B13"/>
    <mergeCell ref="D12:D13"/>
    <mergeCell ref="C12:C13"/>
    <mergeCell ref="F12:F13"/>
    <mergeCell ref="A4:I4"/>
    <mergeCell ref="H1:J2"/>
    <mergeCell ref="I7:I8"/>
    <mergeCell ref="H7:H8"/>
    <mergeCell ref="J7:J8"/>
    <mergeCell ref="B7:B8"/>
    <mergeCell ref="C7:C8"/>
    <mergeCell ref="F7:F8"/>
    <mergeCell ref="G7:G8"/>
    <mergeCell ref="A7:A8"/>
    <mergeCell ref="D7:D8"/>
  </mergeCells>
  <pageMargins left="0.7" right="0.7" top="0.75" bottom="0.75" header="0.3" footer="0.3"/>
  <pageSetup paperSize="9" orientation="portrait"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B92A7E-2650-40D6-8025-2423450CE8DC}">
  <dimension ref="A1:N49"/>
  <sheetViews>
    <sheetView zoomScaleNormal="100" workbookViewId="0">
      <selection activeCell="I29" sqref="I29"/>
    </sheetView>
  </sheetViews>
  <sheetFormatPr defaultRowHeight="12.75"/>
  <cols>
    <col min="1" max="1" width="11.85546875" customWidth="1"/>
    <col min="2" max="2" width="19.85546875" customWidth="1"/>
    <col min="3" max="3" width="10.42578125" customWidth="1"/>
    <col min="4" max="4" width="13.140625" customWidth="1"/>
    <col min="5" max="5" width="11" customWidth="1"/>
    <col min="6" max="6" width="17.42578125" customWidth="1"/>
    <col min="7" max="7" width="27.7109375" customWidth="1"/>
    <col min="8" max="8" width="10.140625" customWidth="1"/>
    <col min="9" max="9" width="8.85546875" bestFit="1" customWidth="1"/>
    <col min="10" max="10" width="13.28515625" bestFit="1" customWidth="1"/>
  </cols>
  <sheetData>
    <row r="1" spans="1:13" ht="30.75" customHeight="1">
      <c r="F1" s="119" t="s">
        <v>77</v>
      </c>
      <c r="G1" s="119"/>
      <c r="H1" s="119"/>
      <c r="I1" s="119"/>
      <c r="J1" s="119"/>
      <c r="K1" s="119"/>
    </row>
    <row r="2" spans="1:13" ht="15.75">
      <c r="F2" s="88"/>
      <c r="G2" s="88"/>
      <c r="H2" s="88"/>
      <c r="I2" s="88"/>
      <c r="J2" s="88"/>
      <c r="K2" s="88"/>
    </row>
    <row r="3" spans="1:13" ht="16.5">
      <c r="B3" s="89" t="s">
        <v>78</v>
      </c>
      <c r="F3" s="88"/>
      <c r="G3" s="88"/>
      <c r="H3" s="88"/>
      <c r="I3" s="88"/>
      <c r="J3" s="88"/>
      <c r="K3" s="88"/>
    </row>
    <row r="4" spans="1:13" ht="15">
      <c r="A4" s="26"/>
    </row>
    <row r="5" spans="1:13" ht="15">
      <c r="A5" s="21"/>
      <c r="M5" s="87"/>
    </row>
    <row r="6" spans="1:13" ht="15" customHeight="1">
      <c r="A6" s="116" t="s">
        <v>12</v>
      </c>
      <c r="B6" s="120" t="s">
        <v>27</v>
      </c>
      <c r="C6" s="120"/>
      <c r="D6" s="120"/>
      <c r="E6" s="120"/>
      <c r="F6" s="120"/>
    </row>
    <row r="7" spans="1:13" ht="72" customHeight="1">
      <c r="A7" s="116"/>
      <c r="B7" s="22" t="s">
        <v>13</v>
      </c>
      <c r="C7" s="97" t="s">
        <v>79</v>
      </c>
      <c r="D7" s="97" t="s">
        <v>80</v>
      </c>
      <c r="E7" s="97" t="s">
        <v>81</v>
      </c>
      <c r="F7" s="97" t="s">
        <v>82</v>
      </c>
    </row>
    <row r="8" spans="1:13">
      <c r="A8" s="90" t="s">
        <v>14</v>
      </c>
      <c r="B8" s="28">
        <v>5210224.43</v>
      </c>
      <c r="C8" s="24">
        <f>(B8/$B$20)*100</f>
        <v>9.0952148080189499</v>
      </c>
      <c r="D8" s="23"/>
      <c r="E8" s="23"/>
      <c r="F8" s="23"/>
    </row>
    <row r="9" spans="1:13">
      <c r="A9" s="90" t="s">
        <v>15</v>
      </c>
      <c r="B9" s="28">
        <v>4725825.67</v>
      </c>
      <c r="C9" s="24">
        <f t="shared" ref="C9:C19" si="0">(B9/$B$20)*100</f>
        <v>8.2496253647753282</v>
      </c>
      <c r="D9" s="23"/>
      <c r="E9" s="23"/>
      <c r="F9" s="23"/>
    </row>
    <row r="10" spans="1:13">
      <c r="A10" s="90" t="s">
        <v>16</v>
      </c>
      <c r="B10" s="28">
        <v>5764747.6899999995</v>
      </c>
      <c r="C10" s="24">
        <f t="shared" si="0"/>
        <v>10.063216903418693</v>
      </c>
      <c r="D10" s="43">
        <f>SUM(B8:B10)</f>
        <v>15700797.789999999</v>
      </c>
      <c r="E10" s="23"/>
      <c r="F10" s="23"/>
    </row>
    <row r="11" spans="1:13">
      <c r="A11" s="90" t="s">
        <v>17</v>
      </c>
      <c r="B11" s="28">
        <v>4812482.4400000013</v>
      </c>
      <c r="C11" s="24">
        <f t="shared" si="0"/>
        <v>8.400897531321732</v>
      </c>
      <c r="D11" s="23"/>
      <c r="E11" s="23"/>
      <c r="F11" s="23"/>
    </row>
    <row r="12" spans="1:13">
      <c r="A12" s="90" t="s">
        <v>18</v>
      </c>
      <c r="B12" s="28">
        <v>4881567.93</v>
      </c>
      <c r="C12" s="24">
        <f t="shared" si="0"/>
        <v>8.5214964383571505</v>
      </c>
      <c r="D12" s="23"/>
      <c r="E12" s="23"/>
      <c r="F12" s="23"/>
    </row>
    <row r="13" spans="1:13">
      <c r="A13" s="90" t="s">
        <v>19</v>
      </c>
      <c r="B13" s="28">
        <v>4581122.3299999982</v>
      </c>
      <c r="C13" s="24">
        <f t="shared" si="0"/>
        <v>7.997024353356359</v>
      </c>
      <c r="D13" s="43">
        <f>SUM(B11:B13)</f>
        <v>14275172.699999999</v>
      </c>
      <c r="E13" s="23">
        <f>ROUNDUP(D13/D10,2)</f>
        <v>0.91</v>
      </c>
      <c r="F13" s="92">
        <f>H41</f>
        <v>0.89500000000000002</v>
      </c>
    </row>
    <row r="14" spans="1:13">
      <c r="A14" s="90" t="s">
        <v>20</v>
      </c>
      <c r="B14" s="28">
        <v>4254677.9000000022</v>
      </c>
      <c r="C14" s="24">
        <f t="shared" si="0"/>
        <v>7.4271674779719588</v>
      </c>
      <c r="D14" s="23"/>
      <c r="E14" s="23"/>
      <c r="F14" s="92"/>
    </row>
    <row r="15" spans="1:13">
      <c r="A15" s="90" t="s">
        <v>21</v>
      </c>
      <c r="B15" s="28">
        <v>4847674.7699999958</v>
      </c>
      <c r="C15" s="24">
        <f t="shared" si="0"/>
        <v>8.4623309312155328</v>
      </c>
      <c r="D15" s="23"/>
      <c r="E15" s="23"/>
      <c r="F15" s="92"/>
    </row>
    <row r="16" spans="1:13">
      <c r="A16" s="90" t="s">
        <v>22</v>
      </c>
      <c r="B16" s="28">
        <v>4361423.0200000033</v>
      </c>
      <c r="C16" s="24">
        <f t="shared" si="0"/>
        <v>7.6135068207683245</v>
      </c>
      <c r="D16" s="43">
        <f>SUM(B14:B16)</f>
        <v>13463775.690000001</v>
      </c>
      <c r="E16" s="23">
        <f>ROUNDUP(D16/D10,2)</f>
        <v>0.86</v>
      </c>
      <c r="F16" s="92">
        <f>H41</f>
        <v>0.89500000000000002</v>
      </c>
    </row>
    <row r="17" spans="1:10">
      <c r="A17" s="90" t="s">
        <v>23</v>
      </c>
      <c r="B17" s="28">
        <v>4867257.3800000027</v>
      </c>
      <c r="C17" s="24">
        <f t="shared" si="0"/>
        <v>8.4965152637418235</v>
      </c>
      <c r="D17" s="23"/>
      <c r="E17" s="23"/>
      <c r="F17" s="24"/>
    </row>
    <row r="18" spans="1:10">
      <c r="A18" s="90" t="s">
        <v>24</v>
      </c>
      <c r="B18" s="28">
        <v>4695913.2800000012</v>
      </c>
      <c r="C18" s="24">
        <f t="shared" si="0"/>
        <v>8.1974088784940982</v>
      </c>
      <c r="D18" s="23"/>
      <c r="E18" s="23"/>
      <c r="F18" s="24"/>
    </row>
    <row r="19" spans="1:10">
      <c r="A19" s="90" t="s">
        <v>25</v>
      </c>
      <c r="B19" s="28">
        <v>4282419.8999999985</v>
      </c>
      <c r="C19" s="24">
        <f t="shared" si="0"/>
        <v>7.475595228560052</v>
      </c>
      <c r="D19" s="43">
        <f>SUM(B17:B19)</f>
        <v>13845590.560000002</v>
      </c>
      <c r="E19" s="23">
        <f>ROUNDUP(D19/D10,2)</f>
        <v>0.89</v>
      </c>
      <c r="F19" s="92">
        <f>H41</f>
        <v>0.89500000000000002</v>
      </c>
    </row>
    <row r="20" spans="1:10" ht="15">
      <c r="A20" s="91" t="s">
        <v>26</v>
      </c>
      <c r="B20" s="25">
        <f>SUM(B8:B19)</f>
        <v>57285336.740000002</v>
      </c>
      <c r="C20" s="24">
        <f>SUM(C8:C19)</f>
        <v>100</v>
      </c>
      <c r="D20" s="23"/>
      <c r="E20" s="23"/>
      <c r="F20" s="23"/>
      <c r="J20" s="29"/>
    </row>
    <row r="21" spans="1:10" hidden="1">
      <c r="B21" s="93">
        <f>B20-B8</f>
        <v>52075112.310000002</v>
      </c>
      <c r="C21" s="23"/>
      <c r="D21" s="23"/>
      <c r="E21" s="23"/>
      <c r="F21" s="23"/>
    </row>
    <row r="22" spans="1:10">
      <c r="B22" s="94"/>
      <c r="C22" s="23"/>
      <c r="D22" s="98" t="s">
        <v>83</v>
      </c>
      <c r="E22" s="99">
        <f>AVERAGE(E13:E19)</f>
        <v>0.88666666666666671</v>
      </c>
      <c r="F22" s="95"/>
    </row>
    <row r="23" spans="1:10">
      <c r="B23" s="29"/>
    </row>
    <row r="26" spans="1:10" ht="12.75" customHeight="1">
      <c r="A26" s="118" t="s">
        <v>68</v>
      </c>
      <c r="B26" s="118"/>
      <c r="C26" s="118"/>
      <c r="D26" s="118"/>
      <c r="E26" s="118"/>
    </row>
    <row r="27" spans="1:10" ht="15">
      <c r="A27" s="75"/>
      <c r="B27" s="72"/>
      <c r="C27" s="72"/>
    </row>
    <row r="28" spans="1:10" ht="15" customHeight="1">
      <c r="A28" s="117" t="s">
        <v>12</v>
      </c>
      <c r="B28" s="121" t="s">
        <v>68</v>
      </c>
      <c r="C28" s="122"/>
      <c r="D28" s="122"/>
      <c r="E28" s="123"/>
    </row>
    <row r="29" spans="1:10" ht="51">
      <c r="A29" s="117"/>
      <c r="B29" s="78" t="s">
        <v>13</v>
      </c>
      <c r="C29" s="97" t="s">
        <v>79</v>
      </c>
      <c r="D29" s="97" t="s">
        <v>80</v>
      </c>
      <c r="E29" s="97" t="s">
        <v>81</v>
      </c>
    </row>
    <row r="30" spans="1:10" ht="15">
      <c r="A30" s="73" t="s">
        <v>14</v>
      </c>
      <c r="B30" s="74">
        <v>4705854.9899999993</v>
      </c>
      <c r="C30" s="79">
        <v>9.1692004004332279</v>
      </c>
      <c r="D30" s="23"/>
      <c r="E30" s="23"/>
    </row>
    <row r="31" spans="1:10" ht="15">
      <c r="A31" s="73" t="s">
        <v>15</v>
      </c>
      <c r="B31" s="74">
        <v>4128551.200000002</v>
      </c>
      <c r="C31" s="79">
        <v>8.0443433545429137</v>
      </c>
      <c r="D31" s="23"/>
      <c r="E31" s="96"/>
    </row>
    <row r="32" spans="1:10" ht="15">
      <c r="A32" s="73" t="s">
        <v>16</v>
      </c>
      <c r="B32" s="74">
        <v>5016480.1399999987</v>
      </c>
      <c r="C32" s="79">
        <v>9.7744430727673866</v>
      </c>
      <c r="D32" s="43">
        <f>SUM(B30:B32)</f>
        <v>13850886.33</v>
      </c>
      <c r="E32" s="23"/>
    </row>
    <row r="33" spans="1:14" ht="15">
      <c r="A33" s="73" t="s">
        <v>17</v>
      </c>
      <c r="B33" s="74">
        <v>4327725.9399999995</v>
      </c>
      <c r="C33" s="79">
        <v>8.4324286460882352</v>
      </c>
      <c r="D33" s="23"/>
      <c r="E33" s="23"/>
    </row>
    <row r="34" spans="1:14" ht="15">
      <c r="A34" s="73" t="s">
        <v>18</v>
      </c>
      <c r="B34" s="74">
        <v>4649605.8000000119</v>
      </c>
      <c r="C34" s="79">
        <v>9.059600742864534</v>
      </c>
      <c r="D34" s="23"/>
      <c r="E34" s="23"/>
    </row>
    <row r="35" spans="1:14" ht="15">
      <c r="A35" s="73" t="s">
        <v>19</v>
      </c>
      <c r="B35" s="74">
        <v>4010988.609999992</v>
      </c>
      <c r="C35" s="79">
        <v>7.8152765963035025</v>
      </c>
      <c r="D35" s="43">
        <f>SUM(B33:B35)</f>
        <v>12988320.350000003</v>
      </c>
      <c r="E35" s="24">
        <f>D35/D32</f>
        <v>0.93772485316468579</v>
      </c>
    </row>
    <row r="36" spans="1:14" ht="15">
      <c r="A36" s="73" t="s">
        <v>20</v>
      </c>
      <c r="B36" s="74">
        <v>3952764.3400000036</v>
      </c>
      <c r="C36" s="79">
        <v>7.7018285616884725</v>
      </c>
      <c r="D36" s="23"/>
      <c r="E36" s="24"/>
    </row>
    <row r="37" spans="1:14" ht="15">
      <c r="A37" s="73" t="s">
        <v>21</v>
      </c>
      <c r="B37" s="74">
        <v>4072534.4999999963</v>
      </c>
      <c r="C37" s="79">
        <v>7.9351966959309364</v>
      </c>
      <c r="D37" s="23"/>
      <c r="E37" s="24"/>
    </row>
    <row r="38" spans="1:14" ht="15">
      <c r="A38" s="73" t="s">
        <v>22</v>
      </c>
      <c r="B38" s="74">
        <v>4011499.9999999776</v>
      </c>
      <c r="C38" s="79">
        <v>7.8162730225432835</v>
      </c>
      <c r="D38" s="43">
        <f>SUM(B36:B38)</f>
        <v>12036798.839999977</v>
      </c>
      <c r="E38" s="24">
        <f>D38/D32</f>
        <v>0.86902733537919208</v>
      </c>
    </row>
    <row r="39" spans="1:14" ht="15">
      <c r="A39" s="73" t="s">
        <v>23</v>
      </c>
      <c r="B39" s="74">
        <v>4310487.1200000197</v>
      </c>
      <c r="C39" s="79">
        <v>8.3988393842893281</v>
      </c>
      <c r="D39" s="23"/>
      <c r="E39" s="24"/>
    </row>
    <row r="40" spans="1:14" ht="15">
      <c r="A40" s="73" t="s">
        <v>24</v>
      </c>
      <c r="B40" s="74">
        <v>4372641.9999999925</v>
      </c>
      <c r="C40" s="79">
        <v>8.5199460804785847</v>
      </c>
      <c r="D40" s="23"/>
      <c r="E40" s="24"/>
    </row>
    <row r="41" spans="1:14" ht="15">
      <c r="A41" s="73" t="s">
        <v>25</v>
      </c>
      <c r="B41" s="74">
        <v>3763279.3600000069</v>
      </c>
      <c r="C41" s="79">
        <v>7.3326234420695924</v>
      </c>
      <c r="D41" s="43">
        <f>SUM(B39:B41)</f>
        <v>12446408.480000019</v>
      </c>
      <c r="E41" s="24">
        <f>D41/D32</f>
        <v>0.89860014611787076</v>
      </c>
      <c r="G41" s="124" t="s">
        <v>84</v>
      </c>
      <c r="H41" s="125">
        <f>ROUNDUP(AVERAGE(E43,E22),3)</f>
        <v>0.89500000000000002</v>
      </c>
    </row>
    <row r="42" spans="1:14" ht="15">
      <c r="A42" s="76" t="s">
        <v>26</v>
      </c>
      <c r="B42" s="77">
        <v>51322414</v>
      </c>
      <c r="C42" s="79">
        <v>100.00000000000001</v>
      </c>
      <c r="D42" s="23"/>
      <c r="E42" s="23"/>
      <c r="G42" s="124"/>
      <c r="H42" s="125"/>
    </row>
    <row r="43" spans="1:14">
      <c r="A43" s="23"/>
      <c r="B43" s="23"/>
      <c r="C43" s="23"/>
      <c r="D43" s="98" t="s">
        <v>83</v>
      </c>
      <c r="E43" s="100">
        <f>AVERAGE(E35:E41)</f>
        <v>0.90178411155391613</v>
      </c>
      <c r="G43" s="124"/>
      <c r="H43" s="125"/>
    </row>
    <row r="47" spans="1:14">
      <c r="A47" s="115" t="s">
        <v>69</v>
      </c>
      <c r="B47" s="115"/>
      <c r="C47" s="115"/>
      <c r="D47" s="115"/>
      <c r="E47" s="115"/>
      <c r="F47" s="115"/>
      <c r="G47" s="115"/>
      <c r="H47" s="115"/>
      <c r="I47" s="115"/>
      <c r="J47" s="115"/>
      <c r="K47" s="115"/>
      <c r="L47" s="115"/>
      <c r="M47" s="115"/>
      <c r="N47" s="115"/>
    </row>
    <row r="48" spans="1:14">
      <c r="A48" s="115"/>
      <c r="B48" s="115"/>
      <c r="C48" s="115"/>
      <c r="D48" s="115"/>
      <c r="E48" s="115"/>
      <c r="F48" s="115"/>
      <c r="G48" s="115"/>
      <c r="H48" s="115"/>
      <c r="I48" s="115"/>
      <c r="J48" s="115"/>
      <c r="K48" s="115"/>
      <c r="L48" s="115"/>
      <c r="M48" s="115"/>
      <c r="N48" s="115"/>
    </row>
    <row r="49" spans="1:14">
      <c r="A49" s="115"/>
      <c r="B49" s="115"/>
      <c r="C49" s="115"/>
      <c r="D49" s="115"/>
      <c r="E49" s="115"/>
      <c r="F49" s="115"/>
      <c r="G49" s="115"/>
      <c r="H49" s="115"/>
      <c r="I49" s="115"/>
      <c r="J49" s="115"/>
      <c r="K49" s="115"/>
      <c r="L49" s="115"/>
      <c r="M49" s="115"/>
      <c r="N49" s="115"/>
    </row>
  </sheetData>
  <mergeCells count="9">
    <mergeCell ref="A47:N49"/>
    <mergeCell ref="A6:A7"/>
    <mergeCell ref="A28:A29"/>
    <mergeCell ref="A26:E26"/>
    <mergeCell ref="F1:K1"/>
    <mergeCell ref="B6:F6"/>
    <mergeCell ref="B28:E28"/>
    <mergeCell ref="G41:G43"/>
    <mergeCell ref="H41:H4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C6B25B-F872-4F8E-ACC4-B33A79FE5EC2}">
  <dimension ref="A1:O31"/>
  <sheetViews>
    <sheetView topLeftCell="A6" workbookViewId="0">
      <selection activeCell="A19" sqref="A19"/>
    </sheetView>
  </sheetViews>
  <sheetFormatPr defaultColWidth="9.140625" defaultRowHeight="15.75"/>
  <cols>
    <col min="1" max="1" width="59.5703125" style="2" customWidth="1"/>
    <col min="2" max="2" width="17.42578125" style="2" customWidth="1"/>
    <col min="3" max="5" width="15.140625" style="2" customWidth="1"/>
    <col min="6" max="6" width="14.5703125" style="2" customWidth="1"/>
    <col min="7" max="7" width="14.42578125" style="2" customWidth="1"/>
    <col min="8" max="8" width="14.28515625" style="2" customWidth="1"/>
    <col min="9" max="9" width="17.5703125" style="2" customWidth="1"/>
    <col min="10" max="10" width="14.85546875" style="2" customWidth="1"/>
    <col min="11" max="11" width="16.140625" style="2" customWidth="1"/>
    <col min="12" max="12" width="16" style="2" customWidth="1"/>
    <col min="13" max="13" width="16.7109375" style="2" customWidth="1"/>
    <col min="14" max="14" width="14" style="2" customWidth="1"/>
    <col min="15" max="15" width="13.140625" style="2" bestFit="1" customWidth="1"/>
    <col min="16" max="16384" width="9.140625" style="2"/>
  </cols>
  <sheetData>
    <row r="1" spans="1:15" ht="29.25" customHeight="1">
      <c r="I1" s="126" t="s">
        <v>76</v>
      </c>
      <c r="J1" s="126"/>
      <c r="K1" s="126"/>
      <c r="L1" s="126"/>
      <c r="M1" s="126"/>
    </row>
    <row r="3" spans="1:15" s="1" customFormat="1" ht="18.75" customHeight="1">
      <c r="A3" s="129" t="s">
        <v>75</v>
      </c>
      <c r="B3" s="129"/>
      <c r="C3" s="129"/>
      <c r="D3" s="129"/>
      <c r="E3" s="129"/>
      <c r="F3" s="129"/>
      <c r="G3" s="129"/>
      <c r="H3" s="129"/>
      <c r="I3" s="129"/>
      <c r="J3" s="129"/>
      <c r="K3" s="129"/>
      <c r="L3" s="129"/>
    </row>
    <row r="4" spans="1:15" s="1" customFormat="1" ht="18.75">
      <c r="A4" s="85"/>
      <c r="B4" s="67"/>
      <c r="C4" s="67"/>
      <c r="D4" s="67"/>
      <c r="E4" s="67"/>
    </row>
    <row r="5" spans="1:15" s="1" customFormat="1" ht="26.25" customHeight="1">
      <c r="A5" s="114"/>
      <c r="B5" s="111" t="s">
        <v>87</v>
      </c>
      <c r="C5" s="131" t="s">
        <v>71</v>
      </c>
      <c r="D5" s="132"/>
      <c r="E5" s="133"/>
      <c r="F5" s="111" t="s">
        <v>85</v>
      </c>
      <c r="G5" s="111"/>
      <c r="H5" s="111"/>
      <c r="I5" s="128" t="s">
        <v>86</v>
      </c>
      <c r="J5" s="128" t="s">
        <v>94</v>
      </c>
      <c r="K5" s="128" t="s">
        <v>95</v>
      </c>
      <c r="L5" s="128" t="s">
        <v>96</v>
      </c>
      <c r="M5" s="128" t="s">
        <v>97</v>
      </c>
      <c r="N5" s="31"/>
      <c r="O5" s="31"/>
    </row>
    <row r="6" spans="1:15" s="1" customFormat="1" ht="62.25" customHeight="1">
      <c r="A6" s="113"/>
      <c r="B6" s="111"/>
      <c r="C6" s="19" t="s">
        <v>88</v>
      </c>
      <c r="D6" s="19" t="s">
        <v>89</v>
      </c>
      <c r="E6" s="19" t="s">
        <v>90</v>
      </c>
      <c r="F6" s="17" t="s">
        <v>91</v>
      </c>
      <c r="G6" s="17" t="s">
        <v>92</v>
      </c>
      <c r="H6" s="17" t="s">
        <v>93</v>
      </c>
      <c r="I6" s="128"/>
      <c r="J6" s="128"/>
      <c r="K6" s="128"/>
      <c r="L6" s="128"/>
      <c r="M6" s="128"/>
      <c r="N6" s="31"/>
      <c r="O6" s="31"/>
    </row>
    <row r="7" spans="1:15" s="3" customFormat="1">
      <c r="A7" s="7" t="s">
        <v>0</v>
      </c>
      <c r="B7" s="8">
        <f>SUM(B8:B21)</f>
        <v>52001578</v>
      </c>
      <c r="C7" s="20">
        <f>ROUND(SUM(C8:C15),2)</f>
        <v>12591746.76</v>
      </c>
      <c r="D7" s="20">
        <f>ROUND(SUM(D8:D15),2)</f>
        <v>17469067.890000001</v>
      </c>
      <c r="E7" s="20">
        <f>ROUND(SUM(E8:E15),2)</f>
        <v>4877321.13</v>
      </c>
      <c r="F7" s="20">
        <f t="shared" ref="F7:H7" si="0">SUM(F8:F15)</f>
        <v>15634815.76155</v>
      </c>
      <c r="G7" s="20">
        <f t="shared" si="0"/>
        <v>15634815.76155</v>
      </c>
      <c r="H7" s="20">
        <f t="shared" si="0"/>
        <v>15634815.76155</v>
      </c>
      <c r="I7" s="20">
        <f>SUM(I8:I15)</f>
        <v>64373515.174650006</v>
      </c>
      <c r="J7" s="20">
        <f t="shared" ref="J7:K7" si="1">SUM(J8:J15)</f>
        <v>13320668.174649999</v>
      </c>
      <c r="K7" s="20">
        <f t="shared" si="1"/>
        <v>27892278.397699993</v>
      </c>
      <c r="L7" s="20">
        <f>SUM(L8:L15)</f>
        <v>36481236.776949994</v>
      </c>
      <c r="M7" s="20">
        <f>SUM(M8:M21)</f>
        <v>65322246.18</v>
      </c>
      <c r="N7" s="32"/>
      <c r="O7" s="32"/>
    </row>
    <row r="8" spans="1:15" s="5" customFormat="1">
      <c r="A8" s="9" t="s">
        <v>4</v>
      </c>
      <c r="B8" s="10">
        <v>37204074</v>
      </c>
      <c r="C8" s="18">
        <v>9205712</v>
      </c>
      <c r="D8" s="18">
        <v>13189453.559999999</v>
      </c>
      <c r="E8" s="18">
        <f>D8-C8</f>
        <v>3983741.5599999987</v>
      </c>
      <c r="F8" s="18">
        <f>'2024_fin_prognoze'!$D8*'2022_2023_veiktais_darbs'!$F$13</f>
        <v>11804560.936199998</v>
      </c>
      <c r="G8" s="18">
        <f>$D8*'2022_2023_veiktais_darbs'!$F$16</f>
        <v>11804560.936199998</v>
      </c>
      <c r="H8" s="18">
        <f>$D8*'2022_2023_veiktais_darbs'!$F$19</f>
        <v>11804560.936199998</v>
      </c>
      <c r="I8" s="18">
        <f>D8+F8+G8+H8</f>
        <v>48603136.368599996</v>
      </c>
      <c r="J8" s="18">
        <f>I8-B8</f>
        <v>11399062.368599996</v>
      </c>
      <c r="K8" s="18">
        <f>D8+(F8/3*2)</f>
        <v>21059160.850799996</v>
      </c>
      <c r="L8" s="18">
        <f>(F8/3*1)+G8+H8</f>
        <v>27543975.517799996</v>
      </c>
      <c r="M8" s="18">
        <f t="shared" ref="M8:M15" si="2">ROUND(D8+F8+G8+(H8/3*3),2)</f>
        <v>48603136.369999997</v>
      </c>
      <c r="N8" s="33"/>
      <c r="O8" s="33"/>
    </row>
    <row r="9" spans="1:15" s="5" customFormat="1">
      <c r="A9" s="9" t="s">
        <v>5</v>
      </c>
      <c r="B9" s="10">
        <v>2799280</v>
      </c>
      <c r="C9" s="18">
        <v>699820.26</v>
      </c>
      <c r="D9" s="18">
        <v>1049356.1000000001</v>
      </c>
      <c r="E9" s="18">
        <f t="shared" ref="E9:E15" si="3">D9-C9</f>
        <v>349535.84000000008</v>
      </c>
      <c r="F9" s="18">
        <f>'2024_fin_prognoze'!$D9*'2022_2023_veiktais_darbs'!$F$13</f>
        <v>939173.70950000011</v>
      </c>
      <c r="G9" s="18">
        <f>$D9*'2022_2023_veiktais_darbs'!$F$16</f>
        <v>939173.70950000011</v>
      </c>
      <c r="H9" s="18">
        <f>$D9*'2022_2023_veiktais_darbs'!$F$19</f>
        <v>939173.70950000011</v>
      </c>
      <c r="I9" s="18">
        <f>D9+F9+G9+H9</f>
        <v>3866877.2285000002</v>
      </c>
      <c r="J9" s="18">
        <f t="shared" ref="J9:J15" si="4">I9-B9</f>
        <v>1067597.2285000002</v>
      </c>
      <c r="K9" s="18">
        <f t="shared" ref="K9:K15" si="5">D9+(F9/3*2)</f>
        <v>1675471.9063333333</v>
      </c>
      <c r="L9" s="18">
        <f t="shared" ref="L9:L15" si="6">(F9/3*1)+G9+H9</f>
        <v>2191405.3221666669</v>
      </c>
      <c r="M9" s="18">
        <f t="shared" si="2"/>
        <v>3866877.23</v>
      </c>
      <c r="N9" s="33"/>
      <c r="O9" s="33"/>
    </row>
    <row r="10" spans="1:15" s="6" customFormat="1">
      <c r="A10" s="9" t="s">
        <v>6</v>
      </c>
      <c r="B10" s="10">
        <v>252900</v>
      </c>
      <c r="C10" s="18">
        <v>63225</v>
      </c>
      <c r="D10" s="18">
        <v>99538.64</v>
      </c>
      <c r="E10" s="18">
        <f t="shared" si="3"/>
        <v>36313.64</v>
      </c>
      <c r="F10" s="18">
        <f>'2024_fin_prognoze'!$D10*'2022_2023_veiktais_darbs'!$F$13</f>
        <v>89087.082800000004</v>
      </c>
      <c r="G10" s="18">
        <f>$D10*'2022_2023_veiktais_darbs'!$F$16</f>
        <v>89087.082800000004</v>
      </c>
      <c r="H10" s="18">
        <f>$D10*'2022_2023_veiktais_darbs'!$F$19</f>
        <v>89087.082800000004</v>
      </c>
      <c r="I10" s="18">
        <f t="shared" ref="I10:I15" si="7">D10+F10+G10+H10</f>
        <v>366799.88839999994</v>
      </c>
      <c r="J10" s="18">
        <f t="shared" si="4"/>
        <v>113899.88839999994</v>
      </c>
      <c r="K10" s="18">
        <f t="shared" si="5"/>
        <v>158930.02853333333</v>
      </c>
      <c r="L10" s="18">
        <f t="shared" si="6"/>
        <v>207869.85986666667</v>
      </c>
      <c r="M10" s="18">
        <f t="shared" si="2"/>
        <v>366799.89</v>
      </c>
      <c r="N10" s="34"/>
      <c r="O10" s="34"/>
    </row>
    <row r="11" spans="1:15" s="6" customFormat="1">
      <c r="A11" s="9" t="s">
        <v>7</v>
      </c>
      <c r="B11" s="10">
        <v>103178</v>
      </c>
      <c r="C11" s="18">
        <v>25794</v>
      </c>
      <c r="D11" s="18">
        <v>15563.4</v>
      </c>
      <c r="E11" s="18">
        <f t="shared" si="3"/>
        <v>-10230.6</v>
      </c>
      <c r="F11" s="18">
        <f>'2024_fin_prognoze'!$D11*'2022_2023_veiktais_darbs'!$F$13</f>
        <v>13929.243</v>
      </c>
      <c r="G11" s="18">
        <f>$D11*'2022_2023_veiktais_darbs'!$F$16</f>
        <v>13929.243</v>
      </c>
      <c r="H11" s="18">
        <f>$D11*'2022_2023_veiktais_darbs'!$F$19</f>
        <v>13929.243</v>
      </c>
      <c r="I11" s="18">
        <f t="shared" si="7"/>
        <v>57351.129000000001</v>
      </c>
      <c r="J11" s="18">
        <f t="shared" si="4"/>
        <v>-45826.870999999999</v>
      </c>
      <c r="K11" s="18">
        <f t="shared" si="5"/>
        <v>24849.561999999998</v>
      </c>
      <c r="L11" s="18">
        <f t="shared" si="6"/>
        <v>32501.567000000003</v>
      </c>
      <c r="M11" s="18">
        <f t="shared" si="2"/>
        <v>57351.13</v>
      </c>
      <c r="N11" s="34"/>
      <c r="O11" s="34"/>
    </row>
    <row r="12" spans="1:15" s="6" customFormat="1" ht="14.25" customHeight="1">
      <c r="A12" s="9" t="s">
        <v>8</v>
      </c>
      <c r="B12" s="10">
        <v>2844619</v>
      </c>
      <c r="C12" s="18">
        <v>753190.25</v>
      </c>
      <c r="D12" s="18">
        <v>999461.51000000013</v>
      </c>
      <c r="E12" s="18">
        <f t="shared" si="3"/>
        <v>246271.26000000013</v>
      </c>
      <c r="F12" s="18">
        <f>'2024_fin_prognoze'!$D12*'2022_2023_veiktais_darbs'!$F$13</f>
        <v>894518.05145000014</v>
      </c>
      <c r="G12" s="18">
        <f>$D12*'2022_2023_veiktais_darbs'!$F$16</f>
        <v>894518.05145000014</v>
      </c>
      <c r="H12" s="18">
        <f>$D12*'2022_2023_veiktais_darbs'!$F$19</f>
        <v>894518.05145000014</v>
      </c>
      <c r="I12" s="18">
        <f t="shared" si="7"/>
        <v>3683015.6643500007</v>
      </c>
      <c r="J12" s="18">
        <f t="shared" si="4"/>
        <v>838396.66435000068</v>
      </c>
      <c r="K12" s="18">
        <f t="shared" si="5"/>
        <v>1595806.8776333337</v>
      </c>
      <c r="L12" s="18">
        <f t="shared" si="6"/>
        <v>2087208.786716667</v>
      </c>
      <c r="M12" s="18">
        <f t="shared" si="2"/>
        <v>3683015.66</v>
      </c>
      <c r="N12" s="34"/>
      <c r="O12" s="34"/>
    </row>
    <row r="13" spans="1:15" s="6" customFormat="1">
      <c r="A13" s="70" t="s">
        <v>9</v>
      </c>
      <c r="B13" s="10">
        <v>2540456</v>
      </c>
      <c r="C13" s="18">
        <v>635188.25</v>
      </c>
      <c r="D13" s="18">
        <v>831325.50000000012</v>
      </c>
      <c r="E13" s="18">
        <f t="shared" si="3"/>
        <v>196137.25000000012</v>
      </c>
      <c r="F13" s="18">
        <f>'2024_fin_prognoze'!$D13*'2022_2023_veiktais_darbs'!$F$13</f>
        <v>744036.32250000013</v>
      </c>
      <c r="G13" s="18">
        <f>$D13*'2022_2023_veiktais_darbs'!$F$16</f>
        <v>744036.32250000013</v>
      </c>
      <c r="H13" s="18">
        <f>$D13*'2022_2023_veiktais_darbs'!$F$19</f>
        <v>744036.32250000013</v>
      </c>
      <c r="I13" s="18">
        <f t="shared" si="7"/>
        <v>3063434.4675000007</v>
      </c>
      <c r="J13" s="18">
        <f t="shared" si="4"/>
        <v>522978.46750000073</v>
      </c>
      <c r="K13" s="18">
        <f t="shared" si="5"/>
        <v>1327349.7150000003</v>
      </c>
      <c r="L13" s="18">
        <f t="shared" si="6"/>
        <v>1736084.7525000004</v>
      </c>
      <c r="M13" s="18">
        <f t="shared" si="2"/>
        <v>3063434.47</v>
      </c>
      <c r="N13" s="34"/>
      <c r="O13" s="34"/>
    </row>
    <row r="14" spans="1:15" s="6" customFormat="1">
      <c r="A14" s="9" t="s">
        <v>10</v>
      </c>
      <c r="B14" s="10">
        <v>1102639</v>
      </c>
      <c r="C14" s="18">
        <v>157392</v>
      </c>
      <c r="D14" s="18">
        <v>235289.69</v>
      </c>
      <c r="E14" s="18">
        <f t="shared" si="3"/>
        <v>77897.69</v>
      </c>
      <c r="F14" s="18">
        <f>'2024_fin_prognoze'!$D14*'2022_2023_veiktais_darbs'!$F$13</f>
        <v>210584.27254999999</v>
      </c>
      <c r="G14" s="18">
        <f>$D14*'2022_2023_veiktais_darbs'!$F$16</f>
        <v>210584.27254999999</v>
      </c>
      <c r="H14" s="18">
        <f>$D14*'2022_2023_veiktais_darbs'!$F$19</f>
        <v>210584.27254999999</v>
      </c>
      <c r="I14" s="18">
        <f t="shared" si="7"/>
        <v>867042.50764999993</v>
      </c>
      <c r="J14" s="18">
        <f t="shared" si="4"/>
        <v>-235596.49235000007</v>
      </c>
      <c r="K14" s="18">
        <f t="shared" si="5"/>
        <v>375679.20503333333</v>
      </c>
      <c r="L14" s="18">
        <f t="shared" si="6"/>
        <v>491363.30261666665</v>
      </c>
      <c r="M14" s="18">
        <f t="shared" si="2"/>
        <v>867042.51</v>
      </c>
      <c r="N14" s="34"/>
      <c r="O14" s="34"/>
    </row>
    <row r="15" spans="1:15" s="6" customFormat="1" ht="17.25" customHeight="1">
      <c r="A15" s="9" t="s">
        <v>11</v>
      </c>
      <c r="B15" s="10">
        <v>4205701</v>
      </c>
      <c r="C15" s="18">
        <v>1051425</v>
      </c>
      <c r="D15" s="18">
        <v>1049079.49</v>
      </c>
      <c r="E15" s="18">
        <f t="shared" si="3"/>
        <v>-2345.5100000000093</v>
      </c>
      <c r="F15" s="18">
        <f>'2024_fin_prognoze'!$D15*'2022_2023_veiktais_darbs'!$F$13</f>
        <v>938926.14355000004</v>
      </c>
      <c r="G15" s="18">
        <f>$D15*'2022_2023_veiktais_darbs'!$F$16</f>
        <v>938926.14355000004</v>
      </c>
      <c r="H15" s="18">
        <f>$D15*'2022_2023_veiktais_darbs'!$F$19</f>
        <v>938926.14355000004</v>
      </c>
      <c r="I15" s="18">
        <f t="shared" si="7"/>
        <v>3865857.9206500002</v>
      </c>
      <c r="J15" s="18">
        <f t="shared" si="4"/>
        <v>-339843.07934999978</v>
      </c>
      <c r="K15" s="18">
        <f t="shared" si="5"/>
        <v>1675030.2523666667</v>
      </c>
      <c r="L15" s="18">
        <f t="shared" si="6"/>
        <v>2190827.6682833335</v>
      </c>
      <c r="M15" s="18">
        <f t="shared" si="2"/>
        <v>3865857.92</v>
      </c>
      <c r="N15" s="34"/>
      <c r="O15" s="34"/>
    </row>
    <row r="16" spans="1:15" ht="19.5" customHeight="1">
      <c r="A16" s="11" t="s">
        <v>62</v>
      </c>
      <c r="B16" s="12">
        <v>146250</v>
      </c>
      <c r="C16" s="17"/>
      <c r="D16" s="17"/>
      <c r="E16" s="17"/>
      <c r="F16" s="17"/>
      <c r="G16" s="17"/>
      <c r="H16" s="17"/>
      <c r="I16" s="17"/>
      <c r="J16" s="17"/>
      <c r="K16" s="17"/>
      <c r="L16" s="17"/>
      <c r="M16" s="54">
        <f>B16</f>
        <v>146250</v>
      </c>
      <c r="N16" s="31"/>
      <c r="O16" s="31"/>
    </row>
    <row r="17" spans="1:15" ht="90">
      <c r="A17" s="11" t="s">
        <v>148</v>
      </c>
      <c r="B17" s="12">
        <v>66480</v>
      </c>
      <c r="C17" s="17"/>
      <c r="D17" s="17"/>
      <c r="E17" s="17"/>
      <c r="F17" s="17"/>
      <c r="G17" s="17"/>
      <c r="H17" s="17"/>
      <c r="I17" s="17"/>
      <c r="J17" s="17"/>
      <c r="K17" s="17"/>
      <c r="L17" s="17"/>
      <c r="M17" s="54">
        <f>B17</f>
        <v>66480</v>
      </c>
      <c r="N17" s="31"/>
      <c r="O17" s="31"/>
    </row>
    <row r="18" spans="1:15" ht="30">
      <c r="A18" s="11" t="s">
        <v>126</v>
      </c>
      <c r="B18" s="12">
        <v>159526</v>
      </c>
      <c r="C18" s="17"/>
      <c r="D18" s="17"/>
      <c r="E18" s="17"/>
      <c r="F18" s="17"/>
      <c r="G18" s="17"/>
      <c r="H18" s="17"/>
      <c r="I18" s="17"/>
      <c r="J18" s="17"/>
      <c r="K18" s="17"/>
      <c r="L18" s="17"/>
      <c r="M18" s="54">
        <f t="shared" ref="M18:M21" si="8">B18</f>
        <v>159526</v>
      </c>
      <c r="N18" s="31"/>
      <c r="O18" s="31"/>
    </row>
    <row r="19" spans="1:15" ht="30">
      <c r="A19" s="11" t="s">
        <v>127</v>
      </c>
      <c r="B19" s="12">
        <v>16547</v>
      </c>
      <c r="C19" s="17"/>
      <c r="D19" s="17"/>
      <c r="E19" s="17"/>
      <c r="F19" s="17"/>
      <c r="G19" s="17"/>
      <c r="H19" s="17"/>
      <c r="I19" s="17"/>
      <c r="J19" s="17"/>
      <c r="K19" s="17"/>
      <c r="L19" s="17"/>
      <c r="M19" s="54">
        <f t="shared" si="8"/>
        <v>16547</v>
      </c>
      <c r="N19" s="31"/>
      <c r="O19" s="31"/>
    </row>
    <row r="20" spans="1:15" ht="30">
      <c r="A20" s="56" t="s">
        <v>129</v>
      </c>
      <c r="B20" s="12">
        <v>551683</v>
      </c>
      <c r="C20" s="17"/>
      <c r="D20" s="17"/>
      <c r="E20" s="17"/>
      <c r="F20" s="17"/>
      <c r="G20" s="17"/>
      <c r="H20" s="17"/>
      <c r="I20" s="17"/>
      <c r="J20" s="17"/>
      <c r="K20" s="17"/>
      <c r="L20" s="17"/>
      <c r="M20" s="54">
        <f t="shared" si="8"/>
        <v>551683</v>
      </c>
      <c r="N20" s="31"/>
      <c r="O20" s="31"/>
    </row>
    <row r="21" spans="1:15" ht="45">
      <c r="A21" s="56" t="s">
        <v>128</v>
      </c>
      <c r="B21" s="12">
        <v>8245</v>
      </c>
      <c r="C21" s="17"/>
      <c r="D21" s="17"/>
      <c r="E21" s="17"/>
      <c r="F21" s="17"/>
      <c r="G21" s="17"/>
      <c r="H21" s="17"/>
      <c r="I21" s="17"/>
      <c r="J21" s="17"/>
      <c r="K21" s="17"/>
      <c r="L21" s="17"/>
      <c r="M21" s="54">
        <f t="shared" si="8"/>
        <v>8245</v>
      </c>
      <c r="N21" s="31"/>
      <c r="O21" s="31"/>
    </row>
    <row r="22" spans="1:15">
      <c r="A22" s="13" t="s">
        <v>1</v>
      </c>
      <c r="B22" s="14">
        <f>SUM(B23:B23)</f>
        <v>52001578</v>
      </c>
      <c r="C22" s="17"/>
      <c r="D22" s="17"/>
      <c r="E22" s="17"/>
      <c r="F22" s="17"/>
      <c r="G22" s="17"/>
      <c r="H22" s="17"/>
      <c r="I22" s="17"/>
      <c r="J22" s="17"/>
      <c r="K22" s="17"/>
      <c r="L22" s="17"/>
      <c r="M22" s="17"/>
      <c r="N22" s="31"/>
      <c r="O22" s="31"/>
    </row>
    <row r="23" spans="1:15" ht="28.5">
      <c r="A23" s="15" t="s">
        <v>2</v>
      </c>
      <c r="B23" s="16">
        <v>52001578</v>
      </c>
      <c r="C23" s="17"/>
      <c r="D23" s="17"/>
      <c r="E23" s="17"/>
      <c r="F23" s="17"/>
      <c r="G23" s="17"/>
      <c r="H23" s="17"/>
      <c r="I23" s="17"/>
      <c r="J23" s="17"/>
      <c r="K23" s="17"/>
      <c r="L23" s="17"/>
      <c r="M23" s="17"/>
      <c r="N23" s="31"/>
      <c r="O23" s="31"/>
    </row>
    <row r="24" spans="1:15" s="4" customFormat="1" ht="14.25"/>
    <row r="25" spans="1:15" s="4" customFormat="1" ht="14.25"/>
    <row r="26" spans="1:15" ht="78.75">
      <c r="A26" s="127" t="s">
        <v>130</v>
      </c>
      <c r="B26" s="127"/>
      <c r="C26" s="127"/>
      <c r="D26" s="127"/>
      <c r="E26" s="127"/>
      <c r="K26" s="47" t="s">
        <v>55</v>
      </c>
      <c r="L26" s="47" t="s">
        <v>56</v>
      </c>
    </row>
    <row r="27" spans="1:15">
      <c r="K27" s="48">
        <f>K7/I7</f>
        <v>0.43328810492989583</v>
      </c>
      <c r="L27" s="48">
        <f>L7/I7</f>
        <v>0.56671189507010389</v>
      </c>
    </row>
    <row r="29" spans="1:15">
      <c r="L29" s="130" t="s">
        <v>98</v>
      </c>
    </row>
    <row r="30" spans="1:15" ht="105" customHeight="1">
      <c r="L30" s="130"/>
    </row>
    <row r="31" spans="1:15">
      <c r="L31" s="49">
        <f>L13/L7</f>
        <v>4.75884291729088E-2</v>
      </c>
    </row>
  </sheetData>
  <mergeCells count="13">
    <mergeCell ref="L29:L30"/>
    <mergeCell ref="M5:M6"/>
    <mergeCell ref="I5:I6"/>
    <mergeCell ref="A5:A6"/>
    <mergeCell ref="B5:B6"/>
    <mergeCell ref="C5:E5"/>
    <mergeCell ref="F5:H5"/>
    <mergeCell ref="I1:M1"/>
    <mergeCell ref="A26:E26"/>
    <mergeCell ref="J5:J6"/>
    <mergeCell ref="K5:K6"/>
    <mergeCell ref="L5:L6"/>
    <mergeCell ref="A3:L3"/>
  </mergeCells>
  <pageMargins left="0.7" right="0.7" top="0.75" bottom="0.75" header="0.3" footer="0.3"/>
  <pageSetup paperSize="9" orientation="portrait" verticalDpi="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5AE4A8-3415-4F79-9A09-8A814AD4CE7F}">
  <dimension ref="A1:O26"/>
  <sheetViews>
    <sheetView workbookViewId="0">
      <selection activeCell="E19" sqref="E19"/>
    </sheetView>
  </sheetViews>
  <sheetFormatPr defaultColWidth="9.140625" defaultRowHeight="15.75"/>
  <cols>
    <col min="1" max="1" width="59.5703125" style="2" customWidth="1"/>
    <col min="2" max="2" width="16.85546875" style="2" customWidth="1"/>
    <col min="3" max="3" width="15.140625" style="2" customWidth="1"/>
    <col min="4" max="4" width="19.140625" style="2" customWidth="1"/>
    <col min="5" max="5" width="17.85546875" style="2" customWidth="1"/>
    <col min="6" max="6" width="14.85546875" style="2" customWidth="1"/>
    <col min="7" max="8" width="16" style="2" customWidth="1"/>
    <col min="9" max="9" width="16.7109375" style="2" customWidth="1"/>
    <col min="10" max="10" width="13.140625" style="2" bestFit="1" customWidth="1"/>
    <col min="11" max="16384" width="9.140625" style="2"/>
  </cols>
  <sheetData>
    <row r="1" spans="1:15" ht="29.25" customHeight="1">
      <c r="F1" s="126" t="s">
        <v>113</v>
      </c>
      <c r="G1" s="126"/>
      <c r="H1" s="126"/>
      <c r="I1" s="126"/>
      <c r="J1" s="126"/>
    </row>
    <row r="3" spans="1:15" s="1" customFormat="1" ht="18.75" customHeight="1">
      <c r="A3" s="129" t="s">
        <v>121</v>
      </c>
      <c r="B3" s="129"/>
      <c r="C3" s="129"/>
      <c r="D3" s="129"/>
      <c r="E3" s="129"/>
      <c r="F3" s="129"/>
      <c r="G3" s="129"/>
    </row>
    <row r="4" spans="1:15" s="1" customFormat="1" ht="18.75">
      <c r="A4" s="85"/>
      <c r="B4" s="67"/>
    </row>
    <row r="5" spans="1:15" s="1" customFormat="1" ht="26.25" customHeight="1">
      <c r="A5" s="114"/>
      <c r="B5" s="139" t="s">
        <v>87</v>
      </c>
      <c r="C5" s="138" t="s">
        <v>86</v>
      </c>
      <c r="D5" s="136" t="s">
        <v>114</v>
      </c>
      <c r="E5" s="136" t="s">
        <v>115</v>
      </c>
      <c r="F5" s="138" t="s">
        <v>116</v>
      </c>
      <c r="G5" s="138" t="s">
        <v>117</v>
      </c>
      <c r="H5" s="138" t="s">
        <v>118</v>
      </c>
      <c r="I5" s="138" t="s">
        <v>119</v>
      </c>
      <c r="J5" s="138" t="s">
        <v>120</v>
      </c>
    </row>
    <row r="6" spans="1:15" s="1" customFormat="1" ht="97.5" customHeight="1">
      <c r="A6" s="113"/>
      <c r="B6" s="139"/>
      <c r="C6" s="138"/>
      <c r="D6" s="137"/>
      <c r="E6" s="137"/>
      <c r="F6" s="138"/>
      <c r="G6" s="138"/>
      <c r="H6" s="138"/>
      <c r="I6" s="138"/>
      <c r="J6" s="138"/>
    </row>
    <row r="7" spans="1:15" s="3" customFormat="1" ht="15.75" customHeight="1">
      <c r="A7" s="7" t="s">
        <v>0</v>
      </c>
      <c r="B7" s="8">
        <f>SUM(B8:B22)</f>
        <v>52001578</v>
      </c>
      <c r="C7" s="20">
        <f>SUM(C8:C15)</f>
        <v>64373515.174650006</v>
      </c>
      <c r="D7" s="8">
        <v>1375604</v>
      </c>
      <c r="E7" s="20">
        <f t="shared" ref="E7:G7" si="0">SUM(E8:E15)</f>
        <v>62997911.174650006</v>
      </c>
      <c r="F7" s="20">
        <f t="shared" si="0"/>
        <v>57285336.359999999</v>
      </c>
      <c r="G7" s="20">
        <f t="shared" si="0"/>
        <v>7088178.8146499991</v>
      </c>
      <c r="H7" s="40">
        <f>E7/F7</f>
        <v>1.0997214152457846</v>
      </c>
      <c r="I7" s="35"/>
      <c r="J7" s="40">
        <v>1.0680000000000001</v>
      </c>
      <c r="K7" s="134"/>
      <c r="L7" s="135"/>
      <c r="M7" s="135"/>
      <c r="N7" s="135"/>
      <c r="O7" s="135"/>
    </row>
    <row r="8" spans="1:15" s="5" customFormat="1">
      <c r="A8" s="9" t="s">
        <v>4</v>
      </c>
      <c r="B8" s="10">
        <f>'2024_fin_prognoze'!B8</f>
        <v>37204074</v>
      </c>
      <c r="C8" s="18">
        <f>'2024_fin_prognoze'!I8</f>
        <v>48603136.368599996</v>
      </c>
      <c r="D8" s="18">
        <f t="shared" ref="D8:D15" si="1">ROUND(B8/$B$26*$D$7,2)</f>
        <v>1002452.87</v>
      </c>
      <c r="E8" s="18">
        <f>C8-D8</f>
        <v>47600683.498599999</v>
      </c>
      <c r="F8" s="39">
        <v>46509552.18</v>
      </c>
      <c r="G8" s="18">
        <f t="shared" ref="G8:G15" si="2">C8-F8</f>
        <v>2093584.1885999963</v>
      </c>
      <c r="H8" s="18"/>
      <c r="I8" s="18"/>
      <c r="J8" s="18"/>
      <c r="K8" s="134"/>
      <c r="L8" s="135"/>
      <c r="M8" s="135"/>
      <c r="N8" s="135"/>
      <c r="O8" s="135"/>
    </row>
    <row r="9" spans="1:15" s="5" customFormat="1">
      <c r="A9" s="9" t="s">
        <v>5</v>
      </c>
      <c r="B9" s="10">
        <f>'2024_fin_prognoze'!B9</f>
        <v>2799280</v>
      </c>
      <c r="C9" s="18">
        <f>'2024_fin_prognoze'!I9</f>
        <v>3866877.2285000002</v>
      </c>
      <c r="D9" s="18">
        <f t="shared" si="1"/>
        <v>75425.78</v>
      </c>
      <c r="E9" s="18">
        <f t="shared" ref="E9:E15" si="3">C9-D9</f>
        <v>3791451.4485000004</v>
      </c>
      <c r="F9" s="39">
        <v>3591424</v>
      </c>
      <c r="G9" s="18">
        <f t="shared" si="2"/>
        <v>275453.2285000002</v>
      </c>
      <c r="H9" s="18"/>
      <c r="I9" s="18"/>
      <c r="J9" s="18"/>
      <c r="K9" s="134"/>
      <c r="L9" s="135"/>
      <c r="M9" s="135"/>
      <c r="N9" s="135"/>
      <c r="O9" s="135"/>
    </row>
    <row r="10" spans="1:15" s="6" customFormat="1">
      <c r="A10" s="9" t="s">
        <v>6</v>
      </c>
      <c r="B10" s="10">
        <f>'2024_fin_prognoze'!B10</f>
        <v>252900</v>
      </c>
      <c r="C10" s="18">
        <f>'2024_fin_prognoze'!I10</f>
        <v>366799.88839999994</v>
      </c>
      <c r="D10" s="18">
        <f t="shared" si="1"/>
        <v>6814.32</v>
      </c>
      <c r="E10" s="18">
        <f t="shared" si="3"/>
        <v>359985.56839999993</v>
      </c>
      <c r="F10" s="39">
        <v>339942</v>
      </c>
      <c r="G10" s="18">
        <f t="shared" si="2"/>
        <v>26857.888399999938</v>
      </c>
      <c r="H10" s="36"/>
      <c r="I10" s="36"/>
      <c r="J10" s="36"/>
      <c r="K10" s="134"/>
      <c r="L10" s="135"/>
      <c r="M10" s="135"/>
      <c r="N10" s="135"/>
      <c r="O10" s="135"/>
    </row>
    <row r="11" spans="1:15" s="6" customFormat="1">
      <c r="A11" s="9" t="s">
        <v>7</v>
      </c>
      <c r="B11" s="10">
        <f>'2024_fin_prognoze'!B11</f>
        <v>103178</v>
      </c>
      <c r="C11" s="18">
        <f>'2024_fin_prognoze'!I11</f>
        <v>57351.129000000001</v>
      </c>
      <c r="D11" s="18">
        <f t="shared" si="1"/>
        <v>2780.1</v>
      </c>
      <c r="E11" s="18">
        <f>C11-D11</f>
        <v>54571.029000000002</v>
      </c>
      <c r="F11" s="39">
        <v>138000</v>
      </c>
      <c r="G11" s="18">
        <f t="shared" si="2"/>
        <v>-80648.870999999999</v>
      </c>
      <c r="H11" s="36"/>
      <c r="I11" s="36"/>
      <c r="J11" s="36"/>
    </row>
    <row r="12" spans="1:15" s="6" customFormat="1" ht="14.25" customHeight="1">
      <c r="A12" s="9" t="s">
        <v>8</v>
      </c>
      <c r="B12" s="10">
        <f>'2024_fin_prognoze'!B12</f>
        <v>2844619</v>
      </c>
      <c r="C12" s="18">
        <f>'2024_fin_prognoze'!I12</f>
        <v>3683015.6643500007</v>
      </c>
      <c r="D12" s="18">
        <f t="shared" si="1"/>
        <v>76647.429999999993</v>
      </c>
      <c r="E12" s="18">
        <f t="shared" si="3"/>
        <v>3606368.2343500005</v>
      </c>
      <c r="F12" s="39">
        <v>2534915.1800000002</v>
      </c>
      <c r="G12" s="18">
        <f t="shared" si="2"/>
        <v>1148100.4843500005</v>
      </c>
      <c r="H12" s="36"/>
      <c r="I12" s="36"/>
      <c r="J12" s="36"/>
    </row>
    <row r="13" spans="1:15" s="6" customFormat="1">
      <c r="A13" s="70" t="s">
        <v>9</v>
      </c>
      <c r="B13" s="10">
        <f>'2024_fin_prognoze'!B13</f>
        <v>2540456</v>
      </c>
      <c r="C13" s="18">
        <f>'2024_fin_prognoze'!I13</f>
        <v>3063434.4675000007</v>
      </c>
      <c r="D13" s="18">
        <f t="shared" si="1"/>
        <v>68451.839999999997</v>
      </c>
      <c r="E13" s="18">
        <f t="shared" si="3"/>
        <v>2994982.6275000009</v>
      </c>
      <c r="F13" s="36"/>
      <c r="G13" s="18">
        <f t="shared" si="2"/>
        <v>3063434.4675000007</v>
      </c>
      <c r="H13" s="36"/>
      <c r="I13" s="42">
        <f>E13/E7</f>
        <v>4.7540983052548648E-2</v>
      </c>
      <c r="J13" s="36"/>
    </row>
    <row r="14" spans="1:15" s="6" customFormat="1">
      <c r="A14" s="9" t="s">
        <v>10</v>
      </c>
      <c r="B14" s="10">
        <f>'2024_fin_prognoze'!B14</f>
        <v>1102639</v>
      </c>
      <c r="C14" s="18">
        <f>'2024_fin_prognoze'!I14</f>
        <v>867042.50764999993</v>
      </c>
      <c r="D14" s="18">
        <f t="shared" si="1"/>
        <v>29710.28</v>
      </c>
      <c r="E14" s="18">
        <f t="shared" si="3"/>
        <v>837332.2276499999</v>
      </c>
      <c r="F14" s="39">
        <v>590877</v>
      </c>
      <c r="G14" s="18">
        <f t="shared" si="2"/>
        <v>276165.50764999993</v>
      </c>
      <c r="H14" s="36"/>
      <c r="I14" s="36"/>
      <c r="J14" s="36"/>
    </row>
    <row r="15" spans="1:15" s="6" customFormat="1" ht="17.25" customHeight="1">
      <c r="A15" s="9" t="s">
        <v>11</v>
      </c>
      <c r="B15" s="10">
        <f>'2024_fin_prognoze'!B15</f>
        <v>4205701</v>
      </c>
      <c r="C15" s="18">
        <f>'2024_fin_prognoze'!I15</f>
        <v>3865857.9206500002</v>
      </c>
      <c r="D15" s="18">
        <f t="shared" si="1"/>
        <v>113321.38</v>
      </c>
      <c r="E15" s="18">
        <f t="shared" si="3"/>
        <v>3752536.5406500003</v>
      </c>
      <c r="F15" s="39">
        <v>3580626</v>
      </c>
      <c r="G15" s="18">
        <f t="shared" si="2"/>
        <v>285231.92065000022</v>
      </c>
      <c r="H15" s="36"/>
      <c r="I15" s="36"/>
      <c r="J15" s="36"/>
    </row>
    <row r="16" spans="1:15" ht="30.75" hidden="1" customHeight="1">
      <c r="A16" s="11" t="s">
        <v>3</v>
      </c>
      <c r="B16" s="12"/>
      <c r="C16" s="17"/>
      <c r="D16" s="17"/>
      <c r="E16" s="17"/>
      <c r="F16" s="17"/>
      <c r="G16" s="17">
        <v>15404921.756513059</v>
      </c>
      <c r="H16" s="17"/>
      <c r="I16" s="17"/>
      <c r="J16" s="17"/>
    </row>
    <row r="17" spans="1:10" ht="19.5" customHeight="1">
      <c r="A17" s="11" t="s">
        <v>62</v>
      </c>
      <c r="B17" s="12">
        <f>'2024_fin_prognoze'!B16</f>
        <v>146250</v>
      </c>
      <c r="C17" s="17"/>
      <c r="D17" s="17"/>
      <c r="E17" s="17"/>
      <c r="F17" s="17"/>
      <c r="G17" s="17"/>
      <c r="H17" s="17"/>
      <c r="I17" s="17"/>
      <c r="J17" s="17"/>
    </row>
    <row r="18" spans="1:10" ht="90">
      <c r="A18" s="11" t="s">
        <v>147</v>
      </c>
      <c r="B18" s="12">
        <f>'2024_fin_prognoze'!B17</f>
        <v>66480</v>
      </c>
      <c r="C18" s="17"/>
      <c r="D18" s="17"/>
      <c r="E18" s="17"/>
      <c r="F18" s="17"/>
      <c r="G18" s="17"/>
      <c r="H18" s="17"/>
      <c r="I18" s="17"/>
      <c r="J18" s="17"/>
    </row>
    <row r="19" spans="1:10" ht="30">
      <c r="A19" s="11" t="s">
        <v>143</v>
      </c>
      <c r="B19" s="12">
        <f>'2024_fin_prognoze'!B18</f>
        <v>159526</v>
      </c>
      <c r="C19" s="17"/>
      <c r="D19" s="17"/>
      <c r="E19" s="17"/>
      <c r="F19" s="17"/>
      <c r="G19" s="17"/>
      <c r="H19" s="17"/>
      <c r="I19" s="17"/>
      <c r="J19" s="17"/>
    </row>
    <row r="20" spans="1:10" ht="30">
      <c r="A20" s="11" t="s">
        <v>144</v>
      </c>
      <c r="B20" s="12">
        <f>'2024_fin_prognoze'!B19</f>
        <v>16547</v>
      </c>
      <c r="C20" s="17"/>
      <c r="D20" s="17"/>
      <c r="E20" s="17"/>
      <c r="F20" s="17"/>
      <c r="G20" s="17"/>
      <c r="H20" s="17"/>
      <c r="I20" s="17"/>
      <c r="J20" s="17"/>
    </row>
    <row r="21" spans="1:10" ht="30">
      <c r="A21" s="56" t="s">
        <v>145</v>
      </c>
      <c r="B21" s="12">
        <f>'2024_fin_prognoze'!B20</f>
        <v>551683</v>
      </c>
      <c r="C21" s="17"/>
      <c r="D21" s="17"/>
      <c r="E21" s="17"/>
      <c r="F21" s="17"/>
      <c r="G21" s="17"/>
      <c r="H21" s="17"/>
      <c r="I21" s="17"/>
      <c r="J21" s="17"/>
    </row>
    <row r="22" spans="1:10" ht="45">
      <c r="A22" s="56" t="s">
        <v>146</v>
      </c>
      <c r="B22" s="12">
        <f>'2024_fin_prognoze'!B21</f>
        <v>8245</v>
      </c>
      <c r="C22" s="17"/>
      <c r="D22" s="17"/>
      <c r="E22" s="17"/>
      <c r="F22" s="17"/>
      <c r="G22" s="17"/>
      <c r="H22" s="17"/>
      <c r="I22" s="17"/>
      <c r="J22" s="17"/>
    </row>
    <row r="23" spans="1:10">
      <c r="A23" s="13" t="s">
        <v>1</v>
      </c>
      <c r="B23" s="14">
        <f>SUM(B24:B24)</f>
        <v>52001578</v>
      </c>
      <c r="C23" s="17"/>
      <c r="D23" s="17"/>
      <c r="E23" s="17"/>
      <c r="F23" s="17"/>
      <c r="G23" s="17"/>
      <c r="H23" s="17"/>
      <c r="I23" s="17"/>
      <c r="J23" s="17"/>
    </row>
    <row r="24" spans="1:10" ht="28.5">
      <c r="A24" s="15" t="s">
        <v>2</v>
      </c>
      <c r="B24" s="16">
        <v>52001578</v>
      </c>
      <c r="C24" s="17"/>
      <c r="D24" s="17"/>
      <c r="E24" s="17"/>
      <c r="F24" s="17"/>
      <c r="G24" s="17"/>
      <c r="H24" s="17"/>
      <c r="I24" s="17"/>
      <c r="J24" s="17"/>
    </row>
    <row r="25" spans="1:10" s="4" customFormat="1" ht="14.25"/>
    <row r="26" spans="1:10" s="4" customFormat="1" ht="14.25">
      <c r="A26" s="69" t="s">
        <v>61</v>
      </c>
      <c r="B26" s="71">
        <f>SUM(B8:B15)</f>
        <v>51052847</v>
      </c>
    </row>
  </sheetData>
  <mergeCells count="13">
    <mergeCell ref="F1:J1"/>
    <mergeCell ref="A3:G3"/>
    <mergeCell ref="K7:O10"/>
    <mergeCell ref="E5:E6"/>
    <mergeCell ref="J5:J6"/>
    <mergeCell ref="A5:A6"/>
    <mergeCell ref="B5:B6"/>
    <mergeCell ref="C5:C6"/>
    <mergeCell ref="D5:D6"/>
    <mergeCell ref="F5:F6"/>
    <mergeCell ref="G5:G6"/>
    <mergeCell ref="H5:H6"/>
    <mergeCell ref="I5:I6"/>
  </mergeCells>
  <pageMargins left="0.7" right="0.7" top="0.75" bottom="0.75" header="0.3" footer="0.3"/>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B64FB7-057F-4C09-AE94-4B29002620AD}">
  <dimension ref="A1:U37"/>
  <sheetViews>
    <sheetView workbookViewId="0">
      <selection activeCell="N37" sqref="N37"/>
    </sheetView>
  </sheetViews>
  <sheetFormatPr defaultRowHeight="12.75"/>
  <cols>
    <col min="1" max="1" width="13.5703125" customWidth="1"/>
    <col min="2" max="2" width="55.7109375" customWidth="1"/>
    <col min="3" max="3" width="14.7109375" bestFit="1" customWidth="1"/>
    <col min="4" max="4" width="11" customWidth="1"/>
    <col min="5" max="5" width="13.42578125" customWidth="1"/>
    <col min="6" max="6" width="14.5703125" customWidth="1"/>
    <col min="7" max="7" width="12.7109375" customWidth="1"/>
    <col min="8" max="8" width="14.85546875" customWidth="1"/>
    <col min="9" max="9" width="12.5703125" customWidth="1"/>
    <col min="10" max="10" width="15.85546875" customWidth="1"/>
    <col min="11" max="11" width="15.28515625" customWidth="1"/>
    <col min="12" max="12" width="13.28515625" customWidth="1"/>
    <col min="13" max="13" width="14.140625" customWidth="1"/>
    <col min="14" max="14" width="16" customWidth="1"/>
    <col min="15" max="15" width="15.42578125" customWidth="1"/>
    <col min="16" max="16" width="14.140625" customWidth="1"/>
    <col min="17" max="19" width="14" customWidth="1"/>
    <col min="20" max="20" width="16" customWidth="1"/>
    <col min="21" max="21" width="14" customWidth="1"/>
  </cols>
  <sheetData>
    <row r="1" spans="1:21" ht="27.75" customHeight="1">
      <c r="I1" s="140" t="s">
        <v>122</v>
      </c>
      <c r="J1" s="140"/>
      <c r="K1" s="140"/>
      <c r="L1" s="140"/>
      <c r="M1" s="140"/>
    </row>
    <row r="2" spans="1:21" ht="20.25" customHeight="1"/>
    <row r="3" spans="1:21" ht="16.5">
      <c r="A3" s="141" t="s">
        <v>123</v>
      </c>
      <c r="B3" s="141"/>
      <c r="C3" s="141"/>
      <c r="D3" s="141"/>
      <c r="E3" s="141"/>
      <c r="F3" s="141"/>
      <c r="G3" s="141"/>
      <c r="H3" s="141"/>
      <c r="I3" s="141"/>
      <c r="J3" s="141"/>
    </row>
    <row r="5" spans="1:21" ht="117.75" customHeight="1">
      <c r="A5" s="106" t="s">
        <v>28</v>
      </c>
      <c r="B5" s="106" t="s">
        <v>29</v>
      </c>
      <c r="C5" s="107" t="s">
        <v>51</v>
      </c>
      <c r="D5" s="107" t="s">
        <v>132</v>
      </c>
      <c r="E5" s="107" t="s">
        <v>133</v>
      </c>
      <c r="F5" s="107" t="s">
        <v>131</v>
      </c>
      <c r="G5" s="44" t="s">
        <v>52</v>
      </c>
      <c r="H5" s="44" t="s">
        <v>53</v>
      </c>
      <c r="I5" s="45" t="s">
        <v>54</v>
      </c>
      <c r="J5" s="46" t="s">
        <v>134</v>
      </c>
      <c r="K5" s="44" t="s">
        <v>140</v>
      </c>
      <c r="L5" s="50" t="s">
        <v>59</v>
      </c>
      <c r="M5" s="50" t="s">
        <v>57</v>
      </c>
      <c r="N5" s="50" t="s">
        <v>58</v>
      </c>
      <c r="O5" s="51" t="s">
        <v>135</v>
      </c>
      <c r="P5" s="50" t="s">
        <v>140</v>
      </c>
      <c r="Q5" s="64" t="s">
        <v>63</v>
      </c>
      <c r="R5" s="64" t="s">
        <v>64</v>
      </c>
      <c r="S5" s="64" t="s">
        <v>65</v>
      </c>
      <c r="T5" s="65" t="s">
        <v>136</v>
      </c>
      <c r="U5" s="64" t="s">
        <v>140</v>
      </c>
    </row>
    <row r="6" spans="1:21">
      <c r="A6" s="27">
        <v>40042</v>
      </c>
      <c r="B6" s="23" t="s">
        <v>30</v>
      </c>
      <c r="C6" s="103">
        <v>1024457</v>
      </c>
      <c r="D6" s="104">
        <v>4.7699999999999996</v>
      </c>
      <c r="E6" s="104">
        <v>3.93</v>
      </c>
      <c r="F6" s="103">
        <f>ROUND(C6*D6,2)</f>
        <v>4886659.8899999997</v>
      </c>
      <c r="G6" s="43">
        <f t="shared" ref="G6:G21" si="0">ROUND(C6/$C$30*$G$30,0)</f>
        <v>1126617</v>
      </c>
      <c r="H6" s="43">
        <f>ROUND(G6*'2024.g.-2023.g.'!$I$13,0)</f>
        <v>53560</v>
      </c>
      <c r="I6" s="43">
        <f>G6-H6</f>
        <v>1073057</v>
      </c>
      <c r="J6" s="43">
        <f t="shared" ref="J6:J29" si="1">ROUND((D6*I6)-(E6*I6),2)</f>
        <v>901367.88</v>
      </c>
      <c r="K6" s="43">
        <f>ROUND(J6*0.9,2)</f>
        <v>811231.09</v>
      </c>
      <c r="L6" s="43">
        <f>ROUNDUP(G6/$G$30*$L$30,0)</f>
        <v>638468</v>
      </c>
      <c r="M6" s="43">
        <f>ROUND(L6*'2024_fin_prognoze'!$L$31,0)</f>
        <v>30384</v>
      </c>
      <c r="N6" s="43">
        <f>L6-M6</f>
        <v>608084</v>
      </c>
      <c r="O6" s="43">
        <f t="shared" ref="O6:O29" si="2">ROUND((D6*N6)-(E6*N6),2)</f>
        <v>510790.56</v>
      </c>
      <c r="P6" s="43">
        <f>ROUND(O6*0.9,2)</f>
        <v>459711.5</v>
      </c>
      <c r="Q6" s="43">
        <f t="shared" ref="Q6:Q11" si="3">ROUND(G6/$G$30*$Q$30,0)</f>
        <v>1203227</v>
      </c>
      <c r="R6" s="43">
        <f>ROUND(Q6*'2024.g.-2023.g.'!$I$13,0)</f>
        <v>57203</v>
      </c>
      <c r="S6" s="43">
        <f>Q6-R6</f>
        <v>1146024</v>
      </c>
      <c r="T6" s="43">
        <f t="shared" ref="T6:T29" si="4">ROUND((S6*D6)-(S6*E6),2)</f>
        <v>962660.16</v>
      </c>
      <c r="U6" s="43">
        <f>ROUND(T6*0.9,2)</f>
        <v>866394.14</v>
      </c>
    </row>
    <row r="7" spans="1:21">
      <c r="A7" s="27">
        <v>40086</v>
      </c>
      <c r="B7" s="23" t="s">
        <v>31</v>
      </c>
      <c r="C7" s="103">
        <v>232386</v>
      </c>
      <c r="D7" s="104">
        <v>2.79</v>
      </c>
      <c r="E7" s="104">
        <v>1.87</v>
      </c>
      <c r="F7" s="103">
        <f t="shared" ref="F7:F29" si="5">ROUND(C7*D7,2)</f>
        <v>648356.93999999994</v>
      </c>
      <c r="G7" s="43">
        <f t="shared" si="0"/>
        <v>255560</v>
      </c>
      <c r="H7" s="43">
        <f>ROUND(G7*'2024.g.-2023.g.'!$I$13,0)</f>
        <v>12150</v>
      </c>
      <c r="I7" s="43">
        <f t="shared" ref="I7:I29" si="6">G7-H7</f>
        <v>243410</v>
      </c>
      <c r="J7" s="43">
        <f t="shared" si="1"/>
        <v>223937.2</v>
      </c>
      <c r="K7" s="43">
        <f t="shared" ref="K7:K29" si="7">ROUND(J7*0.9,2)</f>
        <v>201543.48</v>
      </c>
      <c r="L7" s="43">
        <f t="shared" ref="L7:L29" si="8">ROUND(G7/$G$30*$L$30,0)</f>
        <v>144829</v>
      </c>
      <c r="M7" s="43">
        <f>ROUND(L7*'2024_fin_prognoze'!$L$31,0)</f>
        <v>6892</v>
      </c>
      <c r="N7" s="43">
        <f t="shared" ref="N7:N29" si="9">L7-M7</f>
        <v>137937</v>
      </c>
      <c r="O7" s="43">
        <f t="shared" si="2"/>
        <v>126902.04</v>
      </c>
      <c r="P7" s="43">
        <f t="shared" ref="P7:P29" si="10">ROUND(O7*0.9,2)</f>
        <v>114211.84</v>
      </c>
      <c r="Q7" s="43">
        <f t="shared" si="3"/>
        <v>272938</v>
      </c>
      <c r="R7" s="43">
        <f>ROUND(Q7*'2024.g.-2023.g.'!$I$13,0)</f>
        <v>12976</v>
      </c>
      <c r="S7" s="43">
        <f t="shared" ref="S7:S29" si="11">Q7-R7</f>
        <v>259962</v>
      </c>
      <c r="T7" s="43">
        <f t="shared" si="4"/>
        <v>239165.04</v>
      </c>
      <c r="U7" s="43">
        <f t="shared" ref="U7:U29" si="12">ROUND(T7*0.9,2)</f>
        <v>215248.54</v>
      </c>
    </row>
    <row r="8" spans="1:21">
      <c r="A8" s="27">
        <v>40087</v>
      </c>
      <c r="B8" s="23" t="s">
        <v>32</v>
      </c>
      <c r="C8" s="103">
        <v>164408</v>
      </c>
      <c r="D8" s="104">
        <v>3.23</v>
      </c>
      <c r="E8" s="104">
        <v>2.23</v>
      </c>
      <c r="F8" s="103">
        <f t="shared" si="5"/>
        <v>531037.84</v>
      </c>
      <c r="G8" s="43">
        <f t="shared" si="0"/>
        <v>180803</v>
      </c>
      <c r="H8" s="43">
        <f>ROUND(G8*'2024.g.-2023.g.'!$I$13,0)</f>
        <v>8596</v>
      </c>
      <c r="I8" s="43">
        <f t="shared" si="6"/>
        <v>172207</v>
      </c>
      <c r="J8" s="43">
        <f t="shared" si="1"/>
        <v>172207</v>
      </c>
      <c r="K8" s="43">
        <f t="shared" si="7"/>
        <v>154986.29999999999</v>
      </c>
      <c r="L8" s="43">
        <f t="shared" si="8"/>
        <v>102463</v>
      </c>
      <c r="M8" s="43">
        <f>ROUND(L8*'2024_fin_prognoze'!$L$31,0)</f>
        <v>4876</v>
      </c>
      <c r="N8" s="43">
        <f t="shared" si="9"/>
        <v>97587</v>
      </c>
      <c r="O8" s="43">
        <f t="shared" si="2"/>
        <v>97587</v>
      </c>
      <c r="P8" s="43">
        <f t="shared" si="10"/>
        <v>87828.3</v>
      </c>
      <c r="Q8" s="43">
        <f t="shared" si="3"/>
        <v>193098</v>
      </c>
      <c r="R8" s="43">
        <f>ROUND(Q8*'2024.g.-2023.g.'!$I$13,0)</f>
        <v>9180</v>
      </c>
      <c r="S8" s="43">
        <f t="shared" si="11"/>
        <v>183918</v>
      </c>
      <c r="T8" s="43">
        <f t="shared" si="4"/>
        <v>183918</v>
      </c>
      <c r="U8" s="43">
        <f t="shared" si="12"/>
        <v>165526.20000000001</v>
      </c>
    </row>
    <row r="9" spans="1:21">
      <c r="A9" s="27">
        <v>40123</v>
      </c>
      <c r="B9" s="23" t="s">
        <v>33</v>
      </c>
      <c r="C9" s="103">
        <v>125125</v>
      </c>
      <c r="D9" s="104">
        <v>8.39</v>
      </c>
      <c r="E9" s="104">
        <v>6.53</v>
      </c>
      <c r="F9" s="103">
        <f t="shared" si="5"/>
        <v>1049798.75</v>
      </c>
      <c r="G9" s="43">
        <f t="shared" si="0"/>
        <v>137603</v>
      </c>
      <c r="H9" s="43">
        <f>ROUND(G9*'2024.g.-2023.g.'!$I$13,0)</f>
        <v>6542</v>
      </c>
      <c r="I9" s="43">
        <f t="shared" si="6"/>
        <v>131061</v>
      </c>
      <c r="J9" s="43">
        <f t="shared" si="1"/>
        <v>243773.46</v>
      </c>
      <c r="K9" s="43">
        <f t="shared" si="7"/>
        <v>219396.11</v>
      </c>
      <c r="L9" s="43">
        <f t="shared" si="8"/>
        <v>77981</v>
      </c>
      <c r="M9" s="43">
        <f>ROUND(L9*'2024_fin_prognoze'!$L$31,0)</f>
        <v>3711</v>
      </c>
      <c r="N9" s="43">
        <f t="shared" si="9"/>
        <v>74270</v>
      </c>
      <c r="O9" s="43">
        <f t="shared" si="2"/>
        <v>138142.20000000001</v>
      </c>
      <c r="P9" s="43">
        <f t="shared" si="10"/>
        <v>124327.98</v>
      </c>
      <c r="Q9" s="43">
        <f t="shared" si="3"/>
        <v>146960</v>
      </c>
      <c r="R9" s="43">
        <f>ROUND(Q9*'2024.g.-2023.g.'!$I$13,0)</f>
        <v>6987</v>
      </c>
      <c r="S9" s="43">
        <f t="shared" si="11"/>
        <v>139973</v>
      </c>
      <c r="T9" s="43">
        <f t="shared" si="4"/>
        <v>260349.78</v>
      </c>
      <c r="U9" s="43">
        <f t="shared" si="12"/>
        <v>234314.8</v>
      </c>
    </row>
    <row r="10" spans="1:21">
      <c r="A10" s="27">
        <v>41001</v>
      </c>
      <c r="B10" s="23" t="s">
        <v>34</v>
      </c>
      <c r="C10" s="103">
        <v>144834</v>
      </c>
      <c r="D10" s="104">
        <v>1.79</v>
      </c>
      <c r="E10" s="104">
        <v>1.2</v>
      </c>
      <c r="F10" s="103">
        <f t="shared" si="5"/>
        <v>259252.86</v>
      </c>
      <c r="G10" s="43">
        <f t="shared" si="0"/>
        <v>159277</v>
      </c>
      <c r="H10" s="43">
        <f>ROUND(G10*'2024.g.-2023.g.'!$I$13,0)</f>
        <v>7572</v>
      </c>
      <c r="I10" s="43">
        <f t="shared" si="6"/>
        <v>151705</v>
      </c>
      <c r="J10" s="43">
        <f t="shared" si="1"/>
        <v>89505.95</v>
      </c>
      <c r="K10" s="43">
        <f t="shared" si="7"/>
        <v>80555.360000000001</v>
      </c>
      <c r="L10" s="43">
        <f t="shared" si="8"/>
        <v>90264</v>
      </c>
      <c r="M10" s="43">
        <f>ROUND(L10*'2024_fin_prognoze'!$L$31,0)</f>
        <v>4296</v>
      </c>
      <c r="N10" s="43">
        <f t="shared" si="9"/>
        <v>85968</v>
      </c>
      <c r="O10" s="43">
        <f t="shared" si="2"/>
        <v>50721.120000000003</v>
      </c>
      <c r="P10" s="43">
        <f t="shared" si="10"/>
        <v>45649.01</v>
      </c>
      <c r="Q10" s="43">
        <f t="shared" si="3"/>
        <v>170108</v>
      </c>
      <c r="R10" s="43">
        <f>ROUND(Q10*'2024.g.-2023.g.'!$I$13,0)</f>
        <v>8087</v>
      </c>
      <c r="S10" s="43">
        <f t="shared" si="11"/>
        <v>162021</v>
      </c>
      <c r="T10" s="43">
        <f t="shared" si="4"/>
        <v>95592.39</v>
      </c>
      <c r="U10" s="43">
        <f t="shared" si="12"/>
        <v>86033.15</v>
      </c>
    </row>
    <row r="11" spans="1:21">
      <c r="A11" s="27">
        <v>41004</v>
      </c>
      <c r="B11" s="23" t="s">
        <v>35</v>
      </c>
      <c r="C11" s="103">
        <v>429029</v>
      </c>
      <c r="D11" s="104">
        <v>2.2000000000000002</v>
      </c>
      <c r="E11" s="104">
        <v>1.45</v>
      </c>
      <c r="F11" s="103">
        <f t="shared" si="5"/>
        <v>943863.8</v>
      </c>
      <c r="G11" s="43">
        <f t="shared" si="0"/>
        <v>471812</v>
      </c>
      <c r="H11" s="43">
        <f>ROUND(G11*'2024.g.-2023.g.'!$I$13,0)</f>
        <v>22430</v>
      </c>
      <c r="I11" s="43">
        <f t="shared" si="6"/>
        <v>449382</v>
      </c>
      <c r="J11" s="43">
        <f t="shared" si="1"/>
        <v>337036.5</v>
      </c>
      <c r="K11" s="43">
        <f t="shared" si="7"/>
        <v>303332.84999999998</v>
      </c>
      <c r="L11" s="43">
        <f t="shared" si="8"/>
        <v>267381</v>
      </c>
      <c r="M11" s="43">
        <f>ROUND(L11*'2024_fin_prognoze'!$L$31,0)</f>
        <v>12724</v>
      </c>
      <c r="N11" s="43">
        <f t="shared" si="9"/>
        <v>254657</v>
      </c>
      <c r="O11" s="43">
        <f t="shared" si="2"/>
        <v>190992.75</v>
      </c>
      <c r="P11" s="43">
        <f t="shared" si="10"/>
        <v>171893.48</v>
      </c>
      <c r="Q11" s="43">
        <f t="shared" si="3"/>
        <v>503895</v>
      </c>
      <c r="R11" s="43">
        <f>ROUND(Q11*'2024.g.-2023.g.'!$I$13,0)</f>
        <v>23956</v>
      </c>
      <c r="S11" s="43">
        <f t="shared" si="11"/>
        <v>479939</v>
      </c>
      <c r="T11" s="43">
        <f t="shared" si="4"/>
        <v>359954.25</v>
      </c>
      <c r="U11" s="43">
        <f t="shared" si="12"/>
        <v>323958.83</v>
      </c>
    </row>
    <row r="12" spans="1:21">
      <c r="A12" s="27">
        <v>41005</v>
      </c>
      <c r="B12" s="23" t="s">
        <v>36</v>
      </c>
      <c r="C12" s="103">
        <v>432729</v>
      </c>
      <c r="D12" s="104">
        <v>1.98</v>
      </c>
      <c r="E12" s="104">
        <v>1.38</v>
      </c>
      <c r="F12" s="103">
        <f t="shared" si="5"/>
        <v>856803.42</v>
      </c>
      <c r="G12" s="43">
        <f t="shared" si="0"/>
        <v>475881</v>
      </c>
      <c r="H12" s="43">
        <f>ROUND(G12*'2024.g.-2023.g.'!$I$13,0)</f>
        <v>22624</v>
      </c>
      <c r="I12" s="43">
        <f t="shared" si="6"/>
        <v>453257</v>
      </c>
      <c r="J12" s="43">
        <f t="shared" si="1"/>
        <v>271954.2</v>
      </c>
      <c r="K12" s="43">
        <f t="shared" si="7"/>
        <v>244758.78</v>
      </c>
      <c r="L12" s="43">
        <f t="shared" si="8"/>
        <v>269687</v>
      </c>
      <c r="M12" s="43">
        <f>ROUND(L12*'2024_fin_prognoze'!$L$31,0)</f>
        <v>12834</v>
      </c>
      <c r="N12" s="43">
        <f t="shared" si="9"/>
        <v>256853</v>
      </c>
      <c r="O12" s="43">
        <f t="shared" si="2"/>
        <v>154111.79999999999</v>
      </c>
      <c r="P12" s="43">
        <f t="shared" si="10"/>
        <v>138700.62</v>
      </c>
      <c r="Q12" s="43">
        <f>ROUNDDOWN(G12/$G$30*$Q$30,0)</f>
        <v>508240</v>
      </c>
      <c r="R12" s="43">
        <f>ROUND(Q12*'2024.g.-2023.g.'!$I$13,0)</f>
        <v>24162</v>
      </c>
      <c r="S12" s="43">
        <f t="shared" si="11"/>
        <v>484078</v>
      </c>
      <c r="T12" s="43">
        <f t="shared" si="4"/>
        <v>290446.8</v>
      </c>
      <c r="U12" s="43">
        <f t="shared" si="12"/>
        <v>261402.12</v>
      </c>
    </row>
    <row r="13" spans="1:21">
      <c r="A13" s="27">
        <v>41026</v>
      </c>
      <c r="B13" s="23" t="s">
        <v>37</v>
      </c>
      <c r="C13" s="103">
        <v>80071</v>
      </c>
      <c r="D13" s="104">
        <v>1.42</v>
      </c>
      <c r="E13" s="104">
        <v>1.3</v>
      </c>
      <c r="F13" s="103">
        <f t="shared" si="5"/>
        <v>113700.82</v>
      </c>
      <c r="G13" s="43">
        <f t="shared" si="0"/>
        <v>88056</v>
      </c>
      <c r="H13" s="43">
        <f>ROUND(G13*'2024.g.-2023.g.'!$I$13,0)</f>
        <v>4186</v>
      </c>
      <c r="I13" s="43">
        <f t="shared" si="6"/>
        <v>83870</v>
      </c>
      <c r="J13" s="43">
        <f t="shared" si="1"/>
        <v>10064.4</v>
      </c>
      <c r="K13" s="43">
        <f t="shared" si="7"/>
        <v>9057.9599999999991</v>
      </c>
      <c r="L13" s="43">
        <f t="shared" si="8"/>
        <v>49902</v>
      </c>
      <c r="M13" s="43">
        <f>ROUND(L13*'2024_fin_prognoze'!$L$31,0)</f>
        <v>2375</v>
      </c>
      <c r="N13" s="43">
        <f t="shared" si="9"/>
        <v>47527</v>
      </c>
      <c r="O13" s="43">
        <f t="shared" si="2"/>
        <v>5703.24</v>
      </c>
      <c r="P13" s="43">
        <f t="shared" si="10"/>
        <v>5132.92</v>
      </c>
      <c r="Q13" s="43">
        <f t="shared" ref="Q13:Q23" si="13">ROUND(G13/$G$30*$Q$30,0)</f>
        <v>94044</v>
      </c>
      <c r="R13" s="43">
        <f>ROUND(Q13*'2024.g.-2023.g.'!$I$13,0)</f>
        <v>4471</v>
      </c>
      <c r="S13" s="43">
        <f t="shared" si="11"/>
        <v>89573</v>
      </c>
      <c r="T13" s="43">
        <f t="shared" si="4"/>
        <v>10748.76</v>
      </c>
      <c r="U13" s="43">
        <f t="shared" si="12"/>
        <v>9673.8799999999992</v>
      </c>
    </row>
    <row r="14" spans="1:21">
      <c r="A14" s="27">
        <v>41027</v>
      </c>
      <c r="B14" s="23" t="s">
        <v>38</v>
      </c>
      <c r="C14" s="103">
        <v>108492</v>
      </c>
      <c r="D14" s="104">
        <v>3.53</v>
      </c>
      <c r="E14" s="104">
        <v>2.7</v>
      </c>
      <c r="F14" s="103">
        <f t="shared" si="5"/>
        <v>382976.76</v>
      </c>
      <c r="G14" s="43">
        <f t="shared" si="0"/>
        <v>119311</v>
      </c>
      <c r="H14" s="43">
        <f>ROUND(G14*'2024.g.-2023.g.'!$I$13,0)</f>
        <v>5672</v>
      </c>
      <c r="I14" s="43">
        <f t="shared" si="6"/>
        <v>113639</v>
      </c>
      <c r="J14" s="43">
        <f t="shared" si="1"/>
        <v>94320.37</v>
      </c>
      <c r="K14" s="43">
        <f t="shared" si="7"/>
        <v>84888.33</v>
      </c>
      <c r="L14" s="43">
        <f t="shared" si="8"/>
        <v>67615</v>
      </c>
      <c r="M14" s="43">
        <f>ROUND(L14*'2024_fin_prognoze'!$L$31,0)</f>
        <v>3218</v>
      </c>
      <c r="N14" s="43">
        <f t="shared" si="9"/>
        <v>64397</v>
      </c>
      <c r="O14" s="43">
        <f t="shared" si="2"/>
        <v>53449.51</v>
      </c>
      <c r="P14" s="43">
        <f t="shared" si="10"/>
        <v>48104.56</v>
      </c>
      <c r="Q14" s="43">
        <f t="shared" si="13"/>
        <v>127424</v>
      </c>
      <c r="R14" s="43">
        <f>ROUND(Q14*'2024.g.-2023.g.'!$I$13,0)</f>
        <v>6058</v>
      </c>
      <c r="S14" s="43">
        <f t="shared" si="11"/>
        <v>121366</v>
      </c>
      <c r="T14" s="43">
        <f t="shared" si="4"/>
        <v>100733.78</v>
      </c>
      <c r="U14" s="43">
        <f t="shared" si="12"/>
        <v>90660.4</v>
      </c>
    </row>
    <row r="15" spans="1:21">
      <c r="A15" s="27">
        <v>41046</v>
      </c>
      <c r="B15" s="23" t="s">
        <v>39</v>
      </c>
      <c r="C15" s="103">
        <v>442727</v>
      </c>
      <c r="D15" s="104">
        <v>2.27</v>
      </c>
      <c r="E15" s="104">
        <v>1.83</v>
      </c>
      <c r="F15" s="103">
        <f t="shared" si="5"/>
        <v>1004990.29</v>
      </c>
      <c r="G15" s="43">
        <f t="shared" si="0"/>
        <v>486876</v>
      </c>
      <c r="H15" s="43">
        <f>ROUND(G15*'2024.g.-2023.g.'!$I$13,0)</f>
        <v>23147</v>
      </c>
      <c r="I15" s="43">
        <f t="shared" si="6"/>
        <v>463729</v>
      </c>
      <c r="J15" s="43">
        <f t="shared" si="1"/>
        <v>204040.76</v>
      </c>
      <c r="K15" s="43">
        <f t="shared" si="7"/>
        <v>183636.68</v>
      </c>
      <c r="L15" s="43">
        <f t="shared" si="8"/>
        <v>275918</v>
      </c>
      <c r="M15" s="43">
        <f>ROUND(L15*'2024_fin_prognoze'!$L$31,0)</f>
        <v>13131</v>
      </c>
      <c r="N15" s="43">
        <f t="shared" si="9"/>
        <v>262787</v>
      </c>
      <c r="O15" s="43">
        <f t="shared" si="2"/>
        <v>115626.28</v>
      </c>
      <c r="P15" s="43">
        <f t="shared" si="10"/>
        <v>104063.65</v>
      </c>
      <c r="Q15" s="43">
        <f t="shared" si="13"/>
        <v>519984</v>
      </c>
      <c r="R15" s="43">
        <f>ROUND(Q15*'2024.g.-2023.g.'!$I$13,0)</f>
        <v>24721</v>
      </c>
      <c r="S15" s="43">
        <f t="shared" si="11"/>
        <v>495263</v>
      </c>
      <c r="T15" s="43">
        <f t="shared" si="4"/>
        <v>217915.72</v>
      </c>
      <c r="U15" s="43">
        <f t="shared" si="12"/>
        <v>196124.15</v>
      </c>
    </row>
    <row r="16" spans="1:21">
      <c r="A16" s="27">
        <v>41047</v>
      </c>
      <c r="B16" s="23" t="s">
        <v>149</v>
      </c>
      <c r="C16" s="103">
        <v>378431</v>
      </c>
      <c r="D16" s="104">
        <v>3.63</v>
      </c>
      <c r="E16" s="104">
        <v>1.88</v>
      </c>
      <c r="F16" s="103">
        <f t="shared" si="5"/>
        <v>1373704.53</v>
      </c>
      <c r="G16" s="43">
        <f t="shared" si="0"/>
        <v>416169</v>
      </c>
      <c r="H16" s="43">
        <f>ROUND(G16*'2024.g.-2023.g.'!$I$13,0)</f>
        <v>19785</v>
      </c>
      <c r="I16" s="43">
        <f t="shared" si="6"/>
        <v>396384</v>
      </c>
      <c r="J16" s="43">
        <f t="shared" si="1"/>
        <v>693672</v>
      </c>
      <c r="K16" s="43">
        <f t="shared" si="7"/>
        <v>624304.80000000005</v>
      </c>
      <c r="L16" s="43">
        <f t="shared" si="8"/>
        <v>235848</v>
      </c>
      <c r="M16" s="43">
        <f>ROUND(L16*'2024_fin_prognoze'!$L$31,0)</f>
        <v>11224</v>
      </c>
      <c r="N16" s="43">
        <f t="shared" si="9"/>
        <v>224624</v>
      </c>
      <c r="O16" s="43">
        <f t="shared" si="2"/>
        <v>393092</v>
      </c>
      <c r="P16" s="43">
        <f t="shared" si="10"/>
        <v>353782.8</v>
      </c>
      <c r="Q16" s="43">
        <f t="shared" si="13"/>
        <v>444468</v>
      </c>
      <c r="R16" s="43">
        <f>ROUND(Q16*'2024.g.-2023.g.'!$I$13,0)</f>
        <v>21130</v>
      </c>
      <c r="S16" s="43">
        <f t="shared" si="11"/>
        <v>423338</v>
      </c>
      <c r="T16" s="43">
        <f t="shared" si="4"/>
        <v>740841.5</v>
      </c>
      <c r="U16" s="43">
        <f t="shared" si="12"/>
        <v>666757.35</v>
      </c>
    </row>
    <row r="17" spans="1:21">
      <c r="A17" s="27">
        <v>41052</v>
      </c>
      <c r="B17" s="23" t="s">
        <v>40</v>
      </c>
      <c r="C17" s="103">
        <v>573805</v>
      </c>
      <c r="D17" s="104">
        <v>1.78</v>
      </c>
      <c r="E17" s="104">
        <v>1.1299999999999999</v>
      </c>
      <c r="F17" s="103">
        <f t="shared" si="5"/>
        <v>1021372.9</v>
      </c>
      <c r="G17" s="43">
        <f t="shared" si="0"/>
        <v>631026</v>
      </c>
      <c r="H17" s="43">
        <f>ROUND(G17*'2024.g.-2023.g.'!$I$13,0)</f>
        <v>30000</v>
      </c>
      <c r="I17" s="43">
        <f t="shared" si="6"/>
        <v>601026</v>
      </c>
      <c r="J17" s="43">
        <f t="shared" si="1"/>
        <v>390666.9</v>
      </c>
      <c r="K17" s="43">
        <f t="shared" si="7"/>
        <v>351600.21</v>
      </c>
      <c r="L17" s="43">
        <f t="shared" si="8"/>
        <v>357610</v>
      </c>
      <c r="M17" s="43">
        <f>ROUND(L17*'2024_fin_prognoze'!$L$31,0)</f>
        <v>17018</v>
      </c>
      <c r="N17" s="43">
        <f t="shared" si="9"/>
        <v>340592</v>
      </c>
      <c r="O17" s="43">
        <f t="shared" si="2"/>
        <v>221384.8</v>
      </c>
      <c r="P17" s="43">
        <f t="shared" si="10"/>
        <v>199246.32</v>
      </c>
      <c r="Q17" s="43">
        <f t="shared" si="13"/>
        <v>673936</v>
      </c>
      <c r="R17" s="43">
        <f>ROUND(Q17*'2024.g.-2023.g.'!$I$13,0)</f>
        <v>32040</v>
      </c>
      <c r="S17" s="43">
        <f t="shared" si="11"/>
        <v>641896</v>
      </c>
      <c r="T17" s="43">
        <f t="shared" si="4"/>
        <v>417232.4</v>
      </c>
      <c r="U17" s="43">
        <f t="shared" si="12"/>
        <v>375509.16</v>
      </c>
    </row>
    <row r="18" spans="1:21">
      <c r="A18" s="27">
        <v>41057</v>
      </c>
      <c r="B18" s="23" t="s">
        <v>154</v>
      </c>
      <c r="C18" s="103">
        <v>317152</v>
      </c>
      <c r="D18" s="104">
        <v>1.7</v>
      </c>
      <c r="E18" s="104">
        <v>1.38</v>
      </c>
      <c r="F18" s="103">
        <f t="shared" si="5"/>
        <v>539158.4</v>
      </c>
      <c r="G18" s="43">
        <f t="shared" si="0"/>
        <v>348779</v>
      </c>
      <c r="H18" s="43">
        <f>ROUND(G18*'2024.g.-2023.g.'!$I$13,0)</f>
        <v>16581</v>
      </c>
      <c r="I18" s="43">
        <f t="shared" si="6"/>
        <v>332198</v>
      </c>
      <c r="J18" s="43">
        <f t="shared" si="1"/>
        <v>106303.36</v>
      </c>
      <c r="K18" s="43">
        <f t="shared" si="7"/>
        <v>95673.02</v>
      </c>
      <c r="L18" s="43">
        <f t="shared" si="8"/>
        <v>197657</v>
      </c>
      <c r="M18" s="43">
        <f>ROUND(L18*'2024_fin_prognoze'!$L$31,0)</f>
        <v>9406</v>
      </c>
      <c r="N18" s="43">
        <f t="shared" si="9"/>
        <v>188251</v>
      </c>
      <c r="O18" s="43">
        <f t="shared" si="2"/>
        <v>60240.32</v>
      </c>
      <c r="P18" s="43">
        <f t="shared" si="10"/>
        <v>54216.29</v>
      </c>
      <c r="Q18" s="43">
        <f t="shared" si="13"/>
        <v>372496</v>
      </c>
      <c r="R18" s="43">
        <f>ROUND(Q18*'2024.g.-2023.g.'!$I$13,0)</f>
        <v>17709</v>
      </c>
      <c r="S18" s="43">
        <f t="shared" si="11"/>
        <v>354787</v>
      </c>
      <c r="T18" s="43">
        <f t="shared" si="4"/>
        <v>113531.84</v>
      </c>
      <c r="U18" s="43">
        <f t="shared" si="12"/>
        <v>102178.66</v>
      </c>
    </row>
    <row r="19" spans="1:21">
      <c r="A19" s="27" t="s">
        <v>150</v>
      </c>
      <c r="B19" s="23" t="s">
        <v>151</v>
      </c>
      <c r="C19" s="103">
        <v>194632</v>
      </c>
      <c r="D19" s="104">
        <v>3.95</v>
      </c>
      <c r="E19" s="104">
        <v>2.42</v>
      </c>
      <c r="F19" s="103">
        <f t="shared" si="5"/>
        <v>768796.4</v>
      </c>
      <c r="G19" s="43">
        <f t="shared" si="0"/>
        <v>214041</v>
      </c>
      <c r="H19" s="43">
        <f>ROUND(G19*'2024.g.-2023.g.'!$I$13,0)</f>
        <v>10176</v>
      </c>
      <c r="I19" s="43">
        <f t="shared" si="6"/>
        <v>203865</v>
      </c>
      <c r="J19" s="43">
        <f t="shared" si="1"/>
        <v>311913.45</v>
      </c>
      <c r="K19" s="43">
        <f t="shared" si="7"/>
        <v>280722.11</v>
      </c>
      <c r="L19" s="43">
        <f t="shared" si="8"/>
        <v>121300</v>
      </c>
      <c r="M19" s="43">
        <f>ROUND(L19*'2024_fin_prognoze'!$L$31,0)</f>
        <v>5772</v>
      </c>
      <c r="N19" s="43">
        <f t="shared" si="9"/>
        <v>115528</v>
      </c>
      <c r="O19" s="43">
        <f t="shared" si="2"/>
        <v>176757.84</v>
      </c>
      <c r="P19" s="43">
        <f t="shared" si="10"/>
        <v>159082.06</v>
      </c>
      <c r="Q19" s="43">
        <f t="shared" si="13"/>
        <v>228596</v>
      </c>
      <c r="R19" s="43">
        <f>ROUND(Q19*'2024.g.-2023.g.'!$I$13,0)</f>
        <v>10868</v>
      </c>
      <c r="S19" s="43">
        <f t="shared" si="11"/>
        <v>217728</v>
      </c>
      <c r="T19" s="43">
        <f t="shared" si="4"/>
        <v>333123.84000000003</v>
      </c>
      <c r="U19" s="43">
        <f t="shared" si="12"/>
        <v>299811.46000000002</v>
      </c>
    </row>
    <row r="20" spans="1:21">
      <c r="A20" s="27">
        <v>41069</v>
      </c>
      <c r="B20" s="23" t="s">
        <v>41</v>
      </c>
      <c r="C20" s="103">
        <v>77864</v>
      </c>
      <c r="D20" s="104">
        <v>1.79</v>
      </c>
      <c r="E20" s="104">
        <v>1.33</v>
      </c>
      <c r="F20" s="103">
        <f>ROUND(C20*D20,2)</f>
        <v>139376.56</v>
      </c>
      <c r="G20" s="43">
        <f t="shared" si="0"/>
        <v>85629</v>
      </c>
      <c r="H20" s="43">
        <f>ROUND(G20*'2024.g.-2023.g.'!$I$13,0)</f>
        <v>4071</v>
      </c>
      <c r="I20" s="43">
        <f t="shared" si="6"/>
        <v>81558</v>
      </c>
      <c r="J20" s="43">
        <f t="shared" si="1"/>
        <v>37516.68</v>
      </c>
      <c r="K20" s="43">
        <f t="shared" si="7"/>
        <v>33765.01</v>
      </c>
      <c r="L20" s="43">
        <f t="shared" si="8"/>
        <v>48527</v>
      </c>
      <c r="M20" s="43">
        <f>ROUND(L20*'2024_fin_prognoze'!$L$31,0)</f>
        <v>2309</v>
      </c>
      <c r="N20" s="43">
        <f t="shared" si="9"/>
        <v>46218</v>
      </c>
      <c r="O20" s="43">
        <f t="shared" si="2"/>
        <v>21260.28</v>
      </c>
      <c r="P20" s="43">
        <f t="shared" si="10"/>
        <v>19134.25</v>
      </c>
      <c r="Q20" s="43">
        <f t="shared" si="13"/>
        <v>91452</v>
      </c>
      <c r="R20" s="43">
        <f>ROUND(Q20*'2024.g.-2023.g.'!$I$13,0)</f>
        <v>4348</v>
      </c>
      <c r="S20" s="43">
        <f t="shared" si="11"/>
        <v>87104</v>
      </c>
      <c r="T20" s="43">
        <f t="shared" si="4"/>
        <v>40067.839999999997</v>
      </c>
      <c r="U20" s="43">
        <f t="shared" si="12"/>
        <v>36061.06</v>
      </c>
    </row>
    <row r="21" spans="1:21">
      <c r="A21" s="27">
        <v>41095</v>
      </c>
      <c r="B21" s="23" t="s">
        <v>42</v>
      </c>
      <c r="C21" s="103">
        <v>977766</v>
      </c>
      <c r="D21" s="104">
        <v>1.85</v>
      </c>
      <c r="E21" s="104">
        <v>1.1499999999999999</v>
      </c>
      <c r="F21" s="103">
        <f t="shared" si="5"/>
        <v>1808867.1</v>
      </c>
      <c r="G21" s="43">
        <f t="shared" si="0"/>
        <v>1075270</v>
      </c>
      <c r="H21" s="43">
        <f>ROUND(G21*'2024.g.-2023.g.'!$I$13,0)</f>
        <v>51119</v>
      </c>
      <c r="I21" s="43">
        <f t="shared" si="6"/>
        <v>1024151</v>
      </c>
      <c r="J21" s="43">
        <f t="shared" si="1"/>
        <v>716905.7</v>
      </c>
      <c r="K21" s="43">
        <f t="shared" si="7"/>
        <v>645215.13</v>
      </c>
      <c r="L21" s="43">
        <f>ROUNDUP(G21/$G$30*$L$30,0)</f>
        <v>609369</v>
      </c>
      <c r="M21" s="43">
        <f>ROUND(L21*'2024_fin_prognoze'!$L$31,0)</f>
        <v>28999</v>
      </c>
      <c r="N21" s="43">
        <f t="shared" si="9"/>
        <v>580370</v>
      </c>
      <c r="O21" s="43">
        <f t="shared" si="2"/>
        <v>406259</v>
      </c>
      <c r="P21" s="43">
        <f t="shared" si="10"/>
        <v>365633.1</v>
      </c>
      <c r="Q21" s="43">
        <f t="shared" si="13"/>
        <v>1148388</v>
      </c>
      <c r="R21" s="43">
        <f>ROUND(Q21*'2024.g.-2023.g.'!$I$13,0)</f>
        <v>54595</v>
      </c>
      <c r="S21" s="43">
        <f t="shared" si="11"/>
        <v>1093793</v>
      </c>
      <c r="T21" s="43">
        <f t="shared" si="4"/>
        <v>765655.1</v>
      </c>
      <c r="U21" s="43">
        <f t="shared" si="12"/>
        <v>689089.59</v>
      </c>
    </row>
    <row r="22" spans="1:21">
      <c r="A22" s="27" t="s">
        <v>155</v>
      </c>
      <c r="B22" s="23" t="s">
        <v>152</v>
      </c>
      <c r="C22" s="103">
        <v>86208</v>
      </c>
      <c r="D22" s="104">
        <v>6.22</v>
      </c>
      <c r="E22" s="104">
        <v>5</v>
      </c>
      <c r="F22" s="103">
        <f t="shared" si="5"/>
        <v>536213.76000000001</v>
      </c>
      <c r="G22" s="43">
        <f t="shared" ref="G22:G29" si="14">ROUND(C22/$C$30*$G$30,0)</f>
        <v>94805</v>
      </c>
      <c r="H22" s="43">
        <f>ROUND(G22*'2024.g.-2023.g.'!$I$13,0)</f>
        <v>4507</v>
      </c>
      <c r="I22" s="43">
        <f t="shared" si="6"/>
        <v>90298</v>
      </c>
      <c r="J22" s="43">
        <f t="shared" si="1"/>
        <v>110163.56</v>
      </c>
      <c r="K22" s="43">
        <f t="shared" si="7"/>
        <v>99147.199999999997</v>
      </c>
      <c r="L22" s="43">
        <f t="shared" si="8"/>
        <v>53727</v>
      </c>
      <c r="M22" s="43">
        <f>ROUND(L22*'2024_fin_prognoze'!$L$31,0)</f>
        <v>2557</v>
      </c>
      <c r="N22" s="43">
        <f t="shared" si="9"/>
        <v>51170</v>
      </c>
      <c r="O22" s="43">
        <f t="shared" si="2"/>
        <v>62427.4</v>
      </c>
      <c r="P22" s="43">
        <f t="shared" si="10"/>
        <v>56184.66</v>
      </c>
      <c r="Q22" s="43">
        <f t="shared" si="13"/>
        <v>101252</v>
      </c>
      <c r="R22" s="43">
        <f>ROUND(Q22*'2024.g.-2023.g.'!$I$13,0)</f>
        <v>4814</v>
      </c>
      <c r="S22" s="43">
        <f t="shared" si="11"/>
        <v>96438</v>
      </c>
      <c r="T22" s="43">
        <f t="shared" si="4"/>
        <v>117654.36</v>
      </c>
      <c r="U22" s="43">
        <f t="shared" si="12"/>
        <v>105888.92</v>
      </c>
    </row>
    <row r="23" spans="1:21">
      <c r="A23" s="27">
        <v>41124</v>
      </c>
      <c r="B23" s="23" t="s">
        <v>43</v>
      </c>
      <c r="C23" s="103">
        <v>308169</v>
      </c>
      <c r="D23" s="104">
        <v>8.0500000000000007</v>
      </c>
      <c r="E23" s="104">
        <v>5.97</v>
      </c>
      <c r="F23" s="103">
        <f t="shared" si="5"/>
        <v>2480760.4500000002</v>
      </c>
      <c r="G23" s="43">
        <f t="shared" si="14"/>
        <v>338900</v>
      </c>
      <c r="H23" s="43">
        <f>ROUND(G23*'2024.g.-2023.g.'!$I$13,0)</f>
        <v>16112</v>
      </c>
      <c r="I23" s="43">
        <f t="shared" si="6"/>
        <v>322788</v>
      </c>
      <c r="J23" s="43">
        <f t="shared" si="1"/>
        <v>671399.04</v>
      </c>
      <c r="K23" s="43">
        <f t="shared" si="7"/>
        <v>604259.14</v>
      </c>
      <c r="L23" s="43">
        <f t="shared" si="8"/>
        <v>192059</v>
      </c>
      <c r="M23" s="43">
        <f>ROUND(L23*'2024_fin_prognoze'!$L$31,0)</f>
        <v>9140</v>
      </c>
      <c r="N23" s="43">
        <f t="shared" si="9"/>
        <v>182919</v>
      </c>
      <c r="O23" s="43">
        <f t="shared" si="2"/>
        <v>380471.52</v>
      </c>
      <c r="P23" s="43">
        <f t="shared" si="10"/>
        <v>342424.37</v>
      </c>
      <c r="Q23" s="43">
        <f t="shared" si="13"/>
        <v>361945</v>
      </c>
      <c r="R23" s="43">
        <f>ROUND(Q23*'2024.g.-2023.g.'!$I$13,0)</f>
        <v>17207</v>
      </c>
      <c r="S23" s="43">
        <f t="shared" si="11"/>
        <v>344738</v>
      </c>
      <c r="T23" s="43">
        <f t="shared" si="4"/>
        <v>717055.04</v>
      </c>
      <c r="U23" s="43">
        <f t="shared" si="12"/>
        <v>645349.54</v>
      </c>
    </row>
    <row r="24" spans="1:21">
      <c r="A24" s="27">
        <v>41127</v>
      </c>
      <c r="B24" s="23" t="s">
        <v>44</v>
      </c>
      <c r="C24" s="103">
        <v>729538</v>
      </c>
      <c r="D24" s="104">
        <v>2.91</v>
      </c>
      <c r="E24" s="104">
        <v>2.0499999999999998</v>
      </c>
      <c r="F24" s="103">
        <f t="shared" si="5"/>
        <v>2122955.58</v>
      </c>
      <c r="G24" s="43">
        <f>ROUNDDOWN(C24/$C$30*$G$30,0)</f>
        <v>802288</v>
      </c>
      <c r="H24" s="43">
        <f>ROUND(G24*'2024.g.-2023.g.'!$I$13,0)</f>
        <v>38142</v>
      </c>
      <c r="I24" s="43">
        <f t="shared" si="6"/>
        <v>764146</v>
      </c>
      <c r="J24" s="43">
        <f t="shared" si="1"/>
        <v>657165.56000000006</v>
      </c>
      <c r="K24" s="43">
        <f t="shared" si="7"/>
        <v>591449</v>
      </c>
      <c r="L24" s="43">
        <f t="shared" si="8"/>
        <v>454666</v>
      </c>
      <c r="M24" s="43">
        <f>ROUND(L24*'2024_fin_prognoze'!$L$31,0)</f>
        <v>21637</v>
      </c>
      <c r="N24" s="43">
        <f t="shared" si="9"/>
        <v>433029</v>
      </c>
      <c r="O24" s="43">
        <f t="shared" si="2"/>
        <v>372404.94</v>
      </c>
      <c r="P24" s="43">
        <f t="shared" si="10"/>
        <v>335164.45</v>
      </c>
      <c r="Q24" s="43">
        <f>ROUNDDOWN(G24/$G$30*$Q$30,0)</f>
        <v>856843</v>
      </c>
      <c r="R24" s="43">
        <f>ROUND(Q24*'2024.g.-2023.g.'!$I$13,0)</f>
        <v>40735</v>
      </c>
      <c r="S24" s="43">
        <f t="shared" si="11"/>
        <v>816108</v>
      </c>
      <c r="T24" s="43">
        <f t="shared" si="4"/>
        <v>701852.88</v>
      </c>
      <c r="U24" s="43">
        <f t="shared" si="12"/>
        <v>631667.59</v>
      </c>
    </row>
    <row r="25" spans="1:21">
      <c r="A25" s="27">
        <v>41128</v>
      </c>
      <c r="B25" s="23" t="s">
        <v>45</v>
      </c>
      <c r="C25" s="103">
        <v>107234</v>
      </c>
      <c r="D25" s="104">
        <v>2.69</v>
      </c>
      <c r="E25" s="104">
        <v>2.0499999999999998</v>
      </c>
      <c r="F25" s="103">
        <f t="shared" si="5"/>
        <v>288459.46000000002</v>
      </c>
      <c r="G25" s="43">
        <f t="shared" si="14"/>
        <v>117928</v>
      </c>
      <c r="H25" s="43">
        <f>ROUND(G25*'2024.g.-2023.g.'!$I$13,0)</f>
        <v>5606</v>
      </c>
      <c r="I25" s="43">
        <f t="shared" si="6"/>
        <v>112322</v>
      </c>
      <c r="J25" s="43">
        <f t="shared" si="1"/>
        <v>71886.080000000002</v>
      </c>
      <c r="K25" s="43">
        <f t="shared" si="7"/>
        <v>64697.47</v>
      </c>
      <c r="L25" s="43">
        <f t="shared" si="8"/>
        <v>66831</v>
      </c>
      <c r="M25" s="43">
        <f>ROUND(L25*'2024_fin_prognoze'!$L$31,0)</f>
        <v>3180</v>
      </c>
      <c r="N25" s="43">
        <f t="shared" si="9"/>
        <v>63651</v>
      </c>
      <c r="O25" s="43">
        <f t="shared" si="2"/>
        <v>40736.639999999999</v>
      </c>
      <c r="P25" s="43">
        <f t="shared" si="10"/>
        <v>36662.980000000003</v>
      </c>
      <c r="Q25" s="43">
        <f>ROUND(G25/$G$30*$Q$30,0)</f>
        <v>125947</v>
      </c>
      <c r="R25" s="43">
        <f>ROUND(Q25*'2024.g.-2023.g.'!$I$13,0)</f>
        <v>5988</v>
      </c>
      <c r="S25" s="43">
        <f t="shared" si="11"/>
        <v>119959</v>
      </c>
      <c r="T25" s="43">
        <f t="shared" si="4"/>
        <v>76773.759999999995</v>
      </c>
      <c r="U25" s="43">
        <f t="shared" si="12"/>
        <v>69096.38</v>
      </c>
    </row>
    <row r="26" spans="1:21">
      <c r="A26" s="27">
        <v>41142</v>
      </c>
      <c r="B26" s="23" t="s">
        <v>46</v>
      </c>
      <c r="C26" s="103">
        <v>671980</v>
      </c>
      <c r="D26" s="104">
        <v>5.69</v>
      </c>
      <c r="E26" s="104">
        <v>4.57</v>
      </c>
      <c r="F26" s="103">
        <f t="shared" si="5"/>
        <v>3823566.2</v>
      </c>
      <c r="G26" s="43">
        <f t="shared" si="14"/>
        <v>738991</v>
      </c>
      <c r="H26" s="43">
        <f>ROUND(G26*'2024.g.-2023.g.'!$I$13,0)</f>
        <v>35132</v>
      </c>
      <c r="I26" s="43">
        <f t="shared" si="6"/>
        <v>703859</v>
      </c>
      <c r="J26" s="43">
        <f t="shared" si="1"/>
        <v>788322.08</v>
      </c>
      <c r="K26" s="43">
        <f t="shared" si="7"/>
        <v>709489.87</v>
      </c>
      <c r="L26" s="43">
        <f>ROUNDUP(G26/$G$30*$L$30,0)</f>
        <v>418796</v>
      </c>
      <c r="M26" s="43">
        <f>ROUND(L26*'2024_fin_prognoze'!$L$31,0)</f>
        <v>19930</v>
      </c>
      <c r="N26" s="43">
        <f t="shared" si="9"/>
        <v>398866</v>
      </c>
      <c r="O26" s="43">
        <f t="shared" si="2"/>
        <v>446729.92</v>
      </c>
      <c r="P26" s="43">
        <f t="shared" si="10"/>
        <v>402056.93</v>
      </c>
      <c r="Q26" s="43">
        <f>ROUND(G26/$G$30*$Q$30,0)</f>
        <v>789242</v>
      </c>
      <c r="R26" s="43">
        <f>ROUND(Q26*'2024.g.-2023.g.'!$I$13,0)</f>
        <v>37521</v>
      </c>
      <c r="S26" s="43">
        <f t="shared" si="11"/>
        <v>751721</v>
      </c>
      <c r="T26" s="43">
        <f t="shared" si="4"/>
        <v>841927.52</v>
      </c>
      <c r="U26" s="43">
        <f t="shared" si="12"/>
        <v>757734.77</v>
      </c>
    </row>
    <row r="27" spans="1:21">
      <c r="A27" s="27">
        <v>41200</v>
      </c>
      <c r="B27" s="23" t="s">
        <v>47</v>
      </c>
      <c r="C27" s="103">
        <v>117898</v>
      </c>
      <c r="D27" s="104">
        <v>9.64</v>
      </c>
      <c r="E27" s="104">
        <v>7.33</v>
      </c>
      <c r="F27" s="103">
        <f t="shared" si="5"/>
        <v>1136536.72</v>
      </c>
      <c r="G27" s="43">
        <f t="shared" si="14"/>
        <v>129655</v>
      </c>
      <c r="H27" s="43">
        <f>ROUND(G27*'2024.g.-2023.g.'!$I$13,0)</f>
        <v>6164</v>
      </c>
      <c r="I27" s="43">
        <f t="shared" si="6"/>
        <v>123491</v>
      </c>
      <c r="J27" s="43">
        <f t="shared" si="1"/>
        <v>285264.21000000002</v>
      </c>
      <c r="K27" s="43">
        <f t="shared" si="7"/>
        <v>256737.79</v>
      </c>
      <c r="L27" s="43">
        <f>ROUND(G27/$G$30*$L$30,0)</f>
        <v>73477</v>
      </c>
      <c r="M27" s="43">
        <f>ROUND(L27*'2024_fin_prognoze'!$L$31,0)</f>
        <v>3497</v>
      </c>
      <c r="N27" s="43">
        <f t="shared" si="9"/>
        <v>69980</v>
      </c>
      <c r="O27" s="43">
        <f t="shared" si="2"/>
        <v>161653.79999999999</v>
      </c>
      <c r="P27" s="43">
        <f t="shared" si="10"/>
        <v>145488.42000000001</v>
      </c>
      <c r="Q27" s="43">
        <f>ROUND(G27/$G$30*$Q$30,0)</f>
        <v>138472</v>
      </c>
      <c r="R27" s="43">
        <f>ROUND(Q27*'2024.g.-2023.g.'!$I$13,0)</f>
        <v>6583</v>
      </c>
      <c r="S27" s="43">
        <f t="shared" si="11"/>
        <v>131889</v>
      </c>
      <c r="T27" s="43">
        <f t="shared" si="4"/>
        <v>304663.59000000003</v>
      </c>
      <c r="U27" s="43">
        <f t="shared" si="12"/>
        <v>274197.23</v>
      </c>
    </row>
    <row r="28" spans="1:21">
      <c r="A28" s="27">
        <v>41309</v>
      </c>
      <c r="B28" s="23" t="s">
        <v>48</v>
      </c>
      <c r="C28" s="103">
        <v>85686</v>
      </c>
      <c r="D28" s="104">
        <v>10.69</v>
      </c>
      <c r="E28" s="104">
        <v>7.2</v>
      </c>
      <c r="F28" s="103">
        <f t="shared" si="5"/>
        <v>915983.34</v>
      </c>
      <c r="G28" s="43">
        <f t="shared" si="14"/>
        <v>94231</v>
      </c>
      <c r="H28" s="43">
        <f>ROUND(G28*'2024.g.-2023.g.'!$I$13,0)</f>
        <v>4480</v>
      </c>
      <c r="I28" s="43">
        <f t="shared" si="6"/>
        <v>89751</v>
      </c>
      <c r="J28" s="43">
        <f t="shared" si="1"/>
        <v>313230.99</v>
      </c>
      <c r="K28" s="43">
        <f t="shared" si="7"/>
        <v>281907.89</v>
      </c>
      <c r="L28" s="43">
        <f t="shared" si="8"/>
        <v>53402</v>
      </c>
      <c r="M28" s="43">
        <f>ROUND(L28*'2024_fin_prognoze'!$L$31,0)</f>
        <v>2541</v>
      </c>
      <c r="N28" s="43">
        <f t="shared" si="9"/>
        <v>50861</v>
      </c>
      <c r="O28" s="43">
        <f t="shared" si="2"/>
        <v>177504.89</v>
      </c>
      <c r="P28" s="43">
        <f t="shared" si="10"/>
        <v>159754.4</v>
      </c>
      <c r="Q28" s="43">
        <f>ROUND(G28/$G$30*$Q$30,0)</f>
        <v>100639</v>
      </c>
      <c r="R28" s="43">
        <f>ROUND(Q28*'2024.g.-2023.g.'!$I$13,0)</f>
        <v>4784</v>
      </c>
      <c r="S28" s="43">
        <f t="shared" si="11"/>
        <v>95855</v>
      </c>
      <c r="T28" s="43">
        <f t="shared" si="4"/>
        <v>334533.95</v>
      </c>
      <c r="U28" s="43">
        <f t="shared" si="12"/>
        <v>301080.56</v>
      </c>
    </row>
    <row r="29" spans="1:21">
      <c r="A29" s="27">
        <v>46157</v>
      </c>
      <c r="B29" s="23" t="s">
        <v>153</v>
      </c>
      <c r="C29" s="103">
        <v>4678</v>
      </c>
      <c r="D29" s="104">
        <v>13.02</v>
      </c>
      <c r="E29" s="104">
        <v>10</v>
      </c>
      <c r="F29" s="103">
        <f t="shared" si="5"/>
        <v>60907.56</v>
      </c>
      <c r="G29" s="43">
        <f t="shared" si="14"/>
        <v>5144</v>
      </c>
      <c r="H29" s="43">
        <f>ROUND(G29*'2024.g.-2023.g.'!$I$13,0)</f>
        <v>245</v>
      </c>
      <c r="I29" s="43">
        <f t="shared" si="6"/>
        <v>4899</v>
      </c>
      <c r="J29" s="43">
        <f t="shared" si="1"/>
        <v>14794.98</v>
      </c>
      <c r="K29" s="43">
        <f t="shared" si="7"/>
        <v>13315.48</v>
      </c>
      <c r="L29" s="43">
        <f t="shared" si="8"/>
        <v>2915</v>
      </c>
      <c r="M29" s="43">
        <f>ROUND(L29*'2024_fin_prognoze'!$L$31,0)</f>
        <v>139</v>
      </c>
      <c r="N29" s="43">
        <f t="shared" si="9"/>
        <v>2776</v>
      </c>
      <c r="O29" s="43">
        <f t="shared" si="2"/>
        <v>8383.52</v>
      </c>
      <c r="P29" s="43">
        <f t="shared" si="10"/>
        <v>7545.17</v>
      </c>
      <c r="Q29" s="43">
        <f>ROUND(G29/$G$30*$Q$30,0)</f>
        <v>5494</v>
      </c>
      <c r="R29" s="43">
        <f>ROUND(Q29*'2024.g.-2023.g.'!$I$13,0)</f>
        <v>261</v>
      </c>
      <c r="S29" s="43">
        <f t="shared" si="11"/>
        <v>5233</v>
      </c>
      <c r="T29" s="43">
        <f t="shared" si="4"/>
        <v>15803.66</v>
      </c>
      <c r="U29" s="43">
        <f t="shared" si="12"/>
        <v>14223.29</v>
      </c>
    </row>
    <row r="30" spans="1:21">
      <c r="A30" s="23"/>
      <c r="B30" s="108" t="s">
        <v>49</v>
      </c>
      <c r="C30" s="38">
        <f>SUM(C6:C29)</f>
        <v>7815299</v>
      </c>
      <c r="D30" s="37"/>
      <c r="E30" s="37"/>
      <c r="F30" s="38">
        <f>ROUND(SUM(F6:F29),0)</f>
        <v>27694100</v>
      </c>
      <c r="G30" s="41">
        <f>ROUNDUP(C30*'2024.g.-2023.g.'!H7,0)</f>
        <v>8594652</v>
      </c>
      <c r="H30" s="41">
        <f>SUM(H6:H29)</f>
        <v>408599</v>
      </c>
      <c r="I30" s="41">
        <f>SUM(I6:I29)</f>
        <v>8186053</v>
      </c>
      <c r="J30" s="41">
        <f>SUM(J6:J29)</f>
        <v>7717412.3099999996</v>
      </c>
      <c r="K30" s="53">
        <f>SUM(K6:K29)</f>
        <v>6945671.0599999996</v>
      </c>
      <c r="L30" s="41">
        <f>ROUND(G30*'2024_fin_prognoze'!L27,0)</f>
        <v>4870692</v>
      </c>
      <c r="M30" s="41">
        <f>SUM(M6:M29)</f>
        <v>231790</v>
      </c>
      <c r="N30" s="41">
        <f>SUM(N6:N29)</f>
        <v>4638902</v>
      </c>
      <c r="O30" s="41">
        <f t="shared" ref="O30" si="15">SUM(O6:O29)</f>
        <v>4373333.3699999992</v>
      </c>
      <c r="P30" s="52">
        <f>SUM(P6:P29)</f>
        <v>3936000.0600000005</v>
      </c>
      <c r="Q30" s="41">
        <f>ROUND(G30*'2024.g.-2023.g.'!J7,0)</f>
        <v>9179088</v>
      </c>
      <c r="R30" s="41">
        <f>SUM(R6:R29)</f>
        <v>436384</v>
      </c>
      <c r="S30" s="41">
        <f>SUM(S6:S29)</f>
        <v>8742704</v>
      </c>
      <c r="T30" s="41">
        <f>SUM(T6:T29)</f>
        <v>8242201.96</v>
      </c>
      <c r="U30" s="66">
        <f>SUM(U6:U29)</f>
        <v>7417981.7699999996</v>
      </c>
    </row>
    <row r="31" spans="1:21">
      <c r="A31" s="80"/>
      <c r="B31" s="55" t="s">
        <v>141</v>
      </c>
      <c r="C31" s="81"/>
      <c r="D31" s="82"/>
      <c r="E31" s="82"/>
      <c r="F31" s="82"/>
      <c r="G31" s="63"/>
      <c r="H31" s="63"/>
      <c r="I31" s="63"/>
      <c r="J31" s="63"/>
      <c r="K31" s="63"/>
      <c r="L31" s="63"/>
      <c r="M31" s="63"/>
      <c r="N31" s="63"/>
      <c r="O31" s="63"/>
      <c r="P31" s="63"/>
      <c r="Q31" s="63"/>
      <c r="R31" s="63"/>
      <c r="S31" s="63"/>
      <c r="T31" s="63"/>
      <c r="U31" s="63"/>
    </row>
    <row r="32" spans="1:21">
      <c r="A32" s="80"/>
      <c r="B32" s="80"/>
      <c r="C32" s="81"/>
      <c r="D32" s="82"/>
      <c r="E32" s="82"/>
      <c r="F32" s="82"/>
      <c r="G32" s="63"/>
      <c r="H32" s="63"/>
      <c r="I32" s="63"/>
      <c r="J32" s="63"/>
      <c r="K32" s="63"/>
      <c r="L32" s="63"/>
      <c r="M32" s="63"/>
      <c r="N32" s="63"/>
      <c r="O32" s="63"/>
      <c r="P32" s="63"/>
      <c r="Q32" s="63"/>
      <c r="R32" s="63"/>
      <c r="S32" s="63"/>
      <c r="T32" s="63"/>
      <c r="U32" s="63"/>
    </row>
    <row r="33" spans="1:21">
      <c r="A33" s="80"/>
      <c r="B33" s="143" t="s">
        <v>50</v>
      </c>
      <c r="C33" s="143"/>
      <c r="D33" s="143"/>
      <c r="E33" s="82"/>
      <c r="F33" s="82"/>
      <c r="G33" s="63"/>
      <c r="H33" s="63"/>
      <c r="I33" s="63"/>
      <c r="J33" s="63"/>
      <c r="K33" s="63"/>
      <c r="L33" s="63"/>
      <c r="M33" s="63"/>
      <c r="N33" s="63"/>
      <c r="O33" s="63"/>
      <c r="P33" s="63"/>
      <c r="Q33" s="63"/>
      <c r="R33" s="63"/>
      <c r="S33" s="63"/>
      <c r="T33" s="63"/>
      <c r="U33" s="63"/>
    </row>
    <row r="34" spans="1:21">
      <c r="A34" s="80"/>
      <c r="B34" s="102" t="s">
        <v>124</v>
      </c>
      <c r="C34" s="102"/>
      <c r="D34" s="102"/>
      <c r="E34" s="102"/>
      <c r="F34" s="102"/>
      <c r="G34" s="102"/>
      <c r="H34" s="102"/>
      <c r="I34" s="102"/>
      <c r="J34" s="63"/>
      <c r="K34" s="63"/>
      <c r="L34" s="63"/>
      <c r="M34" s="63"/>
      <c r="N34" s="63"/>
      <c r="O34" s="63"/>
      <c r="P34" s="63"/>
      <c r="Q34" s="63"/>
      <c r="R34" s="63"/>
      <c r="S34" s="63"/>
      <c r="T34" s="63"/>
      <c r="U34" s="63"/>
    </row>
    <row r="35" spans="1:21">
      <c r="A35" s="80"/>
      <c r="B35" s="144" t="s">
        <v>156</v>
      </c>
      <c r="C35" s="144"/>
      <c r="D35" s="144"/>
      <c r="E35" s="144"/>
      <c r="F35" s="144"/>
      <c r="G35" s="144"/>
      <c r="H35" s="144"/>
      <c r="I35" s="144"/>
      <c r="J35" s="63"/>
      <c r="K35" s="63"/>
      <c r="L35" s="63"/>
      <c r="M35" s="63"/>
      <c r="N35" s="63"/>
      <c r="O35" s="63"/>
      <c r="P35" s="63"/>
      <c r="Q35" s="63"/>
      <c r="R35" s="63"/>
      <c r="S35" s="63"/>
      <c r="T35" s="63"/>
      <c r="U35" s="63"/>
    </row>
    <row r="36" spans="1:21">
      <c r="A36" s="80"/>
      <c r="B36" s="102" t="s">
        <v>125</v>
      </c>
      <c r="C36" s="102"/>
      <c r="D36" s="102"/>
      <c r="E36" s="82"/>
      <c r="F36" s="82"/>
      <c r="G36" s="63"/>
      <c r="H36" s="63"/>
      <c r="I36" s="63"/>
      <c r="J36" s="63"/>
      <c r="K36" s="63"/>
      <c r="L36" s="63"/>
      <c r="M36" s="63"/>
      <c r="N36" s="63"/>
      <c r="O36" s="63"/>
      <c r="P36" s="63"/>
      <c r="Q36" s="63"/>
      <c r="R36" s="63"/>
      <c r="S36" s="63"/>
      <c r="T36" s="63"/>
      <c r="U36" s="63"/>
    </row>
    <row r="37" spans="1:21" ht="12.75" customHeight="1">
      <c r="A37" s="80"/>
      <c r="B37" s="142" t="s">
        <v>142</v>
      </c>
      <c r="C37" s="142"/>
      <c r="D37" s="142"/>
      <c r="E37" s="142"/>
      <c r="F37" s="142"/>
      <c r="G37" s="142"/>
      <c r="H37" s="142"/>
      <c r="I37" s="142"/>
      <c r="J37" s="63"/>
      <c r="K37" s="63"/>
      <c r="L37" s="63"/>
      <c r="M37" s="63"/>
      <c r="N37" s="63"/>
      <c r="O37" s="63"/>
      <c r="P37" s="63"/>
      <c r="Q37" s="63"/>
      <c r="R37" s="63"/>
      <c r="S37" s="63"/>
      <c r="T37" s="63"/>
      <c r="U37" s="63"/>
    </row>
  </sheetData>
  <mergeCells count="5">
    <mergeCell ref="I1:M1"/>
    <mergeCell ref="A3:J3"/>
    <mergeCell ref="B37:I37"/>
    <mergeCell ref="B33:D33"/>
    <mergeCell ref="B35:I3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KOPSAVILKUMS</vt:lpstr>
      <vt:lpstr>2022_2023_veiktais_darbs</vt:lpstr>
      <vt:lpstr>2024_fin_prognoze</vt:lpstr>
      <vt:lpstr>2024.g.-2023.g.</vt:lpstr>
      <vt:lpstr>Ietaupījums_2024_2025</vt:lpstr>
    </vt:vector>
  </TitlesOfParts>
  <Company>VOAVA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Kristīna Brūvere</dc:creator>
  <cp:lastModifiedBy>Liene Ābola</cp:lastModifiedBy>
  <cp:lastPrinted>2024-01-02T10:57:14Z</cp:lastPrinted>
  <dcterms:created xsi:type="dcterms:W3CDTF">2007-12-07T11:03:31Z</dcterms:created>
  <dcterms:modified xsi:type="dcterms:W3CDTF">2024-05-29T11:37:20Z</dcterms:modified>
</cp:coreProperties>
</file>