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430"/>
  <workbookPr defaultThemeVersion="166925"/>
  <mc:AlternateContent xmlns:mc="http://schemas.openxmlformats.org/markup-compatibility/2006">
    <mc:Choice Requires="x15">
      <x15ac:absPath xmlns:x15ac="http://schemas.microsoft.com/office/spreadsheetml/2010/11/ac" url="S:\Budžeta_attīstības_nodaļa\BUDZETI\BUDZETS_2022\PASKAIDROJUMI\1_Paskaidrojumi iesniegšanai MK un Saeimai\Paskaidrojumu sagatave\"/>
    </mc:Choice>
  </mc:AlternateContent>
  <xr:revisionPtr revIDLastSave="0" documentId="13_ncr:1_{676D1AFB-8201-48C4-A072-8DD8F55794DE}" xr6:coauthVersionLast="47" xr6:coauthVersionMax="47" xr10:uidLastSave="{00000000-0000-0000-0000-000000000000}"/>
  <bookViews>
    <workbookView xWindow="-110" yWindow="-110" windowWidth="19420" windowHeight="10420" xr2:uid="{00000000-000D-0000-FFFF-FFFF00000000}"/>
  </bookViews>
  <sheets>
    <sheet name="investicijas" sheetId="2" r:id="rId1"/>
  </sheets>
  <definedNames>
    <definedName name="_xlnm._FilterDatabase" localSheetId="0" hidden="1">investicijas!$A$5:$G$603</definedName>
    <definedName name="_Hlk83731208" localSheetId="0">investicijas!$C$57</definedName>
    <definedName name="_xlnm.Print_Titles" localSheetId="0">investicijas!$5:$6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9" i="2" l="1"/>
  <c r="E336" i="2"/>
  <c r="F336" i="2"/>
  <c r="G336" i="2"/>
  <c r="D336" i="2"/>
  <c r="G564" i="2" l="1"/>
  <c r="F564" i="2"/>
  <c r="E564" i="2"/>
  <c r="D564" i="2"/>
  <c r="D563" i="2"/>
  <c r="D561" i="2" s="1"/>
  <c r="G561" i="2"/>
  <c r="F561" i="2"/>
  <c r="E561" i="2"/>
  <c r="G560" i="2"/>
  <c r="G559" i="2" s="1"/>
  <c r="E560" i="2"/>
  <c r="E559" i="2" s="1"/>
  <c r="D560" i="2"/>
  <c r="D559" i="2" s="1"/>
  <c r="F559" i="2"/>
  <c r="G558" i="2"/>
  <c r="G556" i="2" s="1"/>
  <c r="F558" i="2"/>
  <c r="F556" i="2" s="1"/>
  <c r="E558" i="2"/>
  <c r="E556" i="2" s="1"/>
  <c r="D558" i="2"/>
  <c r="D556" i="2" s="1"/>
  <c r="G554" i="2"/>
  <c r="F554" i="2"/>
  <c r="E554" i="2"/>
  <c r="D554" i="2"/>
  <c r="G553" i="2"/>
  <c r="G551" i="2" s="1"/>
  <c r="F553" i="2"/>
  <c r="F551" i="2" s="1"/>
  <c r="E553" i="2"/>
  <c r="E551" i="2" s="1"/>
  <c r="D553" i="2"/>
  <c r="D551" i="2" s="1"/>
  <c r="G550" i="2"/>
  <c r="G548" i="2" s="1"/>
  <c r="F550" i="2"/>
  <c r="F548" i="2" s="1"/>
  <c r="E550" i="2"/>
  <c r="E548" i="2" s="1"/>
  <c r="D550" i="2"/>
  <c r="D548" i="2" s="1"/>
  <c r="E547" i="2"/>
  <c r="E545" i="2" s="1"/>
  <c r="G545" i="2"/>
  <c r="F545" i="2"/>
  <c r="D545" i="2"/>
  <c r="G542" i="2"/>
  <c r="F542" i="2"/>
  <c r="E542" i="2"/>
  <c r="D542" i="2"/>
  <c r="D385" i="2"/>
  <c r="E383" i="2"/>
  <c r="D383" i="2"/>
  <c r="E381" i="2"/>
  <c r="D381" i="2"/>
  <c r="G379" i="2"/>
  <c r="F379" i="2"/>
  <c r="G375" i="2"/>
  <c r="F375" i="2"/>
  <c r="E375" i="2"/>
  <c r="D375" i="2"/>
  <c r="G372" i="2"/>
  <c r="F372" i="2"/>
  <c r="E372" i="2"/>
  <c r="D372" i="2"/>
  <c r="D371" i="2"/>
  <c r="D370" i="2" s="1"/>
  <c r="G370" i="2"/>
  <c r="F370" i="2"/>
  <c r="E370" i="2"/>
  <c r="E369" i="2"/>
  <c r="E367" i="2" s="1"/>
  <c r="D369" i="2"/>
  <c r="D367" i="2" s="1"/>
  <c r="G367" i="2"/>
  <c r="F367" i="2"/>
  <c r="G365" i="2"/>
  <c r="F365" i="2"/>
  <c r="E365" i="2"/>
  <c r="D365" i="2"/>
  <c r="G364" i="2"/>
  <c r="F364" i="2"/>
  <c r="E364" i="2"/>
  <c r="D364" i="2"/>
  <c r="D359" i="2" s="1"/>
  <c r="G360" i="2"/>
  <c r="F360" i="2"/>
  <c r="E360" i="2"/>
  <c r="G357" i="2"/>
  <c r="G354" i="2" s="1"/>
  <c r="F357" i="2"/>
  <c r="F354" i="2" s="1"/>
  <c r="E357" i="2"/>
  <c r="E354" i="2" s="1"/>
  <c r="D357" i="2"/>
  <c r="D354" i="2" s="1"/>
  <c r="F394" i="2"/>
  <c r="G394" i="2"/>
  <c r="D394" i="2"/>
  <c r="E400" i="2"/>
  <c r="E394" i="2" s="1"/>
  <c r="E379" i="2" l="1"/>
  <c r="F540" i="2"/>
  <c r="F359" i="2"/>
  <c r="F352" i="2" s="1"/>
  <c r="G540" i="2"/>
  <c r="D540" i="2"/>
  <c r="E540" i="2"/>
  <c r="D379" i="2"/>
  <c r="D352" i="2" s="1"/>
  <c r="G359" i="2"/>
  <c r="G352" i="2" s="1"/>
  <c r="E359" i="2"/>
  <c r="E352" i="2" l="1"/>
  <c r="G324" i="2"/>
  <c r="F324" i="2"/>
  <c r="E324" i="2"/>
  <c r="D324" i="2"/>
  <c r="G321" i="2"/>
  <c r="F321" i="2"/>
  <c r="E321" i="2"/>
  <c r="D321" i="2"/>
  <c r="D320" i="2"/>
  <c r="D313" i="2" s="1"/>
  <c r="G313" i="2"/>
  <c r="F313" i="2"/>
  <c r="E313" i="2"/>
  <c r="G306" i="2"/>
  <c r="F306" i="2"/>
  <c r="E306" i="2"/>
  <c r="D306" i="2"/>
  <c r="G305" i="2"/>
  <c r="G298" i="2" s="1"/>
  <c r="F305" i="2"/>
  <c r="F298" i="2" s="1"/>
  <c r="E305" i="2"/>
  <c r="E298" i="2" s="1"/>
  <c r="D305" i="2"/>
  <c r="D298" i="2" s="1"/>
  <c r="E294" i="2"/>
  <c r="E292" i="2" s="1"/>
  <c r="G292" i="2"/>
  <c r="F292" i="2"/>
  <c r="D292" i="2"/>
  <c r="G386" i="2"/>
  <c r="F386" i="2"/>
  <c r="E386" i="2"/>
  <c r="D386" i="2"/>
  <c r="E537" i="2"/>
  <c r="F537" i="2"/>
  <c r="G537" i="2"/>
  <c r="D537" i="2"/>
  <c r="G525" i="2"/>
  <c r="G523" i="2" s="1"/>
  <c r="G522" i="2" s="1"/>
  <c r="F525" i="2"/>
  <c r="F523" i="2" s="1"/>
  <c r="F522" i="2" s="1"/>
  <c r="E525" i="2"/>
  <c r="E523" i="2" s="1"/>
  <c r="E522" i="2" s="1"/>
  <c r="D525" i="2"/>
  <c r="D523" i="2" s="1"/>
  <c r="D522" i="2" s="1"/>
  <c r="G518" i="2"/>
  <c r="F518" i="2"/>
  <c r="E518" i="2"/>
  <c r="D518" i="2"/>
  <c r="G495" i="2"/>
  <c r="G500" i="2" s="1"/>
  <c r="F495" i="2"/>
  <c r="F500" i="2" s="1"/>
  <c r="E495" i="2"/>
  <c r="E500" i="2" s="1"/>
  <c r="D495" i="2"/>
  <c r="D500" i="2" s="1"/>
  <c r="D489" i="2"/>
  <c r="D485" i="2" s="1"/>
  <c r="G485" i="2"/>
  <c r="F485" i="2"/>
  <c r="E485" i="2"/>
  <c r="G473" i="2"/>
  <c r="F473" i="2"/>
  <c r="E473" i="2"/>
  <c r="D473" i="2"/>
  <c r="G471" i="2"/>
  <c r="F471" i="2"/>
  <c r="E471" i="2"/>
  <c r="D471" i="2"/>
  <c r="G470" i="2"/>
  <c r="G465" i="2" s="1"/>
  <c r="F470" i="2"/>
  <c r="F465" i="2" s="1"/>
  <c r="E470" i="2"/>
  <c r="E465" i="2" s="1"/>
  <c r="D470" i="2"/>
  <c r="D465" i="2" s="1"/>
  <c r="G464" i="2"/>
  <c r="G463" i="2" s="1"/>
  <c r="F464" i="2"/>
  <c r="F463" i="2" s="1"/>
  <c r="E464" i="2"/>
  <c r="E463" i="2" s="1"/>
  <c r="D464" i="2"/>
  <c r="D463" i="2" s="1"/>
  <c r="G458" i="2"/>
  <c r="F458" i="2"/>
  <c r="E458" i="2"/>
  <c r="D458" i="2"/>
  <c r="G455" i="2"/>
  <c r="F455" i="2"/>
  <c r="E455" i="2"/>
  <c r="D455" i="2"/>
  <c r="G453" i="2"/>
  <c r="F453" i="2"/>
  <c r="E453" i="2"/>
  <c r="D453" i="2"/>
  <c r="G449" i="2"/>
  <c r="F449" i="2"/>
  <c r="E449" i="2"/>
  <c r="D449" i="2"/>
  <c r="G447" i="2"/>
  <c r="F447" i="2"/>
  <c r="E447" i="2"/>
  <c r="D447" i="2"/>
  <c r="F34" i="2"/>
  <c r="G34" i="2"/>
  <c r="D34" i="2"/>
  <c r="G242" i="2"/>
  <c r="F242" i="2"/>
  <c r="E242" i="2"/>
  <c r="D242" i="2"/>
  <c r="G241" i="2"/>
  <c r="F241" i="2"/>
  <c r="E241" i="2"/>
  <c r="D241" i="2"/>
  <c r="G237" i="2"/>
  <c r="F237" i="2"/>
  <c r="E237" i="2"/>
  <c r="D237" i="2"/>
  <c r="G231" i="2"/>
  <c r="F231" i="2"/>
  <c r="E231" i="2"/>
  <c r="D231" i="2"/>
  <c r="G224" i="2"/>
  <c r="F224" i="2"/>
  <c r="E224" i="2"/>
  <c r="D224" i="2"/>
  <c r="G222" i="2"/>
  <c r="F222" i="2"/>
  <c r="E222" i="2"/>
  <c r="D222" i="2"/>
  <c r="G217" i="2"/>
  <c r="F217" i="2"/>
  <c r="E217" i="2"/>
  <c r="D217" i="2"/>
  <c r="G211" i="2"/>
  <c r="F211" i="2"/>
  <c r="D211" i="2"/>
  <c r="E209" i="2"/>
  <c r="E211" i="2" s="1"/>
  <c r="G207" i="2"/>
  <c r="F207" i="2"/>
  <c r="E207" i="2"/>
  <c r="D207" i="2"/>
  <c r="G202" i="2"/>
  <c r="F202" i="2"/>
  <c r="E202" i="2"/>
  <c r="D200" i="2"/>
  <c r="D202" i="2" s="1"/>
  <c r="G194" i="2"/>
  <c r="F194" i="2"/>
  <c r="E194" i="2"/>
  <c r="D194" i="2"/>
  <c r="D573" i="2"/>
  <c r="D571" i="2" s="1"/>
  <c r="D570" i="2" s="1"/>
  <c r="E573" i="2"/>
  <c r="E571" i="2" s="1"/>
  <c r="E570" i="2" s="1"/>
  <c r="F573" i="2"/>
  <c r="F571" i="2" s="1"/>
  <c r="F570" i="2" s="1"/>
  <c r="G573" i="2"/>
  <c r="G571" i="2" s="1"/>
  <c r="G570" i="2" s="1"/>
  <c r="E141" i="2"/>
  <c r="F141" i="2"/>
  <c r="G141" i="2"/>
  <c r="D141" i="2"/>
  <c r="G138" i="2"/>
  <c r="F138" i="2"/>
  <c r="E138" i="2"/>
  <c r="D138" i="2"/>
  <c r="G136" i="2"/>
  <c r="F136" i="2"/>
  <c r="E136" i="2"/>
  <c r="D136" i="2"/>
  <c r="G133" i="2"/>
  <c r="F133" i="2"/>
  <c r="E133" i="2"/>
  <c r="D133" i="2"/>
  <c r="G130" i="2"/>
  <c r="F130" i="2"/>
  <c r="E130" i="2"/>
  <c r="D130" i="2"/>
  <c r="G126" i="2"/>
  <c r="F126" i="2"/>
  <c r="E126" i="2"/>
  <c r="D126" i="2"/>
  <c r="G124" i="2"/>
  <c r="F124" i="2"/>
  <c r="E124" i="2"/>
  <c r="D124" i="2"/>
  <c r="G121" i="2"/>
  <c r="F121" i="2"/>
  <c r="E121" i="2"/>
  <c r="D121" i="2"/>
  <c r="G118" i="2"/>
  <c r="F118" i="2"/>
  <c r="E118" i="2"/>
  <c r="D118" i="2"/>
  <c r="G112" i="2"/>
  <c r="F112" i="2"/>
  <c r="E112" i="2"/>
  <c r="D112" i="2"/>
  <c r="G109" i="2"/>
  <c r="F109" i="2"/>
  <c r="E109" i="2"/>
  <c r="D109" i="2"/>
  <c r="E66" i="2"/>
  <c r="F66" i="2"/>
  <c r="G66" i="2"/>
  <c r="D66" i="2"/>
  <c r="E98" i="2"/>
  <c r="F98" i="2"/>
  <c r="G98" i="2"/>
  <c r="D98" i="2"/>
  <c r="E592" i="2"/>
  <c r="F592" i="2"/>
  <c r="G592" i="2"/>
  <c r="D592" i="2"/>
  <c r="G590" i="2"/>
  <c r="G589" i="2" s="1"/>
  <c r="F590" i="2"/>
  <c r="F589" i="2" s="1"/>
  <c r="E590" i="2"/>
  <c r="E589" i="2" s="1"/>
  <c r="D590" i="2"/>
  <c r="D589" i="2" s="1"/>
  <c r="E17" i="2"/>
  <c r="E16" i="2" s="1"/>
  <c r="F17" i="2"/>
  <c r="F16" i="2" s="1"/>
  <c r="G17" i="2"/>
  <c r="G16" i="2" s="1"/>
  <c r="D17" i="2"/>
  <c r="D16" i="2" s="1"/>
  <c r="G25" i="2"/>
  <c r="G24" i="2" s="1"/>
  <c r="E25" i="2"/>
  <c r="E24" i="2" s="1"/>
  <c r="F25" i="2"/>
  <c r="F24" i="2" s="1"/>
  <c r="D25" i="2"/>
  <c r="D24" i="2" s="1"/>
  <c r="G566" i="2"/>
  <c r="F566" i="2"/>
  <c r="E566" i="2"/>
  <c r="D566" i="2"/>
  <c r="G535" i="2"/>
  <c r="G534" i="2" s="1"/>
  <c r="F535" i="2"/>
  <c r="F534" i="2" s="1"/>
  <c r="E535" i="2"/>
  <c r="E534" i="2" s="1"/>
  <c r="D535" i="2"/>
  <c r="D534" i="2" s="1"/>
  <c r="G439" i="2"/>
  <c r="F439" i="2"/>
  <c r="E439" i="2"/>
  <c r="D439" i="2"/>
  <c r="E425" i="2"/>
  <c r="G402" i="2"/>
  <c r="F402" i="2"/>
  <c r="E402" i="2"/>
  <c r="D402" i="2"/>
  <c r="G391" i="2"/>
  <c r="F392" i="2"/>
  <c r="F14" i="2" s="1"/>
  <c r="F13" i="2" s="1"/>
  <c r="E391" i="2"/>
  <c r="D392" i="2"/>
  <c r="D14" i="2" s="1"/>
  <c r="D13" i="2" s="1"/>
  <c r="G281" i="2"/>
  <c r="F281" i="2"/>
  <c r="E281" i="2"/>
  <c r="D281" i="2"/>
  <c r="D266" i="2"/>
  <c r="G253" i="2"/>
  <c r="F253" i="2"/>
  <c r="E253" i="2"/>
  <c r="D253" i="2"/>
  <c r="G190" i="2"/>
  <c r="G183" i="2"/>
  <c r="F183" i="2"/>
  <c r="E183" i="2"/>
  <c r="D183" i="2"/>
  <c r="F182" i="2"/>
  <c r="F179" i="2" s="1"/>
  <c r="G179" i="2"/>
  <c r="E179" i="2"/>
  <c r="D179" i="2"/>
  <c r="G177" i="2"/>
  <c r="F177" i="2"/>
  <c r="E177" i="2"/>
  <c r="D177" i="2"/>
  <c r="G174" i="2"/>
  <c r="F174" i="2"/>
  <c r="E174" i="2"/>
  <c r="D174" i="2"/>
  <c r="G172" i="2"/>
  <c r="F172" i="2"/>
  <c r="E172" i="2"/>
  <c r="D172" i="2"/>
  <c r="G170" i="2"/>
  <c r="F170" i="2"/>
  <c r="E170" i="2"/>
  <c r="D170" i="2"/>
  <c r="G163" i="2"/>
  <c r="F163" i="2"/>
  <c r="E163" i="2"/>
  <c r="D163" i="2"/>
  <c r="D160" i="2"/>
  <c r="D159" i="2" s="1"/>
  <c r="G159" i="2"/>
  <c r="F159" i="2"/>
  <c r="E159" i="2"/>
  <c r="D154" i="2"/>
  <c r="D151" i="2" s="1"/>
  <c r="G151" i="2"/>
  <c r="F151" i="2"/>
  <c r="E151" i="2"/>
  <c r="G149" i="2"/>
  <c r="F149" i="2"/>
  <c r="E149" i="2"/>
  <c r="D149" i="2"/>
  <c r="E33" i="2"/>
  <c r="E34" i="2" s="1"/>
  <c r="E484" i="2" l="1"/>
  <c r="D484" i="2"/>
  <c r="F12" i="2"/>
  <c r="F9" i="2" s="1"/>
  <c r="E12" i="2"/>
  <c r="E9" i="2" s="1"/>
  <c r="F193" i="2"/>
  <c r="E539" i="2"/>
  <c r="D12" i="2"/>
  <c r="G12" i="2"/>
  <c r="G9" i="2" s="1"/>
  <c r="F351" i="2"/>
  <c r="E392" i="2"/>
  <c r="E14" i="2" s="1"/>
  <c r="E13" i="2" s="1"/>
  <c r="G351" i="2"/>
  <c r="G392" i="2"/>
  <c r="G14" i="2" s="1"/>
  <c r="G13" i="2" s="1"/>
  <c r="D351" i="2"/>
  <c r="D401" i="2"/>
  <c r="G290" i="2"/>
  <c r="G289" i="2" s="1"/>
  <c r="G147" i="2"/>
  <c r="G146" i="2" s="1"/>
  <c r="G484" i="2"/>
  <c r="E290" i="2"/>
  <c r="E289" i="2" s="1"/>
  <c r="F484" i="2"/>
  <c r="G252" i="2"/>
  <c r="D391" i="2"/>
  <c r="D193" i="2"/>
  <c r="D290" i="2"/>
  <c r="D289" i="2" s="1"/>
  <c r="F290" i="2"/>
  <c r="F289" i="2" s="1"/>
  <c r="F107" i="2"/>
  <c r="F106" i="2" s="1"/>
  <c r="E401" i="2"/>
  <c r="G539" i="2"/>
  <c r="E445" i="2"/>
  <c r="E444" i="2" s="1"/>
  <c r="E147" i="2"/>
  <c r="E146" i="2" s="1"/>
  <c r="D147" i="2"/>
  <c r="D146" i="2" s="1"/>
  <c r="E107" i="2"/>
  <c r="E106" i="2" s="1"/>
  <c r="G193" i="2"/>
  <c r="D252" i="2"/>
  <c r="F147" i="2"/>
  <c r="F146" i="2" s="1"/>
  <c r="G401" i="2"/>
  <c r="E252" i="2"/>
  <c r="G107" i="2"/>
  <c r="G106" i="2" s="1"/>
  <c r="E193" i="2"/>
  <c r="D107" i="2"/>
  <c r="D106" i="2" s="1"/>
  <c r="F401" i="2"/>
  <c r="D445" i="2"/>
  <c r="D444" i="2" s="1"/>
  <c r="F445" i="2"/>
  <c r="F444" i="2" s="1"/>
  <c r="F252" i="2"/>
  <c r="G445" i="2"/>
  <c r="G444" i="2" s="1"/>
  <c r="D539" i="2"/>
  <c r="F391" i="2"/>
  <c r="F539" i="2" l="1"/>
  <c r="E11" i="2"/>
  <c r="G11" i="2"/>
  <c r="D11" i="2"/>
  <c r="E351" i="2"/>
  <c r="D10" i="2" l="1"/>
  <c r="D7" i="2" s="1"/>
  <c r="D8" i="2"/>
  <c r="E10" i="2"/>
  <c r="E7" i="2" s="1"/>
  <c r="E8" i="2"/>
  <c r="G10" i="2"/>
  <c r="G7" i="2" s="1"/>
  <c r="G8" i="2"/>
  <c r="F11" i="2"/>
  <c r="F10" i="2" l="1"/>
  <c r="F7" i="2" s="1"/>
  <c r="F8" i="2"/>
</calcChain>
</file>

<file path=xl/sharedStrings.xml><?xml version="1.0" encoding="utf-8"?>
<sst xmlns="http://schemas.openxmlformats.org/spreadsheetml/2006/main" count="961" uniqueCount="586">
  <si>
    <t>Saeimas sēžu vadības un pārvaldības datorizētās sistēmas izstrāde</t>
  </si>
  <si>
    <t>Dokumentu vadības sistēmas ieviešana</t>
  </si>
  <si>
    <t>Arhīva telpu izbūve Skanstes ielā 6</t>
  </si>
  <si>
    <t>Saeimas drošības sistēmu pilnveidošana – Saeimas autobāzes drošības sistēmu pilnveidošana</t>
  </si>
  <si>
    <t>Saeimas drošības sistēmu pilnveidošana - Ēkas Skanstes ielā 6 sprinkleru sistēmas projektēšana un pārbūve</t>
  </si>
  <si>
    <t>Saeimas drošības sistēmu pilnveidošana - Ugunsdrošības signalizācijas izbūve ēkām Jēkaba ielā 10/12 un Jēkaba ielā 16</t>
  </si>
  <si>
    <t>Valsts budžeta investīciju projekts/pasākums/objekts</t>
  </si>
  <si>
    <t>01.110</t>
  </si>
  <si>
    <t>01.00.00</t>
  </si>
  <si>
    <t>tajā skaitā pa programmām (apakšprogrammām)</t>
  </si>
  <si>
    <t xml:space="preserve">1. Valsts pamatfunkciju īstenošana </t>
  </si>
  <si>
    <t>02.Saeima - kopā</t>
  </si>
  <si>
    <t>Programmas/apakšprogrammas nosaukums;                                                                       klasifikācijas koda nosaukums</t>
  </si>
  <si>
    <t>Funkciju klasifi-kācijas kods</t>
  </si>
  <si>
    <t>Programmas/ apakšprogrammas kods</t>
  </si>
  <si>
    <t>03. Ministru kabinets - kopā</t>
  </si>
  <si>
    <t>Vienreizējs pasākums Covid-19 radīto seku mazināšanai "Pilnveidot un uzlabot darba vidi, nodrošinot drošu attālināto darbu un darbu drošos, darba apstākļos" (paaugstināts un pilnveidots informācijas komunikāciju tehnoloģiju drošības līmenis - iekšējā informācijas tehnoloģiju telekomunikāciju tīkla un centrāles projekta izstrāde, informācijas komunikāciju tehnoloģiju infrastruktūras un tās drošības pārvaldības risinājumu atjaunināšana un papildu funkcionalitātes ieviešana, iegādāta datortehnika, nodrošinot pilnvērtīgu un kvalitatīvu darbu attālināti)</t>
  </si>
  <si>
    <t>Pārējās valsts budžeta investīcijas – IKT infrastruktūras ikgadējās pilnveides izmaksas (datortīklu drošības pārvaldības risinājumi, pretvīrusu aizsardzības risinājumi, licenču, tehniskā atbalsta iegāde laika periodam ilgākam par vienu gadu, datortīklu infrastruktūras atjaunināšana, virtualizācijas platformas iekārtu papildināšana, datortehnikas nomaiņa, mājas lapu: www.covid19.lv, www.trauksmescelejs.lv un www.mk.gov.lv pilnveides darbi u.tml.)</t>
  </si>
  <si>
    <t>19.00.00</t>
  </si>
  <si>
    <t>09.500</t>
  </si>
  <si>
    <t>Pārējās valsts budžeta investīcijas – Valsts administrācijas skolas mācību aprīkojuma un infrastruktūras pilnveides darbi to funkcionalitātes uzlabošanai, datortīklu drošības pārvaldības risinājumi, pretvīrusu aizsardzības risinājumi)</t>
  </si>
  <si>
    <t>2. Eiropas Savienības politiku instrumentu un pārējās ārvalstu finanšu palīdzības līdzfinansēto un finansēto projektu un pasākumu īstenošana</t>
  </si>
  <si>
    <t>62.20.00</t>
  </si>
  <si>
    <t>04. Korupcijas novēršanas un apkarošanas birojs - kopā</t>
  </si>
  <si>
    <t>03.600</t>
  </si>
  <si>
    <t>Biroja pirmstiesas izmeklēšanas tehnisko iespēju un kapacitātes celšana</t>
  </si>
  <si>
    <t>Interaktīvas pretkorupcijas spēles izstrāde un integrēšana 7.-9. klašu mācību saturā</t>
  </si>
  <si>
    <t>Pasākumu plānā noziedzīgi iegūtu līdzekļu legalizācijas, terorisma un proliferācijas finansēšanas novēršanai laikposmam no 2020. līdz 2022.gadam paredzētā pasākuma īstenošanai (MK 29.09.2020. sēdes prot. Nr.56 51.§ 6.punkts)</t>
  </si>
  <si>
    <t>Korupcijas novēršanas un apkarošanas biroja fiziskās drošības pasākumu ieviešana un uzlabošana</t>
  </si>
  <si>
    <t>Pārējās valsts budžeta investīcijas</t>
  </si>
  <si>
    <t>09. Sabiedrisko pakalpojumu regulēšanas komisija - kopā</t>
  </si>
  <si>
    <t>04.100</t>
  </si>
  <si>
    <t>10. Aizsardzības ministrija - kopā</t>
  </si>
  <si>
    <t>12.00.00</t>
  </si>
  <si>
    <t>02.500</t>
  </si>
  <si>
    <t>Kara muzejs</t>
  </si>
  <si>
    <t xml:space="preserve">Militāri vēsturisko muzeja krājumu papildināšana un uzglabāšana. </t>
  </si>
  <si>
    <t>02.100</t>
  </si>
  <si>
    <t>Nacionālo bruņoto spēku uzturēšana</t>
  </si>
  <si>
    <t>Kaujas spēju stiprināšana atbilstoši NBS Attīstības plānam (Valsts budžeta investīciju projekts - PVBI/AIM/006 Nacionālo bruņoto spēku ilgtermiņa līgumi)</t>
  </si>
  <si>
    <t>Kaujas spēju nodrošināšana, sekmējot aizsardzības industrijas attīstību</t>
  </si>
  <si>
    <t>Nodrošinājums ar ekipējumu un materiāltehniskiem līdzekļiem vienību (t.sk. Zemessardzes) uzdevumu veikšanai</t>
  </si>
  <si>
    <t>Kiberdrošības nodrošināšana, IKT centralizācija</t>
  </si>
  <si>
    <t>Integrētās NBS un Zemessardzes ekipējuma pārapgādes noliktavu sistēmu aprīkošana un darbības nodrošināšana</t>
  </si>
  <si>
    <t>28.00.00</t>
  </si>
  <si>
    <t>Ģeodēzija un kartogrāfija</t>
  </si>
  <si>
    <t>Valsts kartēšana un karšu nodrošināšana militārajām vajadzībām, kaujas spēju nodrošināšanai</t>
  </si>
  <si>
    <t xml:space="preserve">Visaptverošas valsts aizsardzības ieviešana - Ģeotelpiskās informācijas sagatavošana un pieejamības nodrošināšana </t>
  </si>
  <si>
    <t>30.00.00</t>
  </si>
  <si>
    <t>Valsts aizsardzības politikas realizācija</t>
  </si>
  <si>
    <t>Kiberdrošības nodrošināšana, fiziskās drošības sistēmu uzturēšana un pilnveidošana</t>
  </si>
  <si>
    <t xml:space="preserve">Visaptverošās valsts aizsardzības ieviešanai - Pārējās valsts budžeta investīcijas </t>
  </si>
  <si>
    <t>33.00.00</t>
  </si>
  <si>
    <t>Aizsardzības īpašumu pārvaldīšana</t>
  </si>
  <si>
    <t>Infrastruktūras attīstība NBS spēju nodrošināšanai. Valsts budžeta investīciju projekts - PVBI/AIM/006 - Nacionālo bruņoto spēku ilgtermiņa līgumi</t>
  </si>
  <si>
    <t>Nacionālo bruņoto spēku pamatuzdevumu izpildei nepieciešamās infrastruktūras pilnveidošana</t>
  </si>
  <si>
    <t>Aizsardzības ministrijas valdījumā esošā nekustamā īpašuma uzturēšana un apsaimniekošana</t>
  </si>
  <si>
    <t>34.00.00</t>
  </si>
  <si>
    <t>Jaunsardzes centrs</t>
  </si>
  <si>
    <t>Jaunatnes izglītošanas valsts aizsardzības jomā nodrošināšana</t>
  </si>
  <si>
    <t>Materiāltehnisko līdzekļu uzglabāšana un uzturēšana izglītības procesa nodrošināšanai</t>
  </si>
  <si>
    <t>97.00.00</t>
  </si>
  <si>
    <t>Nozaru vadība un politikas plānošana</t>
  </si>
  <si>
    <t xml:space="preserve">Pārējās valsts budžeta investīcijas </t>
  </si>
  <si>
    <t>22.12.00</t>
  </si>
  <si>
    <t>11. Ārlietu ministrija - kopā</t>
  </si>
  <si>
    <t>01.132</t>
  </si>
  <si>
    <t>IKT funkcionalitātes nodrošināšana un pārvaldības spēju stiprināšana</t>
  </si>
  <si>
    <t>01.131</t>
  </si>
  <si>
    <t>01.04.00</t>
  </si>
  <si>
    <t>13.Finanšu ministrija - kopā</t>
  </si>
  <si>
    <t>29.00.00</t>
  </si>
  <si>
    <t>01.120</t>
  </si>
  <si>
    <t>31.01.00</t>
  </si>
  <si>
    <t>Palielināti izdevumi starptautisko un LV sankciju un NILLTFN prasību ieviešanai un SAP migrācijai</t>
  </si>
  <si>
    <t>Valsts parāda un naudas līdzekļu vadības procesa digitālā transformācija</t>
  </si>
  <si>
    <t>Aizdevuma pakalpojuma pilnveidošana</t>
  </si>
  <si>
    <t>TARGET konsolidācijas projekts</t>
  </si>
  <si>
    <t>Projekta “Valsts kases e-pakalpojumu pieejamības un lietojamības modernizācija” 5.posms“e-pakalpojuma eKase – vizuālā noformējuma izstrāde”</t>
  </si>
  <si>
    <t>32.00.00</t>
  </si>
  <si>
    <t>Publikāciju vadības sistēmas attīstība – e-veidlapu izstrāde</t>
  </si>
  <si>
    <t>Telpu iekārtošana un nomas maksas pieauguma segšana, pārejot uz telpām Smilšu ielā 1, Rīgā (Lit.005)</t>
  </si>
  <si>
    <t>Valsts ieņēmumu un muitas politikas nodrošināšana</t>
  </si>
  <si>
    <t>Nodokļu informācijas pakalpojumu modernizācija (t.sk. ar MAIS izveidošanu un funkcionalitātes nodrošināšanu)</t>
  </si>
  <si>
    <t>Ārējās tirdzniecības nodrošināšanas informācijas sistēmu ieviešana atbilstoši Savienības Muitas kodeksam (Regula Nr. 952/2013)</t>
  </si>
  <si>
    <t>IT sistēmu pielāgošana saistībā ar PVN direktīvas grozījumu ieviešanu</t>
  </si>
  <si>
    <t>IT sistēmu pielāgošana saistībā ar IIN neapliekamā minimuma izmaiņām 2022.gadā</t>
  </si>
  <si>
    <t>VID Nodokļu un muitas policijas pārvaldes IT risinājumu pielāgošana darbam ar E-lietu un muitas infrastruktūras pilnveidošana</t>
  </si>
  <si>
    <t>38.01.00</t>
  </si>
  <si>
    <t>38.02.00</t>
  </si>
  <si>
    <t>39.02.00</t>
  </si>
  <si>
    <t>04.110</t>
  </si>
  <si>
    <t>41.13.00</t>
  </si>
  <si>
    <t>04.740</t>
  </si>
  <si>
    <t>Apakšprogrammā kā investīcijas norādītas arī valsts kapitālsabiedrībai plānotās dotācijas, kas paredzētas investīciju finansēšanai (3000 EKK)</t>
  </si>
  <si>
    <t>IT sistēmu paplašināšana</t>
  </si>
  <si>
    <t>61.20.00</t>
  </si>
  <si>
    <t>62.09.00</t>
  </si>
  <si>
    <t>63.20.00</t>
  </si>
  <si>
    <t>71.07.00</t>
  </si>
  <si>
    <t>Apakšprogrammā kā investīcijas norādītas arī valsts kapitālsabiedrībai (EEZ projekta partnerim) plānotās dotācijas, kas paredzētas investīciju finansēšanai (3000 EKK)</t>
  </si>
  <si>
    <t>73.06.00</t>
  </si>
  <si>
    <t>73.08.00</t>
  </si>
  <si>
    <t>15. Izglītības un zinātnes ministrija - kopā</t>
  </si>
  <si>
    <t>01.03.00.</t>
  </si>
  <si>
    <t>09.210</t>
  </si>
  <si>
    <t>Sociālās korekcijas izglītības iestāde</t>
  </si>
  <si>
    <t>Pārējās investīcijas</t>
  </si>
  <si>
    <t>02.01.00</t>
  </si>
  <si>
    <t>09.200</t>
  </si>
  <si>
    <t>Profesionālās izglītības programmu īstenošana</t>
  </si>
  <si>
    <t>Augstas gatavības projekti</t>
  </si>
  <si>
    <t>03.11.00</t>
  </si>
  <si>
    <t>09.410</t>
  </si>
  <si>
    <t>Koledžas</t>
  </si>
  <si>
    <t>04.00.00</t>
  </si>
  <si>
    <t>09.800</t>
  </si>
  <si>
    <t>Valsts valodas politika un pārvalde</t>
  </si>
  <si>
    <t>Digitālo materiālu izstrāde latviešu valodas apguvei.</t>
  </si>
  <si>
    <t>07.00.00</t>
  </si>
  <si>
    <t>Informācijas un komunikāciju tehnoloģiju uzturēšana un attīstība</t>
  </si>
  <si>
    <t>Infrastruktūras atjaunošana un uzlabošana (datu masīvs, serveri, datu migrācija, autentifikācija)</t>
  </si>
  <si>
    <t>09.10.00</t>
  </si>
  <si>
    <t>Murjāņu sporta ģimnāzija</t>
  </si>
  <si>
    <t>09.12.00</t>
  </si>
  <si>
    <t>08.200</t>
  </si>
  <si>
    <t>Latvijas Sporta muzejs</t>
  </si>
  <si>
    <t>42.05.00</t>
  </si>
  <si>
    <t>09.810</t>
  </si>
  <si>
    <t>Valsts izglītības attīstības aģentūras darbības nodrošināšana</t>
  </si>
  <si>
    <t>42.06.00</t>
  </si>
  <si>
    <t>09.820</t>
  </si>
  <si>
    <t>Valsts izglītības satura centra darbības nodrošināšana</t>
  </si>
  <si>
    <t>42.07.00</t>
  </si>
  <si>
    <t>Izglītības kvalitātes valsts dienesta darbības nodrošināšana</t>
  </si>
  <si>
    <t>42.09.00</t>
  </si>
  <si>
    <t>01.500</t>
  </si>
  <si>
    <t>Latvijas Zinātnes padome</t>
  </si>
  <si>
    <t>97.01.00</t>
  </si>
  <si>
    <t>Ministrijas centrālā aparāta darbības nodrošināšana</t>
  </si>
  <si>
    <t>62.08.00</t>
  </si>
  <si>
    <t>Eiropas Reģionālās attīstības fonda (ERAF) projekti (2014-2020)</t>
  </si>
  <si>
    <t>Tehniskā palīdzība Eiropas Reģionālās attīstības fonda (ERAF) apgūšanai (2014-2020)</t>
  </si>
  <si>
    <t>63.08.00</t>
  </si>
  <si>
    <t>Eiropas Sociālā fonda (ESF) projekti (2014-2020)</t>
  </si>
  <si>
    <t>70.07.00</t>
  </si>
  <si>
    <t>Eiropas Savienības, starptautiskās sadarbības programmu un inovāciju izglītības jomā īstenošanas nodrošināšana</t>
  </si>
  <si>
    <t>70.08.00</t>
  </si>
  <si>
    <t>Valsts izglītības attīstības aģentūra</t>
  </si>
  <si>
    <t>70.10.00</t>
  </si>
  <si>
    <t>Jaunatnes starptautisko programmu aģentūra</t>
  </si>
  <si>
    <t>20.01.00</t>
  </si>
  <si>
    <t>04.210</t>
  </si>
  <si>
    <t>Pārtikas nekaitīguma un dzīvnieku veselības valsts uzraudzība un kontrole</t>
  </si>
  <si>
    <t>PVD pārvalžu ēku (pārvaldīšanā esošo valsts nekustamo īpašumu) renovācija, teritoriju labiekārtošana</t>
  </si>
  <si>
    <t>Transportlīdzekļu iegāde</t>
  </si>
  <si>
    <t>Informācijas un datu analīzes sistēmas par pārtikas apritē iekļauto uzņēmumu uzraudzības pamatrezultātiem izstrāde</t>
  </si>
  <si>
    <t>PVD Rietumpierīgas pārvaldes atjaunošana</t>
  </si>
  <si>
    <t>21.02.00</t>
  </si>
  <si>
    <t>Sabiedriskā finansējuma administrēšana un valsts uzraudzība lauksaimniecībā</t>
  </si>
  <si>
    <t>Serveru vadības, rezerves kopiju izveides un sistēmu drošības un monitoringa programmatūra Zemkopības ministrijas informacijas sistēmu darbības nodrošināšanai</t>
  </si>
  <si>
    <t>Serveru, datoru un biroja tehnikas iegāde</t>
  </si>
  <si>
    <t>ZM un tās padotības iestāžu materiāli tehniskās bāzes pilnveidošana un vienotas IKT arhitektūras modeļa segmenta attīstība un pilnveidošana centralizētas nozares pārvaldības ietvarā saskaņā ar vienoto valsts IKT attīstības modeli un darba vides apstākļu nodrošināšana atbilstoši ES zaļā kursa pārmaiņu īstenošanai</t>
  </si>
  <si>
    <t>Krotāliju lāzera apdrukas iekārtas iegāde (LDC)</t>
  </si>
  <si>
    <t>10 jaunu dienesta transportlīdzekļu iegāde (ekspluatēt braukšanai pa lauku ceļiem)</t>
  </si>
  <si>
    <t xml:space="preserve">Ēkas jumta atjaunošana Latvijas Lauksaimniecības muzejā </t>
  </si>
  <si>
    <t>24.01.00</t>
  </si>
  <si>
    <t>04.220</t>
  </si>
  <si>
    <t>Meža resursu valsts uzraudzība</t>
  </si>
  <si>
    <t>Meža valsts reģistra papildināšana</t>
  </si>
  <si>
    <t xml:space="preserve">Autotransporta iegāde </t>
  </si>
  <si>
    <t>Kapitālais remonts un rekonstrukcija</t>
  </si>
  <si>
    <t>Autotransporta iegāde meža ugunsdrošības uzraudzības un ugunsdzēsības funkcijas nodrošināšanai</t>
  </si>
  <si>
    <t>Meža ugunsdzēsības stacijas būvniecība un ugunsdzēsības staciju un garāžas kapitālais remonts, torņu remonts meža ugunsdrošības uzraudzības un ugunsdzēsības funkciju nodrošināšanai</t>
  </si>
  <si>
    <t>27.00.00</t>
  </si>
  <si>
    <t>Augu veselība un augu aprites uzraudzība</t>
  </si>
  <si>
    <t>Laboratorijas iekārtas Nacionālās fitosanitārās laboratorijas darba uzlabošnai, jaunu metožu ieviešanai</t>
  </si>
  <si>
    <t>Datortehnikas, biroja tehnikas iegāde esošās tehnikas atjaunošana un attālinātā darba nodrošināšana</t>
  </si>
  <si>
    <t>16 jaunu dienesta automašīnu iegāde</t>
  </si>
  <si>
    <t>Valsts augu aizsardzības dienesta administratīvās ēkas pārbūve, būvprojekts: Agroķīmijas laboratorijas telpu paplašināšana</t>
  </si>
  <si>
    <t>04.200</t>
  </si>
  <si>
    <t>04.240</t>
  </si>
  <si>
    <t>Izdevumi Eiropas Reģionālās attīstības fonda (ERAF) projektu un pasākumu īstenošanai (2014-2020)</t>
  </si>
  <si>
    <t>65.20.00</t>
  </si>
  <si>
    <t>Tehniskā palīdzība Eiropas Lauksaimniecības fonda lauku attīstībai (ELFLA) apgūšanai (2014-2020)</t>
  </si>
  <si>
    <t>66.09.00</t>
  </si>
  <si>
    <t>Citu institūciju izdevumi Eiropas Jūrlietu un zivsaimniecības fonda (EJZF) projektu un pasākumu īstenošanai (2014-2020)</t>
  </si>
  <si>
    <t>66.50.00</t>
  </si>
  <si>
    <t>Tehniskā palīdzība Eiropas Jūrlietu, zvejniecības un akvakultūras fonda (EJZAF) ieviešanai (2021-2027)</t>
  </si>
  <si>
    <t>70.06.00</t>
  </si>
  <si>
    <t>Izdevumi citu Eiropas Savienības politiku instrumentu projektu un pasākumu īstenošanai</t>
  </si>
  <si>
    <t>05.00.00</t>
  </si>
  <si>
    <t>04.600</t>
  </si>
  <si>
    <t>Starptautiskās kravu loģistikas un ostu informācijas sistēmas uzturēšana</t>
  </si>
  <si>
    <t>04.510</t>
  </si>
  <si>
    <t>Valsts autoceļu uzturēšana un atjaunošana</t>
  </si>
  <si>
    <t>04.500</t>
  </si>
  <si>
    <t>60.07.00</t>
  </si>
  <si>
    <t>Eiropas transporta infrastruktūras projekti (Rail Baltica)</t>
  </si>
  <si>
    <t>61.10.00</t>
  </si>
  <si>
    <t>Kohēzijas fonda (KF) finansētie ierobežotās atlases VSIA "Latvijas valsts ceļi" realizētie projekti (2014 - 2020)</t>
  </si>
  <si>
    <t>62.12.00</t>
  </si>
  <si>
    <t>Eiropas Reģionālās attīstības fonda (ERAF) finansētie elektrotransportlīdzekļu (ETL) projekti (2014 - 2020)</t>
  </si>
  <si>
    <t>Tehniskā palīdzība Eiropas Sociālā fonda (ESF) apgūšanai (2014 - 2020)</t>
  </si>
  <si>
    <t>69.07.00</t>
  </si>
  <si>
    <t>3.mērķa "Eiropas teritoriālā sadarbība" VSIA "Latvijas valsts ceļi" realizētie projekti</t>
  </si>
  <si>
    <t>23.06.00</t>
  </si>
  <si>
    <t>17. Satiksmes ministrija- kopā</t>
  </si>
  <si>
    <t>1. Valsts pamatfunkciju īstenošana</t>
  </si>
  <si>
    <t>05.03.00</t>
  </si>
  <si>
    <t>10.120</t>
  </si>
  <si>
    <t>Aprūpe valsts sociālās aprūpes institūcijās</t>
  </si>
  <si>
    <t xml:space="preserve">Ieguldījumi ēku remontos infrastruktūras sakārtošanai (kārtējie telpu remonti un atjaunošanas darbi, neatliekamu, neparedzētu un avārijas remontdarbu veikšanai) </t>
  </si>
  <si>
    <t>Datortehnikas iegāde</t>
  </si>
  <si>
    <t>Ieguldījumi valsts sociālās aprūpes centru  infrastruktūras sakārtošanai pasākuma “Valsts sociālo aprūpes centru infrastruktūras sakārtošana” īstenošanai</t>
  </si>
  <si>
    <t>05.37.00</t>
  </si>
  <si>
    <t>Sociālās integrācijas valsts aģentūras administrēšana un profesionālās un sociālās rehabilitācijas pakalpojumu nodrošināšana</t>
  </si>
  <si>
    <t>Ugunsdrošības sistēmas izbūve un atjaunošana</t>
  </si>
  <si>
    <t>Ūdensvada un kanalizācijas izbūve un pieslēgšanās pilsētas sistēmai Amulas 6 un Teritorijas sakārtošana un atjaunošana Dubultu pr.59/Amulas 6, Jūrmalā</t>
  </si>
  <si>
    <t xml:space="preserve">Kravas lifta nomaiņa Dubultu pr.71, Jūrmalā ēdināšanas korpusā </t>
  </si>
  <si>
    <t>05.62.00</t>
  </si>
  <si>
    <t>Invaliditātes ekspertīžu nodrošināšana</t>
  </si>
  <si>
    <t>07.01.00</t>
  </si>
  <si>
    <t>04.121</t>
  </si>
  <si>
    <t>Nodarbinātības valsts aģentūras darbības nodrošināšana</t>
  </si>
  <si>
    <t>Bezdarbnieku uzskaites un reģistrēto vakanču informācijas sistēmas (BURVIS) pilnveidojumi</t>
  </si>
  <si>
    <t>21.01.00</t>
  </si>
  <si>
    <t>Darba tiesisko attiecību un darba apstākļu kontrole un uzraudzība</t>
  </si>
  <si>
    <t>22.01.00</t>
  </si>
  <si>
    <t>10.910</t>
  </si>
  <si>
    <t>Valsts bērnu tiesību aizsardzības inspekcija un bērnu uzticības tālrunis</t>
  </si>
  <si>
    <t>Labklājības nozares vadība un politikas plānošana</t>
  </si>
  <si>
    <t xml:space="preserve">Datortehnikas, programmatūras, biroja tehnikas un  licenču (MS Office) iegāde </t>
  </si>
  <si>
    <t>IT sistēmu pielāgošana (Horizon HOP, SPOLIS, lietvedības sistēmas moduļu papildinājumi)</t>
  </si>
  <si>
    <t>Pārējās valsts budžeta investīcijas:  materiāli tehniskā nodrošinājuma atjaunošana</t>
  </si>
  <si>
    <t>97.02.00</t>
  </si>
  <si>
    <t>Nozares centralizēto funkciju izpilde</t>
  </si>
  <si>
    <t>Pasākuma  “Labklājības nozares kritiskās IT infrastruktūras rezerves datu centra izveidošana” īstenošanai, mazinot risku nozares funkciju izpildei būtisko informācijas sistēmu “SAIS”, “VDEĀVK IIS” un “BURVIS” darbības nepārtrauktībai un uzlabojot sistēmu darbības atjaunošanas procesu</t>
  </si>
  <si>
    <t>IT sistēmu pielāgošana (SPOLIS, Adopcijas reģistrs un pašvaldību lietojumprogrammas “SOPA”  datu apmaiņas  sistēmu papildinājumi)</t>
  </si>
  <si>
    <t>Pasākuma “Labklājības nozares ēku sakārtošana” īstenošanu, turpinot sakārtot infrastruktūru valsts sociālās aprūpes centros, kā arī citās labklājības nozares ēkās" īstenošanai</t>
  </si>
  <si>
    <t>Pārējās valsts budžeta investīcijas: materiāli tehniskā nodrošinājuma atjaunošanai</t>
  </si>
  <si>
    <t>62.07.00</t>
  </si>
  <si>
    <t>Eiropas Reģionālās attīstības fonda (ERAF) īstenotie projekti labklājības nozarē (2014-2020)</t>
  </si>
  <si>
    <t>63.07.00</t>
  </si>
  <si>
    <t>04.122</t>
  </si>
  <si>
    <t>Eiropas Sociālā fonda (ESF) īstenotie projekti labklājības nozarē (2014-2020)</t>
  </si>
  <si>
    <t>Tehniskā palīdzība Eiropas Sociālā fonda (ESF) apgūšanai (2014-2020)</t>
  </si>
  <si>
    <t>04.05.00</t>
  </si>
  <si>
    <t>Valsts sociālās apdrošināšanas aģentūras speciālais budžets</t>
  </si>
  <si>
    <t>IT sistēmu pielāgošana (SAIS un ISS programmatūras attīstība)</t>
  </si>
  <si>
    <t>IT sistēmu pielāgošana (LatEESSI uzturēšana)</t>
  </si>
  <si>
    <t>IT sistēmu pielāgošana pasākuma “E-paneļa risinājuma izstrāde iedzīvotāju pensiju un sociālā atbalsta informācijas vizualizācijai” īstenošanai</t>
  </si>
  <si>
    <t xml:space="preserve"> IT sistēmas (SAIS) pielāgošana  pasākuma “Investīcijas IT sistēmu pielāgošanai saistībā ar likumdošanas izmaiņām (VSAA)” īstenošanai</t>
  </si>
  <si>
    <t>18. Labklājības ministrija - speciālais budžets</t>
  </si>
  <si>
    <t>19. Tieslietu ministrija - kopā</t>
  </si>
  <si>
    <t>03.01.00</t>
  </si>
  <si>
    <t>03.311</t>
  </si>
  <si>
    <t>03.02.00</t>
  </si>
  <si>
    <t>Videokonferenču  un datortehnikas infrastruktūras pilnveidošana</t>
  </si>
  <si>
    <t>Drošības sistēmu ieviešana tiesās</t>
  </si>
  <si>
    <t>Ar E-lietas reformas pakāpenisku īstenošanu un pilnveidi saistītu aktivitāšu īstenošana</t>
  </si>
  <si>
    <t>03.03.00</t>
  </si>
  <si>
    <t>03.04.00</t>
  </si>
  <si>
    <t>03.07.00</t>
  </si>
  <si>
    <t>03.390</t>
  </si>
  <si>
    <t>Uzturlīdzekļu garantiju fonda iesniedzēju un parādnieku reģistra tehniskās platformas nomaiņa</t>
  </si>
  <si>
    <t>04.01.00</t>
  </si>
  <si>
    <t>03.410</t>
  </si>
  <si>
    <t>Ieslodzījuma vietu infrastruktūras uzlabošana</t>
  </si>
  <si>
    <t>04.02.00</t>
  </si>
  <si>
    <t>Jaunā Liepājas cietuma būvniecība</t>
  </si>
  <si>
    <t>04.03.00</t>
  </si>
  <si>
    <t>03.330</t>
  </si>
  <si>
    <t>06.01.00</t>
  </si>
  <si>
    <t>04.112</t>
  </si>
  <si>
    <t>Uzņēmumu reģistra informācijas sistēmas  modernizācija</t>
  </si>
  <si>
    <t>06.03.00</t>
  </si>
  <si>
    <t xml:space="preserve">Valsts zemes dienesta informācijas sistēmu datu publicēšana atvērto datu veidā </t>
  </si>
  <si>
    <t>IT infrastruktūras uzlabošana</t>
  </si>
  <si>
    <t>09.01.00</t>
  </si>
  <si>
    <t>09.02.00</t>
  </si>
  <si>
    <t>62.00.00</t>
  </si>
  <si>
    <t>71.06.00</t>
  </si>
  <si>
    <t>21. Vides aizsardzības un reģionālās attīstības ministrija - kopā</t>
  </si>
  <si>
    <t>21.13.00.</t>
  </si>
  <si>
    <t>05.600</t>
  </si>
  <si>
    <t>23.01.00.</t>
  </si>
  <si>
    <t xml:space="preserve">Pasākums "Valsts vides dienesta tehnoloģiju attīstība" </t>
  </si>
  <si>
    <t xml:space="preserve">Pasākums "Monitoringa programmas un Zvejas kontroles sistēmas tehniskās bāzes uzlabošana"  </t>
  </si>
  <si>
    <t>23.02.00.</t>
  </si>
  <si>
    <t>24.06.00.</t>
  </si>
  <si>
    <t>8.220</t>
  </si>
  <si>
    <t>Pasākuma "Dabas kapitāla izmantošana zaļās tautsaimniecības veicināšanā "ietvaros"Ceļojošās izstādes tehniskais nodrošinājums un krājumu uzskaites sistēmas izveide"</t>
  </si>
  <si>
    <t>24.08.00.</t>
  </si>
  <si>
    <t>05.400</t>
  </si>
  <si>
    <t>Pasākuma "Dabas kapitāla izmantošana zaļās tautsaimniecības veicināšanā" ietvaros "Tūrisma infrastruktūras sakārtošana Īpaši aizsargājamās dabas teritorijās"</t>
  </si>
  <si>
    <t>Pasākums "Antropogēno slodzi samazinošas un informatīvās infrastruktūras izveide Natura 2000 teritorijās"</t>
  </si>
  <si>
    <t>Pasākums "Nacionālo parku darbības nodrošināšanai tehniskais aprīkojums"</t>
  </si>
  <si>
    <t>06.200</t>
  </si>
  <si>
    <t>Pasākums "Resursu nodrošināšana centrālo valsts informācijas un komunikācijas tehnoloģiju platformām"</t>
  </si>
  <si>
    <t>Pasākums "Valsts informācijas sistēmas darbības nodrošināšana Latvijas prezidentūras ES padomē vajadzībām"</t>
  </si>
  <si>
    <t>Pasākums "Valsts informācijas un komunikācijas tehnoloģiju (IKT) pārvaldības organizatoriskā moduļa ieviešana"</t>
  </si>
  <si>
    <t>Pasākums “Eiropas Savienības politiku instrumentu līdzekļu ietvaros izveidoto informācijas un komunikācijas tehnoloģiju sistēmu pilnveidošana”</t>
  </si>
  <si>
    <t>61.08.00</t>
  </si>
  <si>
    <t>04.111</t>
  </si>
  <si>
    <t>69.08.00</t>
  </si>
  <si>
    <t>71.08.00</t>
  </si>
  <si>
    <t>22. Kultūras ministrija - kopā</t>
  </si>
  <si>
    <t xml:space="preserve">PIKC Nacionālās Mākslu vidusskolas struktūrvienības E.Dārziņa mūzikas vidusskolas aktu zāles un tās infrastruktūras sakārtošana un  uzlabošana </t>
  </si>
  <si>
    <t xml:space="preserve">Latvijas Etnogrāfiskajam brīvdabas muzejam apkures sistēmas atjaunošanai un muzeja eksponātēku restaurācijas darbiem (Covid-19 krīzes pārvarēšanai un ekonomikas atlabšanas pasākums 2021. gadam saskaņā ar MK 02.09.2020. sēdes protokola Nr. 51 55.§ 2. punktu) </t>
  </si>
  <si>
    <t>Datu centrs un kultūras mantojuma digitālā infrastruktūra</t>
  </si>
  <si>
    <t xml:space="preserve">Muzeju ēku un ekspozīciju atjaunošanai, nacionālā muzeja krājumu papildināšanai un izpētei. </t>
  </si>
  <si>
    <t>Rakstniecības un mūzikas muzejam nekustamā īpašuma Mārstaļa ielā 6, Rīgā labiekārtošanai un ekspozīcijas izveidei i(16.10.2018. MK rīkojuma Nr.522 (2.2.apakšpunktu))</t>
  </si>
  <si>
    <t>IT procesu pilnveide - datortehnikas iegāde Latvijas Nacionālajam arhīvam</t>
  </si>
  <si>
    <t>Grāmatu iepirkums un grāmatu starta un lasīšanas veicināšanas programma</t>
  </si>
  <si>
    <t>Latvijas Etnogrāfiskā brīvdabas muzeja daļēja eksponātēku un kultūrvēsturisko krājuma priekšmetu – vides objektu restaurācija un elektrodrošības sakārtošana.</t>
  </si>
  <si>
    <t>Ēku Slokas ielā 52A un Slokas ielā 52B, Rīgā, pārbūves darbu izdevumu segšanai, lai pielāgotu ēkas profesionālās izglītības kompetences centra "Nacionālā Mākslu vidusskola" vajadzībām</t>
  </si>
  <si>
    <t>Profesionālās izglītības kompetences centra „Nacionālā Mākslu vidusskola” ēku pārbūves darbu veikšanai, tai skaitā: pārbūvējot Skolas ēku Slokas ielā 52a, Rīgā; veicot neparedzētus būvdarbus Skolas ēkā Slokas ielā 52b, Rīgā; veicot papildu būvdarbus Skolas ēkās Kalnciema ielā 10 k-2, Rīgā  un Kalnciema ielā 10 k-3, Rīgā</t>
  </si>
  <si>
    <t>Būvdarbu veikšanai profesionālās izglītības kompetences centra „Liepājas Mūzikas, mākslas un dizaina vidusskola” ēkās Alejas ielā 18, Liepājā - jaunbūves otrās kārtas izbūvei, neatjaunotā mācību korpusa ēkas pārbūves un pielāgošanas darbu pabeigšanai, jaunbūves un Skolas ēkas savienošanai ar pārejām ēkām</t>
  </si>
  <si>
    <t>Rundales pils muzeja jumta remonta pilnīga pabeigšana</t>
  </si>
  <si>
    <t>22.05.00</t>
  </si>
  <si>
    <t>08.210</t>
  </si>
  <si>
    <t>08.610</t>
  </si>
  <si>
    <t>8.200</t>
  </si>
  <si>
    <t>70.18.00</t>
  </si>
  <si>
    <t>25. Pārresoru koordinācijas centrs - kopā</t>
  </si>
  <si>
    <t>Prioritārā pasākuma “Pedagoģiski psiholoģiskā atbalsta dienests” ietvaros tiks izveidota jauna iestāde un tās darba nodrošināšanai plānots iegādāties: datortehniku, sakaru un citu biroja tehniku, datortīkla infrastruktūru, datortehniku 15 darba stacijām, multifunkcionālo iekārtu un printerus. Kā arī mēbeles darba vietu iekārtošanai.</t>
  </si>
  <si>
    <t>Pārējās valsts budžeta investīcijas – IKT infrastruktūras un darba vides ikgadējās pilnveidošanas izmaksas (mājas lapu www.valstskapitals un www.pkc.gov.lv pilnveides darbi, datortīklu drošības pārvaldības risinājumi, pretvīrusu aizsardzības risinājumi, licenču iegāde laika periodam ilgākam par vienu gadu, datortehnikas iegāde)</t>
  </si>
  <si>
    <t>03.310</t>
  </si>
  <si>
    <t>06.02.20</t>
  </si>
  <si>
    <t>7.220</t>
  </si>
  <si>
    <t>39.03.00</t>
  </si>
  <si>
    <t>07.460</t>
  </si>
  <si>
    <t>39.04.00</t>
  </si>
  <si>
    <t>07.620</t>
  </si>
  <si>
    <t>39.06.00</t>
  </si>
  <si>
    <t>39.07.00</t>
  </si>
  <si>
    <t>45.01.00</t>
  </si>
  <si>
    <t>07.610</t>
  </si>
  <si>
    <t>46.01.00</t>
  </si>
  <si>
    <t>7.610</t>
  </si>
  <si>
    <t>46.03.00</t>
  </si>
  <si>
    <t>30. Satversmes tiesa - kopā</t>
  </si>
  <si>
    <t>Stiprināt Satversmes tiesas funkcionālo kapacitāti/tiesas zāles un bibliotēkas tehniskā aprīkojuma iegāde</t>
  </si>
  <si>
    <t>Satversmes tiesas darbības un attīstības nodrošināšana, kā arī dialoga ar sabiedrību veicināšana/muzeja aprīkojuma un portatīvo datoru iegāde</t>
  </si>
  <si>
    <t>Satversmes tiesas autoparka atjaunošana/nolietoto automašīnu nomaiņa</t>
  </si>
  <si>
    <t>Informācijas un komunikācijas tehnoloģiju pilnveide/lietvedības u.c.programmatūru pilnveidošana, atjaunošana</t>
  </si>
  <si>
    <t>Satversmes tiesas ēkas ekspluatācijas drošības stiprināšana/jumta kapitālais remonts</t>
  </si>
  <si>
    <t>32.Prokuratūra - kopā</t>
  </si>
  <si>
    <t>03.320</t>
  </si>
  <si>
    <t>2021.gada prioritārais pasākums "Eiropas deleģēto prokuroru biroja izveide un darbība"</t>
  </si>
  <si>
    <t xml:space="preserve">2021.gada starpnozaru prioritārais pasākums "Iestāžu izvietošana jaunuzceltajā tieslietu nozares administratīvajā centrā Jēkabpilī" </t>
  </si>
  <si>
    <t xml:space="preserve">Pasākumu plāna noziedzīgi iegūtu līdzekļu legalizācijas, terorisma un proliferācijas finansēšanas novēršanai laikposmam no 2020. līdz 2022.gadam īstenošana </t>
  </si>
  <si>
    <t xml:space="preserve">2020.gada prioritārais pasākums "Prokuratūras informācijas tehnoloģiju infrastruktūras uzturēšana un nepieciešamā drošības līmeņa nodrošināšana" </t>
  </si>
  <si>
    <t>08.320</t>
  </si>
  <si>
    <t>Nozares vadība</t>
  </si>
  <si>
    <t>08. Sabiedrības integrācijas fonds</t>
  </si>
  <si>
    <t>1.110</t>
  </si>
  <si>
    <t>01. Valsts prezidenta kanceleja - kopā</t>
  </si>
  <si>
    <t xml:space="preserve">Valsts prezidenta darbības nodrošināšana </t>
  </si>
  <si>
    <t xml:space="preserve">
Koncertflīģeļa iegāde Rīgas pils Svētku zālei</t>
  </si>
  <si>
    <t xml:space="preserve">
Rīgas pils dārza labiekārtošana</t>
  </si>
  <si>
    <t>Divu mākslas darbu (portretu) gleznošana</t>
  </si>
  <si>
    <t>24. Valsts kontrole - kopā</t>
  </si>
  <si>
    <t>Valsts kontrole</t>
  </si>
  <si>
    <r>
      <t>Pārējās</t>
    </r>
    <r>
      <rPr>
        <sz val="12"/>
        <color theme="1"/>
        <rFont val="Times New Roman"/>
        <family val="1"/>
        <charset val="186"/>
      </rPr>
      <t xml:space="preserve"> </t>
    </r>
    <r>
      <rPr>
        <sz val="10"/>
        <color theme="1"/>
        <rFont val="Times New Roman"/>
        <family val="1"/>
        <charset val="186"/>
      </rPr>
      <t>valsts budžeta investīcijas</t>
    </r>
  </si>
  <si>
    <t>14.Iekšlietu ministrija - kopā</t>
  </si>
  <si>
    <t>02.03.00</t>
  </si>
  <si>
    <t>Radiosakaru sistēmas un infrastruktūras atjaunināšana</t>
  </si>
  <si>
    <t>Valsts robežsardzes informācijas sistēmas (REIS) attīstība</t>
  </si>
  <si>
    <t>Iekšlietu resora informācijas aprites drošības uzlabošana</t>
  </si>
  <si>
    <t xml:space="preserve"> IeM IC pārziņā esošo informācijas sistēmu izveide, funkcionalitāšu uzlabojumu nodrošināšana</t>
  </si>
  <si>
    <t>Iekšlietu resora iestāžu apgāde ar programmatūru, datortehniku un biroja tehniku (tai skaitā Valsts policijas amatpersonu  izglītības sistēmas pilnveide (tai skaitā izmeklētāju apmācības centra izveide),
Vēlētāju reģistra attīstības un atbalsta pasākumi)</t>
  </si>
  <si>
    <t>03.110</t>
  </si>
  <si>
    <t>Operatīvā darba un speciālo izmeklēšanas darbību kapacitātes stiprināšana</t>
  </si>
  <si>
    <t xml:space="preserve">Sabiedriskās kārtības, drošības, ceļu satiksmes kontroles un uzraudzības kapacitātes stiprināšana </t>
  </si>
  <si>
    <t>Valsts policijas amatpersonu  izglītības sistēmas pilnveide (tai skaitā izmeklētāju apmācību centra izveide Valsts policijas koledžā)</t>
  </si>
  <si>
    <t>03.200</t>
  </si>
  <si>
    <t>Speciālo ugunsdzēsības un glābšanas transportlīdzekļu iegāde</t>
  </si>
  <si>
    <t>Valsts ugunsdzēsības un glābšanas dienesta mācību poligona aprīkošana</t>
  </si>
  <si>
    <t>10.00.00</t>
  </si>
  <si>
    <t>03.120</t>
  </si>
  <si>
    <t>Valsts robežas joslas infrastruktūras izbūve gar Latvijas Republikas un Baltkrievijas Republikas robežu</t>
  </si>
  <si>
    <t>Valsts robežsardzes kuģošanas līdzekļu tehniskā stāvokļa uzlabošana (kapitālais remonts)</t>
  </si>
  <si>
    <t>Valsts robežsardzes gaisa kuģu tehniskā stāvokļa uzlabošana (kapitālais remonts)</t>
  </si>
  <si>
    <t xml:space="preserve">Valsts robežsardzes koledžas kapacitātes stiprināšanas pasākumi </t>
  </si>
  <si>
    <t>11.01.00</t>
  </si>
  <si>
    <t>03.130</t>
  </si>
  <si>
    <t>Vēlētāju reģistra attīstības un atbalsta pasākumi</t>
  </si>
  <si>
    <t>Eiropas Savienības prasībām atbilstošu pasu, elektronisko identifikācijas karšu un uzturēšanās atļauju izsniegšana</t>
  </si>
  <si>
    <t>Fizisko personu reģistra tiešsaistes datu apmaiņas risinājuma ar VIIS izstrāde un ieviešana</t>
  </si>
  <si>
    <t>38.05.00</t>
  </si>
  <si>
    <t>40.02.00</t>
  </si>
  <si>
    <t>Augstas gatavības projekti, kas saistīti ar Covid-19 krīzes pārvarēšanu un ekonomikas atlabšanu (8 VUGD depo būvniecība)</t>
  </si>
  <si>
    <t>Infrastruktūras kapacitātes stiprināšanas pasākumi (Valsts policijas un Valsts robežsardzes lietošanā esošo nekustamo īpašumu neatliekamo  kapitālo remontdarbu veikšana)</t>
  </si>
  <si>
    <t>Iekšlietu ministrijas padotības iestāžu īpašumā, valdījumā vai lietošanā esošo nekustamo īpašumu tehniskā stāvokļa uzlabošana (kapitālie remonti)</t>
  </si>
  <si>
    <t>Iekšlietu ministrijas materiāltehniskā nodrošinājuma uzlabošana</t>
  </si>
  <si>
    <t>Bruņojuma iegāde Iekšlietu ministrijas padotībā esošo iestāžu vajadzībām</t>
  </si>
  <si>
    <t>40.03.00</t>
  </si>
  <si>
    <t xml:space="preserve">Krimināllietās un administratīvo pārkāpumu lietās lietisko pierādījumu un izņemto mantu glabāšanai, realizēšanai vai iznīcināšanai paredzētā  tehniskā aprīkojuma pilnveidošana un infrastruktūras uzlabošana </t>
  </si>
  <si>
    <t>42.00.00</t>
  </si>
  <si>
    <t xml:space="preserve">Iekšējā drošības biroja tehniskā nodrošinājuma iegāde un atjaunošana </t>
  </si>
  <si>
    <t>Iekšējās drošības biroja informācijas sistēmas funcionalitātes uzlabošana</t>
  </si>
  <si>
    <t>43.00.00</t>
  </si>
  <si>
    <t>FID darbības nodrošināšanai nepieciešamo programmatūru licenču iegāde</t>
  </si>
  <si>
    <t>VID un FID vienotā ziņošanas kanāla izstrāde</t>
  </si>
  <si>
    <t>67.13.00</t>
  </si>
  <si>
    <t>67.14.00</t>
  </si>
  <si>
    <t>70.23.00</t>
  </si>
  <si>
    <t>35. Centrālā vēlēšanu komisija - kopā</t>
  </si>
  <si>
    <t>01.600</t>
  </si>
  <si>
    <t>Valsts budžeta investīciju objekts Vēlēšanu vadības sistēma</t>
  </si>
  <si>
    <t>46. Sabiedriskie elektroniskie plašsaziņas līdzekļi - kopā</t>
  </si>
  <si>
    <t>12. Ekonomikas ministrija - kopā</t>
  </si>
  <si>
    <t>20.00.00</t>
  </si>
  <si>
    <t>04.430</t>
  </si>
  <si>
    <t>24.00.00</t>
  </si>
  <si>
    <t>01.320</t>
  </si>
  <si>
    <t>26.01.00</t>
  </si>
  <si>
    <t>26.02.00</t>
  </si>
  <si>
    <t>27.12.00</t>
  </si>
  <si>
    <t>04.300</t>
  </si>
  <si>
    <t>29.02.00</t>
  </si>
  <si>
    <t>29.06.00</t>
  </si>
  <si>
    <t>04.730</t>
  </si>
  <si>
    <t>67.06.00</t>
  </si>
  <si>
    <t>Saeimas darbības nodrošināšana</t>
  </si>
  <si>
    <t>Ministru kabineta darbības nodrošināšanā, valsts pārvaldes politika</t>
  </si>
  <si>
    <t>Valsts administrācijas skola</t>
  </si>
  <si>
    <t>Tehniskā palīdzība Eiropas Reģionālā attīstības fonda (ERAF) apgūšanai (2014-2020)</t>
  </si>
  <si>
    <t>Korupcijas novēršanas un apkarošanas birojs</t>
  </si>
  <si>
    <t>Sabiedrības integrācijas fonda vadība</t>
  </si>
  <si>
    <t>Pamatkapitāla veidošana</t>
  </si>
  <si>
    <t>Diplomātiskās misijas ārvalstīs</t>
  </si>
  <si>
    <t>Fiskālās disciplīnas padomes darbības nodrošināšana</t>
  </si>
  <si>
    <t>Budžeta izpilde</t>
  </si>
  <si>
    <t>Iepirkumu uzraudzības birojs</t>
  </si>
  <si>
    <t>Eiropas Savienības pirmsstrukturālo, strukturālo un citu finanšu instrumentu koordinācija</t>
  </si>
  <si>
    <t>Eiropas Savienības sadarbības projektu un pasākumu īstenošana</t>
  </si>
  <si>
    <t>Izložu un azartspēļu organizēšanas un norises uzraudzība</t>
  </si>
  <si>
    <t>Finansējums VAS "Valsts nekustamie īpašumi" īstenojamiem projektiem un pasākumiem</t>
  </si>
  <si>
    <t>Tehniskā palīdzība Kohēzijas fonda (KF) apgūšanai (2014- 2020)</t>
  </si>
  <si>
    <t>Eiropas Reģionālās attīstības fonda (ERAF) finansētie ierobežoto konkursu projekti (2014-2020)</t>
  </si>
  <si>
    <t>Tehniskā palīdzība Eiropas Reģionālās attīstības fonda (ERAF) apgūšanai (2014- 2020)</t>
  </si>
  <si>
    <t>Eiropas Ekonomikas zonas un Norvēģijas finanšu instrumentu finansētie projekti</t>
  </si>
  <si>
    <t>Eiropas Komisijas (kopā ar iesaistītajām dalībvalstīm) un tabakas ražotāju nolīgumu ietvaros piešķirtie finanšu līdzekļi</t>
  </si>
  <si>
    <t>Valsts ieņēmumu dienesta īstenotie projekti finansiālo interešu aizsardzības jomā</t>
  </si>
  <si>
    <t>Būvniecība</t>
  </si>
  <si>
    <t>Statistiskās informācijas nodrošināšana</t>
  </si>
  <si>
    <t>Iekšējais tirgus un patērētāju tiesību aizsardzība</t>
  </si>
  <si>
    <t>Konkurences politikas ieviešana</t>
  </si>
  <si>
    <t>LIAA darbības nodrošināšana</t>
  </si>
  <si>
    <t>Ārējās ekonomiskās politikas ieviešana</t>
  </si>
  <si>
    <t>Elektroenerģijas lietotāju atbalsts</t>
  </si>
  <si>
    <t>Enerģētikas jautājumu administrēšana</t>
  </si>
  <si>
    <t>Tūrisma politikas ieviešana</t>
  </si>
  <si>
    <t>Vienotās sakaru un informācijas sistēmas uzturēšana un vadība</t>
  </si>
  <si>
    <t>Valsts policija</t>
  </si>
  <si>
    <t>Ugunsdrošība, glābšana un civilā aizsardzība</t>
  </si>
  <si>
    <t>Valsts robežsardzes darbība</t>
  </si>
  <si>
    <t>Pilsonības un migrācijas lietu pārvalde</t>
  </si>
  <si>
    <t>Veselības aprūpe un fiziskā sagatavotība</t>
  </si>
  <si>
    <t>Nekustamais īpašums un centralizētais iepirkums</t>
  </si>
  <si>
    <t>Lietiskie pierādījumi un izņemtā manta</t>
  </si>
  <si>
    <t>Iekšējās drošības biroja darbība</t>
  </si>
  <si>
    <t>Finanšu izlūkošanas dienesta darbība</t>
  </si>
  <si>
    <t>Eiropas Reģionālās attīstības fonda (ERAF) projektu un pasākumu īstenošana (2014-2020)</t>
  </si>
  <si>
    <t>Eiropas Savienības robežu pārvaldības programmas Centrālāzijā projektu un pasākumu īstenošana</t>
  </si>
  <si>
    <t>FRONTEX Aģentūras starptautisko operāciju nodrošināšana</t>
  </si>
  <si>
    <t>Pārrobežu sadarbības programmu projektu un pasākumu īstenošana (2014-2020)</t>
  </si>
  <si>
    <t>Eiropas migrācijas tīkla projektu un pasākumu īstenošana</t>
  </si>
  <si>
    <t>Iekšējās drošības un Patvēruma, migrācijas un integrācijas fondu projektu un pasākumu īstenošana (2014-2020)</t>
  </si>
  <si>
    <t>Tiesu administrēšana</t>
  </si>
  <si>
    <t>Apgabaltiesas un rajonu (pilsētu) tiesas</t>
  </si>
  <si>
    <t>Juridiskās palīdzības nodrošināšana</t>
  </si>
  <si>
    <t>Tiesu ekspertīžu veikšana</t>
  </si>
  <si>
    <t>Uzturlīdzekļu garantiju fonda administrēšana</t>
  </si>
  <si>
    <t>Ieslodzījuma vietas</t>
  </si>
  <si>
    <t>Ieslodzījuma vietu būvniecība</t>
  </si>
  <si>
    <t>Probācijas īstenošana</t>
  </si>
  <si>
    <t>Juridisko personu reģistrācija</t>
  </si>
  <si>
    <t>Maksātnespējas procesa pārvaldība</t>
  </si>
  <si>
    <t>Nekustamā īpašuma tiesību politikas īstenošana</t>
  </si>
  <si>
    <t>Valsts valodas aizsardzība</t>
  </si>
  <si>
    <t>Fizisko personu datu aizsardzība</t>
  </si>
  <si>
    <t>Citu ES politiku instrumentu projektu un pasākumu īstenošana (2014-2020)</t>
  </si>
  <si>
    <t>Eiropas Ekonomikas zonas finanšu instrumenta un Norvēģijas valdības divpusējā finanšu instrumenta finansētie projekti</t>
  </si>
  <si>
    <t>Nozares vides projekti</t>
  </si>
  <si>
    <t>Valsts vides dienests</t>
  </si>
  <si>
    <t>Vides pārraudzības valsts birojs</t>
  </si>
  <si>
    <t>Latvijas Dabas muzeja darbības nodrošināšana</t>
  </si>
  <si>
    <t>Nacionālo parku darbības nodrošināšana</t>
  </si>
  <si>
    <t>Attīstības nacionālie atbalsta instrumenti</t>
  </si>
  <si>
    <t>Valsts reģionālās attīstības politikas īstenošana</t>
  </si>
  <si>
    <t>Kohēzijas fonda (KF) projekti (2014-2020)</t>
  </si>
  <si>
    <t>Pārrobežu sadarbības programmu darbības nodrošināšana, projekti un pasākumi (2014-2020)</t>
  </si>
  <si>
    <t>LIFE programmas projekti</t>
  </si>
  <si>
    <t>Norvēģijas finanšu instrumenta  finansētās programmas "Klimata pārmaiņu mazināšana, pielāgošanās tām un vide (LV - CLIMATE)" īstenošana</t>
  </si>
  <si>
    <t>Filmu nozare</t>
  </si>
  <si>
    <t>Kultūrizglītība</t>
  </si>
  <si>
    <t>Kultūras mantojums</t>
  </si>
  <si>
    <t>Kultūras infrastruktūras attīstība</t>
  </si>
  <si>
    <t>Valsts vienotā bibliotēku informācijas sistēma</t>
  </si>
  <si>
    <t>Informācijas tehnoloģiju attīstība un uzturēšana kultūras nozarē</t>
  </si>
  <si>
    <t>Valsts kultūrkapitāla fonda darbības nodrošināšana</t>
  </si>
  <si>
    <t>Sabiedrības integrācijas pasākumu īstenošana</t>
  </si>
  <si>
    <t>Diasporas pasākumu īstenošana</t>
  </si>
  <si>
    <t>Iekšējās drošības fonda un Patvēruma, migrācijas un integrācijas fonda finansējums (2016-2020)</t>
  </si>
  <si>
    <t>Pārresoru koordinācijas centra darbības nodrošināšana</t>
  </si>
  <si>
    <t>Tiesa</t>
  </si>
  <si>
    <t>Medicīnas vēstures muzejs</t>
  </si>
  <si>
    <t>Specializētā veselības aprūpes nodrošināšana, Asins un asins komponentu nodrošināšana</t>
  </si>
  <si>
    <t>Neatliekamā medicīniskā palīdzība</t>
  </si>
  <si>
    <t>Tiesu medicīniskā ekspertīze</t>
  </si>
  <si>
    <t>Antidopinga politikas īstenošana</t>
  </si>
  <si>
    <t>Veselības aprūpes finansējuma administrēšana un ekonomiskā novērtēšana</t>
  </si>
  <si>
    <t>Uzraudzība un kontrole</t>
  </si>
  <si>
    <t>Slimību profilakses nodrošināšana</t>
  </si>
  <si>
    <t>Nozares vadība un politikas plānošana</t>
  </si>
  <si>
    <t>Eiropas Reģionālās attīstības fonda (ERAF) projektu veselības jomā īstenošana (2014-2020)</t>
  </si>
  <si>
    <t>Eiropas Sociālā fonda (ESF) projektu īstenošana (2014-2020)</t>
  </si>
  <si>
    <t>Prokuratūras iestāžu uzturēšana</t>
  </si>
  <si>
    <t>Vispārējā vadība</t>
  </si>
  <si>
    <t>Sabiedrisko elektronisko plašsaziņas līdzekļu padomes darbības nodrošināšana</t>
  </si>
  <si>
    <t>28. Augstākā tiesa - kopā</t>
  </si>
  <si>
    <t>29. Veselības ministrija - kopā</t>
  </si>
  <si>
    <t>47. Radio un televīzijas regulators - kopā</t>
  </si>
  <si>
    <t>BIS pilnveide (pēc ERAF 1.kārtas pabeigšanas)</t>
  </si>
  <si>
    <t>Sociālās statistikas datu noliktavas sistēmas pilnveidošana</t>
  </si>
  <si>
    <t>Statistikas uzņēmumu reģistra (SUR) sistēmas izstrāde</t>
  </si>
  <si>
    <t>Statistisko klasifikāciju satura pārvaldības sistēmas izstrāde</t>
  </si>
  <si>
    <t>Ražotāju cenu indeksu apstrādes, sagatavošanas, analīzes un uzglabāšanas sistēmas izstrāde</t>
  </si>
  <si>
    <t>PTAC darbības procesu un sniegto pakalpojumu digitalizēšana</t>
  </si>
  <si>
    <t>KP kapacitātes stiprināšana, nodrošinot iespēju efektīvāk izpildīt konkurences noteikumus un uzraudzīt iekšējā tirgus pienācīgu darbību</t>
  </si>
  <si>
    <t xml:space="preserve">Latvijas dalība pasaules izstādē EXPO 2020 Dubaijā </t>
  </si>
  <si>
    <t xml:space="preserve">Nemateriālo ieguldījumu izveide eksporta veicināšanai, investīciju piesaistei un valsts tēla veidošanai </t>
  </si>
  <si>
    <t>Aizsargātā lietotāja datu informācijas sistēmas (ALDIS) pilnveide</t>
  </si>
  <si>
    <t>Enerģētikas politikas īstenošanas monitorings un ziņošanas sistēmas īstenošana, IKT risinājumu izstrāde</t>
  </si>
  <si>
    <t>Integrēta risinājuma datu analīzes platformai Biznesa Inteliģences rīka (BI rīks) risinājumu Tableau ieviešana.</t>
  </si>
  <si>
    <t>Eiropas Kopienas iniciatīvas projekti</t>
  </si>
  <si>
    <t>Eiropas Ekonomikas zonas finanšu instrumenta finansētās programmas "Vietējā attīstība, nabadzības mazināšana un kultūras sadarbība (LV - LOCALDEV)" īstenošana</t>
  </si>
  <si>
    <t>Pārējās ārvalstu finanšu palīdzības līdzfinansētie projekti</t>
  </si>
  <si>
    <t>Valsts pamatbudžets</t>
  </si>
  <si>
    <t>Valsts speciālais budžets</t>
  </si>
  <si>
    <t>19.03.00.</t>
  </si>
  <si>
    <t>20.00.00.</t>
  </si>
  <si>
    <t>21.00.00.</t>
  </si>
  <si>
    <t>22.03.00.</t>
  </si>
  <si>
    <t>24.00.00.</t>
  </si>
  <si>
    <t xml:space="preserve">25.01.00. </t>
  </si>
  <si>
    <t>26.01.00.</t>
  </si>
  <si>
    <t>26.02.00.</t>
  </si>
  <si>
    <t>97.00.00.</t>
  </si>
  <si>
    <t>18. Labklājības ministrija - kopā</t>
  </si>
  <si>
    <t>Materiāltehniskās bāzes atjaunošana ilgstošas sociālās aprūpes pakalpojuma nodrošināšanai (Medicīnisko iekārtu, sporta, fizioterapijas un citu nodarbību aprīkojuma, transportlīdzekļa klientu pārvadāšanai iegāde, mēbeļu, profesionālās sadzīves tehnikas iegāde/nomaiņa</t>
  </si>
  <si>
    <t>Materiāltehniskās bāzes atjaunošana sociālās un profesionālās rehabilitācijas nodrošināšanai (Virtuves aprīkojuma, tehnoloģisko iekārtu iegāde)</t>
  </si>
  <si>
    <t>IT sistēmu pielāgošana (SAIS ) pasākuma "Atbalsts minimālo ienākumu palielināšana" īstenošanai un  ģimenes valsts pabalsta likumdošanas izmaiņu ieviešanu  īstenošanai</t>
  </si>
  <si>
    <t xml:space="preserve">Datortehnikas, programmatūras un  licenču (MS Office) iegāde </t>
  </si>
  <si>
    <t>SEPLP materiāltehniskās bāzes atjaunošana</t>
  </si>
  <si>
    <t>Laboratorijas iekārtas Nacionālās sēklu kontroles laboratorijas darba uzlabošanai, drošas darba vides nodrošināšanai</t>
  </si>
  <si>
    <t>Laboratorijas iekārtas Agroķīmijas laboratorijas darba uzlabošanai, jaunu metožu ieviešanai</t>
  </si>
  <si>
    <t>16. Zemkopības ministrija - kopā</t>
  </si>
  <si>
    <t>Autoceļi</t>
  </si>
  <si>
    <t xml:space="preserve">Tilti </t>
  </si>
  <si>
    <t>Satiksmes organizācija un satiksmes drošība</t>
  </si>
  <si>
    <t xml:space="preserve">Velosipēdu ceļu izbūve </t>
  </si>
  <si>
    <t>IKT kiberdrošības pasākumi (drošības pārvaldības, attālinātās piekļuves kontroles risinājumu atjaunināšana un jaunas funkcionalitātes ieviešana; datortīkla infrastruktūras atjaunināšana/papildināšana, IKT sistēmu infrastruktūras papildināšana/atjaunošana; e-pasta sistēmas funkcionalitātes pilnveidošana, atjaunināšana)</t>
  </si>
  <si>
    <t>Ministru kabineta ēkas fiziskās drošības stiprināšana (piekļuves kontroles sistēmas uzlabošana, video sistēmas un video serveru programmnodrošinājuma atjaunošana);</t>
  </si>
  <si>
    <t>Informācijas sistēmu pilnveidošanas darbi (dokumentu pārvaldības sistēma MEDUS, elektroniskā novērtēšanas sistēma NEVIS);</t>
  </si>
  <si>
    <t>Ministru kabineta un Ministru prezidenta organizēto pasākumu tehniskā nodrošinājuma uzlabošana (sēžu zāles apgaismojuma uzlabošana, sēžu zāles konferenču sistēma, preses konferenču telpas akustikas uzlabojumi, sanāksmju telpu audio - video tīkla izveide, mēbeles).</t>
  </si>
  <si>
    <t>Prioritārais pasākums “Resora “Ministru kabinets” Valsts pārvaldes efektivitātes un kapacitātes stiprināšana un IKT, materiāli tehniskās bāzes stiprināšana” Valsts administrācijas skolas ēkā, Raiņa bulvārī 19:
1. ventilācijas sistēmas ierīkošana, mikroklimata regulācijai mācību klasēs, lai nodrošinātu gaisa kvalitāti un epidemioloģisko prasību ievērošanu mācību procesa laikā;
2. mācību IT aprīkojuma un programmatūras iegāde.</t>
  </si>
  <si>
    <t xml:space="preserve">IT sistēmas (SAIS) pielāgošana (elektronisku datu apmaiņas ar ES/EEZ dalībvalstīm un Šveici nodrošināšanai) pasākuma “Informācijas sistēmas RINA integrācija ar VSAA sociālās apdrošināšanas informācijas sistēmu un NVD starptautiskās sadarbības informācijas sistēmu” īstenošanai </t>
  </si>
  <si>
    <t>Kapitālieguldījumi un investīcijas Veselības ministrijas padotības iestādēs un BKUS investīcijas</t>
  </si>
  <si>
    <r>
      <t>Pārējās</t>
    </r>
    <r>
      <rPr>
        <sz val="12"/>
        <rFont val="Times New Roman"/>
        <family val="1"/>
      </rPr>
      <t xml:space="preserve"> </t>
    </r>
    <r>
      <rPr>
        <sz val="10"/>
        <rFont val="Times New Roman"/>
        <family val="1"/>
      </rPr>
      <t>valsts budžeta investīcijas</t>
    </r>
  </si>
  <si>
    <r>
      <t>Datortehnikas iegāde (darba vietu aprīkošanai) pasākuma “Funkcionālās pārraudzības īstenošana pār bāriņtiesām, atbilstoši Bāriņtiesu likuma 5.panta (1)</t>
    </r>
    <r>
      <rPr>
        <vertAlign val="superscript"/>
        <sz val="10"/>
        <rFont val="Times New Roman"/>
        <family val="1"/>
        <charset val="186"/>
      </rPr>
      <t>1</t>
    </r>
    <r>
      <rPr>
        <sz val="10"/>
        <rFont val="Times New Roman"/>
        <family val="1"/>
        <charset val="186"/>
      </rPr>
      <t xml:space="preserve"> daļai un 49.</t>
    </r>
    <r>
      <rPr>
        <vertAlign val="superscript"/>
        <sz val="10"/>
        <rFont val="Times New Roman"/>
        <family val="1"/>
        <charset val="186"/>
      </rPr>
      <t>2</t>
    </r>
    <r>
      <rPr>
        <sz val="10"/>
        <rFont val="Times New Roman"/>
        <family val="1"/>
        <charset val="186"/>
      </rPr>
      <t xml:space="preserve"> pantam” īstenošanai</t>
    </r>
  </si>
  <si>
    <t>2022. gada projekts</t>
  </si>
  <si>
    <t>2023. gada prognoze</t>
  </si>
  <si>
    <t>2024. gada prognoze</t>
  </si>
  <si>
    <t>II. Valsts budžeta izdevumi investīcijām no 2021. līdz 2024. gadam</t>
  </si>
  <si>
    <t>Valsts budžeta izdevumi investīcijām</t>
  </si>
  <si>
    <t>Euro</t>
  </si>
  <si>
    <t>Pievienošanās Latvijas Bankas Elektroniskā klīringa sistēmas zibmaksājumu shēmai</t>
  </si>
  <si>
    <t>Pārējās valsts budžeta investīcijas: IKT infrastruktūras un materiāli tehniskā nodrošinājuma atjaunošanai</t>
  </si>
  <si>
    <t>2021. gada plāns*</t>
  </si>
  <si>
    <t>* Datu salīdzināšanai arī 2021.gada valsts budžeta datiem piemēroti precizētā budžeta investīciju termina nosacījumi</t>
  </si>
  <si>
    <t xml:space="preserve">5.4.pielikumi Likumprojektā  "Par valsts budžetu 2022. gadam" plānotie izdevumi investīcijām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</si>
</sst>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dd&quot;.&quot;mm&quot;.&quot;yyyy"/>
  </numFmts>
  <fonts count="32" x14ac:knownFonts="1">
    <font>
      <sz val="11"/>
      <color theme="1"/>
      <name val="Calibri"/>
      <family val="2"/>
      <charset val="186"/>
      <scheme val="minor"/>
    </font>
    <font>
      <b/>
      <sz val="10"/>
      <color theme="1"/>
      <name val="Times New Roman"/>
      <family val="1"/>
      <charset val="186"/>
    </font>
    <font>
      <b/>
      <sz val="12"/>
      <color theme="1"/>
      <name val="Times New Roman"/>
      <family val="1"/>
      <charset val="186"/>
    </font>
    <font>
      <sz val="10"/>
      <color theme="1"/>
      <name val="Calibri"/>
      <family val="2"/>
      <charset val="186"/>
      <scheme val="minor"/>
    </font>
    <font>
      <sz val="10"/>
      <color theme="1"/>
      <name val="Times New Roman"/>
      <family val="1"/>
      <charset val="186"/>
    </font>
    <font>
      <sz val="10"/>
      <name val="Times New Roman"/>
      <family val="1"/>
    </font>
    <font>
      <sz val="10"/>
      <name val="Times New Roman"/>
      <family val="1"/>
      <charset val="186"/>
    </font>
    <font>
      <b/>
      <sz val="14"/>
      <color theme="1"/>
      <name val="Times New Roman"/>
      <family val="1"/>
      <charset val="186"/>
    </font>
    <font>
      <sz val="12"/>
      <color theme="1"/>
      <name val="Times New Roman"/>
      <family val="1"/>
      <charset val="186"/>
    </font>
    <font>
      <sz val="8"/>
      <name val="Calibri"/>
      <family val="2"/>
      <charset val="186"/>
      <scheme val="minor"/>
    </font>
    <font>
      <b/>
      <sz val="10"/>
      <name val="Times New Roman"/>
      <family val="1"/>
      <charset val="186"/>
    </font>
    <font>
      <sz val="12"/>
      <name val="Times New Roman"/>
      <family val="1"/>
      <charset val="186"/>
    </font>
    <font>
      <b/>
      <sz val="12"/>
      <name val="Times New Roman"/>
      <family val="1"/>
      <charset val="186"/>
    </font>
    <font>
      <sz val="10"/>
      <color rgb="FF000000"/>
      <name val="Times New Roman"/>
      <family val="1"/>
      <charset val="186"/>
    </font>
    <font>
      <b/>
      <sz val="12"/>
      <color rgb="FF000000"/>
      <name val="Times New Roman"/>
      <family val="1"/>
      <charset val="186"/>
    </font>
    <font>
      <b/>
      <sz val="10"/>
      <color rgb="FF000000"/>
      <name val="Times New Roman"/>
      <family val="1"/>
      <charset val="186"/>
    </font>
    <font>
      <sz val="12"/>
      <color rgb="FF000000"/>
      <name val="Times New Roman"/>
      <family val="1"/>
      <charset val="186"/>
    </font>
    <font>
      <sz val="11"/>
      <color rgb="FF000000"/>
      <name val="Calibri"/>
      <family val="2"/>
      <charset val="186"/>
    </font>
    <font>
      <sz val="11"/>
      <color theme="1"/>
      <name val="Times New Roman"/>
      <family val="1"/>
      <charset val="186"/>
    </font>
    <font>
      <sz val="11"/>
      <color rgb="FF000000"/>
      <name val="Times New Roman"/>
      <family val="1"/>
      <charset val="186"/>
    </font>
    <font>
      <sz val="10"/>
      <color rgb="FF000000"/>
      <name val="Calibri"/>
      <family val="2"/>
      <charset val="186"/>
    </font>
    <font>
      <sz val="10"/>
      <color indexed="8"/>
      <name val="Times New Roman"/>
      <family val="1"/>
      <charset val="186"/>
    </font>
    <font>
      <sz val="11"/>
      <name val="Times New Roman"/>
      <family val="1"/>
      <charset val="186"/>
    </font>
    <font>
      <b/>
      <sz val="11"/>
      <name val="Times New Roman"/>
      <family val="1"/>
      <charset val="186"/>
    </font>
    <font>
      <b/>
      <i/>
      <sz val="12"/>
      <color theme="1"/>
      <name val="Times New Roman"/>
      <family val="1"/>
      <charset val="186"/>
    </font>
    <font>
      <b/>
      <sz val="10"/>
      <color rgb="FFFF0000"/>
      <name val="Times New Roman"/>
      <family val="1"/>
      <charset val="186"/>
    </font>
    <font>
      <b/>
      <sz val="10"/>
      <name val="Times New Roman"/>
      <family val="1"/>
    </font>
    <font>
      <sz val="11"/>
      <name val="Times New Roman"/>
      <family val="1"/>
    </font>
    <font>
      <sz val="12"/>
      <name val="Times New Roman"/>
      <family val="1"/>
    </font>
    <font>
      <vertAlign val="superscript"/>
      <sz val="10"/>
      <name val="Times New Roman"/>
      <family val="1"/>
      <charset val="186"/>
    </font>
    <font>
      <i/>
      <sz val="11"/>
      <color theme="1"/>
      <name val="Times New Roman"/>
      <family val="1"/>
      <charset val="186"/>
    </font>
    <font>
      <i/>
      <sz val="11"/>
      <color theme="1"/>
      <name val="Calibri"/>
      <family val="2"/>
      <charset val="186"/>
      <scheme val="minor"/>
    </font>
  </fonts>
  <fills count="12">
    <fill>
      <patternFill patternType="none"/>
    </fill>
    <fill>
      <patternFill patternType="gray125"/>
    </fill>
    <fill>
      <patternFill patternType="solid">
        <fgColor rgb="FFF2F2F2"/>
        <bgColor indexed="64"/>
      </patternFill>
    </fill>
    <fill>
      <patternFill patternType="solid">
        <fgColor rgb="FFD9D9D9"/>
        <bgColor indexed="64"/>
      </patternFill>
    </fill>
    <fill>
      <patternFill patternType="solid">
        <fgColor rgb="FFFFFFFF"/>
        <bgColor indexed="64"/>
      </patternFill>
    </fill>
    <fill>
      <patternFill patternType="solid">
        <fgColor theme="0"/>
        <bgColor indexed="64"/>
      </patternFill>
    </fill>
    <fill>
      <patternFill patternType="solid">
        <fgColor theme="0" tint="-4.9989318521683403E-2"/>
        <bgColor indexed="64"/>
      </patternFill>
    </fill>
    <fill>
      <patternFill patternType="solid">
        <fgColor rgb="FFD9D9D9"/>
        <bgColor rgb="FFD9D9D9"/>
      </patternFill>
    </fill>
    <fill>
      <patternFill patternType="solid">
        <fgColor rgb="FFF2F2F2"/>
        <bgColor rgb="FFF2F2F2"/>
      </patternFill>
    </fill>
    <fill>
      <patternFill patternType="solid">
        <fgColor theme="4" tint="0.59999389629810485"/>
        <bgColor indexed="64"/>
      </patternFill>
    </fill>
    <fill>
      <patternFill patternType="solid">
        <fgColor theme="4" tint="0.59999389629810485"/>
        <bgColor rgb="FFC0C0C0"/>
      </patternFill>
    </fill>
    <fill>
      <patternFill patternType="solid">
        <fgColor theme="4" tint="0.59999389629810485"/>
        <bgColor rgb="FFBFBFBF"/>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theme="0" tint="-0.14996795556505021"/>
      </left>
      <right style="thin">
        <color theme="0" tint="-0.14996795556505021"/>
      </right>
      <top style="thin">
        <color theme="0" tint="-0.14996795556505021"/>
      </top>
      <bottom style="thin">
        <color theme="0" tint="-0.14996795556505021"/>
      </bottom>
      <diagonal/>
    </border>
    <border>
      <left style="thin">
        <color rgb="FF414142"/>
      </left>
      <right style="thin">
        <color rgb="FF414142"/>
      </right>
      <top style="thin">
        <color rgb="FF414142"/>
      </top>
      <bottom style="thin">
        <color rgb="FF414142"/>
      </bottom>
      <diagonal/>
    </border>
  </borders>
  <cellStyleXfs count="4">
    <xf numFmtId="0" fontId="0" fillId="0" borderId="0"/>
    <xf numFmtId="0" fontId="17" fillId="0" borderId="0" applyNumberFormat="0" applyFont="0" applyBorder="0" applyProtection="0"/>
    <xf numFmtId="0" fontId="17" fillId="0" borderId="0" applyNumberFormat="0" applyFont="0" applyBorder="0" applyProtection="0"/>
    <xf numFmtId="4" fontId="21" fillId="5" borderId="2" applyNumberFormat="0" applyProtection="0">
      <alignment horizontal="left" wrapText="1" indent="1"/>
    </xf>
  </cellStyleXfs>
  <cellXfs count="185">
    <xf numFmtId="0" fontId="0" fillId="0" borderId="0" xfId="0"/>
    <xf numFmtId="3" fontId="4" fillId="0" borderId="1" xfId="0" applyNumberFormat="1" applyFont="1" applyBorder="1" applyAlignment="1">
      <alignment horizontal="right" vertical="center"/>
    </xf>
    <xf numFmtId="0" fontId="4" fillId="0" borderId="1" xfId="0" applyFont="1" applyBorder="1" applyAlignment="1">
      <alignment horizontal="center" vertical="center" wrapText="1"/>
    </xf>
    <xf numFmtId="0" fontId="2" fillId="3" borderId="1" xfId="0" applyFont="1" applyFill="1" applyBorder="1" applyAlignment="1">
      <alignment vertical="center" wrapText="1"/>
    </xf>
    <xf numFmtId="0" fontId="5" fillId="0" borderId="0" xfId="0" applyFont="1" applyAlignment="1">
      <alignment horizontal="left"/>
    </xf>
    <xf numFmtId="0" fontId="6" fillId="0" borderId="0" xfId="0" applyFont="1" applyAlignment="1">
      <alignment horizontal="left"/>
    </xf>
    <xf numFmtId="0" fontId="1" fillId="2" borderId="1" xfId="0" applyFont="1" applyFill="1" applyBorder="1" applyAlignment="1">
      <alignment vertical="center"/>
    </xf>
    <xf numFmtId="0" fontId="1" fillId="2" borderId="1" xfId="0" applyFont="1" applyFill="1" applyBorder="1" applyAlignment="1">
      <alignment vertical="center" wrapText="1"/>
    </xf>
    <xf numFmtId="0" fontId="4" fillId="0" borderId="1" xfId="0" applyFont="1" applyBorder="1" applyAlignment="1">
      <alignment vertical="center" wrapText="1"/>
    </xf>
    <xf numFmtId="3" fontId="2" fillId="3" borderId="1" xfId="0" applyNumberFormat="1" applyFont="1" applyFill="1" applyBorder="1" applyAlignment="1">
      <alignment horizontal="right" vertical="center" wrapText="1"/>
    </xf>
    <xf numFmtId="0" fontId="1" fillId="2" borderId="1" xfId="0" quotePrefix="1" applyFont="1" applyFill="1" applyBorder="1" applyAlignment="1">
      <alignment vertical="center"/>
    </xf>
    <xf numFmtId="3" fontId="1" fillId="2" borderId="1" xfId="0" applyNumberFormat="1" applyFont="1" applyFill="1" applyBorder="1" applyAlignment="1">
      <alignment horizontal="right" vertical="center" wrapText="1"/>
    </xf>
    <xf numFmtId="3" fontId="6" fillId="0" borderId="1" xfId="0" applyNumberFormat="1" applyFont="1" applyBorder="1" applyAlignment="1">
      <alignment horizontal="right" vertical="center"/>
    </xf>
    <xf numFmtId="0" fontId="4" fillId="0" borderId="0" xfId="0" applyFont="1"/>
    <xf numFmtId="49" fontId="1" fillId="2" borderId="1" xfId="0" applyNumberFormat="1" applyFont="1" applyFill="1" applyBorder="1" applyAlignment="1">
      <alignment vertical="center"/>
    </xf>
    <xf numFmtId="0" fontId="4" fillId="0" borderId="1" xfId="0" applyFont="1" applyBorder="1" applyAlignment="1">
      <alignment horizontal="justify" vertical="center"/>
    </xf>
    <xf numFmtId="3" fontId="4" fillId="0" borderId="1" xfId="0" applyNumberFormat="1" applyFont="1" applyBorder="1" applyAlignment="1">
      <alignment horizontal="right" vertical="center" wrapText="1"/>
    </xf>
    <xf numFmtId="0" fontId="10" fillId="2" borderId="1" xfId="0" applyFont="1" applyFill="1" applyBorder="1" applyAlignment="1">
      <alignment vertical="center"/>
    </xf>
    <xf numFmtId="0" fontId="10" fillId="2" borderId="1" xfId="0" applyFont="1" applyFill="1" applyBorder="1" applyAlignment="1">
      <alignment vertical="center" wrapText="1"/>
    </xf>
    <xf numFmtId="3" fontId="10" fillId="2" borderId="1" xfId="0" applyNumberFormat="1" applyFont="1" applyFill="1" applyBorder="1" applyAlignment="1">
      <alignment horizontal="right" vertical="center" wrapText="1"/>
    </xf>
    <xf numFmtId="0" fontId="6" fillId="0" borderId="1" xfId="0" applyFont="1" applyBorder="1" applyAlignment="1">
      <alignment vertical="center" wrapText="1"/>
    </xf>
    <xf numFmtId="3" fontId="6" fillId="0" borderId="1" xfId="0" applyNumberFormat="1" applyFont="1" applyBorder="1" applyAlignment="1">
      <alignment horizontal="right" vertical="center" wrapText="1"/>
    </xf>
    <xf numFmtId="0" fontId="12" fillId="3" borderId="1" xfId="0" applyFont="1" applyFill="1" applyBorder="1" applyAlignment="1">
      <alignment vertical="center" wrapText="1"/>
    </xf>
    <xf numFmtId="3" fontId="12" fillId="3" borderId="1" xfId="0" applyNumberFormat="1" applyFont="1" applyFill="1" applyBorder="1" applyAlignment="1">
      <alignment horizontal="right" vertical="center" wrapText="1"/>
    </xf>
    <xf numFmtId="0" fontId="15" fillId="8" borderId="1" xfId="2" applyFont="1" applyFill="1" applyBorder="1" applyAlignment="1">
      <alignment vertical="center"/>
    </xf>
    <xf numFmtId="0" fontId="15" fillId="8" borderId="1" xfId="2" applyFont="1" applyFill="1" applyBorder="1" applyAlignment="1">
      <alignment vertical="center" wrapText="1"/>
    </xf>
    <xf numFmtId="3" fontId="15" fillId="8" borderId="1" xfId="2" applyNumberFormat="1" applyFont="1" applyFill="1" applyBorder="1" applyAlignment="1">
      <alignment horizontal="right" vertical="center" wrapText="1"/>
    </xf>
    <xf numFmtId="0" fontId="6" fillId="0" borderId="1" xfId="0" applyFont="1" applyBorder="1" applyAlignment="1">
      <alignment horizontal="center" vertical="center" wrapText="1"/>
    </xf>
    <xf numFmtId="0" fontId="8" fillId="3" borderId="1" xfId="0" applyFont="1" applyFill="1" applyBorder="1" applyAlignment="1">
      <alignment vertical="top"/>
    </xf>
    <xf numFmtId="0" fontId="14" fillId="3" borderId="1" xfId="0" applyFont="1" applyFill="1" applyBorder="1" applyAlignment="1">
      <alignment vertical="center" wrapText="1"/>
    </xf>
    <xf numFmtId="0" fontId="11" fillId="3" borderId="1" xfId="0" applyFont="1" applyFill="1" applyBorder="1" applyAlignment="1">
      <alignment vertical="top"/>
    </xf>
    <xf numFmtId="0" fontId="15" fillId="2" borderId="1" xfId="0" applyFont="1" applyFill="1" applyBorder="1" applyAlignment="1">
      <alignment vertical="center"/>
    </xf>
    <xf numFmtId="0" fontId="15" fillId="2" borderId="1" xfId="0" applyFont="1" applyFill="1" applyBorder="1" applyAlignment="1">
      <alignment vertical="center" wrapText="1"/>
    </xf>
    <xf numFmtId="3" fontId="1" fillId="2" borderId="1" xfId="0" applyNumberFormat="1" applyFont="1" applyFill="1" applyBorder="1" applyAlignment="1">
      <alignment horizontal="right" vertical="center"/>
    </xf>
    <xf numFmtId="49" fontId="10" fillId="2" borderId="1" xfId="0" applyNumberFormat="1" applyFont="1" applyFill="1" applyBorder="1" applyAlignment="1">
      <alignment vertical="center"/>
    </xf>
    <xf numFmtId="0" fontId="10" fillId="2" borderId="1" xfId="0" quotePrefix="1" applyFont="1" applyFill="1" applyBorder="1" applyAlignment="1">
      <alignment vertical="center"/>
    </xf>
    <xf numFmtId="3" fontId="4" fillId="4" borderId="1" xfId="0" applyNumberFormat="1" applyFont="1" applyFill="1" applyBorder="1" applyAlignment="1">
      <alignment horizontal="right" vertical="center"/>
    </xf>
    <xf numFmtId="0" fontId="6" fillId="0" borderId="1" xfId="0" applyFont="1" applyBorder="1" applyAlignment="1">
      <alignment vertical="top"/>
    </xf>
    <xf numFmtId="0" fontId="6" fillId="0" borderId="1" xfId="0" applyFont="1" applyBorder="1" applyAlignment="1">
      <alignment vertical="top" wrapText="1"/>
    </xf>
    <xf numFmtId="49" fontId="4" fillId="0" borderId="1" xfId="0" applyNumberFormat="1" applyFont="1" applyBorder="1" applyAlignment="1">
      <alignment vertical="center"/>
    </xf>
    <xf numFmtId="3" fontId="4" fillId="0" borderId="1" xfId="0" applyNumberFormat="1" applyFont="1" applyBorder="1" applyAlignment="1">
      <alignment vertical="center" wrapText="1"/>
    </xf>
    <xf numFmtId="0" fontId="6" fillId="0" borderId="1" xfId="0" applyFont="1" applyBorder="1" applyAlignment="1">
      <alignment vertical="center"/>
    </xf>
    <xf numFmtId="3" fontId="4" fillId="0" borderId="1" xfId="0" applyNumberFormat="1" applyFont="1" applyBorder="1" applyAlignment="1">
      <alignment horizontal="center" vertical="center" wrapText="1"/>
    </xf>
    <xf numFmtId="3" fontId="15" fillId="2" borderId="1" xfId="0" applyNumberFormat="1" applyFont="1" applyFill="1" applyBorder="1" applyAlignment="1">
      <alignment horizontal="right" vertical="center" wrapText="1"/>
    </xf>
    <xf numFmtId="3" fontId="6" fillId="0" borderId="1" xfId="0" applyNumberFormat="1" applyFont="1" applyBorder="1" applyAlignment="1">
      <alignment vertical="center" wrapText="1"/>
    </xf>
    <xf numFmtId="0" fontId="4" fillId="0" borderId="1" xfId="0" applyFont="1" applyBorder="1" applyAlignment="1">
      <alignment vertical="center"/>
    </xf>
    <xf numFmtId="49" fontId="4" fillId="0" borderId="1" xfId="0" applyNumberFormat="1" applyFont="1" applyBorder="1" applyAlignment="1">
      <alignment vertical="top"/>
    </xf>
    <xf numFmtId="3" fontId="6" fillId="0" borderId="1" xfId="0" applyNumberFormat="1" applyFont="1" applyBorder="1" applyAlignment="1">
      <alignment vertical="top" wrapText="1"/>
    </xf>
    <xf numFmtId="49" fontId="10" fillId="2" borderId="1" xfId="0" applyNumberFormat="1" applyFont="1" applyFill="1" applyBorder="1" applyAlignment="1">
      <alignment vertical="top" wrapText="1"/>
    </xf>
    <xf numFmtId="0" fontId="10" fillId="2" borderId="1" xfId="0" applyFont="1" applyFill="1" applyBorder="1" applyAlignment="1">
      <alignment vertical="top" wrapText="1"/>
    </xf>
    <xf numFmtId="3" fontId="10" fillId="2" borderId="1" xfId="0" applyNumberFormat="1" applyFont="1" applyFill="1" applyBorder="1" applyAlignment="1">
      <alignment vertical="top" wrapText="1"/>
    </xf>
    <xf numFmtId="49" fontId="6" fillId="0" borderId="1" xfId="0" applyNumberFormat="1" applyFont="1" applyBorder="1" applyAlignment="1">
      <alignment vertical="center"/>
    </xf>
    <xf numFmtId="0" fontId="14" fillId="7" borderId="1" xfId="0" applyFont="1" applyFill="1" applyBorder="1" applyAlignment="1">
      <alignment horizontal="left" vertical="center" wrapText="1"/>
    </xf>
    <xf numFmtId="3" fontId="14" fillId="7" borderId="1" xfId="0" applyNumberFormat="1" applyFont="1" applyFill="1" applyBorder="1"/>
    <xf numFmtId="0" fontId="13" fillId="0" borderId="1" xfId="0" applyFont="1" applyBorder="1" applyAlignment="1">
      <alignment horizontal="center" vertical="center" wrapText="1"/>
    </xf>
    <xf numFmtId="3" fontId="13" fillId="0" borderId="1" xfId="0" applyNumberFormat="1" applyFont="1" applyBorder="1"/>
    <xf numFmtId="164" fontId="15" fillId="8" borderId="1" xfId="0" applyNumberFormat="1" applyFont="1" applyFill="1" applyBorder="1" applyAlignment="1">
      <alignment horizontal="left"/>
    </xf>
    <xf numFmtId="0" fontId="15" fillId="8" borderId="1" xfId="0" applyFont="1" applyFill="1" applyBorder="1" applyAlignment="1">
      <alignment horizontal="left"/>
    </xf>
    <xf numFmtId="0" fontId="15" fillId="8" borderId="1" xfId="0" applyFont="1" applyFill="1" applyBorder="1" applyAlignment="1">
      <alignment horizontal="left" wrapText="1"/>
    </xf>
    <xf numFmtId="3" fontId="15" fillId="8" borderId="1" xfId="0" applyNumberFormat="1" applyFont="1" applyFill="1" applyBorder="1"/>
    <xf numFmtId="0" fontId="13" fillId="0" borderId="1" xfId="0" applyFont="1" applyBorder="1" applyAlignment="1">
      <alignment horizontal="left"/>
    </xf>
    <xf numFmtId="0" fontId="13" fillId="0" borderId="1" xfId="0" applyFont="1" applyBorder="1" applyAlignment="1">
      <alignment horizontal="left" wrapText="1"/>
    </xf>
    <xf numFmtId="0" fontId="13" fillId="0" borderId="1" xfId="1" applyFont="1" applyBorder="1" applyAlignment="1">
      <alignment horizontal="left" wrapText="1"/>
    </xf>
    <xf numFmtId="3" fontId="13" fillId="0" borderId="1" xfId="1" applyNumberFormat="1" applyFont="1" applyBorder="1"/>
    <xf numFmtId="0" fontId="14" fillId="7" borderId="1" xfId="2" applyFont="1" applyFill="1" applyBorder="1" applyAlignment="1">
      <alignment vertical="center" wrapText="1"/>
    </xf>
    <xf numFmtId="3" fontId="14" fillId="7" borderId="1" xfId="2" applyNumberFormat="1" applyFont="1" applyFill="1" applyBorder="1" applyAlignment="1">
      <alignment horizontal="right" vertical="center" wrapText="1"/>
    </xf>
    <xf numFmtId="0" fontId="13" fillId="0" borderId="1" xfId="2" applyFont="1" applyBorder="1" applyAlignment="1">
      <alignment horizontal="center" vertical="center" wrapText="1"/>
    </xf>
    <xf numFmtId="3" fontId="14" fillId="3" borderId="1" xfId="0" applyNumberFormat="1" applyFont="1" applyFill="1" applyBorder="1" applyAlignment="1">
      <alignment horizontal="right" vertical="center" wrapText="1"/>
    </xf>
    <xf numFmtId="49" fontId="8" fillId="3" borderId="1" xfId="0" applyNumberFormat="1" applyFont="1" applyFill="1" applyBorder="1" applyAlignment="1">
      <alignment vertical="top"/>
    </xf>
    <xf numFmtId="0" fontId="3" fillId="0" borderId="1" xfId="0" applyFont="1" applyFill="1" applyBorder="1" applyAlignment="1">
      <alignment vertical="top"/>
    </xf>
    <xf numFmtId="0" fontId="15" fillId="3" borderId="1" xfId="0" applyFont="1" applyFill="1" applyBorder="1" applyAlignment="1">
      <alignment vertical="center"/>
    </xf>
    <xf numFmtId="0" fontId="1" fillId="0" borderId="1" xfId="0" applyFont="1" applyBorder="1" applyAlignment="1">
      <alignment vertical="center"/>
    </xf>
    <xf numFmtId="49" fontId="15" fillId="2" borderId="1" xfId="0" applyNumberFormat="1" applyFont="1" applyFill="1" applyBorder="1" applyAlignment="1">
      <alignment vertical="center"/>
    </xf>
    <xf numFmtId="3" fontId="14" fillId="2" borderId="1" xfId="0" applyNumberFormat="1" applyFont="1" applyFill="1" applyBorder="1" applyAlignment="1">
      <alignment horizontal="right" vertical="center" wrapText="1"/>
    </xf>
    <xf numFmtId="3" fontId="2" fillId="0" borderId="1" xfId="0" applyNumberFormat="1" applyFont="1" applyBorder="1" applyAlignment="1">
      <alignment horizontal="right" vertical="center"/>
    </xf>
    <xf numFmtId="0" fontId="3" fillId="3" borderId="1" xfId="0" applyFont="1" applyFill="1" applyBorder="1" applyAlignment="1">
      <alignment vertical="top"/>
    </xf>
    <xf numFmtId="0" fontId="3" fillId="0" borderId="1" xfId="0" applyFont="1" applyBorder="1" applyAlignment="1">
      <alignment vertical="top"/>
    </xf>
    <xf numFmtId="0" fontId="4" fillId="0" borderId="1" xfId="0" applyFont="1" applyBorder="1" applyAlignment="1">
      <alignment wrapText="1"/>
    </xf>
    <xf numFmtId="0" fontId="8" fillId="0" borderId="0" xfId="0" applyFont="1"/>
    <xf numFmtId="3" fontId="2" fillId="0" borderId="1" xfId="0" applyNumberFormat="1" applyFont="1" applyBorder="1" applyAlignment="1">
      <alignment vertical="center" wrapText="1"/>
    </xf>
    <xf numFmtId="49" fontId="1" fillId="2" borderId="1" xfId="0" applyNumberFormat="1" applyFont="1" applyFill="1" applyBorder="1" applyAlignment="1">
      <alignment horizontal="left" vertical="center"/>
    </xf>
    <xf numFmtId="49" fontId="1" fillId="2" borderId="1" xfId="0" quotePrefix="1" applyNumberFormat="1" applyFont="1" applyFill="1" applyBorder="1" applyAlignment="1">
      <alignment horizontal="left" vertical="center"/>
    </xf>
    <xf numFmtId="0" fontId="4" fillId="5" borderId="1" xfId="0" applyFont="1" applyFill="1" applyBorder="1" applyAlignment="1">
      <alignment vertical="center" wrapText="1"/>
    </xf>
    <xf numFmtId="3" fontId="4" fillId="5" borderId="1" xfId="0" applyNumberFormat="1" applyFont="1" applyFill="1" applyBorder="1" applyAlignment="1">
      <alignment horizontal="right" vertical="center"/>
    </xf>
    <xf numFmtId="0" fontId="4" fillId="0" borderId="1" xfId="0" applyFont="1" applyBorder="1" applyAlignment="1">
      <alignment vertical="top"/>
    </xf>
    <xf numFmtId="0" fontId="1" fillId="2" borderId="1" xfId="0" applyFont="1" applyFill="1" applyBorder="1" applyAlignment="1">
      <alignment horizontal="left" vertical="center"/>
    </xf>
    <xf numFmtId="0" fontId="3" fillId="0" borderId="1" xfId="0" applyFont="1" applyBorder="1" applyAlignment="1">
      <alignment horizontal="right" vertical="top"/>
    </xf>
    <xf numFmtId="0" fontId="18" fillId="0" borderId="0" xfId="0" applyFont="1"/>
    <xf numFmtId="0" fontId="4" fillId="3" borderId="1" xfId="0" applyFont="1" applyFill="1" applyBorder="1" applyAlignment="1">
      <alignment vertical="top"/>
    </xf>
    <xf numFmtId="0" fontId="4" fillId="5" borderId="1" xfId="0" applyFont="1" applyFill="1" applyBorder="1" applyAlignment="1">
      <alignment vertical="top"/>
    </xf>
    <xf numFmtId="0" fontId="4" fillId="0" borderId="1" xfId="0" applyFont="1" applyBorder="1" applyAlignment="1">
      <alignment horizontal="left" vertical="center" wrapText="1"/>
    </xf>
    <xf numFmtId="0" fontId="4" fillId="0" borderId="1" xfId="0" applyFont="1" applyBorder="1" applyAlignment="1">
      <alignment horizontal="left"/>
    </xf>
    <xf numFmtId="0" fontId="19" fillId="0" borderId="0" xfId="0" applyFont="1"/>
    <xf numFmtId="0" fontId="13" fillId="7" borderId="1" xfId="0" applyFont="1" applyFill="1" applyBorder="1" applyAlignment="1">
      <alignment vertical="top"/>
    </xf>
    <xf numFmtId="0" fontId="16" fillId="0" borderId="1" xfId="0" applyFont="1" applyBorder="1"/>
    <xf numFmtId="0" fontId="20" fillId="7" borderId="1" xfId="2" applyFont="1" applyFill="1" applyBorder="1" applyAlignment="1">
      <alignment vertical="top"/>
    </xf>
    <xf numFmtId="0" fontId="0" fillId="0" borderId="0" xfId="2" applyFont="1"/>
    <xf numFmtId="0" fontId="20" fillId="0" borderId="1" xfId="2" applyFont="1" applyBorder="1" applyAlignment="1">
      <alignment vertical="top"/>
    </xf>
    <xf numFmtId="3" fontId="14" fillId="0" borderId="1" xfId="2" applyNumberFormat="1" applyFont="1" applyBorder="1" applyAlignment="1">
      <alignment vertical="center" wrapText="1"/>
    </xf>
    <xf numFmtId="0" fontId="10" fillId="8" borderId="1" xfId="2" applyFont="1" applyFill="1" applyBorder="1" applyAlignment="1">
      <alignment vertical="center" wrapText="1"/>
    </xf>
    <xf numFmtId="0" fontId="2" fillId="0" borderId="1" xfId="0" applyFont="1" applyFill="1" applyBorder="1" applyAlignment="1">
      <alignment vertical="center" wrapText="1"/>
    </xf>
    <xf numFmtId="3" fontId="2" fillId="0" borderId="1" xfId="0" applyNumberFormat="1" applyFont="1" applyFill="1" applyBorder="1" applyAlignment="1">
      <alignment horizontal="right" vertical="center" wrapText="1"/>
    </xf>
    <xf numFmtId="14" fontId="1" fillId="2" borderId="1" xfId="0" applyNumberFormat="1" applyFont="1" applyFill="1" applyBorder="1" applyAlignment="1">
      <alignment vertical="center"/>
    </xf>
    <xf numFmtId="0" fontId="10" fillId="0" borderId="1" xfId="0" applyFont="1" applyBorder="1"/>
    <xf numFmtId="49" fontId="1" fillId="2" borderId="1" xfId="0" applyNumberFormat="1" applyFont="1" applyFill="1" applyBorder="1" applyAlignment="1">
      <alignment horizontal="right" vertical="center"/>
    </xf>
    <xf numFmtId="0" fontId="22" fillId="0" borderId="0" xfId="0" applyFont="1" applyAlignment="1">
      <alignment vertical="top" wrapText="1"/>
    </xf>
    <xf numFmtId="0" fontId="23" fillId="0" borderId="0" xfId="0" applyFont="1" applyAlignment="1">
      <alignment vertical="top" wrapText="1"/>
    </xf>
    <xf numFmtId="0" fontId="11" fillId="0" borderId="0" xfId="0" applyFont="1" applyAlignment="1">
      <alignment vertical="top" wrapText="1"/>
    </xf>
    <xf numFmtId="3" fontId="25" fillId="0" borderId="1" xfId="0" applyNumberFormat="1" applyFont="1" applyBorder="1" applyAlignment="1">
      <alignment vertical="center" wrapText="1"/>
    </xf>
    <xf numFmtId="0" fontId="1" fillId="6" borderId="1" xfId="0" applyFont="1" applyFill="1" applyBorder="1" applyAlignment="1">
      <alignment vertical="center"/>
    </xf>
    <xf numFmtId="0" fontId="1" fillId="6" borderId="1" xfId="0" applyFont="1" applyFill="1" applyBorder="1" applyAlignment="1">
      <alignment vertical="center" wrapText="1"/>
    </xf>
    <xf numFmtId="3" fontId="1" fillId="6" borderId="1" xfId="0" applyNumberFormat="1" applyFont="1" applyFill="1" applyBorder="1" applyAlignment="1">
      <alignment horizontal="right" vertical="center" wrapText="1"/>
    </xf>
    <xf numFmtId="0" fontId="4" fillId="0" borderId="1" xfId="0" applyFont="1" applyBorder="1"/>
    <xf numFmtId="3" fontId="4" fillId="5" borderId="1" xfId="0" applyNumberFormat="1" applyFont="1" applyFill="1" applyBorder="1" applyAlignment="1">
      <alignment horizontal="right" vertical="center" wrapText="1"/>
    </xf>
    <xf numFmtId="49" fontId="4" fillId="0" borderId="1" xfId="0" applyNumberFormat="1" applyFont="1" applyBorder="1" applyAlignment="1">
      <alignment horizontal="left" vertical="center" wrapText="1"/>
    </xf>
    <xf numFmtId="0" fontId="1" fillId="0" borderId="1" xfId="0" applyFont="1" applyBorder="1" applyAlignment="1">
      <alignment vertical="center" wrapText="1"/>
    </xf>
    <xf numFmtId="0" fontId="1" fillId="5" borderId="1" xfId="0" applyFont="1" applyFill="1" applyBorder="1" applyAlignment="1">
      <alignment vertical="center" wrapText="1"/>
    </xf>
    <xf numFmtId="3" fontId="1" fillId="6" borderId="1" xfId="0" applyNumberFormat="1" applyFont="1" applyFill="1" applyBorder="1" applyAlignment="1">
      <alignment vertical="center" wrapText="1"/>
    </xf>
    <xf numFmtId="0" fontId="3" fillId="5" borderId="1" xfId="0" applyFont="1" applyFill="1" applyBorder="1" applyAlignment="1">
      <alignment vertical="top"/>
    </xf>
    <xf numFmtId="0" fontId="6" fillId="5" borderId="1" xfId="0" applyFont="1" applyFill="1" applyBorder="1" applyAlignment="1">
      <alignment wrapText="1"/>
    </xf>
    <xf numFmtId="0" fontId="11" fillId="3" borderId="1" xfId="0" applyFont="1" applyFill="1" applyBorder="1" applyAlignment="1">
      <alignment vertical="top" wrapText="1"/>
    </xf>
    <xf numFmtId="49" fontId="11" fillId="3" borderId="1" xfId="0" applyNumberFormat="1" applyFont="1" applyFill="1" applyBorder="1" applyAlignment="1">
      <alignment vertical="top" wrapText="1"/>
    </xf>
    <xf numFmtId="0" fontId="12" fillId="3" borderId="1" xfId="0" applyFont="1" applyFill="1" applyBorder="1" applyAlignment="1">
      <alignment vertical="top" wrapText="1"/>
    </xf>
    <xf numFmtId="3" fontId="12" fillId="3" borderId="1" xfId="0" applyNumberFormat="1" applyFont="1" applyFill="1" applyBorder="1" applyAlignment="1">
      <alignment vertical="top" wrapText="1"/>
    </xf>
    <xf numFmtId="49" fontId="6" fillId="0" borderId="1" xfId="0" applyNumberFormat="1" applyFont="1" applyBorder="1" applyAlignment="1">
      <alignment vertical="top" wrapText="1"/>
    </xf>
    <xf numFmtId="3" fontId="4" fillId="2" borderId="1" xfId="0" applyNumberFormat="1" applyFont="1" applyFill="1" applyBorder="1" applyAlignment="1">
      <alignment horizontal="right" vertical="center" wrapText="1"/>
    </xf>
    <xf numFmtId="0" fontId="8" fillId="9" borderId="1" xfId="0" applyFont="1" applyFill="1" applyBorder="1" applyAlignment="1">
      <alignment vertical="center" wrapText="1"/>
    </xf>
    <xf numFmtId="0" fontId="2" fillId="9" borderId="1" xfId="0" applyFont="1" applyFill="1" applyBorder="1" applyAlignment="1">
      <alignment vertical="center" wrapText="1"/>
    </xf>
    <xf numFmtId="3" fontId="2" fillId="9" borderId="1" xfId="0" applyNumberFormat="1" applyFont="1" applyFill="1" applyBorder="1" applyAlignment="1">
      <alignment horizontal="right" vertical="center"/>
    </xf>
    <xf numFmtId="0" fontId="16" fillId="9" borderId="1" xfId="0" applyFont="1" applyFill="1" applyBorder="1" applyAlignment="1">
      <alignment horizontal="center" vertical="center" wrapText="1"/>
    </xf>
    <xf numFmtId="0" fontId="14" fillId="9" borderId="1" xfId="0" applyFont="1" applyFill="1" applyBorder="1" applyAlignment="1">
      <alignment vertical="center" wrapText="1"/>
    </xf>
    <xf numFmtId="3" fontId="14" fillId="9" borderId="1" xfId="0" applyNumberFormat="1" applyFont="1" applyFill="1" applyBorder="1" applyAlignment="1">
      <alignment horizontal="right" vertical="center"/>
    </xf>
    <xf numFmtId="0" fontId="3" fillId="9" borderId="1" xfId="0" applyFont="1" applyFill="1" applyBorder="1" applyAlignment="1">
      <alignment vertical="center" wrapText="1"/>
    </xf>
    <xf numFmtId="0" fontId="4" fillId="9" borderId="1" xfId="0" applyFont="1" applyFill="1" applyBorder="1" applyAlignment="1">
      <alignment vertical="center" wrapText="1"/>
    </xf>
    <xf numFmtId="0" fontId="11" fillId="9" borderId="1" xfId="0" applyFont="1" applyFill="1" applyBorder="1" applyAlignment="1">
      <alignment vertical="top" wrapText="1"/>
    </xf>
    <xf numFmtId="49" fontId="11" fillId="9" borderId="1" xfId="0" applyNumberFormat="1" applyFont="1" applyFill="1" applyBorder="1" applyAlignment="1">
      <alignment vertical="top" wrapText="1"/>
    </xf>
    <xf numFmtId="0" fontId="12" fillId="9" borderId="1" xfId="0" applyFont="1" applyFill="1" applyBorder="1" applyAlignment="1">
      <alignment vertical="top" wrapText="1"/>
    </xf>
    <xf numFmtId="3" fontId="12" fillId="9" borderId="1" xfId="0" applyNumberFormat="1" applyFont="1" applyFill="1" applyBorder="1" applyAlignment="1">
      <alignment vertical="top" wrapText="1"/>
    </xf>
    <xf numFmtId="0" fontId="13" fillId="10" borderId="1" xfId="0" applyFont="1" applyFill="1" applyBorder="1" applyAlignment="1">
      <alignment vertical="center" wrapText="1"/>
    </xf>
    <xf numFmtId="0" fontId="14" fillId="11" borderId="1" xfId="0" applyFont="1" applyFill="1" applyBorder="1" applyAlignment="1">
      <alignment horizontal="left" vertical="center" wrapText="1"/>
    </xf>
    <xf numFmtId="3" fontId="14" fillId="11" borderId="1" xfId="0" applyNumberFormat="1" applyFont="1" applyFill="1" applyBorder="1"/>
    <xf numFmtId="0" fontId="12" fillId="9" borderId="1" xfId="0" applyFont="1" applyFill="1" applyBorder="1" applyAlignment="1">
      <alignment vertical="center" wrapText="1"/>
    </xf>
    <xf numFmtId="3" fontId="12" fillId="9" borderId="1" xfId="0" applyNumberFormat="1" applyFont="1" applyFill="1" applyBorder="1" applyAlignment="1">
      <alignment horizontal="right" vertical="center"/>
    </xf>
    <xf numFmtId="0" fontId="8" fillId="9" borderId="1" xfId="0" applyFont="1" applyFill="1" applyBorder="1" applyAlignment="1">
      <alignment horizontal="center" vertical="center" wrapText="1"/>
    </xf>
    <xf numFmtId="0" fontId="24" fillId="9" borderId="1" xfId="0" applyFont="1" applyFill="1" applyBorder="1" applyAlignment="1">
      <alignment vertical="center" wrapText="1"/>
    </xf>
    <xf numFmtId="0" fontId="22" fillId="0" borderId="1" xfId="0" applyFont="1" applyBorder="1" applyAlignment="1">
      <alignment vertical="top" wrapText="1"/>
    </xf>
    <xf numFmtId="0" fontId="22" fillId="0" borderId="3" xfId="0" applyFont="1" applyBorder="1" applyAlignment="1">
      <alignment vertical="top" wrapText="1"/>
    </xf>
    <xf numFmtId="3" fontId="22" fillId="0" borderId="3" xfId="0" applyNumberFormat="1" applyFont="1" applyBorder="1" applyAlignment="1">
      <alignment vertical="top" wrapText="1"/>
    </xf>
    <xf numFmtId="0" fontId="22" fillId="5" borderId="1" xfId="0" applyFont="1" applyFill="1" applyBorder="1" applyAlignment="1">
      <alignment vertical="top" wrapText="1"/>
    </xf>
    <xf numFmtId="0" fontId="22" fillId="0" borderId="3" xfId="0" applyFont="1" applyBorder="1" applyAlignment="1">
      <alignment horizontal="left" vertical="top" wrapText="1"/>
    </xf>
    <xf numFmtId="49" fontId="10" fillId="2" borderId="3" xfId="0" applyNumberFormat="1" applyFont="1" applyFill="1" applyBorder="1" applyAlignment="1">
      <alignment vertical="top" wrapText="1"/>
    </xf>
    <xf numFmtId="0" fontId="10" fillId="2" borderId="3" xfId="0" applyFont="1" applyFill="1" applyBorder="1" applyAlignment="1">
      <alignment vertical="top" wrapText="1"/>
    </xf>
    <xf numFmtId="3" fontId="10" fillId="2" borderId="3" xfId="0" applyNumberFormat="1" applyFont="1" applyFill="1" applyBorder="1" applyAlignment="1">
      <alignment vertical="top" wrapText="1"/>
    </xf>
    <xf numFmtId="0" fontId="6" fillId="0" borderId="3" xfId="0" applyFont="1" applyBorder="1" applyAlignment="1">
      <alignment vertical="top" wrapText="1"/>
    </xf>
    <xf numFmtId="49" fontId="6" fillId="0" borderId="3" xfId="0" applyNumberFormat="1" applyFont="1" applyBorder="1" applyAlignment="1">
      <alignment vertical="top" wrapText="1"/>
    </xf>
    <xf numFmtId="3" fontId="6" fillId="0" borderId="3" xfId="0" applyNumberFormat="1" applyFont="1" applyBorder="1" applyAlignment="1">
      <alignment vertical="top" wrapText="1"/>
    </xf>
    <xf numFmtId="3" fontId="6" fillId="5" borderId="3" xfId="0" applyNumberFormat="1" applyFont="1" applyFill="1" applyBorder="1" applyAlignment="1">
      <alignment vertical="top" wrapText="1"/>
    </xf>
    <xf numFmtId="0" fontId="6" fillId="5" borderId="3" xfId="0" applyFont="1" applyFill="1" applyBorder="1" applyAlignment="1">
      <alignment vertical="top" wrapText="1"/>
    </xf>
    <xf numFmtId="49" fontId="10" fillId="6" borderId="3" xfId="0" applyNumberFormat="1" applyFont="1" applyFill="1" applyBorder="1" applyAlignment="1">
      <alignment vertical="top" wrapText="1"/>
    </xf>
    <xf numFmtId="0" fontId="10" fillId="6" borderId="3" xfId="0" applyFont="1" applyFill="1" applyBorder="1" applyAlignment="1">
      <alignment vertical="top" wrapText="1"/>
    </xf>
    <xf numFmtId="3" fontId="10" fillId="6" borderId="3" xfId="0" applyNumberFormat="1" applyFont="1" applyFill="1" applyBorder="1" applyAlignment="1">
      <alignment vertical="top" wrapText="1"/>
    </xf>
    <xf numFmtId="0" fontId="6" fillId="0" borderId="3" xfId="0" applyFont="1" applyBorder="1" applyAlignment="1">
      <alignment horizontal="left" vertical="top" wrapText="1"/>
    </xf>
    <xf numFmtId="49" fontId="10" fillId="5" borderId="3" xfId="0" applyNumberFormat="1" applyFont="1" applyFill="1" applyBorder="1" applyAlignment="1">
      <alignment vertical="top" wrapText="1"/>
    </xf>
    <xf numFmtId="14" fontId="26" fillId="2" borderId="1" xfId="0" quotePrefix="1" applyNumberFormat="1" applyFont="1" applyFill="1" applyBorder="1" applyAlignment="1">
      <alignment vertical="center"/>
    </xf>
    <xf numFmtId="0" fontId="26" fillId="2" borderId="1" xfId="0" quotePrefix="1" applyFont="1" applyFill="1" applyBorder="1" applyAlignment="1">
      <alignment horizontal="left" vertical="center"/>
    </xf>
    <xf numFmtId="0" fontId="26" fillId="2" borderId="1" xfId="0" applyFont="1" applyFill="1" applyBorder="1" applyAlignment="1">
      <alignment vertical="center" wrapText="1"/>
    </xf>
    <xf numFmtId="3" fontId="26" fillId="2" borderId="1" xfId="0" applyNumberFormat="1" applyFont="1" applyFill="1" applyBorder="1" applyAlignment="1">
      <alignment horizontal="right" vertical="center" wrapText="1"/>
    </xf>
    <xf numFmtId="0" fontId="27" fillId="0" borderId="0" xfId="0" applyFont="1"/>
    <xf numFmtId="14" fontId="5" fillId="0" borderId="1" xfId="0" quotePrefix="1" applyNumberFormat="1" applyFont="1" applyBorder="1" applyAlignment="1">
      <alignment vertical="center"/>
    </xf>
    <xf numFmtId="0" fontId="5" fillId="0" borderId="1" xfId="0" quotePrefix="1" applyFont="1" applyBorder="1" applyAlignment="1">
      <alignment horizontal="left" vertical="center"/>
    </xf>
    <xf numFmtId="0" fontId="5" fillId="0" borderId="1" xfId="0" applyFont="1" applyBorder="1" applyAlignment="1">
      <alignment vertical="center" wrapText="1"/>
    </xf>
    <xf numFmtId="3" fontId="5" fillId="0" borderId="1" xfId="0" applyNumberFormat="1" applyFont="1" applyBorder="1" applyAlignment="1">
      <alignment horizontal="right" vertical="center" wrapText="1"/>
    </xf>
    <xf numFmtId="0" fontId="5" fillId="0" borderId="1" xfId="0" applyFont="1" applyBorder="1" applyAlignment="1">
      <alignment vertical="top"/>
    </xf>
    <xf numFmtId="3" fontId="5" fillId="0" borderId="1" xfId="0" applyNumberFormat="1" applyFont="1" applyBorder="1" applyAlignment="1">
      <alignment horizontal="right" vertical="center"/>
    </xf>
    <xf numFmtId="0" fontId="26" fillId="2" borderId="1" xfId="0" applyFont="1" applyFill="1" applyBorder="1" applyAlignment="1">
      <alignment vertical="center"/>
    </xf>
    <xf numFmtId="49" fontId="26" fillId="2" borderId="1" xfId="0" applyNumberFormat="1" applyFont="1" applyFill="1" applyBorder="1" applyAlignment="1">
      <alignment vertical="center"/>
    </xf>
    <xf numFmtId="0" fontId="26" fillId="2" borderId="1" xfId="0" quotePrefix="1" applyFont="1" applyFill="1" applyBorder="1" applyAlignment="1">
      <alignment vertical="center"/>
    </xf>
    <xf numFmtId="0" fontId="6" fillId="0" borderId="1" xfId="0" applyFont="1" applyBorder="1" applyAlignment="1">
      <alignment horizontal="right" vertical="top" wrapText="1"/>
    </xf>
    <xf numFmtId="3" fontId="4" fillId="0" borderId="1" xfId="0" applyNumberFormat="1" applyFont="1" applyFill="1" applyBorder="1" applyAlignment="1">
      <alignment horizontal="right" vertical="center"/>
    </xf>
    <xf numFmtId="3" fontId="4" fillId="0" borderId="1" xfId="0" applyNumberFormat="1" applyFont="1" applyFill="1" applyBorder="1" applyAlignment="1">
      <alignment horizontal="right" vertical="center" wrapText="1"/>
    </xf>
    <xf numFmtId="0" fontId="30" fillId="0" borderId="0" xfId="0" applyFont="1"/>
    <xf numFmtId="0" fontId="31" fillId="0" borderId="0" xfId="0" applyFont="1"/>
    <xf numFmtId="0" fontId="4" fillId="0" borderId="1" xfId="0" applyFont="1" applyBorder="1" applyAlignment="1">
      <alignment horizontal="center" vertical="top"/>
    </xf>
    <xf numFmtId="0" fontId="7" fillId="0" borderId="0" xfId="0" applyFont="1" applyAlignment="1">
      <alignment horizontal="center" vertical="center"/>
    </xf>
    <xf numFmtId="0" fontId="7" fillId="0" borderId="0" xfId="0" applyFont="1" applyAlignment="1">
      <alignment horizontal="center"/>
    </xf>
  </cellXfs>
  <cellStyles count="4">
    <cellStyle name="Normal" xfId="0" builtinId="0"/>
    <cellStyle name="Normal 2" xfId="1" xr:uid="{00000000-0005-0000-0000-000001000000}"/>
    <cellStyle name="Normal 3" xfId="2" xr:uid="{00000000-0005-0000-0000-000002000000}"/>
    <cellStyle name="SAPBEXstdItem" xfId="3"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605"/>
  <sheetViews>
    <sheetView tabSelected="1" view="pageLayout" zoomScale="90" zoomScaleNormal="90" zoomScalePageLayoutView="90" workbookViewId="0">
      <selection activeCell="A3" sqref="A3:G3"/>
    </sheetView>
  </sheetViews>
  <sheetFormatPr defaultRowHeight="14.5" x14ac:dyDescent="0.35"/>
  <cols>
    <col min="1" max="1" width="14.81640625" style="87" customWidth="1"/>
    <col min="2" max="2" width="13.54296875" style="87" customWidth="1"/>
    <col min="3" max="3" width="56.54296875" style="87" customWidth="1"/>
    <col min="4" max="7" width="18.1796875" style="87" customWidth="1"/>
  </cols>
  <sheetData>
    <row r="1" spans="1:7" ht="17.5" x14ac:dyDescent="0.35">
      <c r="A1" s="184" t="s">
        <v>585</v>
      </c>
      <c r="B1" s="184"/>
      <c r="C1" s="184"/>
      <c r="D1" s="184"/>
      <c r="E1" s="184"/>
      <c r="F1" s="184"/>
      <c r="G1" s="184"/>
    </row>
    <row r="2" spans="1:7" s="4" customFormat="1" ht="13" x14ac:dyDescent="0.3">
      <c r="A2" s="5"/>
      <c r="B2" s="5"/>
      <c r="C2" s="5"/>
      <c r="D2" s="5"/>
      <c r="E2" s="5"/>
      <c r="F2" s="5"/>
      <c r="G2" s="5"/>
    </row>
    <row r="3" spans="1:7" s="4" customFormat="1" ht="17.5" x14ac:dyDescent="0.3">
      <c r="A3" s="183" t="s">
        <v>578</v>
      </c>
      <c r="B3" s="183"/>
      <c r="C3" s="183"/>
      <c r="D3" s="183"/>
      <c r="E3" s="183"/>
      <c r="F3" s="183"/>
      <c r="G3" s="183"/>
    </row>
    <row r="4" spans="1:7" ht="15" customHeight="1" x14ac:dyDescent="0.35">
      <c r="G4" s="180" t="s">
        <v>580</v>
      </c>
    </row>
    <row r="5" spans="1:7" ht="39" x14ac:dyDescent="0.35">
      <c r="A5" s="2" t="s">
        <v>14</v>
      </c>
      <c r="B5" s="2" t="s">
        <v>13</v>
      </c>
      <c r="C5" s="2" t="s">
        <v>12</v>
      </c>
      <c r="D5" s="2" t="s">
        <v>583</v>
      </c>
      <c r="E5" s="2" t="s">
        <v>575</v>
      </c>
      <c r="F5" s="2" t="s">
        <v>576</v>
      </c>
      <c r="G5" s="2" t="s">
        <v>577</v>
      </c>
    </row>
    <row r="6" spans="1:7" x14ac:dyDescent="0.35">
      <c r="A6" s="2">
        <v>1</v>
      </c>
      <c r="B6" s="2">
        <v>2</v>
      </c>
      <c r="C6" s="2">
        <v>3</v>
      </c>
      <c r="D6" s="2">
        <v>4</v>
      </c>
      <c r="E6" s="2">
        <v>5</v>
      </c>
      <c r="F6" s="2">
        <v>6</v>
      </c>
      <c r="G6" s="2">
        <v>7</v>
      </c>
    </row>
    <row r="7" spans="1:7" ht="15.5" x14ac:dyDescent="0.35">
      <c r="A7" s="126"/>
      <c r="B7" s="126"/>
      <c r="C7" s="127" t="s">
        <v>579</v>
      </c>
      <c r="D7" s="128">
        <f>D10+D13</f>
        <v>474547991</v>
      </c>
      <c r="E7" s="128">
        <f t="shared" ref="E7:G7" si="0">E10+E13</f>
        <v>766247512</v>
      </c>
      <c r="F7" s="128">
        <f t="shared" si="0"/>
        <v>466300794</v>
      </c>
      <c r="G7" s="128">
        <f t="shared" si="0"/>
        <v>514503055</v>
      </c>
    </row>
    <row r="8" spans="1:7" ht="15" x14ac:dyDescent="0.35">
      <c r="A8" s="75"/>
      <c r="B8" s="75"/>
      <c r="C8" s="3" t="s">
        <v>10</v>
      </c>
      <c r="D8" s="9">
        <f>D11+D14</f>
        <v>317765506</v>
      </c>
      <c r="E8" s="9">
        <f t="shared" ref="E8:G8" si="1">E11+E14</f>
        <v>552674075</v>
      </c>
      <c r="F8" s="9">
        <f t="shared" si="1"/>
        <v>423164499</v>
      </c>
      <c r="G8" s="9">
        <f t="shared" si="1"/>
        <v>508273705</v>
      </c>
    </row>
    <row r="9" spans="1:7" ht="45" x14ac:dyDescent="0.35">
      <c r="A9" s="75"/>
      <c r="B9" s="88"/>
      <c r="C9" s="3" t="s">
        <v>21</v>
      </c>
      <c r="D9" s="9">
        <f>D12</f>
        <v>156782485</v>
      </c>
      <c r="E9" s="9">
        <f t="shared" ref="E9:G9" si="2">E12</f>
        <v>213573437</v>
      </c>
      <c r="F9" s="9">
        <f t="shared" si="2"/>
        <v>43136295</v>
      </c>
      <c r="G9" s="9">
        <f t="shared" si="2"/>
        <v>6229350</v>
      </c>
    </row>
    <row r="10" spans="1:7" s="78" customFormat="1" ht="15.5" x14ac:dyDescent="0.35">
      <c r="A10" s="126"/>
      <c r="B10" s="126"/>
      <c r="C10" s="144" t="s">
        <v>542</v>
      </c>
      <c r="D10" s="128">
        <f>D11+D12</f>
        <v>472440115</v>
      </c>
      <c r="E10" s="128">
        <f t="shared" ref="E10:G10" si="3">E11+E12</f>
        <v>763916606</v>
      </c>
      <c r="F10" s="128">
        <f t="shared" si="3"/>
        <v>465200288</v>
      </c>
      <c r="G10" s="128">
        <f t="shared" si="3"/>
        <v>513402549</v>
      </c>
    </row>
    <row r="11" spans="1:7" ht="15" x14ac:dyDescent="0.35">
      <c r="A11" s="75"/>
      <c r="B11" s="75"/>
      <c r="C11" s="3" t="s">
        <v>10</v>
      </c>
      <c r="D11" s="9">
        <f>D17+D25+D36+D52+D61+D66+D71+D98+D107+D147+D194+D253+D290+D332+D352+D402+D445+D529+D535+D540+D571+D581+D590+D596+D601+D485+D523</f>
        <v>315657630</v>
      </c>
      <c r="E11" s="9">
        <f>E17+E25+E36+E52+E61+E66+E71+E98+E107+E147+E194+E253+E290+E332+E352+E402+E445+E529+E535+E540+E571+E581+E590+E596+E601+E485+E523</f>
        <v>550343169</v>
      </c>
      <c r="F11" s="9">
        <f>F17+F25+F36+F52+F61+F66+F71+F98+F107+F147+F194+F253+F290+F332+F352+F402+F445+F529+F535+F540+F571+F581+F590+F596+F601+F485+F523</f>
        <v>422063993</v>
      </c>
      <c r="G11" s="9">
        <f>G17+G25+G36+G52+G61+G66+G71+G98+G107+G147+G194+G253+G290+G332+G352+G402+G445+G529+G535+G540+G571+G581+G590+G596+G601+G485+G523</f>
        <v>507173199</v>
      </c>
    </row>
    <row r="12" spans="1:7" ht="45" x14ac:dyDescent="0.35">
      <c r="A12" s="75"/>
      <c r="B12" s="88"/>
      <c r="C12" s="3" t="s">
        <v>21</v>
      </c>
      <c r="D12" s="9">
        <f>D48+D141+D183+D242+D281+D324+D344+D386+D439+D473+D566+D518</f>
        <v>156782485</v>
      </c>
      <c r="E12" s="9">
        <f>E48+E141+E183+E242+E281+E324+E344+E386+E439+E473+E566+E518</f>
        <v>213573437</v>
      </c>
      <c r="F12" s="9">
        <f>F48+F141+F183+F242+F281+F324+F344+F386+F439+F473+F566+F518</f>
        <v>43136295</v>
      </c>
      <c r="G12" s="9">
        <f>G48+G141+G183+G242+G281+G324+G344+G386+G439+G473+G566+G518</f>
        <v>6229350</v>
      </c>
    </row>
    <row r="13" spans="1:7" s="78" customFormat="1" ht="15.5" x14ac:dyDescent="0.35">
      <c r="A13" s="126"/>
      <c r="B13" s="126"/>
      <c r="C13" s="144" t="s">
        <v>543</v>
      </c>
      <c r="D13" s="128">
        <f>D14</f>
        <v>2107876</v>
      </c>
      <c r="E13" s="128">
        <f t="shared" ref="E13:G13" si="4">E14</f>
        <v>2330906</v>
      </c>
      <c r="F13" s="128">
        <f t="shared" si="4"/>
        <v>1100506</v>
      </c>
      <c r="G13" s="128">
        <f t="shared" si="4"/>
        <v>1100506</v>
      </c>
    </row>
    <row r="14" spans="1:7" ht="15" x14ac:dyDescent="0.35">
      <c r="A14" s="75"/>
      <c r="B14" s="75"/>
      <c r="C14" s="3" t="s">
        <v>10</v>
      </c>
      <c r="D14" s="9">
        <f>D392</f>
        <v>2107876</v>
      </c>
      <c r="E14" s="9">
        <f t="shared" ref="E14:G14" si="5">E392</f>
        <v>2330906</v>
      </c>
      <c r="F14" s="9">
        <f t="shared" si="5"/>
        <v>1100506</v>
      </c>
      <c r="G14" s="9">
        <f t="shared" si="5"/>
        <v>1100506</v>
      </c>
    </row>
    <row r="15" spans="1:7" ht="15" x14ac:dyDescent="0.35">
      <c r="A15" s="69"/>
      <c r="B15" s="69"/>
      <c r="C15" s="100"/>
      <c r="D15" s="101"/>
      <c r="E15" s="101"/>
      <c r="F15" s="101"/>
      <c r="G15" s="101"/>
    </row>
    <row r="16" spans="1:7" s="78" customFormat="1" ht="15.5" x14ac:dyDescent="0.35">
      <c r="A16" s="126"/>
      <c r="B16" s="126"/>
      <c r="C16" s="127" t="s">
        <v>358</v>
      </c>
      <c r="D16" s="128">
        <f>D17</f>
        <v>30782</v>
      </c>
      <c r="E16" s="128">
        <f t="shared" ref="E16:G16" si="6">E17</f>
        <v>304703</v>
      </c>
      <c r="F16" s="128">
        <f t="shared" si="6"/>
        <v>80782</v>
      </c>
      <c r="G16" s="128">
        <f t="shared" si="6"/>
        <v>30782</v>
      </c>
    </row>
    <row r="17" spans="1:7" ht="15" x14ac:dyDescent="0.35">
      <c r="A17" s="75"/>
      <c r="B17" s="75"/>
      <c r="C17" s="3" t="s">
        <v>10</v>
      </c>
      <c r="D17" s="9">
        <f>D19</f>
        <v>30782</v>
      </c>
      <c r="E17" s="9">
        <f t="shared" ref="E17:G17" si="7">E19</f>
        <v>304703</v>
      </c>
      <c r="F17" s="9">
        <f t="shared" si="7"/>
        <v>80782</v>
      </c>
      <c r="G17" s="9">
        <f t="shared" si="7"/>
        <v>30782</v>
      </c>
    </row>
    <row r="18" spans="1:7" ht="15" x14ac:dyDescent="0.35">
      <c r="A18" s="76"/>
      <c r="B18" s="76"/>
      <c r="C18" s="2" t="s">
        <v>9</v>
      </c>
      <c r="D18" s="79"/>
      <c r="E18" s="79"/>
      <c r="F18" s="79"/>
      <c r="G18" s="79"/>
    </row>
    <row r="19" spans="1:7" x14ac:dyDescent="0.35">
      <c r="A19" s="85" t="s">
        <v>115</v>
      </c>
      <c r="B19" s="10" t="s">
        <v>7</v>
      </c>
      <c r="C19" s="7" t="s">
        <v>359</v>
      </c>
      <c r="D19" s="11">
        <v>30782</v>
      </c>
      <c r="E19" s="11">
        <v>304703</v>
      </c>
      <c r="F19" s="11">
        <v>80782</v>
      </c>
      <c r="G19" s="11">
        <v>30782</v>
      </c>
    </row>
    <row r="20" spans="1:7" ht="19.5" customHeight="1" x14ac:dyDescent="0.35">
      <c r="A20" s="86"/>
      <c r="B20" s="76"/>
      <c r="C20" s="77" t="s">
        <v>360</v>
      </c>
      <c r="D20" s="1">
        <v>0</v>
      </c>
      <c r="E20" s="1">
        <v>183921</v>
      </c>
      <c r="F20" s="1">
        <v>0</v>
      </c>
      <c r="G20" s="1">
        <v>0</v>
      </c>
    </row>
    <row r="21" spans="1:7" ht="16.5" customHeight="1" x14ac:dyDescent="0.35">
      <c r="A21" s="86"/>
      <c r="B21" s="76"/>
      <c r="C21" s="77" t="s">
        <v>361</v>
      </c>
      <c r="D21" s="1">
        <v>0</v>
      </c>
      <c r="E21" s="1">
        <v>70000</v>
      </c>
      <c r="F21" s="1">
        <v>50000</v>
      </c>
      <c r="G21" s="1">
        <v>0</v>
      </c>
    </row>
    <row r="22" spans="1:7" x14ac:dyDescent="0.35">
      <c r="A22" s="86"/>
      <c r="B22" s="76"/>
      <c r="C22" s="77" t="s">
        <v>362</v>
      </c>
      <c r="D22" s="1">
        <v>0</v>
      </c>
      <c r="E22" s="1">
        <v>20000</v>
      </c>
      <c r="F22" s="1">
        <v>0</v>
      </c>
      <c r="G22" s="1">
        <v>0</v>
      </c>
    </row>
    <row r="23" spans="1:7" x14ac:dyDescent="0.35">
      <c r="A23" s="86"/>
      <c r="B23" s="76"/>
      <c r="C23" s="8" t="s">
        <v>29</v>
      </c>
      <c r="D23" s="1">
        <v>30782</v>
      </c>
      <c r="E23" s="1">
        <v>30782</v>
      </c>
      <c r="F23" s="1">
        <v>30782</v>
      </c>
      <c r="G23" s="1">
        <v>30782</v>
      </c>
    </row>
    <row r="24" spans="1:7" ht="15" x14ac:dyDescent="0.35">
      <c r="A24" s="127"/>
      <c r="B24" s="127"/>
      <c r="C24" s="127" t="s">
        <v>11</v>
      </c>
      <c r="D24" s="128">
        <f>D25</f>
        <v>1704940</v>
      </c>
      <c r="E24" s="128">
        <f t="shared" ref="E24:G24" si="8">E25</f>
        <v>2217605</v>
      </c>
      <c r="F24" s="128">
        <f t="shared" si="8"/>
        <v>804300</v>
      </c>
      <c r="G24" s="128">
        <f t="shared" si="8"/>
        <v>317000</v>
      </c>
    </row>
    <row r="25" spans="1:7" ht="15" x14ac:dyDescent="0.35">
      <c r="A25" s="75"/>
      <c r="B25" s="75"/>
      <c r="C25" s="3" t="s">
        <v>10</v>
      </c>
      <c r="D25" s="9">
        <f>D27</f>
        <v>1704940</v>
      </c>
      <c r="E25" s="9">
        <f t="shared" ref="E25:F25" si="9">E27</f>
        <v>2217605</v>
      </c>
      <c r="F25" s="9">
        <f t="shared" si="9"/>
        <v>804300</v>
      </c>
      <c r="G25" s="9">
        <f>G27</f>
        <v>317000</v>
      </c>
    </row>
    <row r="26" spans="1:7" x14ac:dyDescent="0.35">
      <c r="A26" s="84"/>
      <c r="B26" s="84"/>
      <c r="C26" s="2" t="s">
        <v>9</v>
      </c>
      <c r="D26" s="40"/>
      <c r="E26" s="40"/>
      <c r="F26" s="40"/>
      <c r="G26" s="40"/>
    </row>
    <row r="27" spans="1:7" x14ac:dyDescent="0.35">
      <c r="A27" s="6" t="s">
        <v>8</v>
      </c>
      <c r="B27" s="10" t="s">
        <v>7</v>
      </c>
      <c r="C27" s="7" t="s">
        <v>426</v>
      </c>
      <c r="D27" s="11">
        <v>1704940</v>
      </c>
      <c r="E27" s="11">
        <v>2217605</v>
      </c>
      <c r="F27" s="11">
        <v>804300</v>
      </c>
      <c r="G27" s="11">
        <v>317000</v>
      </c>
    </row>
    <row r="28" spans="1:7" ht="26" x14ac:dyDescent="0.35">
      <c r="A28" s="84"/>
      <c r="B28" s="84"/>
      <c r="C28" s="90" t="s">
        <v>5</v>
      </c>
      <c r="D28" s="1">
        <v>0</v>
      </c>
      <c r="E28" s="1">
        <v>100000</v>
      </c>
      <c r="F28" s="1">
        <v>100000</v>
      </c>
      <c r="G28" s="1">
        <v>0</v>
      </c>
    </row>
    <row r="29" spans="1:7" ht="26" x14ac:dyDescent="0.35">
      <c r="A29" s="84"/>
      <c r="B29" s="84"/>
      <c r="C29" s="90" t="s">
        <v>4</v>
      </c>
      <c r="D29" s="1">
        <v>0</v>
      </c>
      <c r="E29" s="1">
        <v>233000</v>
      </c>
      <c r="F29" s="1">
        <v>0</v>
      </c>
      <c r="G29" s="1">
        <v>0</v>
      </c>
    </row>
    <row r="30" spans="1:7" ht="26" x14ac:dyDescent="0.35">
      <c r="A30" s="84"/>
      <c r="B30" s="84"/>
      <c r="C30" s="90" t="s">
        <v>3</v>
      </c>
      <c r="D30" s="1">
        <v>0</v>
      </c>
      <c r="E30" s="1">
        <v>200000</v>
      </c>
      <c r="F30" s="1">
        <v>0</v>
      </c>
      <c r="G30" s="1">
        <v>0</v>
      </c>
    </row>
    <row r="31" spans="1:7" x14ac:dyDescent="0.35">
      <c r="A31" s="84"/>
      <c r="B31" s="84"/>
      <c r="C31" s="90" t="s">
        <v>2</v>
      </c>
      <c r="D31" s="1">
        <v>0</v>
      </c>
      <c r="E31" s="1">
        <v>100000</v>
      </c>
      <c r="F31" s="1">
        <v>0</v>
      </c>
      <c r="G31" s="1">
        <v>0</v>
      </c>
    </row>
    <row r="32" spans="1:7" x14ac:dyDescent="0.35">
      <c r="A32" s="84"/>
      <c r="B32" s="84"/>
      <c r="C32" s="91" t="s">
        <v>1</v>
      </c>
      <c r="D32" s="1">
        <v>0</v>
      </c>
      <c r="E32" s="1">
        <v>290000</v>
      </c>
      <c r="F32" s="1">
        <v>0</v>
      </c>
      <c r="G32" s="1">
        <v>0</v>
      </c>
    </row>
    <row r="33" spans="1:7" x14ac:dyDescent="0.35">
      <c r="A33" s="84"/>
      <c r="B33" s="84"/>
      <c r="C33" s="90" t="s">
        <v>0</v>
      </c>
      <c r="D33" s="1">
        <v>0</v>
      </c>
      <c r="E33" s="1">
        <f>150000+200000</f>
        <v>350000</v>
      </c>
      <c r="F33" s="1">
        <v>0</v>
      </c>
      <c r="G33" s="1">
        <v>0</v>
      </c>
    </row>
    <row r="34" spans="1:7" x14ac:dyDescent="0.35">
      <c r="A34" s="84"/>
      <c r="B34" s="84"/>
      <c r="C34" s="8" t="s">
        <v>29</v>
      </c>
      <c r="D34" s="1">
        <f>D27</f>
        <v>1704940</v>
      </c>
      <c r="E34" s="1">
        <f>E27-SUM(E28:E33)</f>
        <v>944605</v>
      </c>
      <c r="F34" s="1">
        <f t="shared" ref="F34:G34" si="10">F27-SUM(F28:F33)</f>
        <v>704300</v>
      </c>
      <c r="G34" s="1">
        <f t="shared" si="10"/>
        <v>317000</v>
      </c>
    </row>
    <row r="35" spans="1:7" ht="15" x14ac:dyDescent="0.35">
      <c r="A35" s="127"/>
      <c r="B35" s="127"/>
      <c r="C35" s="127" t="s">
        <v>15</v>
      </c>
      <c r="D35" s="128">
        <v>341824</v>
      </c>
      <c r="E35" s="128">
        <v>819949</v>
      </c>
      <c r="F35" s="128">
        <v>119949</v>
      </c>
      <c r="G35" s="128">
        <v>119949</v>
      </c>
    </row>
    <row r="36" spans="1:7" ht="15.5" x14ac:dyDescent="0.35">
      <c r="A36" s="28"/>
      <c r="B36" s="28"/>
      <c r="C36" s="3" t="s">
        <v>10</v>
      </c>
      <c r="D36" s="67">
        <v>336949</v>
      </c>
      <c r="E36" s="67">
        <v>819949</v>
      </c>
      <c r="F36" s="67">
        <v>119949</v>
      </c>
      <c r="G36" s="67">
        <v>119949</v>
      </c>
    </row>
    <row r="37" spans="1:7" x14ac:dyDescent="0.35">
      <c r="A37" s="84"/>
      <c r="B37" s="84"/>
      <c r="C37" s="2" t="s">
        <v>9</v>
      </c>
      <c r="D37" s="40"/>
      <c r="E37" s="40"/>
      <c r="F37" s="40"/>
      <c r="G37" s="40"/>
    </row>
    <row r="38" spans="1:7" ht="38.25" customHeight="1" x14ac:dyDescent="0.35">
      <c r="A38" s="6" t="s">
        <v>8</v>
      </c>
      <c r="B38" s="10" t="s">
        <v>7</v>
      </c>
      <c r="C38" s="7" t="s">
        <v>427</v>
      </c>
      <c r="D38" s="11">
        <v>330973</v>
      </c>
      <c r="E38" s="11">
        <v>666973</v>
      </c>
      <c r="F38" s="11">
        <v>113973</v>
      </c>
      <c r="G38" s="11">
        <v>113973</v>
      </c>
    </row>
    <row r="39" spans="1:7" ht="104" x14ac:dyDescent="0.35">
      <c r="A39" s="76"/>
      <c r="B39" s="76"/>
      <c r="C39" s="8" t="s">
        <v>16</v>
      </c>
      <c r="D39" s="1">
        <v>217000</v>
      </c>
      <c r="E39" s="1">
        <v>0</v>
      </c>
      <c r="F39" s="1">
        <v>0</v>
      </c>
      <c r="G39" s="1">
        <v>0</v>
      </c>
    </row>
    <row r="40" spans="1:7" ht="66.650000000000006" customHeight="1" x14ac:dyDescent="0.35">
      <c r="A40" s="76"/>
      <c r="B40" s="76"/>
      <c r="C40" s="8" t="s">
        <v>566</v>
      </c>
      <c r="D40" s="1"/>
      <c r="E40" s="1">
        <v>266500</v>
      </c>
      <c r="F40" s="1"/>
      <c r="G40" s="1"/>
    </row>
    <row r="41" spans="1:7" ht="41" customHeight="1" x14ac:dyDescent="0.35">
      <c r="A41" s="76"/>
      <c r="B41" s="76"/>
      <c r="C41" s="8" t="s">
        <v>567</v>
      </c>
      <c r="D41" s="1"/>
      <c r="E41" s="1">
        <v>57800</v>
      </c>
      <c r="F41" s="1"/>
      <c r="G41" s="1"/>
    </row>
    <row r="42" spans="1:7" ht="34.25" customHeight="1" x14ac:dyDescent="0.35">
      <c r="A42" s="76"/>
      <c r="B42" s="76"/>
      <c r="C42" s="8" t="s">
        <v>568</v>
      </c>
      <c r="D42" s="1"/>
      <c r="E42" s="1">
        <v>40000</v>
      </c>
      <c r="F42" s="1"/>
      <c r="G42" s="1"/>
    </row>
    <row r="43" spans="1:7" ht="52" x14ac:dyDescent="0.35">
      <c r="A43" s="76"/>
      <c r="B43" s="76"/>
      <c r="C43" s="8" t="s">
        <v>569</v>
      </c>
      <c r="D43" s="1">
        <v>0</v>
      </c>
      <c r="E43" s="1">
        <v>188700</v>
      </c>
      <c r="F43" s="1">
        <v>0</v>
      </c>
      <c r="G43" s="1">
        <v>0</v>
      </c>
    </row>
    <row r="44" spans="1:7" ht="91" x14ac:dyDescent="0.35">
      <c r="A44" s="76"/>
      <c r="B44" s="76"/>
      <c r="C44" s="8" t="s">
        <v>17</v>
      </c>
      <c r="D44" s="1">
        <v>113973</v>
      </c>
      <c r="E44" s="1">
        <v>113973</v>
      </c>
      <c r="F44" s="1">
        <v>113973</v>
      </c>
      <c r="G44" s="1">
        <v>113973</v>
      </c>
    </row>
    <row r="45" spans="1:7" x14ac:dyDescent="0.35">
      <c r="A45" s="31" t="s">
        <v>18</v>
      </c>
      <c r="B45" s="31" t="s">
        <v>19</v>
      </c>
      <c r="C45" s="32" t="s">
        <v>428</v>
      </c>
      <c r="D45" s="11">
        <v>5976</v>
      </c>
      <c r="E45" s="11">
        <v>152976</v>
      </c>
      <c r="F45" s="11">
        <v>5976</v>
      </c>
      <c r="G45" s="11">
        <v>5976</v>
      </c>
    </row>
    <row r="46" spans="1:7" ht="91" x14ac:dyDescent="0.35">
      <c r="A46" s="84"/>
      <c r="B46" s="84"/>
      <c r="C46" s="8" t="s">
        <v>570</v>
      </c>
      <c r="D46" s="1">
        <v>0</v>
      </c>
      <c r="E46" s="1">
        <v>147000</v>
      </c>
      <c r="F46" s="1">
        <v>0</v>
      </c>
      <c r="G46" s="1">
        <v>0</v>
      </c>
    </row>
    <row r="47" spans="1:7" ht="52" x14ac:dyDescent="0.35">
      <c r="A47" s="84"/>
      <c r="B47" s="84"/>
      <c r="C47" s="8" t="s">
        <v>20</v>
      </c>
      <c r="D47" s="1">
        <v>5976</v>
      </c>
      <c r="E47" s="1">
        <v>5976</v>
      </c>
      <c r="F47" s="1">
        <v>5976</v>
      </c>
      <c r="G47" s="1">
        <v>5976</v>
      </c>
    </row>
    <row r="48" spans="1:7" ht="45" x14ac:dyDescent="0.35">
      <c r="A48" s="28"/>
      <c r="B48" s="28"/>
      <c r="C48" s="29" t="s">
        <v>21</v>
      </c>
      <c r="D48" s="67">
        <v>4875</v>
      </c>
      <c r="E48" s="67">
        <v>0</v>
      </c>
      <c r="F48" s="67">
        <v>0</v>
      </c>
      <c r="G48" s="67">
        <v>0</v>
      </c>
    </row>
    <row r="49" spans="1:7" x14ac:dyDescent="0.35">
      <c r="A49" s="84"/>
      <c r="B49" s="84"/>
      <c r="C49" s="2" t="s">
        <v>9</v>
      </c>
      <c r="D49" s="40"/>
      <c r="E49" s="40"/>
      <c r="F49" s="40"/>
      <c r="G49" s="40"/>
    </row>
    <row r="50" spans="1:7" ht="26" x14ac:dyDescent="0.35">
      <c r="A50" s="31" t="s">
        <v>22</v>
      </c>
      <c r="B50" s="31" t="s">
        <v>7</v>
      </c>
      <c r="C50" s="32" t="s">
        <v>429</v>
      </c>
      <c r="D50" s="11">
        <v>4875</v>
      </c>
      <c r="E50" s="11">
        <v>0</v>
      </c>
      <c r="F50" s="11">
        <v>0</v>
      </c>
      <c r="G50" s="11">
        <v>0</v>
      </c>
    </row>
    <row r="51" spans="1:7" ht="15" x14ac:dyDescent="0.35">
      <c r="A51" s="127"/>
      <c r="B51" s="127"/>
      <c r="C51" s="127" t="s">
        <v>23</v>
      </c>
      <c r="D51" s="128">
        <v>174936</v>
      </c>
      <c r="E51" s="128">
        <v>422036</v>
      </c>
      <c r="F51" s="128">
        <v>46386</v>
      </c>
      <c r="G51" s="128">
        <v>46386</v>
      </c>
    </row>
    <row r="52" spans="1:7" ht="15.5" x14ac:dyDescent="0.35">
      <c r="A52" s="28"/>
      <c r="B52" s="28"/>
      <c r="C52" s="3" t="s">
        <v>10</v>
      </c>
      <c r="D52" s="67">
        <v>174936</v>
      </c>
      <c r="E52" s="67">
        <v>422036</v>
      </c>
      <c r="F52" s="67">
        <v>46386</v>
      </c>
      <c r="G52" s="67">
        <v>46386</v>
      </c>
    </row>
    <row r="53" spans="1:7" x14ac:dyDescent="0.35">
      <c r="A53" s="84"/>
      <c r="B53" s="84"/>
      <c r="C53" s="2" t="s">
        <v>9</v>
      </c>
      <c r="D53" s="40"/>
      <c r="E53" s="40"/>
      <c r="F53" s="40"/>
      <c r="G53" s="40"/>
    </row>
    <row r="54" spans="1:7" x14ac:dyDescent="0.35">
      <c r="A54" s="31" t="s">
        <v>8</v>
      </c>
      <c r="B54" s="31" t="s">
        <v>24</v>
      </c>
      <c r="C54" s="32" t="s">
        <v>430</v>
      </c>
      <c r="D54" s="11">
        <v>174936</v>
      </c>
      <c r="E54" s="11">
        <v>422036</v>
      </c>
      <c r="F54" s="11">
        <v>46386</v>
      </c>
      <c r="G54" s="11">
        <v>46386</v>
      </c>
    </row>
    <row r="55" spans="1:7" x14ac:dyDescent="0.35">
      <c r="A55" s="84"/>
      <c r="B55" s="84"/>
      <c r="C55" s="8" t="s">
        <v>25</v>
      </c>
      <c r="D55" s="1">
        <v>0</v>
      </c>
      <c r="E55" s="1">
        <v>239000</v>
      </c>
      <c r="F55" s="1">
        <v>0</v>
      </c>
      <c r="G55" s="1">
        <v>0</v>
      </c>
    </row>
    <row r="56" spans="1:7" ht="26" x14ac:dyDescent="0.35">
      <c r="A56" s="84"/>
      <c r="B56" s="84"/>
      <c r="C56" s="8" t="s">
        <v>26</v>
      </c>
      <c r="D56" s="1">
        <v>0</v>
      </c>
      <c r="E56" s="1">
        <v>60000</v>
      </c>
      <c r="F56" s="1">
        <v>0</v>
      </c>
      <c r="G56" s="1">
        <v>0</v>
      </c>
    </row>
    <row r="57" spans="1:7" ht="52" x14ac:dyDescent="0.35">
      <c r="A57" s="84"/>
      <c r="B57" s="84"/>
      <c r="C57" s="8" t="s">
        <v>27</v>
      </c>
      <c r="D57" s="1">
        <v>93550</v>
      </c>
      <c r="E57" s="1">
        <v>76650</v>
      </c>
      <c r="F57" s="1">
        <v>0</v>
      </c>
      <c r="G57" s="1">
        <v>0</v>
      </c>
    </row>
    <row r="58" spans="1:7" ht="26" x14ac:dyDescent="0.35">
      <c r="A58" s="84"/>
      <c r="B58" s="84"/>
      <c r="C58" s="8" t="s">
        <v>28</v>
      </c>
      <c r="D58" s="1">
        <v>35000</v>
      </c>
      <c r="E58" s="1">
        <v>0</v>
      </c>
      <c r="F58" s="1">
        <v>0</v>
      </c>
      <c r="G58" s="1">
        <v>0</v>
      </c>
    </row>
    <row r="59" spans="1:7" x14ac:dyDescent="0.35">
      <c r="A59" s="84"/>
      <c r="B59" s="84"/>
      <c r="C59" s="8" t="s">
        <v>29</v>
      </c>
      <c r="D59" s="1">
        <v>46386</v>
      </c>
      <c r="E59" s="1">
        <v>46386</v>
      </c>
      <c r="F59" s="1">
        <v>46386</v>
      </c>
      <c r="G59" s="1">
        <v>46386</v>
      </c>
    </row>
    <row r="60" spans="1:7" ht="15.5" x14ac:dyDescent="0.35">
      <c r="A60" s="129"/>
      <c r="B60" s="129"/>
      <c r="C60" s="130" t="s">
        <v>356</v>
      </c>
      <c r="D60" s="131">
        <v>21911</v>
      </c>
      <c r="E60" s="131">
        <v>16911</v>
      </c>
      <c r="F60" s="131">
        <v>16911</v>
      </c>
      <c r="G60" s="131">
        <v>16911</v>
      </c>
    </row>
    <row r="61" spans="1:7" ht="15" x14ac:dyDescent="0.35">
      <c r="A61" s="70"/>
      <c r="B61" s="70"/>
      <c r="C61" s="29" t="s">
        <v>10</v>
      </c>
      <c r="D61" s="67">
        <v>21911</v>
      </c>
      <c r="E61" s="67">
        <v>16911</v>
      </c>
      <c r="F61" s="67">
        <v>16911</v>
      </c>
      <c r="G61" s="67">
        <v>16911</v>
      </c>
    </row>
    <row r="62" spans="1:7" ht="15" x14ac:dyDescent="0.35">
      <c r="A62" s="71"/>
      <c r="B62" s="71"/>
      <c r="C62" s="2" t="s">
        <v>9</v>
      </c>
      <c r="D62" s="79"/>
      <c r="E62" s="79"/>
      <c r="F62" s="79"/>
      <c r="G62" s="79"/>
    </row>
    <row r="63" spans="1:7" ht="15" x14ac:dyDescent="0.35">
      <c r="A63" s="72" t="s">
        <v>8</v>
      </c>
      <c r="B63" s="72" t="s">
        <v>357</v>
      </c>
      <c r="C63" s="32" t="s">
        <v>431</v>
      </c>
      <c r="D63" s="73">
        <v>21911</v>
      </c>
      <c r="E63" s="73">
        <v>16911</v>
      </c>
      <c r="F63" s="73">
        <v>16911</v>
      </c>
      <c r="G63" s="73">
        <v>16911</v>
      </c>
    </row>
    <row r="64" spans="1:7" ht="15" x14ac:dyDescent="0.35">
      <c r="A64" s="71"/>
      <c r="B64" s="71"/>
      <c r="C64" s="8" t="s">
        <v>107</v>
      </c>
      <c r="D64" s="74">
        <v>21911</v>
      </c>
      <c r="E64" s="74">
        <v>16911</v>
      </c>
      <c r="F64" s="74">
        <v>16911</v>
      </c>
      <c r="G64" s="74">
        <v>16911</v>
      </c>
    </row>
    <row r="65" spans="1:7" ht="15" x14ac:dyDescent="0.35">
      <c r="A65" s="127"/>
      <c r="B65" s="127"/>
      <c r="C65" s="127" t="s">
        <v>30</v>
      </c>
      <c r="D65" s="128">
        <v>105250</v>
      </c>
      <c r="E65" s="128">
        <v>105250</v>
      </c>
      <c r="F65" s="128">
        <v>105250</v>
      </c>
      <c r="G65" s="128">
        <v>105250</v>
      </c>
    </row>
    <row r="66" spans="1:7" ht="15.5" x14ac:dyDescent="0.35">
      <c r="A66" s="28"/>
      <c r="B66" s="28"/>
      <c r="C66" s="3" t="s">
        <v>10</v>
      </c>
      <c r="D66" s="9">
        <f>D68</f>
        <v>105250</v>
      </c>
      <c r="E66" s="9">
        <f t="shared" ref="E66:G66" si="11">E68</f>
        <v>105250</v>
      </c>
      <c r="F66" s="9">
        <f t="shared" si="11"/>
        <v>105250</v>
      </c>
      <c r="G66" s="9">
        <f t="shared" si="11"/>
        <v>105250</v>
      </c>
    </row>
    <row r="67" spans="1:7" x14ac:dyDescent="0.35">
      <c r="A67" s="84"/>
      <c r="B67" s="84"/>
      <c r="C67" s="2" t="s">
        <v>9</v>
      </c>
      <c r="D67" s="40"/>
      <c r="E67" s="40"/>
      <c r="F67" s="40"/>
      <c r="G67" s="40"/>
    </row>
    <row r="68" spans="1:7" x14ac:dyDescent="0.35">
      <c r="A68" s="6" t="s">
        <v>8</v>
      </c>
      <c r="B68" s="6" t="s">
        <v>31</v>
      </c>
      <c r="C68" s="7" t="s">
        <v>432</v>
      </c>
      <c r="D68" s="11">
        <v>105250</v>
      </c>
      <c r="E68" s="11">
        <v>105250</v>
      </c>
      <c r="F68" s="11">
        <v>105250</v>
      </c>
      <c r="G68" s="11">
        <v>105250</v>
      </c>
    </row>
    <row r="69" spans="1:7" x14ac:dyDescent="0.35">
      <c r="A69" s="84"/>
      <c r="B69" s="84"/>
      <c r="C69" s="8" t="s">
        <v>29</v>
      </c>
      <c r="D69" s="1">
        <v>105250</v>
      </c>
      <c r="E69" s="1">
        <v>105250</v>
      </c>
      <c r="F69" s="1">
        <v>105250</v>
      </c>
      <c r="G69" s="1">
        <v>105250</v>
      </c>
    </row>
    <row r="70" spans="1:7" ht="15" x14ac:dyDescent="0.35">
      <c r="A70" s="127"/>
      <c r="B70" s="127"/>
      <c r="C70" s="127" t="s">
        <v>32</v>
      </c>
      <c r="D70" s="128">
        <v>179610801</v>
      </c>
      <c r="E70" s="128">
        <v>224470040</v>
      </c>
      <c r="F70" s="128">
        <v>215949556</v>
      </c>
      <c r="G70" s="128">
        <v>254291565</v>
      </c>
    </row>
    <row r="71" spans="1:7" ht="15.5" x14ac:dyDescent="0.35">
      <c r="A71" s="28"/>
      <c r="B71" s="28"/>
      <c r="C71" s="3" t="s">
        <v>10</v>
      </c>
      <c r="D71" s="9">
        <v>179610801</v>
      </c>
      <c r="E71" s="9">
        <v>224470040</v>
      </c>
      <c r="F71" s="9">
        <v>215949556</v>
      </c>
      <c r="G71" s="9">
        <v>254291565</v>
      </c>
    </row>
    <row r="72" spans="1:7" x14ac:dyDescent="0.35">
      <c r="A72" s="84"/>
      <c r="B72" s="84"/>
      <c r="C72" s="2" t="s">
        <v>9</v>
      </c>
      <c r="D72" s="1"/>
      <c r="E72" s="1"/>
      <c r="F72" s="1"/>
      <c r="G72" s="1"/>
    </row>
    <row r="73" spans="1:7" x14ac:dyDescent="0.35">
      <c r="A73" s="6" t="s">
        <v>33</v>
      </c>
      <c r="B73" s="6" t="s">
        <v>34</v>
      </c>
      <c r="C73" s="7" t="s">
        <v>35</v>
      </c>
      <c r="D73" s="11">
        <v>711</v>
      </c>
      <c r="E73" s="11">
        <v>6271</v>
      </c>
      <c r="F73" s="11">
        <v>3711</v>
      </c>
      <c r="G73" s="11">
        <v>3711</v>
      </c>
    </row>
    <row r="74" spans="1:7" x14ac:dyDescent="0.35">
      <c r="A74" s="84"/>
      <c r="B74" s="84"/>
      <c r="C74" s="8" t="s">
        <v>36</v>
      </c>
      <c r="D74" s="1">
        <v>711</v>
      </c>
      <c r="E74" s="1">
        <v>6271</v>
      </c>
      <c r="F74" s="1">
        <v>3711</v>
      </c>
      <c r="G74" s="1">
        <v>3711</v>
      </c>
    </row>
    <row r="75" spans="1:7" x14ac:dyDescent="0.35">
      <c r="A75" s="14" t="s">
        <v>64</v>
      </c>
      <c r="B75" s="6" t="s">
        <v>37</v>
      </c>
      <c r="C75" s="7" t="s">
        <v>38</v>
      </c>
      <c r="D75" s="11">
        <v>132108552</v>
      </c>
      <c r="E75" s="11">
        <v>171475269</v>
      </c>
      <c r="F75" s="11">
        <v>167368215</v>
      </c>
      <c r="G75" s="11">
        <v>201846612</v>
      </c>
    </row>
    <row r="76" spans="1:7" ht="39" x14ac:dyDescent="0.35">
      <c r="A76" s="84"/>
      <c r="B76" s="84"/>
      <c r="C76" s="8" t="s">
        <v>39</v>
      </c>
      <c r="D76" s="1">
        <v>122499307</v>
      </c>
      <c r="E76" s="1">
        <v>151545981</v>
      </c>
      <c r="F76" s="1">
        <v>155650706</v>
      </c>
      <c r="G76" s="1">
        <v>193182805</v>
      </c>
    </row>
    <row r="77" spans="1:7" x14ac:dyDescent="0.35">
      <c r="A77" s="84"/>
      <c r="B77" s="84"/>
      <c r="C77" s="8" t="s">
        <v>40</v>
      </c>
      <c r="D77" s="1">
        <v>4678227</v>
      </c>
      <c r="E77" s="1">
        <v>14809461</v>
      </c>
      <c r="F77" s="1">
        <v>6926827</v>
      </c>
      <c r="G77" s="1">
        <v>3268528</v>
      </c>
    </row>
    <row r="78" spans="1:7" ht="26" x14ac:dyDescent="0.35">
      <c r="A78" s="84"/>
      <c r="B78" s="84"/>
      <c r="C78" s="8" t="s">
        <v>41</v>
      </c>
      <c r="D78" s="1">
        <v>3842912</v>
      </c>
      <c r="E78" s="1">
        <v>4042912</v>
      </c>
      <c r="F78" s="1">
        <v>3953103</v>
      </c>
      <c r="G78" s="1">
        <v>4516700</v>
      </c>
    </row>
    <row r="79" spans="1:7" x14ac:dyDescent="0.35">
      <c r="A79" s="84"/>
      <c r="B79" s="84"/>
      <c r="C79" s="8" t="s">
        <v>42</v>
      </c>
      <c r="D79" s="1">
        <v>575710</v>
      </c>
      <c r="E79" s="1">
        <v>714023</v>
      </c>
      <c r="F79" s="1">
        <v>575710</v>
      </c>
      <c r="G79" s="1">
        <v>575710</v>
      </c>
    </row>
    <row r="80" spans="1:7" ht="26" x14ac:dyDescent="0.35">
      <c r="A80" s="84"/>
      <c r="B80" s="84"/>
      <c r="C80" s="8" t="s">
        <v>43</v>
      </c>
      <c r="D80" s="1">
        <v>480300</v>
      </c>
      <c r="E80" s="1">
        <v>165100</v>
      </c>
      <c r="F80" s="1">
        <v>165100</v>
      </c>
      <c r="G80" s="1">
        <v>165100</v>
      </c>
    </row>
    <row r="81" spans="1:7" x14ac:dyDescent="0.35">
      <c r="A81" s="84"/>
      <c r="B81" s="84"/>
      <c r="C81" s="8" t="s">
        <v>29</v>
      </c>
      <c r="D81" s="1">
        <v>32096</v>
      </c>
      <c r="E81" s="1">
        <v>197792</v>
      </c>
      <c r="F81" s="1">
        <v>96769</v>
      </c>
      <c r="G81" s="1">
        <v>137769</v>
      </c>
    </row>
    <row r="82" spans="1:7" x14ac:dyDescent="0.35">
      <c r="A82" s="6" t="s">
        <v>44</v>
      </c>
      <c r="B82" s="6" t="s">
        <v>34</v>
      </c>
      <c r="C82" s="7" t="s">
        <v>45</v>
      </c>
      <c r="D82" s="11">
        <v>752809</v>
      </c>
      <c r="E82" s="11">
        <v>727371</v>
      </c>
      <c r="F82" s="11">
        <v>738150</v>
      </c>
      <c r="G82" s="11">
        <v>738150</v>
      </c>
    </row>
    <row r="83" spans="1:7" ht="26" x14ac:dyDescent="0.35">
      <c r="A83" s="84"/>
      <c r="B83" s="84"/>
      <c r="C83" s="8" t="s">
        <v>46</v>
      </c>
      <c r="D83" s="1">
        <v>722809</v>
      </c>
      <c r="E83" s="1">
        <v>37268</v>
      </c>
      <c r="F83" s="1">
        <v>95348</v>
      </c>
      <c r="G83" s="1">
        <v>101398</v>
      </c>
    </row>
    <row r="84" spans="1:7" ht="26" x14ac:dyDescent="0.35">
      <c r="A84" s="84"/>
      <c r="B84" s="84"/>
      <c r="C84" s="8" t="s">
        <v>47</v>
      </c>
      <c r="D84" s="1">
        <v>30000</v>
      </c>
      <c r="E84" s="1">
        <v>690103</v>
      </c>
      <c r="F84" s="1">
        <v>642802</v>
      </c>
      <c r="G84" s="1">
        <v>636752</v>
      </c>
    </row>
    <row r="85" spans="1:7" x14ac:dyDescent="0.35">
      <c r="A85" s="6" t="s">
        <v>48</v>
      </c>
      <c r="B85" s="6" t="s">
        <v>34</v>
      </c>
      <c r="C85" s="7" t="s">
        <v>49</v>
      </c>
      <c r="D85" s="11">
        <v>61000</v>
      </c>
      <c r="E85" s="11">
        <v>61000</v>
      </c>
      <c r="F85" s="11">
        <v>61000</v>
      </c>
      <c r="G85" s="11">
        <v>61000</v>
      </c>
    </row>
    <row r="86" spans="1:7" ht="26" x14ac:dyDescent="0.35">
      <c r="A86" s="84"/>
      <c r="B86" s="84"/>
      <c r="C86" s="8" t="s">
        <v>50</v>
      </c>
      <c r="D86" s="1">
        <v>41000</v>
      </c>
      <c r="E86" s="1">
        <v>41000</v>
      </c>
      <c r="F86" s="1">
        <v>41000</v>
      </c>
      <c r="G86" s="1">
        <v>41000</v>
      </c>
    </row>
    <row r="87" spans="1:7" ht="26" x14ac:dyDescent="0.35">
      <c r="A87" s="84"/>
      <c r="B87" s="84"/>
      <c r="C87" s="8" t="s">
        <v>51</v>
      </c>
      <c r="D87" s="1">
        <v>20000</v>
      </c>
      <c r="E87" s="1">
        <v>20000</v>
      </c>
      <c r="F87" s="1">
        <v>20000</v>
      </c>
      <c r="G87" s="1">
        <v>20000</v>
      </c>
    </row>
    <row r="88" spans="1:7" x14ac:dyDescent="0.35">
      <c r="A88" s="6" t="s">
        <v>52</v>
      </c>
      <c r="B88" s="6" t="s">
        <v>34</v>
      </c>
      <c r="C88" s="7" t="s">
        <v>53</v>
      </c>
      <c r="D88" s="11">
        <v>46608729</v>
      </c>
      <c r="E88" s="11">
        <v>52098729</v>
      </c>
      <c r="F88" s="11">
        <v>47619480</v>
      </c>
      <c r="G88" s="11">
        <v>51483092</v>
      </c>
    </row>
    <row r="89" spans="1:7" ht="39" x14ac:dyDescent="0.35">
      <c r="A89" s="84"/>
      <c r="B89" s="84"/>
      <c r="C89" s="8" t="s">
        <v>54</v>
      </c>
      <c r="D89" s="1">
        <v>30831000</v>
      </c>
      <c r="E89" s="1">
        <v>36321000</v>
      </c>
      <c r="F89" s="1">
        <v>31841751</v>
      </c>
      <c r="G89" s="1">
        <v>35705363</v>
      </c>
    </row>
    <row r="90" spans="1:7" ht="26" x14ac:dyDescent="0.35">
      <c r="A90" s="84"/>
      <c r="B90" s="84"/>
      <c r="C90" s="8" t="s">
        <v>55</v>
      </c>
      <c r="D90" s="1">
        <v>15488682</v>
      </c>
      <c r="E90" s="1">
        <v>15650764</v>
      </c>
      <c r="F90" s="1">
        <v>15650764</v>
      </c>
      <c r="G90" s="1">
        <v>15650764</v>
      </c>
    </row>
    <row r="91" spans="1:7" ht="26" x14ac:dyDescent="0.35">
      <c r="A91" s="84"/>
      <c r="B91" s="84"/>
      <c r="C91" s="8" t="s">
        <v>56</v>
      </c>
      <c r="D91" s="1">
        <v>289047</v>
      </c>
      <c r="E91" s="1">
        <v>126965</v>
      </c>
      <c r="F91" s="1">
        <v>126965</v>
      </c>
      <c r="G91" s="1">
        <v>126965</v>
      </c>
    </row>
    <row r="92" spans="1:7" x14ac:dyDescent="0.35">
      <c r="A92" s="6" t="s">
        <v>57</v>
      </c>
      <c r="B92" s="6" t="s">
        <v>34</v>
      </c>
      <c r="C92" s="7" t="s">
        <v>58</v>
      </c>
      <c r="D92" s="11">
        <v>76000</v>
      </c>
      <c r="E92" s="11">
        <v>98400</v>
      </c>
      <c r="F92" s="11">
        <v>156000</v>
      </c>
      <c r="G92" s="11">
        <v>156000</v>
      </c>
    </row>
    <row r="93" spans="1:7" x14ac:dyDescent="0.35">
      <c r="A93" s="84"/>
      <c r="B93" s="84"/>
      <c r="C93" s="8" t="s">
        <v>59</v>
      </c>
      <c r="D93" s="1">
        <v>16000</v>
      </c>
      <c r="E93" s="1">
        <v>62000</v>
      </c>
      <c r="F93" s="1">
        <v>120000</v>
      </c>
      <c r="G93" s="1">
        <v>120000</v>
      </c>
    </row>
    <row r="94" spans="1:7" ht="26" x14ac:dyDescent="0.35">
      <c r="A94" s="84"/>
      <c r="B94" s="84"/>
      <c r="C94" s="8" t="s">
        <v>60</v>
      </c>
      <c r="D94" s="1">
        <v>60000</v>
      </c>
      <c r="E94" s="1">
        <v>36000</v>
      </c>
      <c r="F94" s="1">
        <v>36000</v>
      </c>
      <c r="G94" s="1">
        <v>36000</v>
      </c>
    </row>
    <row r="95" spans="1:7" x14ac:dyDescent="0.35">
      <c r="A95" s="6" t="s">
        <v>61</v>
      </c>
      <c r="B95" s="6" t="s">
        <v>34</v>
      </c>
      <c r="C95" s="7" t="s">
        <v>62</v>
      </c>
      <c r="D95" s="11">
        <v>3000</v>
      </c>
      <c r="E95" s="11">
        <v>3000</v>
      </c>
      <c r="F95" s="11">
        <v>3000</v>
      </c>
      <c r="G95" s="11">
        <v>3000</v>
      </c>
    </row>
    <row r="96" spans="1:7" x14ac:dyDescent="0.35">
      <c r="A96" s="84"/>
      <c r="B96" s="84"/>
      <c r="C96" s="8" t="s">
        <v>63</v>
      </c>
      <c r="D96" s="1">
        <v>3000</v>
      </c>
      <c r="E96" s="1">
        <v>3000</v>
      </c>
      <c r="F96" s="1">
        <v>3000</v>
      </c>
      <c r="G96" s="1">
        <v>3000</v>
      </c>
    </row>
    <row r="97" spans="1:7" ht="15" x14ac:dyDescent="0.35">
      <c r="A97" s="127"/>
      <c r="B97" s="127"/>
      <c r="C97" s="127" t="s">
        <v>65</v>
      </c>
      <c r="D97" s="128">
        <v>3681084</v>
      </c>
      <c r="E97" s="128">
        <v>1865017</v>
      </c>
      <c r="F97" s="128">
        <v>1368051</v>
      </c>
      <c r="G97" s="128">
        <v>1366001</v>
      </c>
    </row>
    <row r="98" spans="1:7" ht="15.5" x14ac:dyDescent="0.35">
      <c r="A98" s="28"/>
      <c r="B98" s="28"/>
      <c r="C98" s="3" t="s">
        <v>10</v>
      </c>
      <c r="D98" s="9">
        <f>D100+D103</f>
        <v>3681084</v>
      </c>
      <c r="E98" s="9">
        <f t="shared" ref="E98:G98" si="12">E100+E103</f>
        <v>1865017</v>
      </c>
      <c r="F98" s="9">
        <f t="shared" si="12"/>
        <v>1368051</v>
      </c>
      <c r="G98" s="9">
        <f t="shared" si="12"/>
        <v>1366001</v>
      </c>
    </row>
    <row r="99" spans="1:7" x14ac:dyDescent="0.35">
      <c r="A99" s="84"/>
      <c r="B99" s="84"/>
      <c r="C99" s="2" t="s">
        <v>9</v>
      </c>
      <c r="D99" s="40"/>
      <c r="E99" s="40"/>
      <c r="F99" s="40"/>
      <c r="G99" s="40"/>
    </row>
    <row r="100" spans="1:7" x14ac:dyDescent="0.35">
      <c r="A100" s="14" t="s">
        <v>69</v>
      </c>
      <c r="B100" s="6" t="s">
        <v>66</v>
      </c>
      <c r="C100" s="7" t="s">
        <v>433</v>
      </c>
      <c r="D100" s="11">
        <v>2169555</v>
      </c>
      <c r="E100" s="11">
        <v>1258738</v>
      </c>
      <c r="F100" s="11">
        <v>1172572</v>
      </c>
      <c r="G100" s="11">
        <v>1175272</v>
      </c>
    </row>
    <row r="101" spans="1:7" x14ac:dyDescent="0.35">
      <c r="A101" s="84"/>
      <c r="B101" s="84"/>
      <c r="C101" s="8" t="s">
        <v>67</v>
      </c>
      <c r="D101" s="1">
        <v>0</v>
      </c>
      <c r="E101" s="1">
        <v>346200</v>
      </c>
      <c r="F101" s="1">
        <v>0</v>
      </c>
      <c r="G101" s="1">
        <v>0</v>
      </c>
    </row>
    <row r="102" spans="1:7" x14ac:dyDescent="0.35">
      <c r="A102" s="84"/>
      <c r="B102" s="84"/>
      <c r="C102" s="8" t="s">
        <v>29</v>
      </c>
      <c r="D102" s="1">
        <v>2169555</v>
      </c>
      <c r="E102" s="1">
        <v>912538</v>
      </c>
      <c r="F102" s="1">
        <v>1172572</v>
      </c>
      <c r="G102" s="1">
        <v>1175272</v>
      </c>
    </row>
    <row r="103" spans="1:7" x14ac:dyDescent="0.35">
      <c r="A103" s="6" t="s">
        <v>61</v>
      </c>
      <c r="B103" s="6" t="s">
        <v>68</v>
      </c>
      <c r="C103" s="7" t="s">
        <v>62</v>
      </c>
      <c r="D103" s="11">
        <v>1511529</v>
      </c>
      <c r="E103" s="11">
        <v>606279</v>
      </c>
      <c r="F103" s="11">
        <v>195479</v>
      </c>
      <c r="G103" s="11">
        <v>190729</v>
      </c>
    </row>
    <row r="104" spans="1:7" x14ac:dyDescent="0.35">
      <c r="A104" s="84"/>
      <c r="B104" s="84"/>
      <c r="C104" s="8" t="s">
        <v>67</v>
      </c>
      <c r="D104" s="1">
        <v>0</v>
      </c>
      <c r="E104" s="1">
        <v>410800</v>
      </c>
      <c r="F104" s="1">
        <v>0</v>
      </c>
      <c r="G104" s="1">
        <v>0</v>
      </c>
    </row>
    <row r="105" spans="1:7" x14ac:dyDescent="0.35">
      <c r="A105" s="84"/>
      <c r="B105" s="84"/>
      <c r="C105" s="8" t="s">
        <v>29</v>
      </c>
      <c r="D105" s="1">
        <v>1511529</v>
      </c>
      <c r="E105" s="1">
        <v>195479</v>
      </c>
      <c r="F105" s="1">
        <v>195479</v>
      </c>
      <c r="G105" s="1">
        <v>190729</v>
      </c>
    </row>
    <row r="106" spans="1:7" ht="15" x14ac:dyDescent="0.35">
      <c r="A106" s="132"/>
      <c r="B106" s="133"/>
      <c r="C106" s="127" t="s">
        <v>413</v>
      </c>
      <c r="D106" s="128">
        <f>D107+D141</f>
        <v>3015281</v>
      </c>
      <c r="E106" s="128">
        <f>E107+E141</f>
        <v>4028848</v>
      </c>
      <c r="F106" s="128">
        <f>F107+F141</f>
        <v>1741843</v>
      </c>
      <c r="G106" s="128">
        <f>G107+G141</f>
        <v>949627</v>
      </c>
    </row>
    <row r="107" spans="1:7" ht="15" x14ac:dyDescent="0.35">
      <c r="A107" s="75"/>
      <c r="B107" s="88"/>
      <c r="C107" s="3" t="s">
        <v>10</v>
      </c>
      <c r="D107" s="9">
        <f>D109+D112+D118+D121+D124+D126+D130+D133+D136+D138</f>
        <v>1856602</v>
      </c>
      <c r="E107" s="9">
        <f t="shared" ref="E107:G107" si="13">E109+E112+E118+E121+E124+E126+E130+E133+E136+E138</f>
        <v>2506456</v>
      </c>
      <c r="F107" s="9">
        <f t="shared" si="13"/>
        <v>1676316</v>
      </c>
      <c r="G107" s="9">
        <f t="shared" si="13"/>
        <v>949627</v>
      </c>
    </row>
    <row r="108" spans="1:7" ht="15" x14ac:dyDescent="0.35">
      <c r="A108" s="76"/>
      <c r="B108" s="84"/>
      <c r="C108" s="2" t="s">
        <v>9</v>
      </c>
      <c r="D108" s="79"/>
      <c r="E108" s="79"/>
      <c r="F108" s="79"/>
      <c r="G108" s="79"/>
    </row>
    <row r="109" spans="1:7" x14ac:dyDescent="0.35">
      <c r="A109" s="6" t="s">
        <v>414</v>
      </c>
      <c r="B109" s="80" t="s">
        <v>415</v>
      </c>
      <c r="C109" s="7" t="s">
        <v>447</v>
      </c>
      <c r="D109" s="11">
        <f>D110+D111</f>
        <v>71340</v>
      </c>
      <c r="E109" s="11">
        <f t="shared" ref="E109:G109" si="14">E110+E111</f>
        <v>360410</v>
      </c>
      <c r="F109" s="11">
        <f t="shared" si="14"/>
        <v>360410</v>
      </c>
      <c r="G109" s="11">
        <f t="shared" si="14"/>
        <v>360410</v>
      </c>
    </row>
    <row r="110" spans="1:7" x14ac:dyDescent="0.35">
      <c r="A110" s="76"/>
      <c r="B110" s="84"/>
      <c r="C110" s="8" t="s">
        <v>527</v>
      </c>
      <c r="D110" s="1">
        <v>0</v>
      </c>
      <c r="E110" s="1">
        <v>289070</v>
      </c>
      <c r="F110" s="1">
        <v>289070</v>
      </c>
      <c r="G110" s="1">
        <v>289070</v>
      </c>
    </row>
    <row r="111" spans="1:7" ht="15.5" x14ac:dyDescent="0.35">
      <c r="A111" s="76"/>
      <c r="B111" s="84"/>
      <c r="C111" s="8" t="s">
        <v>365</v>
      </c>
      <c r="D111" s="1">
        <v>71340</v>
      </c>
      <c r="E111" s="1">
        <v>71340</v>
      </c>
      <c r="F111" s="1">
        <v>71340</v>
      </c>
      <c r="G111" s="1">
        <v>71340</v>
      </c>
    </row>
    <row r="112" spans="1:7" x14ac:dyDescent="0.35">
      <c r="A112" s="6" t="s">
        <v>416</v>
      </c>
      <c r="B112" s="81" t="s">
        <v>417</v>
      </c>
      <c r="C112" s="7" t="s">
        <v>448</v>
      </c>
      <c r="D112" s="11">
        <f>D113+D114+D115+D117+D116</f>
        <v>755499</v>
      </c>
      <c r="E112" s="11">
        <f t="shared" ref="E112:G112" si="15">E113+E114+E115+E117+E116</f>
        <v>1426030</v>
      </c>
      <c r="F112" s="11">
        <f t="shared" si="15"/>
        <v>406030</v>
      </c>
      <c r="G112" s="11">
        <f t="shared" si="15"/>
        <v>385546</v>
      </c>
    </row>
    <row r="113" spans="1:7" x14ac:dyDescent="0.35">
      <c r="A113" s="76"/>
      <c r="B113" s="84"/>
      <c r="C113" s="8" t="s">
        <v>528</v>
      </c>
      <c r="D113" s="1">
        <v>49241</v>
      </c>
      <c r="E113" s="1">
        <v>0</v>
      </c>
      <c r="F113" s="1">
        <v>0</v>
      </c>
      <c r="G113" s="1">
        <v>0</v>
      </c>
    </row>
    <row r="114" spans="1:7" x14ac:dyDescent="0.35">
      <c r="A114" s="76"/>
      <c r="B114" s="84"/>
      <c r="C114" s="8" t="s">
        <v>529</v>
      </c>
      <c r="D114" s="1">
        <v>39719</v>
      </c>
      <c r="E114" s="1">
        <v>500000</v>
      </c>
      <c r="F114" s="1">
        <v>0</v>
      </c>
      <c r="G114" s="1">
        <v>0</v>
      </c>
    </row>
    <row r="115" spans="1:7" x14ac:dyDescent="0.35">
      <c r="A115" s="76"/>
      <c r="B115" s="84"/>
      <c r="C115" s="8" t="s">
        <v>530</v>
      </c>
      <c r="D115" s="1">
        <v>32549</v>
      </c>
      <c r="E115" s="1">
        <v>550000</v>
      </c>
      <c r="F115" s="1">
        <v>0</v>
      </c>
      <c r="G115" s="1">
        <v>0</v>
      </c>
    </row>
    <row r="116" spans="1:7" ht="26" x14ac:dyDescent="0.35">
      <c r="A116" s="76"/>
      <c r="B116" s="84"/>
      <c r="C116" s="8" t="s">
        <v>531</v>
      </c>
      <c r="D116" s="1">
        <v>0</v>
      </c>
      <c r="E116" s="1">
        <v>350000</v>
      </c>
      <c r="F116" s="1">
        <v>0</v>
      </c>
      <c r="G116" s="1">
        <v>0</v>
      </c>
    </row>
    <row r="117" spans="1:7" ht="15.5" x14ac:dyDescent="0.35">
      <c r="A117" s="76"/>
      <c r="B117" s="84"/>
      <c r="C117" s="8" t="s">
        <v>365</v>
      </c>
      <c r="D117" s="1">
        <v>633990</v>
      </c>
      <c r="E117" s="1">
        <v>26030</v>
      </c>
      <c r="F117" s="1">
        <v>406030</v>
      </c>
      <c r="G117" s="1">
        <v>385546</v>
      </c>
    </row>
    <row r="118" spans="1:7" x14ac:dyDescent="0.35">
      <c r="A118" s="6" t="s">
        <v>418</v>
      </c>
      <c r="B118" s="81" t="s">
        <v>91</v>
      </c>
      <c r="C118" s="7" t="s">
        <v>449</v>
      </c>
      <c r="D118" s="11">
        <f>D119+D120</f>
        <v>58850</v>
      </c>
      <c r="E118" s="11">
        <f t="shared" ref="E118:G118" si="16">E119+E120</f>
        <v>43150</v>
      </c>
      <c r="F118" s="11">
        <f t="shared" si="16"/>
        <v>290350</v>
      </c>
      <c r="G118" s="11">
        <f t="shared" si="16"/>
        <v>40350</v>
      </c>
    </row>
    <row r="119" spans="1:7" x14ac:dyDescent="0.35">
      <c r="A119" s="76"/>
      <c r="B119" s="84"/>
      <c r="C119" s="8" t="s">
        <v>532</v>
      </c>
      <c r="D119" s="1">
        <v>0</v>
      </c>
      <c r="E119" s="1">
        <v>43150</v>
      </c>
      <c r="F119" s="1">
        <v>290350</v>
      </c>
      <c r="G119" s="1">
        <v>40350</v>
      </c>
    </row>
    <row r="120" spans="1:7" x14ac:dyDescent="0.35">
      <c r="A120" s="76"/>
      <c r="B120" s="84"/>
      <c r="C120" s="8" t="s">
        <v>29</v>
      </c>
      <c r="D120" s="1">
        <v>58850</v>
      </c>
      <c r="E120" s="1">
        <v>0</v>
      </c>
      <c r="F120" s="1">
        <v>0</v>
      </c>
      <c r="G120" s="1">
        <v>0</v>
      </c>
    </row>
    <row r="121" spans="1:7" ht="15" customHeight="1" x14ac:dyDescent="0.35">
      <c r="A121" s="14" t="s">
        <v>419</v>
      </c>
      <c r="B121" s="81" t="s">
        <v>91</v>
      </c>
      <c r="C121" s="7" t="s">
        <v>450</v>
      </c>
      <c r="D121" s="11">
        <f>D122+D123</f>
        <v>122600</v>
      </c>
      <c r="E121" s="11">
        <f t="shared" ref="E121:G121" si="17">E122+E123</f>
        <v>71800</v>
      </c>
      <c r="F121" s="11">
        <f t="shared" si="17"/>
        <v>47000</v>
      </c>
      <c r="G121" s="11">
        <f t="shared" si="17"/>
        <v>14000</v>
      </c>
    </row>
    <row r="122" spans="1:7" ht="26" x14ac:dyDescent="0.35">
      <c r="A122" s="76"/>
      <c r="B122" s="84"/>
      <c r="C122" s="8" t="s">
        <v>533</v>
      </c>
      <c r="D122" s="1">
        <v>122600</v>
      </c>
      <c r="E122" s="1">
        <v>67000</v>
      </c>
      <c r="F122" s="1">
        <v>47000</v>
      </c>
      <c r="G122" s="1">
        <v>14000</v>
      </c>
    </row>
    <row r="123" spans="1:7" x14ac:dyDescent="0.35">
      <c r="A123" s="76"/>
      <c r="B123" s="84"/>
      <c r="C123" s="8" t="s">
        <v>29</v>
      </c>
      <c r="D123" s="1">
        <v>0</v>
      </c>
      <c r="E123" s="1">
        <v>4800</v>
      </c>
      <c r="F123" s="1">
        <v>0</v>
      </c>
      <c r="G123" s="1">
        <v>0</v>
      </c>
    </row>
    <row r="124" spans="1:7" x14ac:dyDescent="0.35">
      <c r="A124" s="14" t="s">
        <v>420</v>
      </c>
      <c r="B124" s="81" t="s">
        <v>91</v>
      </c>
      <c r="C124" s="7" t="s">
        <v>451</v>
      </c>
      <c r="D124" s="11">
        <f>D125</f>
        <v>6000</v>
      </c>
      <c r="E124" s="11">
        <f t="shared" ref="E124:G124" si="18">E125</f>
        <v>6000</v>
      </c>
      <c r="F124" s="11">
        <f t="shared" si="18"/>
        <v>6000</v>
      </c>
      <c r="G124" s="11">
        <f t="shared" si="18"/>
        <v>6000</v>
      </c>
    </row>
    <row r="125" spans="1:7" x14ac:dyDescent="0.35">
      <c r="A125" s="118"/>
      <c r="B125" s="89"/>
      <c r="C125" s="82" t="s">
        <v>29</v>
      </c>
      <c r="D125" s="83">
        <v>6000</v>
      </c>
      <c r="E125" s="83">
        <v>6000</v>
      </c>
      <c r="F125" s="83">
        <v>6000</v>
      </c>
      <c r="G125" s="83">
        <v>6000</v>
      </c>
    </row>
    <row r="126" spans="1:7" x14ac:dyDescent="0.35">
      <c r="A126" s="6" t="s">
        <v>44</v>
      </c>
      <c r="B126" s="81" t="s">
        <v>91</v>
      </c>
      <c r="C126" s="7" t="s">
        <v>452</v>
      </c>
      <c r="D126" s="11">
        <f>D127+D129+D128</f>
        <v>345000</v>
      </c>
      <c r="E126" s="11">
        <f t="shared" ref="E126:G126" si="19">E127+E129+E128</f>
        <v>74000</v>
      </c>
      <c r="F126" s="11">
        <f t="shared" si="19"/>
        <v>70000</v>
      </c>
      <c r="G126" s="11">
        <f t="shared" si="19"/>
        <v>40000</v>
      </c>
    </row>
    <row r="127" spans="1:7" x14ac:dyDescent="0.35">
      <c r="A127" s="76"/>
      <c r="B127" s="84"/>
      <c r="C127" s="8" t="s">
        <v>534</v>
      </c>
      <c r="D127" s="1">
        <v>290000</v>
      </c>
      <c r="E127" s="1">
        <v>0</v>
      </c>
      <c r="F127" s="1">
        <v>0</v>
      </c>
      <c r="G127" s="1">
        <v>0</v>
      </c>
    </row>
    <row r="128" spans="1:7" ht="26" x14ac:dyDescent="0.35">
      <c r="A128" s="76"/>
      <c r="B128" s="84"/>
      <c r="C128" s="8" t="s">
        <v>535</v>
      </c>
      <c r="D128" s="1">
        <v>0</v>
      </c>
      <c r="E128" s="1">
        <v>30000</v>
      </c>
      <c r="F128" s="1">
        <v>30000</v>
      </c>
      <c r="G128" s="1">
        <v>0</v>
      </c>
    </row>
    <row r="129" spans="1:7" x14ac:dyDescent="0.35">
      <c r="A129" s="76"/>
      <c r="B129" s="84"/>
      <c r="C129" s="8" t="s">
        <v>29</v>
      </c>
      <c r="D129" s="1">
        <v>55000</v>
      </c>
      <c r="E129" s="1">
        <v>44000</v>
      </c>
      <c r="F129" s="1">
        <v>40000</v>
      </c>
      <c r="G129" s="1">
        <v>40000</v>
      </c>
    </row>
    <row r="130" spans="1:7" x14ac:dyDescent="0.35">
      <c r="A130" s="14" t="s">
        <v>422</v>
      </c>
      <c r="B130" s="81" t="s">
        <v>421</v>
      </c>
      <c r="C130" s="7" t="s">
        <v>453</v>
      </c>
      <c r="D130" s="11">
        <f>D131+D132</f>
        <v>0</v>
      </c>
      <c r="E130" s="11">
        <f t="shared" ref="E130:G130" si="20">E131+E132</f>
        <v>83205</v>
      </c>
      <c r="F130" s="11">
        <f t="shared" si="20"/>
        <v>83205</v>
      </c>
      <c r="G130" s="11">
        <f t="shared" si="20"/>
        <v>0</v>
      </c>
    </row>
    <row r="131" spans="1:7" x14ac:dyDescent="0.35">
      <c r="A131" s="76"/>
      <c r="B131" s="84"/>
      <c r="C131" s="8" t="s">
        <v>536</v>
      </c>
      <c r="D131" s="1">
        <v>0</v>
      </c>
      <c r="E131" s="1">
        <v>72000</v>
      </c>
      <c r="F131" s="1">
        <v>72000</v>
      </c>
      <c r="G131" s="1">
        <v>0</v>
      </c>
    </row>
    <row r="132" spans="1:7" x14ac:dyDescent="0.35">
      <c r="A132" s="76"/>
      <c r="B132" s="84"/>
      <c r="C132" s="8" t="s">
        <v>29</v>
      </c>
      <c r="D132" s="1">
        <v>0</v>
      </c>
      <c r="E132" s="1">
        <v>11205</v>
      </c>
      <c r="F132" s="1">
        <v>11205</v>
      </c>
      <c r="G132" s="1">
        <v>0</v>
      </c>
    </row>
    <row r="133" spans="1:7" x14ac:dyDescent="0.35">
      <c r="A133" s="14" t="s">
        <v>423</v>
      </c>
      <c r="B133" s="81" t="s">
        <v>421</v>
      </c>
      <c r="C133" s="7" t="s">
        <v>454</v>
      </c>
      <c r="D133" s="11">
        <f>D134+D135</f>
        <v>0</v>
      </c>
      <c r="E133" s="11">
        <f t="shared" ref="E133:G133" si="21">E134+E135</f>
        <v>214548</v>
      </c>
      <c r="F133" s="11">
        <f t="shared" si="21"/>
        <v>196008</v>
      </c>
      <c r="G133" s="11">
        <f t="shared" si="21"/>
        <v>16008</v>
      </c>
    </row>
    <row r="134" spans="1:7" ht="26" x14ac:dyDescent="0.35">
      <c r="A134" s="76"/>
      <c r="B134" s="84"/>
      <c r="C134" s="8" t="s">
        <v>537</v>
      </c>
      <c r="D134" s="1">
        <v>0</v>
      </c>
      <c r="E134" s="1">
        <v>196008</v>
      </c>
      <c r="F134" s="1">
        <v>196008</v>
      </c>
      <c r="G134" s="1">
        <v>16008</v>
      </c>
    </row>
    <row r="135" spans="1:7" x14ac:dyDescent="0.35">
      <c r="A135" s="76"/>
      <c r="B135" s="84"/>
      <c r="C135" s="8" t="s">
        <v>29</v>
      </c>
      <c r="D135" s="1">
        <v>0</v>
      </c>
      <c r="E135" s="1">
        <v>18540</v>
      </c>
      <c r="F135" s="1">
        <v>0</v>
      </c>
      <c r="G135" s="1">
        <v>0</v>
      </c>
    </row>
    <row r="136" spans="1:7" x14ac:dyDescent="0.35">
      <c r="A136" s="14" t="s">
        <v>48</v>
      </c>
      <c r="B136" s="81" t="s">
        <v>424</v>
      </c>
      <c r="C136" s="7" t="s">
        <v>455</v>
      </c>
      <c r="D136" s="11">
        <f>D137</f>
        <v>6000</v>
      </c>
      <c r="E136" s="11">
        <f t="shared" ref="E136:G136" si="22">E137</f>
        <v>6000</v>
      </c>
      <c r="F136" s="11">
        <f t="shared" si="22"/>
        <v>6000</v>
      </c>
      <c r="G136" s="11">
        <f t="shared" si="22"/>
        <v>6000</v>
      </c>
    </row>
    <row r="137" spans="1:7" x14ac:dyDescent="0.35">
      <c r="A137" s="118"/>
      <c r="B137" s="89"/>
      <c r="C137" s="82" t="s">
        <v>29</v>
      </c>
      <c r="D137" s="83">
        <v>6000</v>
      </c>
      <c r="E137" s="83">
        <v>6000</v>
      </c>
      <c r="F137" s="83">
        <v>6000</v>
      </c>
      <c r="G137" s="83">
        <v>6000</v>
      </c>
    </row>
    <row r="138" spans="1:7" x14ac:dyDescent="0.35">
      <c r="A138" s="6" t="s">
        <v>61</v>
      </c>
      <c r="B138" s="81" t="s">
        <v>91</v>
      </c>
      <c r="C138" s="7" t="s">
        <v>62</v>
      </c>
      <c r="D138" s="11">
        <f>D139+D140</f>
        <v>491313</v>
      </c>
      <c r="E138" s="11">
        <f>E139+E140</f>
        <v>221313</v>
      </c>
      <c r="F138" s="11">
        <f>F139+F140</f>
        <v>211313</v>
      </c>
      <c r="G138" s="11">
        <f>G139+G140</f>
        <v>81313</v>
      </c>
    </row>
    <row r="139" spans="1:7" ht="26" x14ac:dyDescent="0.35">
      <c r="A139" s="76"/>
      <c r="B139" s="84"/>
      <c r="C139" s="8" t="s">
        <v>538</v>
      </c>
      <c r="D139" s="1">
        <v>0</v>
      </c>
      <c r="E139" s="1">
        <v>135313</v>
      </c>
      <c r="F139" s="1">
        <v>137353</v>
      </c>
      <c r="G139" s="1">
        <v>0</v>
      </c>
    </row>
    <row r="140" spans="1:7" x14ac:dyDescent="0.35">
      <c r="A140" s="76"/>
      <c r="B140" s="84"/>
      <c r="C140" s="8" t="s">
        <v>29</v>
      </c>
      <c r="D140" s="1">
        <v>491313</v>
      </c>
      <c r="E140" s="1">
        <v>86000</v>
      </c>
      <c r="F140" s="1">
        <v>73960</v>
      </c>
      <c r="G140" s="1">
        <v>81313</v>
      </c>
    </row>
    <row r="141" spans="1:7" ht="45" x14ac:dyDescent="0.35">
      <c r="A141" s="75"/>
      <c r="B141" s="88"/>
      <c r="C141" s="3" t="s">
        <v>21</v>
      </c>
      <c r="D141" s="9">
        <f>D143+D144+D145</f>
        <v>1158679</v>
      </c>
      <c r="E141" s="9">
        <f t="shared" ref="E141:G141" si="23">E143+E144+E145</f>
        <v>1522392</v>
      </c>
      <c r="F141" s="9">
        <f t="shared" si="23"/>
        <v>65527</v>
      </c>
      <c r="G141" s="9">
        <f t="shared" si="23"/>
        <v>0</v>
      </c>
    </row>
    <row r="142" spans="1:7" ht="15" x14ac:dyDescent="0.35">
      <c r="A142" s="76"/>
      <c r="B142" s="84"/>
      <c r="C142" s="2" t="s">
        <v>9</v>
      </c>
      <c r="D142" s="79"/>
      <c r="E142" s="79"/>
      <c r="F142" s="79"/>
      <c r="G142" s="79"/>
    </row>
    <row r="143" spans="1:7" x14ac:dyDescent="0.35">
      <c r="A143" s="6" t="s">
        <v>241</v>
      </c>
      <c r="B143" s="10" t="s">
        <v>91</v>
      </c>
      <c r="C143" s="7" t="s">
        <v>141</v>
      </c>
      <c r="D143" s="11">
        <v>1151079</v>
      </c>
      <c r="E143" s="11">
        <v>1192392</v>
      </c>
      <c r="F143" s="11">
        <v>65527</v>
      </c>
      <c r="G143" s="11">
        <v>0</v>
      </c>
    </row>
    <row r="144" spans="1:7" x14ac:dyDescent="0.35">
      <c r="A144" s="6" t="s">
        <v>425</v>
      </c>
      <c r="B144" s="10" t="s">
        <v>91</v>
      </c>
      <c r="C144" s="7" t="s">
        <v>539</v>
      </c>
      <c r="D144" s="11">
        <v>5000</v>
      </c>
      <c r="E144" s="11">
        <v>330000</v>
      </c>
      <c r="F144" s="11">
        <v>0</v>
      </c>
      <c r="G144" s="11">
        <v>0</v>
      </c>
    </row>
    <row r="145" spans="1:7" ht="26" x14ac:dyDescent="0.35">
      <c r="A145" s="6" t="s">
        <v>282</v>
      </c>
      <c r="B145" s="10" t="s">
        <v>91</v>
      </c>
      <c r="C145" s="7" t="s">
        <v>444</v>
      </c>
      <c r="D145" s="11">
        <v>2600</v>
      </c>
      <c r="E145" s="11">
        <v>0</v>
      </c>
      <c r="F145" s="11">
        <v>0</v>
      </c>
      <c r="G145" s="11">
        <v>0</v>
      </c>
    </row>
    <row r="146" spans="1:7" ht="15" x14ac:dyDescent="0.35">
      <c r="A146" s="127"/>
      <c r="B146" s="127"/>
      <c r="C146" s="127" t="s">
        <v>70</v>
      </c>
      <c r="D146" s="128">
        <f>D147+D183</f>
        <v>16532620</v>
      </c>
      <c r="E146" s="128">
        <f>E147+E183</f>
        <v>13409109</v>
      </c>
      <c r="F146" s="128">
        <f>F147+F183</f>
        <v>10482118</v>
      </c>
      <c r="G146" s="128">
        <f>G147+G183</f>
        <v>7163458</v>
      </c>
    </row>
    <row r="147" spans="1:7" ht="15.5" x14ac:dyDescent="0.35">
      <c r="A147" s="28"/>
      <c r="B147" s="28"/>
      <c r="C147" s="3" t="s">
        <v>10</v>
      </c>
      <c r="D147" s="9">
        <f>D170+D149+D151+D174+D159+D163+D179+D172</f>
        <v>13193997</v>
      </c>
      <c r="E147" s="9">
        <f t="shared" ref="E147:G147" si="24">E170+E149+E151+E174+E159+E163+E179+E172</f>
        <v>11568214</v>
      </c>
      <c r="F147" s="9">
        <f t="shared" si="24"/>
        <v>9567236</v>
      </c>
      <c r="G147" s="9">
        <f t="shared" si="24"/>
        <v>6820267</v>
      </c>
    </row>
    <row r="148" spans="1:7" x14ac:dyDescent="0.35">
      <c r="A148" s="84"/>
      <c r="B148" s="84"/>
      <c r="C148" s="2" t="s">
        <v>9</v>
      </c>
      <c r="D148" s="16"/>
      <c r="E148" s="16"/>
      <c r="F148" s="16"/>
      <c r="G148" s="16"/>
    </row>
    <row r="149" spans="1:7" x14ac:dyDescent="0.35">
      <c r="A149" s="6" t="s">
        <v>71</v>
      </c>
      <c r="B149" s="10" t="s">
        <v>72</v>
      </c>
      <c r="C149" s="7" t="s">
        <v>434</v>
      </c>
      <c r="D149" s="11">
        <f>D150</f>
        <v>0</v>
      </c>
      <c r="E149" s="11">
        <f t="shared" ref="E149:G149" si="25">E150</f>
        <v>2000</v>
      </c>
      <c r="F149" s="11">
        <f t="shared" si="25"/>
        <v>2000</v>
      </c>
      <c r="G149" s="11">
        <f t="shared" si="25"/>
        <v>2000</v>
      </c>
    </row>
    <row r="150" spans="1:7" x14ac:dyDescent="0.35">
      <c r="A150" s="182"/>
      <c r="B150" s="182"/>
      <c r="C150" s="8" t="s">
        <v>29</v>
      </c>
      <c r="D150" s="1">
        <v>0</v>
      </c>
      <c r="E150" s="1">
        <v>2000</v>
      </c>
      <c r="F150" s="1">
        <v>2000</v>
      </c>
      <c r="G150" s="1">
        <v>2000</v>
      </c>
    </row>
    <row r="151" spans="1:7" x14ac:dyDescent="0.35">
      <c r="A151" s="14" t="s">
        <v>73</v>
      </c>
      <c r="B151" s="10" t="s">
        <v>72</v>
      </c>
      <c r="C151" s="7" t="s">
        <v>435</v>
      </c>
      <c r="D151" s="11">
        <f>SUM(D152:D158)</f>
        <v>1440838</v>
      </c>
      <c r="E151" s="11">
        <f t="shared" ref="E151:G151" si="26">SUM(E152:E158)</f>
        <v>1346158</v>
      </c>
      <c r="F151" s="11">
        <f>SUM(F152:F158)</f>
        <v>629758</v>
      </c>
      <c r="G151" s="11">
        <f t="shared" si="26"/>
        <v>629758</v>
      </c>
    </row>
    <row r="152" spans="1:7" ht="26" x14ac:dyDescent="0.35">
      <c r="A152" s="84"/>
      <c r="B152" s="84"/>
      <c r="C152" s="8" t="s">
        <v>74</v>
      </c>
      <c r="D152" s="1">
        <v>731700</v>
      </c>
      <c r="E152" s="1">
        <v>675000</v>
      </c>
      <c r="F152" s="1">
        <v>0</v>
      </c>
      <c r="G152" s="1">
        <v>0</v>
      </c>
    </row>
    <row r="153" spans="1:7" x14ac:dyDescent="0.35">
      <c r="A153" s="84"/>
      <c r="B153" s="84"/>
      <c r="C153" s="8" t="s">
        <v>75</v>
      </c>
      <c r="D153" s="1">
        <v>79380</v>
      </c>
      <c r="E153" s="1">
        <v>41400</v>
      </c>
      <c r="F153" s="1">
        <v>0</v>
      </c>
      <c r="G153" s="1">
        <v>0</v>
      </c>
    </row>
    <row r="154" spans="1:7" x14ac:dyDescent="0.35">
      <c r="A154" s="84"/>
      <c r="B154" s="84"/>
      <c r="C154" s="8" t="s">
        <v>76</v>
      </c>
      <c r="D154" s="1">
        <f>65791</f>
        <v>65791</v>
      </c>
      <c r="E154" s="1">
        <v>0</v>
      </c>
      <c r="F154" s="1">
        <v>0</v>
      </c>
      <c r="G154" s="1">
        <v>0</v>
      </c>
    </row>
    <row r="155" spans="1:7" ht="26" x14ac:dyDescent="0.35">
      <c r="A155" s="84"/>
      <c r="B155" s="84"/>
      <c r="C155" s="8" t="s">
        <v>581</v>
      </c>
      <c r="D155" s="1">
        <v>85000</v>
      </c>
      <c r="E155" s="1">
        <v>0</v>
      </c>
      <c r="F155" s="1">
        <v>0</v>
      </c>
      <c r="G155" s="1">
        <v>0</v>
      </c>
    </row>
    <row r="156" spans="1:7" x14ac:dyDescent="0.35">
      <c r="A156" s="84"/>
      <c r="B156" s="84"/>
      <c r="C156" s="8" t="s">
        <v>77</v>
      </c>
      <c r="D156" s="1">
        <v>120000</v>
      </c>
      <c r="E156" s="1">
        <v>78081</v>
      </c>
      <c r="F156" s="1">
        <v>0</v>
      </c>
      <c r="G156" s="1">
        <v>0</v>
      </c>
    </row>
    <row r="157" spans="1:7" ht="39" x14ac:dyDescent="0.35">
      <c r="A157" s="84"/>
      <c r="B157" s="84"/>
      <c r="C157" s="8" t="s">
        <v>78</v>
      </c>
      <c r="D157" s="1">
        <v>84000</v>
      </c>
      <c r="E157" s="1">
        <v>30000</v>
      </c>
      <c r="F157" s="1">
        <v>0</v>
      </c>
      <c r="G157" s="1">
        <v>0</v>
      </c>
    </row>
    <row r="158" spans="1:7" x14ac:dyDescent="0.35">
      <c r="A158" s="84"/>
      <c r="B158" s="84"/>
      <c r="C158" s="8" t="s">
        <v>29</v>
      </c>
      <c r="D158" s="1">
        <v>274967</v>
      </c>
      <c r="E158" s="1">
        <v>521677</v>
      </c>
      <c r="F158" s="1">
        <v>629758</v>
      </c>
      <c r="G158" s="1">
        <v>629758</v>
      </c>
    </row>
    <row r="159" spans="1:7" x14ac:dyDescent="0.35">
      <c r="A159" s="6" t="s">
        <v>79</v>
      </c>
      <c r="B159" s="6" t="s">
        <v>72</v>
      </c>
      <c r="C159" s="7" t="s">
        <v>436</v>
      </c>
      <c r="D159" s="11">
        <f>SUM(D160:D162)</f>
        <v>178557</v>
      </c>
      <c r="E159" s="11">
        <f t="shared" ref="E159:G159" si="27">SUM(E160:E162)</f>
        <v>91627</v>
      </c>
      <c r="F159" s="11">
        <f t="shared" si="27"/>
        <v>282843</v>
      </c>
      <c r="G159" s="11">
        <f t="shared" si="27"/>
        <v>118057</v>
      </c>
    </row>
    <row r="160" spans="1:7" x14ac:dyDescent="0.35">
      <c r="A160" s="84"/>
      <c r="B160" s="84"/>
      <c r="C160" s="8" t="s">
        <v>80</v>
      </c>
      <c r="D160" s="1">
        <f>130010+48547</f>
        <v>178557</v>
      </c>
      <c r="E160" s="12">
        <v>91627</v>
      </c>
      <c r="F160" s="1">
        <v>0</v>
      </c>
      <c r="G160" s="1">
        <v>0</v>
      </c>
    </row>
    <row r="161" spans="1:7" ht="26" x14ac:dyDescent="0.35">
      <c r="A161" s="84"/>
      <c r="B161" s="84"/>
      <c r="C161" s="8" t="s">
        <v>81</v>
      </c>
      <c r="D161" s="1">
        <v>0</v>
      </c>
      <c r="E161" s="1">
        <v>0</v>
      </c>
      <c r="F161" s="1">
        <v>164786</v>
      </c>
      <c r="G161" s="1">
        <v>0</v>
      </c>
    </row>
    <row r="162" spans="1:7" x14ac:dyDescent="0.35">
      <c r="A162" s="84"/>
      <c r="B162" s="84"/>
      <c r="C162" s="8" t="s">
        <v>29</v>
      </c>
      <c r="D162" s="1">
        <v>0</v>
      </c>
      <c r="E162" s="1">
        <v>0</v>
      </c>
      <c r="F162" s="1">
        <v>118057</v>
      </c>
      <c r="G162" s="1">
        <v>118057</v>
      </c>
    </row>
    <row r="163" spans="1:7" x14ac:dyDescent="0.35">
      <c r="A163" s="6" t="s">
        <v>52</v>
      </c>
      <c r="B163" s="6" t="s">
        <v>72</v>
      </c>
      <c r="C163" s="7" t="s">
        <v>82</v>
      </c>
      <c r="D163" s="11">
        <f>SUM(D164:D169)</f>
        <v>11407812</v>
      </c>
      <c r="E163" s="11">
        <f t="shared" ref="E163:G163" si="28">SUM(E164:E169)</f>
        <v>9946489</v>
      </c>
      <c r="F163" s="11">
        <f t="shared" si="28"/>
        <v>8255611</v>
      </c>
      <c r="G163" s="11">
        <f t="shared" si="28"/>
        <v>5911662</v>
      </c>
    </row>
    <row r="164" spans="1:7" ht="26" x14ac:dyDescent="0.35">
      <c r="A164" s="84"/>
      <c r="B164" s="84"/>
      <c r="C164" s="8" t="s">
        <v>83</v>
      </c>
      <c r="D164" s="1">
        <v>2457846</v>
      </c>
      <c r="E164" s="1">
        <v>2211176</v>
      </c>
      <c r="F164" s="1">
        <v>1390000</v>
      </c>
      <c r="G164" s="1">
        <v>0</v>
      </c>
    </row>
    <row r="165" spans="1:7" ht="26" x14ac:dyDescent="0.35">
      <c r="A165" s="84"/>
      <c r="B165" s="84"/>
      <c r="C165" s="8" t="s">
        <v>84</v>
      </c>
      <c r="D165" s="1">
        <v>2908576</v>
      </c>
      <c r="E165" s="1">
        <v>4485120</v>
      </c>
      <c r="F165" s="1">
        <v>4052968</v>
      </c>
      <c r="G165" s="1">
        <v>3080580</v>
      </c>
    </row>
    <row r="166" spans="1:7" x14ac:dyDescent="0.35">
      <c r="A166" s="84"/>
      <c r="B166" s="84"/>
      <c r="C166" s="8" t="s">
        <v>85</v>
      </c>
      <c r="D166" s="1">
        <v>1847647</v>
      </c>
      <c r="E166" s="1">
        <v>187550</v>
      </c>
      <c r="F166" s="1">
        <v>0</v>
      </c>
      <c r="G166" s="1">
        <v>0</v>
      </c>
    </row>
    <row r="167" spans="1:7" ht="26" x14ac:dyDescent="0.35">
      <c r="A167" s="84"/>
      <c r="B167" s="84"/>
      <c r="C167" s="8" t="s">
        <v>86</v>
      </c>
      <c r="D167" s="1">
        <v>0</v>
      </c>
      <c r="E167" s="1">
        <v>250000</v>
      </c>
      <c r="F167" s="1">
        <v>0</v>
      </c>
      <c r="G167" s="1">
        <v>0</v>
      </c>
    </row>
    <row r="168" spans="1:7" ht="26" x14ac:dyDescent="0.35">
      <c r="A168" s="84"/>
      <c r="B168" s="84"/>
      <c r="C168" s="8" t="s">
        <v>87</v>
      </c>
      <c r="D168" s="1">
        <v>0</v>
      </c>
      <c r="E168" s="1">
        <v>219423</v>
      </c>
      <c r="F168" s="1">
        <v>219423</v>
      </c>
      <c r="G168" s="1">
        <v>219423</v>
      </c>
    </row>
    <row r="169" spans="1:7" x14ac:dyDescent="0.35">
      <c r="A169" s="84"/>
      <c r="B169" s="84"/>
      <c r="C169" s="8" t="s">
        <v>29</v>
      </c>
      <c r="D169" s="1">
        <v>4193743</v>
      </c>
      <c r="E169" s="1">
        <v>2593220</v>
      </c>
      <c r="F169" s="1">
        <v>2593220</v>
      </c>
      <c r="G169" s="1">
        <v>2611659</v>
      </c>
    </row>
    <row r="170" spans="1:7" ht="26" x14ac:dyDescent="0.35">
      <c r="A170" s="6" t="s">
        <v>88</v>
      </c>
      <c r="B170" s="10" t="s">
        <v>72</v>
      </c>
      <c r="C170" s="7" t="s">
        <v>437</v>
      </c>
      <c r="D170" s="11">
        <f>D171</f>
        <v>64029</v>
      </c>
      <c r="E170" s="11">
        <f t="shared" ref="E170:G172" si="29">E171</f>
        <v>64029</v>
      </c>
      <c r="F170" s="11">
        <f t="shared" si="29"/>
        <v>64029</v>
      </c>
      <c r="G170" s="11">
        <f t="shared" si="29"/>
        <v>64029</v>
      </c>
    </row>
    <row r="171" spans="1:7" x14ac:dyDescent="0.35">
      <c r="A171" s="84"/>
      <c r="B171" s="84"/>
      <c r="C171" s="8" t="s">
        <v>29</v>
      </c>
      <c r="D171" s="1">
        <v>64029</v>
      </c>
      <c r="E171" s="1">
        <v>64029</v>
      </c>
      <c r="F171" s="1">
        <v>64029</v>
      </c>
      <c r="G171" s="1">
        <v>64029</v>
      </c>
    </row>
    <row r="172" spans="1:7" x14ac:dyDescent="0.35">
      <c r="A172" s="6" t="s">
        <v>89</v>
      </c>
      <c r="B172" s="10" t="s">
        <v>72</v>
      </c>
      <c r="C172" s="7" t="s">
        <v>438</v>
      </c>
      <c r="D172" s="11">
        <f>D173</f>
        <v>8000</v>
      </c>
      <c r="E172" s="11">
        <f t="shared" si="29"/>
        <v>0</v>
      </c>
      <c r="F172" s="11">
        <f t="shared" si="29"/>
        <v>0</v>
      </c>
      <c r="G172" s="11">
        <f t="shared" si="29"/>
        <v>0</v>
      </c>
    </row>
    <row r="173" spans="1:7" x14ac:dyDescent="0.35">
      <c r="A173" s="84"/>
      <c r="B173" s="84"/>
      <c r="C173" s="8" t="s">
        <v>29</v>
      </c>
      <c r="D173" s="1">
        <v>8000</v>
      </c>
      <c r="E173" s="1">
        <v>0</v>
      </c>
      <c r="F173" s="1">
        <v>0</v>
      </c>
      <c r="G173" s="1">
        <v>0</v>
      </c>
    </row>
    <row r="174" spans="1:7" x14ac:dyDescent="0.35">
      <c r="A174" s="6" t="s">
        <v>90</v>
      </c>
      <c r="B174" s="6" t="s">
        <v>91</v>
      </c>
      <c r="C174" s="7" t="s">
        <v>439</v>
      </c>
      <c r="D174" s="11">
        <f>D176+D175</f>
        <v>2846</v>
      </c>
      <c r="E174" s="11">
        <f>E176+E175</f>
        <v>2846</v>
      </c>
      <c r="F174" s="11">
        <f>F176+F175</f>
        <v>72075</v>
      </c>
      <c r="G174" s="11">
        <f>G176+G175</f>
        <v>2846</v>
      </c>
    </row>
    <row r="175" spans="1:7" ht="26" x14ac:dyDescent="0.35">
      <c r="A175" s="84"/>
      <c r="B175" s="84"/>
      <c r="C175" s="8" t="s">
        <v>81</v>
      </c>
      <c r="D175" s="1">
        <v>0</v>
      </c>
      <c r="E175" s="1">
        <v>0</v>
      </c>
      <c r="F175" s="1">
        <v>69229</v>
      </c>
      <c r="G175" s="1">
        <v>0</v>
      </c>
    </row>
    <row r="176" spans="1:7" x14ac:dyDescent="0.35">
      <c r="A176" s="84"/>
      <c r="B176" s="84"/>
      <c r="C176" s="8" t="s">
        <v>29</v>
      </c>
      <c r="D176" s="1">
        <v>2846</v>
      </c>
      <c r="E176" s="1">
        <v>2846</v>
      </c>
      <c r="F176" s="1">
        <v>2846</v>
      </c>
      <c r="G176" s="1">
        <v>2846</v>
      </c>
    </row>
    <row r="177" spans="1:7" ht="26" x14ac:dyDescent="0.35">
      <c r="A177" s="6" t="s">
        <v>92</v>
      </c>
      <c r="B177" s="10" t="s">
        <v>93</v>
      </c>
      <c r="C177" s="7" t="s">
        <v>440</v>
      </c>
      <c r="D177" s="11">
        <f>D178</f>
        <v>33843060</v>
      </c>
      <c r="E177" s="11">
        <f t="shared" ref="E177:G177" si="30">E178</f>
        <v>52428866</v>
      </c>
      <c r="F177" s="11">
        <f t="shared" si="30"/>
        <v>29438078</v>
      </c>
      <c r="G177" s="11">
        <f t="shared" si="30"/>
        <v>15060778</v>
      </c>
    </row>
    <row r="178" spans="1:7" ht="26" x14ac:dyDescent="0.35">
      <c r="A178" s="84"/>
      <c r="B178" s="84"/>
      <c r="C178" s="8" t="s">
        <v>94</v>
      </c>
      <c r="D178" s="1">
        <v>33843060</v>
      </c>
      <c r="E178" s="1">
        <v>52428866</v>
      </c>
      <c r="F178" s="1">
        <v>29438078</v>
      </c>
      <c r="G178" s="1">
        <v>15060778</v>
      </c>
    </row>
    <row r="179" spans="1:7" x14ac:dyDescent="0.35">
      <c r="A179" s="6" t="s">
        <v>61</v>
      </c>
      <c r="B179" s="6" t="s">
        <v>72</v>
      </c>
      <c r="C179" s="7" t="s">
        <v>62</v>
      </c>
      <c r="D179" s="11">
        <f>SUM(D180:D182)</f>
        <v>91915</v>
      </c>
      <c r="E179" s="11">
        <f t="shared" ref="E179:G179" si="31">SUM(E180:E182)</f>
        <v>115065</v>
      </c>
      <c r="F179" s="11">
        <f t="shared" si="31"/>
        <v>260920</v>
      </c>
      <c r="G179" s="11">
        <f t="shared" si="31"/>
        <v>91915</v>
      </c>
    </row>
    <row r="180" spans="1:7" x14ac:dyDescent="0.35">
      <c r="A180" s="84"/>
      <c r="B180" s="84"/>
      <c r="C180" s="8" t="s">
        <v>95</v>
      </c>
      <c r="D180" s="1">
        <v>17641</v>
      </c>
      <c r="E180" s="1">
        <v>0</v>
      </c>
      <c r="F180" s="1">
        <v>0</v>
      </c>
      <c r="G180" s="1">
        <v>0</v>
      </c>
    </row>
    <row r="181" spans="1:7" ht="26" x14ac:dyDescent="0.35">
      <c r="A181" s="84"/>
      <c r="B181" s="84"/>
      <c r="C181" s="8" t="s">
        <v>81</v>
      </c>
      <c r="D181" s="1">
        <v>0</v>
      </c>
      <c r="E181" s="1">
        <v>0</v>
      </c>
      <c r="F181" s="1">
        <v>169005</v>
      </c>
      <c r="G181" s="1">
        <v>0</v>
      </c>
    </row>
    <row r="182" spans="1:7" x14ac:dyDescent="0.35">
      <c r="A182" s="84"/>
      <c r="B182" s="84"/>
      <c r="C182" s="8" t="s">
        <v>29</v>
      </c>
      <c r="D182" s="1">
        <v>74274</v>
      </c>
      <c r="E182" s="1">
        <v>115065</v>
      </c>
      <c r="F182" s="1">
        <f>260920-F181</f>
        <v>91915</v>
      </c>
      <c r="G182" s="1">
        <v>91915</v>
      </c>
    </row>
    <row r="183" spans="1:7" ht="45" x14ac:dyDescent="0.35">
      <c r="A183" s="28"/>
      <c r="B183" s="28"/>
      <c r="C183" s="3" t="s">
        <v>21</v>
      </c>
      <c r="D183" s="9">
        <f>D185+D186+D187+D188+D189+D191+D192</f>
        <v>3338623</v>
      </c>
      <c r="E183" s="9">
        <f t="shared" ref="E183:G183" si="32">E185+E186+E187+E188+E189+E191+E192</f>
        <v>1840895</v>
      </c>
      <c r="F183" s="9">
        <f t="shared" si="32"/>
        <v>914882</v>
      </c>
      <c r="G183" s="9">
        <f t="shared" si="32"/>
        <v>343191</v>
      </c>
    </row>
    <row r="184" spans="1:7" x14ac:dyDescent="0.35">
      <c r="A184" s="84"/>
      <c r="B184" s="84"/>
      <c r="C184" s="2" t="s">
        <v>9</v>
      </c>
      <c r="D184" s="16"/>
      <c r="E184" s="16"/>
      <c r="F184" s="16"/>
      <c r="G184" s="16"/>
    </row>
    <row r="185" spans="1:7" x14ac:dyDescent="0.35">
      <c r="A185" s="6" t="s">
        <v>96</v>
      </c>
      <c r="B185" s="6" t="s">
        <v>72</v>
      </c>
      <c r="C185" s="7" t="s">
        <v>441</v>
      </c>
      <c r="D185" s="11">
        <v>22000</v>
      </c>
      <c r="E185" s="11">
        <v>0</v>
      </c>
      <c r="F185" s="11">
        <v>0</v>
      </c>
      <c r="G185" s="11">
        <v>0</v>
      </c>
    </row>
    <row r="186" spans="1:7" ht="26" x14ac:dyDescent="0.35">
      <c r="A186" s="6" t="s">
        <v>97</v>
      </c>
      <c r="B186" s="6" t="s">
        <v>72</v>
      </c>
      <c r="C186" s="7" t="s">
        <v>442</v>
      </c>
      <c r="D186" s="11">
        <v>1649190</v>
      </c>
      <c r="E186" s="11">
        <v>331594</v>
      </c>
      <c r="F186" s="11">
        <v>0</v>
      </c>
      <c r="G186" s="11">
        <v>0</v>
      </c>
    </row>
    <row r="187" spans="1:7" ht="26" x14ac:dyDescent="0.35">
      <c r="A187" s="6" t="s">
        <v>22</v>
      </c>
      <c r="B187" s="6" t="s">
        <v>72</v>
      </c>
      <c r="C187" s="7" t="s">
        <v>443</v>
      </c>
      <c r="D187" s="11">
        <v>10000</v>
      </c>
      <c r="E187" s="11">
        <v>0</v>
      </c>
      <c r="F187" s="11">
        <v>0</v>
      </c>
      <c r="G187" s="11">
        <v>0</v>
      </c>
    </row>
    <row r="188" spans="1:7" x14ac:dyDescent="0.35">
      <c r="A188" s="6" t="s">
        <v>98</v>
      </c>
      <c r="B188" s="6" t="s">
        <v>72</v>
      </c>
      <c r="C188" s="7" t="s">
        <v>246</v>
      </c>
      <c r="D188" s="11">
        <v>483519</v>
      </c>
      <c r="E188" s="11">
        <v>0</v>
      </c>
      <c r="F188" s="11">
        <v>0</v>
      </c>
      <c r="G188" s="11">
        <v>0</v>
      </c>
    </row>
    <row r="189" spans="1:7" ht="26" x14ac:dyDescent="0.35">
      <c r="A189" s="6" t="s">
        <v>99</v>
      </c>
      <c r="B189" s="6" t="s">
        <v>72</v>
      </c>
      <c r="C189" s="7" t="s">
        <v>444</v>
      </c>
      <c r="D189" s="11">
        <v>722217</v>
      </c>
      <c r="E189" s="11">
        <v>515209</v>
      </c>
      <c r="F189" s="11">
        <v>765641</v>
      </c>
      <c r="G189" s="11">
        <v>193950</v>
      </c>
    </row>
    <row r="190" spans="1:7" ht="39" x14ac:dyDescent="0.35">
      <c r="A190" s="84"/>
      <c r="B190" s="84"/>
      <c r="C190" s="8" t="s">
        <v>100</v>
      </c>
      <c r="D190" s="1">
        <v>0</v>
      </c>
      <c r="E190" s="1">
        <v>859373</v>
      </c>
      <c r="F190" s="1">
        <v>1018778</v>
      </c>
      <c r="G190" s="1">
        <f>193950-G189</f>
        <v>0</v>
      </c>
    </row>
    <row r="191" spans="1:7" ht="26" x14ac:dyDescent="0.35">
      <c r="A191" s="6" t="s">
        <v>101</v>
      </c>
      <c r="B191" s="6" t="s">
        <v>72</v>
      </c>
      <c r="C191" s="7" t="s">
        <v>445</v>
      </c>
      <c r="D191" s="11">
        <v>451697</v>
      </c>
      <c r="E191" s="11">
        <v>451697</v>
      </c>
      <c r="F191" s="11">
        <v>149241</v>
      </c>
      <c r="G191" s="11">
        <v>149241</v>
      </c>
    </row>
    <row r="192" spans="1:7" ht="26" x14ac:dyDescent="0.35">
      <c r="A192" s="6" t="s">
        <v>102</v>
      </c>
      <c r="B192" s="6" t="s">
        <v>72</v>
      </c>
      <c r="C192" s="7" t="s">
        <v>446</v>
      </c>
      <c r="D192" s="11">
        <v>0</v>
      </c>
      <c r="E192" s="11">
        <v>542395</v>
      </c>
      <c r="F192" s="11">
        <v>0</v>
      </c>
      <c r="G192" s="11">
        <v>0</v>
      </c>
    </row>
    <row r="193" spans="1:7" ht="15" x14ac:dyDescent="0.35">
      <c r="A193" s="132"/>
      <c r="B193" s="132"/>
      <c r="C193" s="127" t="s">
        <v>366</v>
      </c>
      <c r="D193" s="128">
        <f>D194+D242</f>
        <v>35815530</v>
      </c>
      <c r="E193" s="128">
        <f>E194+E242</f>
        <v>60954963</v>
      </c>
      <c r="F193" s="128">
        <f>F194+F242</f>
        <v>8709955</v>
      </c>
      <c r="G193" s="128">
        <f>G194+G242</f>
        <v>12817730</v>
      </c>
    </row>
    <row r="194" spans="1:7" ht="15" x14ac:dyDescent="0.35">
      <c r="A194" s="75"/>
      <c r="B194" s="75"/>
      <c r="C194" s="3" t="s">
        <v>10</v>
      </c>
      <c r="D194" s="9">
        <f>D196+D203+D208+D212+D218+D223+D225+D232+D234+D238</f>
        <v>14976101</v>
      </c>
      <c r="E194" s="9">
        <f>E196+E203+E208+E212+E218+E223+E225+E232+E234+E238</f>
        <v>47055461</v>
      </c>
      <c r="F194" s="9">
        <f>F196+F203+F208+F212+F218+F223+F225+F232+F234+F238</f>
        <v>8303333</v>
      </c>
      <c r="G194" s="9">
        <f>G196+G203+G208+G212+G218+G223+G225+G232+G234+G238</f>
        <v>7657703</v>
      </c>
    </row>
    <row r="195" spans="1:7" ht="15" x14ac:dyDescent="0.35">
      <c r="A195" s="76"/>
      <c r="B195" s="76"/>
      <c r="C195" s="2" t="s">
        <v>9</v>
      </c>
      <c r="D195" s="79"/>
      <c r="E195" s="79"/>
      <c r="F195" s="79"/>
      <c r="G195" s="79"/>
    </row>
    <row r="196" spans="1:7" x14ac:dyDescent="0.35">
      <c r="A196" s="14" t="s">
        <v>367</v>
      </c>
      <c r="B196" s="6" t="s">
        <v>24</v>
      </c>
      <c r="C196" s="7" t="s">
        <v>456</v>
      </c>
      <c r="D196" s="11">
        <v>4030845</v>
      </c>
      <c r="E196" s="11">
        <v>7944276</v>
      </c>
      <c r="F196" s="11">
        <v>1581429</v>
      </c>
      <c r="G196" s="11">
        <v>1551779</v>
      </c>
    </row>
    <row r="197" spans="1:7" x14ac:dyDescent="0.35">
      <c r="A197" s="76"/>
      <c r="B197" s="76"/>
      <c r="C197" s="8" t="s">
        <v>368</v>
      </c>
      <c r="D197" s="1">
        <v>0</v>
      </c>
      <c r="E197" s="1">
        <v>2601518</v>
      </c>
      <c r="F197" s="1">
        <v>0</v>
      </c>
      <c r="G197" s="1">
        <v>0</v>
      </c>
    </row>
    <row r="198" spans="1:7" x14ac:dyDescent="0.35">
      <c r="A198" s="76"/>
      <c r="B198" s="76"/>
      <c r="C198" s="8" t="s">
        <v>369</v>
      </c>
      <c r="D198" s="1">
        <v>0</v>
      </c>
      <c r="E198" s="1">
        <v>2316370</v>
      </c>
      <c r="F198" s="1">
        <v>0</v>
      </c>
      <c r="G198" s="1">
        <v>0</v>
      </c>
    </row>
    <row r="199" spans="1:7" x14ac:dyDescent="0.35">
      <c r="A199" s="76"/>
      <c r="B199" s="76"/>
      <c r="C199" s="8" t="s">
        <v>370</v>
      </c>
      <c r="D199" s="1">
        <v>634535</v>
      </c>
      <c r="E199" s="1">
        <v>1388180</v>
      </c>
      <c r="F199" s="1">
        <v>0</v>
      </c>
      <c r="G199" s="1">
        <v>0</v>
      </c>
    </row>
    <row r="200" spans="1:7" ht="26" x14ac:dyDescent="0.35">
      <c r="A200" s="76"/>
      <c r="B200" s="76"/>
      <c r="C200" s="8" t="s">
        <v>371</v>
      </c>
      <c r="D200" s="1">
        <f>1286606+1259489</f>
        <v>2546095</v>
      </c>
      <c r="E200" s="1">
        <v>737328</v>
      </c>
      <c r="F200" s="1">
        <v>737328</v>
      </c>
      <c r="G200" s="1">
        <v>737328</v>
      </c>
    </row>
    <row r="201" spans="1:7" ht="54" customHeight="1" x14ac:dyDescent="0.35">
      <c r="A201" s="76"/>
      <c r="B201" s="76"/>
      <c r="C201" s="8" t="s">
        <v>372</v>
      </c>
      <c r="D201" s="1">
        <v>759978</v>
      </c>
      <c r="E201" s="1">
        <v>810643</v>
      </c>
      <c r="F201" s="1">
        <v>753864</v>
      </c>
      <c r="G201" s="1">
        <v>724214</v>
      </c>
    </row>
    <row r="202" spans="1:7" ht="15.5" x14ac:dyDescent="0.35">
      <c r="A202" s="76"/>
      <c r="B202" s="76"/>
      <c r="C202" s="8" t="s">
        <v>365</v>
      </c>
      <c r="D202" s="1">
        <f>D196-D199-D200-D197-D198-D201</f>
        <v>90237</v>
      </c>
      <c r="E202" s="1">
        <f t="shared" ref="E202:G202" si="33">E196-E199-E200-E197-E198-E201</f>
        <v>90237</v>
      </c>
      <c r="F202" s="1">
        <f t="shared" si="33"/>
        <v>90237</v>
      </c>
      <c r="G202" s="1">
        <f t="shared" si="33"/>
        <v>90237</v>
      </c>
    </row>
    <row r="203" spans="1:7" x14ac:dyDescent="0.35">
      <c r="A203" s="14" t="s">
        <v>273</v>
      </c>
      <c r="B203" s="6" t="s">
        <v>373</v>
      </c>
      <c r="C203" s="7" t="s">
        <v>457</v>
      </c>
      <c r="D203" s="11">
        <v>977898</v>
      </c>
      <c r="E203" s="11">
        <v>2900999</v>
      </c>
      <c r="F203" s="11">
        <v>686228</v>
      </c>
      <c r="G203" s="11">
        <v>636228</v>
      </c>
    </row>
    <row r="204" spans="1:7" x14ac:dyDescent="0.35">
      <c r="A204" s="76"/>
      <c r="B204" s="76"/>
      <c r="C204" s="8" t="s">
        <v>374</v>
      </c>
      <c r="D204" s="1"/>
      <c r="E204" s="1">
        <v>1300000</v>
      </c>
      <c r="F204" s="1">
        <v>0</v>
      </c>
      <c r="G204" s="1">
        <v>0</v>
      </c>
    </row>
    <row r="205" spans="1:7" ht="26" x14ac:dyDescent="0.35">
      <c r="A205" s="76"/>
      <c r="B205" s="76"/>
      <c r="C205" s="8" t="s">
        <v>375</v>
      </c>
      <c r="D205" s="1">
        <v>564331</v>
      </c>
      <c r="E205" s="1">
        <v>953532</v>
      </c>
      <c r="F205" s="1">
        <v>138761</v>
      </c>
      <c r="G205" s="1">
        <v>138761</v>
      </c>
    </row>
    <row r="206" spans="1:7" ht="26" x14ac:dyDescent="0.35">
      <c r="A206" s="76"/>
      <c r="B206" s="76"/>
      <c r="C206" s="8" t="s">
        <v>376</v>
      </c>
      <c r="D206" s="1">
        <v>0</v>
      </c>
      <c r="E206" s="1">
        <v>250000</v>
      </c>
      <c r="F206" s="1">
        <v>150000</v>
      </c>
      <c r="G206" s="1">
        <v>100000</v>
      </c>
    </row>
    <row r="207" spans="1:7" ht="15.5" x14ac:dyDescent="0.35">
      <c r="A207" s="76"/>
      <c r="B207" s="76"/>
      <c r="C207" s="8" t="s">
        <v>365</v>
      </c>
      <c r="D207" s="1">
        <f>D203-D204-D205-D206</f>
        <v>413567</v>
      </c>
      <c r="E207" s="1">
        <f t="shared" ref="E207:G207" si="34">E203-E204-E205-E206</f>
        <v>397467</v>
      </c>
      <c r="F207" s="1">
        <f t="shared" si="34"/>
        <v>397467</v>
      </c>
      <c r="G207" s="1">
        <f t="shared" si="34"/>
        <v>397467</v>
      </c>
    </row>
    <row r="208" spans="1:7" x14ac:dyDescent="0.35">
      <c r="A208" s="14" t="s">
        <v>119</v>
      </c>
      <c r="B208" s="6" t="s">
        <v>377</v>
      </c>
      <c r="C208" s="7" t="s">
        <v>458</v>
      </c>
      <c r="D208" s="11">
        <v>3353514</v>
      </c>
      <c r="E208" s="11">
        <v>16735996</v>
      </c>
      <c r="F208" s="11">
        <v>337813</v>
      </c>
      <c r="G208" s="11">
        <v>337813</v>
      </c>
    </row>
    <row r="209" spans="1:7" x14ac:dyDescent="0.35">
      <c r="A209" s="76"/>
      <c r="B209" s="76"/>
      <c r="C209" s="8" t="s">
        <v>378</v>
      </c>
      <c r="D209" s="1">
        <v>1303286</v>
      </c>
      <c r="E209" s="1">
        <f>3354181+11998002</f>
        <v>15352183</v>
      </c>
      <c r="F209" s="1">
        <v>0</v>
      </c>
      <c r="G209" s="1">
        <v>0</v>
      </c>
    </row>
    <row r="210" spans="1:7" x14ac:dyDescent="0.35">
      <c r="A210" s="76"/>
      <c r="B210" s="76"/>
      <c r="C210" s="8" t="s">
        <v>379</v>
      </c>
      <c r="D210" s="1">
        <v>0</v>
      </c>
      <c r="E210" s="1">
        <v>1046000</v>
      </c>
      <c r="F210" s="1">
        <v>0</v>
      </c>
      <c r="G210" s="1">
        <v>0</v>
      </c>
    </row>
    <row r="211" spans="1:7" ht="15.5" x14ac:dyDescent="0.35">
      <c r="A211" s="76"/>
      <c r="B211" s="76"/>
      <c r="C211" s="8" t="s">
        <v>365</v>
      </c>
      <c r="D211" s="1">
        <f>D208-D209-D210</f>
        <v>2050228</v>
      </c>
      <c r="E211" s="1">
        <f>E208-E209-E210</f>
        <v>337813</v>
      </c>
      <c r="F211" s="1">
        <f>F208-F209-F210</f>
        <v>337813</v>
      </c>
      <c r="G211" s="1">
        <f>G208-G209-G210</f>
        <v>337813</v>
      </c>
    </row>
    <row r="212" spans="1:7" x14ac:dyDescent="0.35">
      <c r="A212" s="14" t="s">
        <v>380</v>
      </c>
      <c r="B212" s="6" t="s">
        <v>381</v>
      </c>
      <c r="C212" s="7" t="s">
        <v>459</v>
      </c>
      <c r="D212" s="11">
        <v>1060267</v>
      </c>
      <c r="E212" s="11">
        <v>2539396</v>
      </c>
      <c r="F212" s="11">
        <v>466996</v>
      </c>
      <c r="G212" s="11">
        <v>466996</v>
      </c>
    </row>
    <row r="213" spans="1:7" ht="26" x14ac:dyDescent="0.35">
      <c r="A213" s="76"/>
      <c r="B213" s="76"/>
      <c r="C213" s="8" t="s">
        <v>382</v>
      </c>
      <c r="D213" s="1">
        <v>645671</v>
      </c>
      <c r="E213" s="1">
        <v>2072400</v>
      </c>
      <c r="F213" s="1">
        <v>0</v>
      </c>
      <c r="G213" s="1">
        <v>0</v>
      </c>
    </row>
    <row r="214" spans="1:7" ht="26" x14ac:dyDescent="0.35">
      <c r="A214" s="76"/>
      <c r="B214" s="76"/>
      <c r="C214" s="8" t="s">
        <v>383</v>
      </c>
      <c r="D214" s="1">
        <v>159200</v>
      </c>
      <c r="E214" s="1">
        <v>117000</v>
      </c>
      <c r="F214" s="1">
        <v>117000</v>
      </c>
      <c r="G214" s="1">
        <v>117000</v>
      </c>
    </row>
    <row r="215" spans="1:7" ht="26" x14ac:dyDescent="0.35">
      <c r="A215" s="76"/>
      <c r="B215" s="76"/>
      <c r="C215" s="8" t="s">
        <v>384</v>
      </c>
      <c r="D215" s="1">
        <v>108270</v>
      </c>
      <c r="E215" s="1">
        <v>85100</v>
      </c>
      <c r="F215" s="1">
        <v>32700</v>
      </c>
      <c r="G215" s="1">
        <v>32700</v>
      </c>
    </row>
    <row r="216" spans="1:7" x14ac:dyDescent="0.35">
      <c r="A216" s="76"/>
      <c r="B216" s="76"/>
      <c r="C216" s="8" t="s">
        <v>385</v>
      </c>
      <c r="D216" s="1">
        <v>20956</v>
      </c>
      <c r="E216" s="1">
        <v>25450</v>
      </c>
      <c r="F216" s="1">
        <v>25450</v>
      </c>
      <c r="G216" s="1">
        <v>25450</v>
      </c>
    </row>
    <row r="217" spans="1:7" ht="15.5" x14ac:dyDescent="0.35">
      <c r="A217" s="76"/>
      <c r="B217" s="76"/>
      <c r="C217" s="8" t="s">
        <v>365</v>
      </c>
      <c r="D217" s="1">
        <f>D212-D213-D214-D215-D216</f>
        <v>126170</v>
      </c>
      <c r="E217" s="1">
        <f>E212-E213-E214-E215-E216</f>
        <v>239446</v>
      </c>
      <c r="F217" s="1">
        <f t="shared" ref="F217:G217" si="35">F212-F213-F214-F215-F216</f>
        <v>291846</v>
      </c>
      <c r="G217" s="1">
        <f t="shared" si="35"/>
        <v>291846</v>
      </c>
    </row>
    <row r="218" spans="1:7" x14ac:dyDescent="0.35">
      <c r="A218" s="14" t="s">
        <v>386</v>
      </c>
      <c r="B218" s="6" t="s">
        <v>387</v>
      </c>
      <c r="C218" s="7" t="s">
        <v>460</v>
      </c>
      <c r="D218" s="11">
        <v>548318</v>
      </c>
      <c r="E218" s="11">
        <v>792225</v>
      </c>
      <c r="F218" s="11">
        <v>440502</v>
      </c>
      <c r="G218" s="11">
        <v>298152</v>
      </c>
    </row>
    <row r="219" spans="1:7" x14ac:dyDescent="0.35">
      <c r="A219" s="76"/>
      <c r="B219" s="76"/>
      <c r="C219" s="8" t="s">
        <v>388</v>
      </c>
      <c r="D219" s="1">
        <v>0</v>
      </c>
      <c r="E219" s="1">
        <v>316488</v>
      </c>
      <c r="F219" s="1">
        <v>0</v>
      </c>
      <c r="G219" s="1">
        <v>0</v>
      </c>
    </row>
    <row r="220" spans="1:7" ht="26" x14ac:dyDescent="0.35">
      <c r="A220" s="76"/>
      <c r="B220" s="76"/>
      <c r="C220" s="8" t="s">
        <v>389</v>
      </c>
      <c r="D220" s="1">
        <v>142350</v>
      </c>
      <c r="E220" s="1">
        <v>142350</v>
      </c>
      <c r="F220" s="1">
        <v>142350</v>
      </c>
      <c r="G220" s="1">
        <v>0</v>
      </c>
    </row>
    <row r="221" spans="1:7" ht="26" x14ac:dyDescent="0.35">
      <c r="A221" s="76"/>
      <c r="B221" s="76"/>
      <c r="C221" s="8" t="s">
        <v>390</v>
      </c>
      <c r="D221" s="1">
        <v>0</v>
      </c>
      <c r="E221" s="1">
        <v>35235</v>
      </c>
      <c r="F221" s="1">
        <v>0</v>
      </c>
      <c r="G221" s="1">
        <v>0</v>
      </c>
    </row>
    <row r="222" spans="1:7" ht="15.5" x14ac:dyDescent="0.35">
      <c r="A222" s="76"/>
      <c r="B222" s="76"/>
      <c r="C222" s="8" t="s">
        <v>365</v>
      </c>
      <c r="D222" s="1">
        <f>D218-D219-D220-D221</f>
        <v>405968</v>
      </c>
      <c r="E222" s="1">
        <f>E218-E219-E220-E221</f>
        <v>298152</v>
      </c>
      <c r="F222" s="1">
        <f t="shared" ref="F222:G222" si="36">F218-F219-F220-F221</f>
        <v>298152</v>
      </c>
      <c r="G222" s="1">
        <f t="shared" si="36"/>
        <v>298152</v>
      </c>
    </row>
    <row r="223" spans="1:7" x14ac:dyDescent="0.35">
      <c r="A223" s="6" t="s">
        <v>391</v>
      </c>
      <c r="B223" s="6" t="s">
        <v>334</v>
      </c>
      <c r="C223" s="7" t="s">
        <v>461</v>
      </c>
      <c r="D223" s="11">
        <v>5455</v>
      </c>
      <c r="E223" s="11">
        <v>5416</v>
      </c>
      <c r="F223" s="11">
        <v>5416</v>
      </c>
      <c r="G223" s="11">
        <v>5416</v>
      </c>
    </row>
    <row r="224" spans="1:7" ht="15.5" x14ac:dyDescent="0.35">
      <c r="A224" s="76"/>
      <c r="B224" s="76"/>
      <c r="C224" s="8" t="s">
        <v>365</v>
      </c>
      <c r="D224" s="1">
        <f>D223</f>
        <v>5455</v>
      </c>
      <c r="E224" s="1">
        <f>E223</f>
        <v>5416</v>
      </c>
      <c r="F224" s="1">
        <f>F223</f>
        <v>5416</v>
      </c>
      <c r="G224" s="1">
        <f>G223</f>
        <v>5416</v>
      </c>
    </row>
    <row r="225" spans="1:7" x14ac:dyDescent="0.35">
      <c r="A225" s="6" t="s">
        <v>392</v>
      </c>
      <c r="B225" s="6" t="s">
        <v>24</v>
      </c>
      <c r="C225" s="7" t="s">
        <v>462</v>
      </c>
      <c r="D225" s="11">
        <v>4199791</v>
      </c>
      <c r="E225" s="11">
        <v>15409070</v>
      </c>
      <c r="F225" s="11">
        <v>4173421</v>
      </c>
      <c r="G225" s="11">
        <v>3749791</v>
      </c>
    </row>
    <row r="226" spans="1:7" ht="26" x14ac:dyDescent="0.35">
      <c r="A226" s="76"/>
      <c r="B226" s="76"/>
      <c r="C226" s="8" t="s">
        <v>393</v>
      </c>
      <c r="D226" s="1">
        <v>0</v>
      </c>
      <c r="E226" s="1">
        <v>9189882</v>
      </c>
      <c r="F226" s="1">
        <v>0</v>
      </c>
      <c r="G226" s="1">
        <v>0</v>
      </c>
    </row>
    <row r="227" spans="1:7" ht="39" x14ac:dyDescent="0.35">
      <c r="A227" s="76"/>
      <c r="B227" s="76"/>
      <c r="C227" s="8" t="s">
        <v>394</v>
      </c>
      <c r="D227" s="1">
        <v>0</v>
      </c>
      <c r="E227" s="1">
        <v>2139475</v>
      </c>
      <c r="F227" s="1">
        <v>0</v>
      </c>
      <c r="G227" s="1">
        <v>0</v>
      </c>
    </row>
    <row r="228" spans="1:7" ht="26" x14ac:dyDescent="0.35">
      <c r="A228" s="76"/>
      <c r="B228" s="76"/>
      <c r="C228" s="8" t="s">
        <v>395</v>
      </c>
      <c r="D228" s="1">
        <v>1306100</v>
      </c>
      <c r="E228" s="1">
        <v>1306100</v>
      </c>
      <c r="F228" s="1">
        <v>1306100</v>
      </c>
      <c r="G228" s="1">
        <v>1306100</v>
      </c>
    </row>
    <row r="229" spans="1:7" x14ac:dyDescent="0.35">
      <c r="A229" s="76"/>
      <c r="B229" s="76"/>
      <c r="C229" s="8" t="s">
        <v>396</v>
      </c>
      <c r="D229" s="1">
        <v>1556691</v>
      </c>
      <c r="E229" s="1">
        <v>1256691</v>
      </c>
      <c r="F229" s="1">
        <v>1256691</v>
      </c>
      <c r="G229" s="1">
        <v>1256691</v>
      </c>
    </row>
    <row r="230" spans="1:7" x14ac:dyDescent="0.35">
      <c r="A230" s="76"/>
      <c r="B230" s="76"/>
      <c r="C230" s="8" t="s">
        <v>397</v>
      </c>
      <c r="D230" s="1">
        <v>1150000</v>
      </c>
      <c r="E230" s="1">
        <v>1000000</v>
      </c>
      <c r="F230" s="1">
        <v>1000000</v>
      </c>
      <c r="G230" s="1">
        <v>1000000</v>
      </c>
    </row>
    <row r="231" spans="1:7" ht="15.5" x14ac:dyDescent="0.35">
      <c r="A231" s="76"/>
      <c r="B231" s="76"/>
      <c r="C231" s="8" t="s">
        <v>365</v>
      </c>
      <c r="D231" s="1">
        <f>D225-D226-D227-D228-D230-D229</f>
        <v>187000</v>
      </c>
      <c r="E231" s="1">
        <f>E225-E226-E227-E228-E230-E229</f>
        <v>516922</v>
      </c>
      <c r="F231" s="1">
        <f>F225-F226-F227-F228-F230-F229</f>
        <v>610630</v>
      </c>
      <c r="G231" s="1">
        <f>G225-G226-G227-G228-G230-G229</f>
        <v>187000</v>
      </c>
    </row>
    <row r="232" spans="1:7" x14ac:dyDescent="0.35">
      <c r="A232" s="6" t="s">
        <v>398</v>
      </c>
      <c r="B232" s="6" t="s">
        <v>24</v>
      </c>
      <c r="C232" s="7" t="s">
        <v>463</v>
      </c>
      <c r="D232" s="11">
        <v>378458</v>
      </c>
      <c r="E232" s="11">
        <v>378458</v>
      </c>
      <c r="F232" s="11">
        <v>378458</v>
      </c>
      <c r="G232" s="11">
        <v>378458</v>
      </c>
    </row>
    <row r="233" spans="1:7" ht="39" x14ac:dyDescent="0.35">
      <c r="A233" s="76"/>
      <c r="B233" s="76"/>
      <c r="C233" s="8" t="s">
        <v>399</v>
      </c>
      <c r="D233" s="1">
        <v>378458</v>
      </c>
      <c r="E233" s="1">
        <v>378458</v>
      </c>
      <c r="F233" s="1">
        <v>378458</v>
      </c>
      <c r="G233" s="1">
        <v>378458</v>
      </c>
    </row>
    <row r="234" spans="1:7" x14ac:dyDescent="0.35">
      <c r="A234" s="6" t="s">
        <v>400</v>
      </c>
      <c r="B234" s="6" t="s">
        <v>24</v>
      </c>
      <c r="C234" s="7" t="s">
        <v>464</v>
      </c>
      <c r="D234" s="11">
        <v>97031</v>
      </c>
      <c r="E234" s="11">
        <v>97031</v>
      </c>
      <c r="F234" s="11">
        <v>97031</v>
      </c>
      <c r="G234" s="11">
        <v>97031</v>
      </c>
    </row>
    <row r="235" spans="1:7" x14ac:dyDescent="0.35">
      <c r="A235" s="76"/>
      <c r="B235" s="76"/>
      <c r="C235" s="8" t="s">
        <v>401</v>
      </c>
      <c r="D235" s="1">
        <v>0</v>
      </c>
      <c r="E235" s="1">
        <v>51970</v>
      </c>
      <c r="F235" s="1">
        <v>60000</v>
      </c>
      <c r="G235" s="1">
        <v>60000</v>
      </c>
    </row>
    <row r="236" spans="1:7" x14ac:dyDescent="0.35">
      <c r="A236" s="76"/>
      <c r="B236" s="76"/>
      <c r="C236" s="8" t="s">
        <v>402</v>
      </c>
      <c r="D236" s="1">
        <v>0</v>
      </c>
      <c r="E236" s="1">
        <v>45061</v>
      </c>
      <c r="F236" s="1">
        <v>37031</v>
      </c>
      <c r="G236" s="1">
        <v>37031</v>
      </c>
    </row>
    <row r="237" spans="1:7" x14ac:dyDescent="0.35">
      <c r="A237" s="76"/>
      <c r="B237" s="76"/>
      <c r="C237" s="8" t="s">
        <v>29</v>
      </c>
      <c r="D237" s="1">
        <f>D234-D235-D236</f>
        <v>97031</v>
      </c>
      <c r="E237" s="1">
        <f t="shared" ref="E237:G237" si="37">E234-E235-E236</f>
        <v>0</v>
      </c>
      <c r="F237" s="1">
        <f t="shared" si="37"/>
        <v>0</v>
      </c>
      <c r="G237" s="1">
        <f t="shared" si="37"/>
        <v>0</v>
      </c>
    </row>
    <row r="238" spans="1:7" x14ac:dyDescent="0.35">
      <c r="A238" s="6" t="s">
        <v>403</v>
      </c>
      <c r="B238" s="6" t="s">
        <v>24</v>
      </c>
      <c r="C238" s="7" t="s">
        <v>465</v>
      </c>
      <c r="D238" s="11">
        <v>324524</v>
      </c>
      <c r="E238" s="11">
        <v>252594</v>
      </c>
      <c r="F238" s="11">
        <v>136039</v>
      </c>
      <c r="G238" s="11">
        <v>136039</v>
      </c>
    </row>
    <row r="239" spans="1:7" x14ac:dyDescent="0.35">
      <c r="A239" s="76"/>
      <c r="B239" s="76"/>
      <c r="C239" s="8" t="s">
        <v>404</v>
      </c>
      <c r="D239" s="1">
        <v>107485</v>
      </c>
      <c r="E239" s="1">
        <v>105555</v>
      </c>
      <c r="F239" s="1">
        <v>0</v>
      </c>
      <c r="G239" s="1">
        <v>0</v>
      </c>
    </row>
    <row r="240" spans="1:7" x14ac:dyDescent="0.35">
      <c r="A240" s="76"/>
      <c r="B240" s="76"/>
      <c r="C240" s="8" t="s">
        <v>405</v>
      </c>
      <c r="D240" s="1">
        <v>25000</v>
      </c>
      <c r="E240" s="1">
        <v>5000</v>
      </c>
      <c r="F240" s="1">
        <v>0</v>
      </c>
      <c r="G240" s="1">
        <v>0</v>
      </c>
    </row>
    <row r="241" spans="1:7" x14ac:dyDescent="0.35">
      <c r="A241" s="76"/>
      <c r="B241" s="76"/>
      <c r="C241" s="8" t="s">
        <v>29</v>
      </c>
      <c r="D241" s="1">
        <f>D238-D239-D240</f>
        <v>192039</v>
      </c>
      <c r="E241" s="1">
        <f t="shared" ref="E241:G241" si="38">E238-E239-E240</f>
        <v>142039</v>
      </c>
      <c r="F241" s="1">
        <f t="shared" si="38"/>
        <v>136039</v>
      </c>
      <c r="G241" s="1">
        <f t="shared" si="38"/>
        <v>136039</v>
      </c>
    </row>
    <row r="242" spans="1:7" ht="45" x14ac:dyDescent="0.35">
      <c r="A242" s="75"/>
      <c r="B242" s="75"/>
      <c r="C242" s="3" t="s">
        <v>21</v>
      </c>
      <c r="D242" s="9">
        <f>SUM(D244:D251)</f>
        <v>20839429</v>
      </c>
      <c r="E242" s="9">
        <f t="shared" ref="E242:G242" si="39">SUM(E244:E251)</f>
        <v>13899502</v>
      </c>
      <c r="F242" s="9">
        <f t="shared" si="39"/>
        <v>406622</v>
      </c>
      <c r="G242" s="9">
        <f t="shared" si="39"/>
        <v>5160027</v>
      </c>
    </row>
    <row r="243" spans="1:7" ht="15" x14ac:dyDescent="0.35">
      <c r="A243" s="76"/>
      <c r="B243" s="76"/>
      <c r="C243" s="2" t="s">
        <v>9</v>
      </c>
      <c r="D243" s="79"/>
      <c r="E243" s="79"/>
      <c r="F243" s="79"/>
      <c r="G243" s="79"/>
    </row>
    <row r="244" spans="1:7" ht="26" x14ac:dyDescent="0.35">
      <c r="A244" s="6" t="s">
        <v>241</v>
      </c>
      <c r="B244" s="6" t="s">
        <v>24</v>
      </c>
      <c r="C244" s="7" t="s">
        <v>466</v>
      </c>
      <c r="D244" s="11">
        <v>2483865</v>
      </c>
      <c r="E244" s="11">
        <v>4206338</v>
      </c>
      <c r="F244" s="11">
        <v>0</v>
      </c>
      <c r="G244" s="11">
        <v>0</v>
      </c>
    </row>
    <row r="245" spans="1:7" ht="26" x14ac:dyDescent="0.35">
      <c r="A245" s="6" t="s">
        <v>406</v>
      </c>
      <c r="B245" s="6" t="s">
        <v>381</v>
      </c>
      <c r="C245" s="7" t="s">
        <v>467</v>
      </c>
      <c r="D245" s="11">
        <v>0</v>
      </c>
      <c r="E245" s="11">
        <v>0</v>
      </c>
      <c r="F245" s="11">
        <v>0</v>
      </c>
      <c r="G245" s="11">
        <v>23000</v>
      </c>
    </row>
    <row r="246" spans="1:7" x14ac:dyDescent="0.35">
      <c r="A246" s="6" t="s">
        <v>407</v>
      </c>
      <c r="B246" s="6" t="s">
        <v>381</v>
      </c>
      <c r="C246" s="7" t="s">
        <v>468</v>
      </c>
      <c r="D246" s="11">
        <v>291600</v>
      </c>
      <c r="E246" s="11">
        <v>302647</v>
      </c>
      <c r="F246" s="11">
        <v>302647</v>
      </c>
      <c r="G246" s="11">
        <v>302647</v>
      </c>
    </row>
    <row r="247" spans="1:7" ht="26" x14ac:dyDescent="0.35">
      <c r="A247" s="6" t="s">
        <v>204</v>
      </c>
      <c r="B247" s="6" t="s">
        <v>24</v>
      </c>
      <c r="C247" s="7" t="s">
        <v>469</v>
      </c>
      <c r="D247" s="11">
        <v>585713</v>
      </c>
      <c r="E247" s="11">
        <v>10000</v>
      </c>
      <c r="F247" s="11">
        <v>0</v>
      </c>
      <c r="G247" s="11">
        <v>0</v>
      </c>
    </row>
    <row r="248" spans="1:7" x14ac:dyDescent="0.35">
      <c r="A248" s="6" t="s">
        <v>189</v>
      </c>
      <c r="B248" s="6" t="s">
        <v>387</v>
      </c>
      <c r="C248" s="7" t="s">
        <v>470</v>
      </c>
      <c r="D248" s="11">
        <v>1500</v>
      </c>
      <c r="E248" s="11">
        <v>1500</v>
      </c>
      <c r="F248" s="11">
        <v>1500</v>
      </c>
      <c r="G248" s="11">
        <v>1500</v>
      </c>
    </row>
    <row r="249" spans="1:7" ht="26" x14ac:dyDescent="0.35">
      <c r="A249" s="6" t="s">
        <v>324</v>
      </c>
      <c r="B249" s="6" t="s">
        <v>24</v>
      </c>
      <c r="C249" s="7" t="s">
        <v>471</v>
      </c>
      <c r="D249" s="11">
        <v>17430001</v>
      </c>
      <c r="E249" s="11">
        <v>7538625</v>
      </c>
      <c r="F249" s="11">
        <v>0</v>
      </c>
      <c r="G249" s="11">
        <v>0</v>
      </c>
    </row>
    <row r="250" spans="1:7" ht="26" x14ac:dyDescent="0.35">
      <c r="A250" s="6" t="s">
        <v>408</v>
      </c>
      <c r="B250" s="6" t="s">
        <v>24</v>
      </c>
      <c r="C250" s="7" t="s">
        <v>190</v>
      </c>
      <c r="D250" s="11">
        <v>0</v>
      </c>
      <c r="E250" s="11">
        <v>5000</v>
      </c>
      <c r="F250" s="11">
        <v>0</v>
      </c>
      <c r="G250" s="11">
        <v>0</v>
      </c>
    </row>
    <row r="251" spans="1:7" ht="26" x14ac:dyDescent="0.35">
      <c r="A251" s="6" t="s">
        <v>282</v>
      </c>
      <c r="B251" s="6" t="s">
        <v>373</v>
      </c>
      <c r="C251" s="7" t="s">
        <v>444</v>
      </c>
      <c r="D251" s="11">
        <v>46750</v>
      </c>
      <c r="E251" s="11">
        <v>1835392</v>
      </c>
      <c r="F251" s="11">
        <v>102475</v>
      </c>
      <c r="G251" s="11">
        <v>4832880</v>
      </c>
    </row>
    <row r="252" spans="1:7" ht="15" x14ac:dyDescent="0.35">
      <c r="A252" s="127"/>
      <c r="B252" s="127"/>
      <c r="C252" s="127" t="s">
        <v>103</v>
      </c>
      <c r="D252" s="128">
        <f>D253+D281</f>
        <v>12877444</v>
      </c>
      <c r="E252" s="128">
        <f>E253+E281</f>
        <v>14872294</v>
      </c>
      <c r="F252" s="128">
        <f>F253+F281</f>
        <v>5155293</v>
      </c>
      <c r="G252" s="128">
        <f>G253+G281</f>
        <v>2044805</v>
      </c>
    </row>
    <row r="253" spans="1:7" ht="15.5" x14ac:dyDescent="0.35">
      <c r="A253" s="28"/>
      <c r="B253" s="28"/>
      <c r="C253" s="3" t="s">
        <v>10</v>
      </c>
      <c r="D253" s="9">
        <f>D255+D257+D260+D262+D264+D267+D269+D271+D273+D275+D277+D279</f>
        <v>4109266</v>
      </c>
      <c r="E253" s="9">
        <f>E255+E257+E260+E262+E264+E267+E269+E271+E273+E275+E277+E279</f>
        <v>7434508</v>
      </c>
      <c r="F253" s="9">
        <f>F255+F257+F260+F262+F264+F267+F269+F271+F273+F275+F277+F279</f>
        <v>1982805</v>
      </c>
      <c r="G253" s="9">
        <f>G255+G257+G260+G262+G264+G267+G269+G271+G273+G275+G277+G279</f>
        <v>1982805</v>
      </c>
    </row>
    <row r="254" spans="1:7" x14ac:dyDescent="0.35">
      <c r="A254" s="84"/>
      <c r="B254" s="84"/>
      <c r="C254" s="2" t="s">
        <v>9</v>
      </c>
      <c r="D254" s="40"/>
      <c r="E254" s="40"/>
      <c r="F254" s="40"/>
      <c r="G254" s="40"/>
    </row>
    <row r="255" spans="1:7" x14ac:dyDescent="0.35">
      <c r="A255" s="14" t="s">
        <v>104</v>
      </c>
      <c r="B255" s="14" t="s">
        <v>105</v>
      </c>
      <c r="C255" s="7" t="s">
        <v>106</v>
      </c>
      <c r="D255" s="11">
        <v>4860</v>
      </c>
      <c r="E255" s="11">
        <v>4860</v>
      </c>
      <c r="F255" s="11">
        <v>4860</v>
      </c>
      <c r="G255" s="11">
        <v>4860</v>
      </c>
    </row>
    <row r="256" spans="1:7" x14ac:dyDescent="0.35">
      <c r="A256" s="39"/>
      <c r="B256" s="39"/>
      <c r="C256" s="8" t="s">
        <v>107</v>
      </c>
      <c r="D256" s="1">
        <v>4860</v>
      </c>
      <c r="E256" s="1">
        <v>4860</v>
      </c>
      <c r="F256" s="1">
        <v>4860</v>
      </c>
      <c r="G256" s="1">
        <v>4860</v>
      </c>
    </row>
    <row r="257" spans="1:7" x14ac:dyDescent="0.35">
      <c r="A257" s="14" t="s">
        <v>108</v>
      </c>
      <c r="B257" s="14" t="s">
        <v>109</v>
      </c>
      <c r="C257" s="7" t="s">
        <v>110</v>
      </c>
      <c r="D257" s="11">
        <v>1877405</v>
      </c>
      <c r="E257" s="11">
        <v>6798353</v>
      </c>
      <c r="F257" s="11">
        <v>1436350</v>
      </c>
      <c r="G257" s="11">
        <v>1436350</v>
      </c>
    </row>
    <row r="258" spans="1:7" x14ac:dyDescent="0.35">
      <c r="A258" s="39"/>
      <c r="B258" s="39"/>
      <c r="C258" s="8" t="s">
        <v>111</v>
      </c>
      <c r="D258" s="1">
        <v>0</v>
      </c>
      <c r="E258" s="1">
        <v>5362003</v>
      </c>
      <c r="F258" s="1">
        <v>0</v>
      </c>
      <c r="G258" s="1">
        <v>0</v>
      </c>
    </row>
    <row r="259" spans="1:7" x14ac:dyDescent="0.35">
      <c r="A259" s="39"/>
      <c r="B259" s="39"/>
      <c r="C259" s="8" t="s">
        <v>29</v>
      </c>
      <c r="D259" s="1">
        <v>1877405</v>
      </c>
      <c r="E259" s="1">
        <v>1436350</v>
      </c>
      <c r="F259" s="1">
        <v>1436350</v>
      </c>
      <c r="G259" s="1">
        <v>1436350</v>
      </c>
    </row>
    <row r="260" spans="1:7" x14ac:dyDescent="0.35">
      <c r="A260" s="14" t="s">
        <v>112</v>
      </c>
      <c r="B260" s="14" t="s">
        <v>113</v>
      </c>
      <c r="C260" s="7" t="s">
        <v>114</v>
      </c>
      <c r="D260" s="11">
        <v>145778</v>
      </c>
      <c r="E260" s="11">
        <v>127098</v>
      </c>
      <c r="F260" s="11">
        <v>77098</v>
      </c>
      <c r="G260" s="11">
        <v>77098</v>
      </c>
    </row>
    <row r="261" spans="1:7" x14ac:dyDescent="0.35">
      <c r="A261" s="39"/>
      <c r="B261" s="39"/>
      <c r="C261" s="8" t="s">
        <v>107</v>
      </c>
      <c r="D261" s="1">
        <v>145778</v>
      </c>
      <c r="E261" s="1">
        <v>127098</v>
      </c>
      <c r="F261" s="1">
        <v>77098</v>
      </c>
      <c r="G261" s="1">
        <v>77098</v>
      </c>
    </row>
    <row r="262" spans="1:7" x14ac:dyDescent="0.35">
      <c r="A262" s="14" t="s">
        <v>115</v>
      </c>
      <c r="B262" s="14" t="s">
        <v>116</v>
      </c>
      <c r="C262" s="7" t="s">
        <v>117</v>
      </c>
      <c r="D262" s="33">
        <v>7684</v>
      </c>
      <c r="E262" s="33">
        <v>77684</v>
      </c>
      <c r="F262" s="33">
        <v>77684</v>
      </c>
      <c r="G262" s="33">
        <v>77684</v>
      </c>
    </row>
    <row r="263" spans="1:7" x14ac:dyDescent="0.35">
      <c r="A263" s="39"/>
      <c r="B263" s="39"/>
      <c r="C263" s="8" t="s">
        <v>118</v>
      </c>
      <c r="D263" s="1">
        <v>7684</v>
      </c>
      <c r="E263" s="1">
        <v>77684</v>
      </c>
      <c r="F263" s="1">
        <v>77684</v>
      </c>
      <c r="G263" s="1">
        <v>77684</v>
      </c>
    </row>
    <row r="264" spans="1:7" x14ac:dyDescent="0.35">
      <c r="A264" s="14" t="s">
        <v>119</v>
      </c>
      <c r="B264" s="14" t="s">
        <v>116</v>
      </c>
      <c r="C264" s="7" t="s">
        <v>120</v>
      </c>
      <c r="D264" s="33">
        <v>1995957</v>
      </c>
      <c r="E264" s="33">
        <v>295957</v>
      </c>
      <c r="F264" s="33">
        <v>295957</v>
      </c>
      <c r="G264" s="33">
        <v>295957</v>
      </c>
    </row>
    <row r="265" spans="1:7" ht="26" x14ac:dyDescent="0.35">
      <c r="A265" s="39"/>
      <c r="B265" s="39"/>
      <c r="C265" s="8" t="s">
        <v>121</v>
      </c>
      <c r="D265" s="1">
        <v>1566000</v>
      </c>
      <c r="E265" s="1">
        <v>0</v>
      </c>
      <c r="F265" s="1">
        <v>0</v>
      </c>
      <c r="G265" s="1">
        <v>0</v>
      </c>
    </row>
    <row r="266" spans="1:7" x14ac:dyDescent="0.35">
      <c r="A266" s="39"/>
      <c r="B266" s="39"/>
      <c r="C266" s="8" t="s">
        <v>107</v>
      </c>
      <c r="D266" s="1">
        <f>D264-D265</f>
        <v>429957</v>
      </c>
      <c r="E266" s="1">
        <v>295957</v>
      </c>
      <c r="F266" s="1">
        <v>295957</v>
      </c>
      <c r="G266" s="1">
        <v>295957</v>
      </c>
    </row>
    <row r="267" spans="1:7" x14ac:dyDescent="0.35">
      <c r="A267" s="14" t="s">
        <v>122</v>
      </c>
      <c r="B267" s="14" t="s">
        <v>105</v>
      </c>
      <c r="C267" s="7" t="s">
        <v>123</v>
      </c>
      <c r="D267" s="33">
        <v>10000</v>
      </c>
      <c r="E267" s="33">
        <v>10000</v>
      </c>
      <c r="F267" s="33">
        <v>10000</v>
      </c>
      <c r="G267" s="33">
        <v>10000</v>
      </c>
    </row>
    <row r="268" spans="1:7" x14ac:dyDescent="0.35">
      <c r="A268" s="39"/>
      <c r="B268" s="39"/>
      <c r="C268" s="8" t="s">
        <v>107</v>
      </c>
      <c r="D268" s="1">
        <v>10000</v>
      </c>
      <c r="E268" s="1">
        <v>10000</v>
      </c>
      <c r="F268" s="1">
        <v>10000</v>
      </c>
      <c r="G268" s="1">
        <v>10000</v>
      </c>
    </row>
    <row r="269" spans="1:7" x14ac:dyDescent="0.35">
      <c r="A269" s="14" t="s">
        <v>124</v>
      </c>
      <c r="B269" s="14" t="s">
        <v>125</v>
      </c>
      <c r="C269" s="7" t="s">
        <v>126</v>
      </c>
      <c r="D269" s="33">
        <v>626</v>
      </c>
      <c r="E269" s="33">
        <v>626</v>
      </c>
      <c r="F269" s="33">
        <v>626</v>
      </c>
      <c r="G269" s="33">
        <v>626</v>
      </c>
    </row>
    <row r="270" spans="1:7" x14ac:dyDescent="0.35">
      <c r="A270" s="39"/>
      <c r="B270" s="39"/>
      <c r="C270" s="8" t="s">
        <v>107</v>
      </c>
      <c r="D270" s="1">
        <v>626</v>
      </c>
      <c r="E270" s="1">
        <v>626</v>
      </c>
      <c r="F270" s="1">
        <v>626</v>
      </c>
      <c r="G270" s="1">
        <v>626</v>
      </c>
    </row>
    <row r="271" spans="1:7" x14ac:dyDescent="0.35">
      <c r="A271" s="14" t="s">
        <v>127</v>
      </c>
      <c r="B271" s="14" t="s">
        <v>128</v>
      </c>
      <c r="C271" s="7" t="s">
        <v>129</v>
      </c>
      <c r="D271" s="33">
        <v>48941</v>
      </c>
      <c r="E271" s="33">
        <v>48575</v>
      </c>
      <c r="F271" s="33">
        <v>48575</v>
      </c>
      <c r="G271" s="33">
        <v>48575</v>
      </c>
    </row>
    <row r="272" spans="1:7" x14ac:dyDescent="0.35">
      <c r="A272" s="39"/>
      <c r="B272" s="39"/>
      <c r="C272" s="8" t="s">
        <v>107</v>
      </c>
      <c r="D272" s="1">
        <v>48941</v>
      </c>
      <c r="E272" s="1">
        <v>48575</v>
      </c>
      <c r="F272" s="1">
        <v>48575</v>
      </c>
      <c r="G272" s="1">
        <v>48575</v>
      </c>
    </row>
    <row r="273" spans="1:7" x14ac:dyDescent="0.35">
      <c r="A273" s="14" t="s">
        <v>130</v>
      </c>
      <c r="B273" s="14" t="s">
        <v>131</v>
      </c>
      <c r="C273" s="7" t="s">
        <v>132</v>
      </c>
      <c r="D273" s="33">
        <v>7825</v>
      </c>
      <c r="E273" s="33">
        <v>43665</v>
      </c>
      <c r="F273" s="33">
        <v>21465</v>
      </c>
      <c r="G273" s="33">
        <v>21465</v>
      </c>
    </row>
    <row r="274" spans="1:7" x14ac:dyDescent="0.35">
      <c r="A274" s="39"/>
      <c r="B274" s="39"/>
      <c r="C274" s="8" t="s">
        <v>107</v>
      </c>
      <c r="D274" s="1">
        <v>7825</v>
      </c>
      <c r="E274" s="1">
        <v>43665</v>
      </c>
      <c r="F274" s="1">
        <v>21465</v>
      </c>
      <c r="G274" s="1">
        <v>21465</v>
      </c>
    </row>
    <row r="275" spans="1:7" x14ac:dyDescent="0.35">
      <c r="A275" s="14" t="s">
        <v>133</v>
      </c>
      <c r="B275" s="14" t="s">
        <v>128</v>
      </c>
      <c r="C275" s="7" t="s">
        <v>134</v>
      </c>
      <c r="D275" s="33">
        <v>0</v>
      </c>
      <c r="E275" s="33">
        <v>17500</v>
      </c>
      <c r="F275" s="33">
        <v>0</v>
      </c>
      <c r="G275" s="33">
        <v>0</v>
      </c>
    </row>
    <row r="276" spans="1:7" x14ac:dyDescent="0.35">
      <c r="A276" s="39"/>
      <c r="B276" s="39"/>
      <c r="C276" s="8" t="s">
        <v>107</v>
      </c>
      <c r="D276" s="1">
        <v>0</v>
      </c>
      <c r="E276" s="1">
        <v>17500</v>
      </c>
      <c r="F276" s="1">
        <v>0</v>
      </c>
      <c r="G276" s="1">
        <v>0</v>
      </c>
    </row>
    <row r="277" spans="1:7" x14ac:dyDescent="0.35">
      <c r="A277" s="14" t="s">
        <v>135</v>
      </c>
      <c r="B277" s="14" t="s">
        <v>136</v>
      </c>
      <c r="C277" s="7" t="s">
        <v>137</v>
      </c>
      <c r="D277" s="33">
        <v>3526</v>
      </c>
      <c r="E277" s="33">
        <v>3526</v>
      </c>
      <c r="F277" s="33">
        <v>3526</v>
      </c>
      <c r="G277" s="33">
        <v>3526</v>
      </c>
    </row>
    <row r="278" spans="1:7" x14ac:dyDescent="0.35">
      <c r="A278" s="39"/>
      <c r="B278" s="39"/>
      <c r="C278" s="8" t="s">
        <v>107</v>
      </c>
      <c r="D278" s="36">
        <v>3526</v>
      </c>
      <c r="E278" s="36">
        <v>3526</v>
      </c>
      <c r="F278" s="36">
        <v>3526</v>
      </c>
      <c r="G278" s="36">
        <v>3526</v>
      </c>
    </row>
    <row r="279" spans="1:7" x14ac:dyDescent="0.35">
      <c r="A279" s="14" t="s">
        <v>138</v>
      </c>
      <c r="B279" s="14" t="s">
        <v>128</v>
      </c>
      <c r="C279" s="7" t="s">
        <v>139</v>
      </c>
      <c r="D279" s="33">
        <v>6664</v>
      </c>
      <c r="E279" s="33">
        <v>6664</v>
      </c>
      <c r="F279" s="33">
        <v>6664</v>
      </c>
      <c r="G279" s="33">
        <v>6664</v>
      </c>
    </row>
    <row r="280" spans="1:7" x14ac:dyDescent="0.35">
      <c r="A280" s="39"/>
      <c r="B280" s="45"/>
      <c r="C280" s="8" t="s">
        <v>107</v>
      </c>
      <c r="D280" s="36">
        <v>6664</v>
      </c>
      <c r="E280" s="36">
        <v>6664</v>
      </c>
      <c r="F280" s="36">
        <v>6664</v>
      </c>
      <c r="G280" s="36">
        <v>6664</v>
      </c>
    </row>
    <row r="281" spans="1:7" ht="45" x14ac:dyDescent="0.35">
      <c r="A281" s="68"/>
      <c r="B281" s="28"/>
      <c r="C281" s="3" t="s">
        <v>21</v>
      </c>
      <c r="D281" s="9">
        <f>D283+D284+D285+D286+D287+D288</f>
        <v>8768178</v>
      </c>
      <c r="E281" s="9">
        <f t="shared" ref="E281:G281" si="40">E283+E284+E285+E286+E287+E288</f>
        <v>7437786</v>
      </c>
      <c r="F281" s="9">
        <f t="shared" si="40"/>
        <v>3172488</v>
      </c>
      <c r="G281" s="9">
        <f t="shared" si="40"/>
        <v>62000</v>
      </c>
    </row>
    <row r="282" spans="1:7" x14ac:dyDescent="0.35">
      <c r="A282" s="46"/>
      <c r="B282" s="84"/>
      <c r="C282" s="2" t="s">
        <v>9</v>
      </c>
      <c r="D282" s="40"/>
      <c r="E282" s="40"/>
      <c r="F282" s="40"/>
      <c r="G282" s="40"/>
    </row>
    <row r="283" spans="1:7" x14ac:dyDescent="0.35">
      <c r="A283" s="14" t="s">
        <v>140</v>
      </c>
      <c r="B283" s="14" t="s">
        <v>116</v>
      </c>
      <c r="C283" s="7" t="s">
        <v>141</v>
      </c>
      <c r="D283" s="11">
        <v>7956371</v>
      </c>
      <c r="E283" s="11">
        <v>6165968</v>
      </c>
      <c r="F283" s="11">
        <v>3050488</v>
      </c>
      <c r="G283" s="11">
        <v>0</v>
      </c>
    </row>
    <row r="284" spans="1:7" ht="26" x14ac:dyDescent="0.35">
      <c r="A284" s="14" t="s">
        <v>22</v>
      </c>
      <c r="B284" s="14" t="s">
        <v>116</v>
      </c>
      <c r="C284" s="7" t="s">
        <v>142</v>
      </c>
      <c r="D284" s="11">
        <v>35500</v>
      </c>
      <c r="E284" s="11">
        <v>0</v>
      </c>
      <c r="F284" s="11">
        <v>0</v>
      </c>
      <c r="G284" s="11">
        <v>0</v>
      </c>
    </row>
    <row r="285" spans="1:7" x14ac:dyDescent="0.35">
      <c r="A285" s="14" t="s">
        <v>143</v>
      </c>
      <c r="B285" s="14" t="s">
        <v>116</v>
      </c>
      <c r="C285" s="7" t="s">
        <v>144</v>
      </c>
      <c r="D285" s="11">
        <v>741307</v>
      </c>
      <c r="E285" s="11">
        <v>1209818</v>
      </c>
      <c r="F285" s="11">
        <v>60000</v>
      </c>
      <c r="G285" s="11">
        <v>0</v>
      </c>
    </row>
    <row r="286" spans="1:7" ht="26" x14ac:dyDescent="0.35">
      <c r="A286" s="14" t="s">
        <v>145</v>
      </c>
      <c r="B286" s="14" t="s">
        <v>128</v>
      </c>
      <c r="C286" s="7" t="s">
        <v>146</v>
      </c>
      <c r="D286" s="11">
        <v>10000</v>
      </c>
      <c r="E286" s="11">
        <v>0</v>
      </c>
      <c r="F286" s="11">
        <v>0</v>
      </c>
      <c r="G286" s="11">
        <v>0</v>
      </c>
    </row>
    <row r="287" spans="1:7" x14ac:dyDescent="0.35">
      <c r="A287" s="14" t="s">
        <v>147</v>
      </c>
      <c r="B287" s="14" t="s">
        <v>116</v>
      </c>
      <c r="C287" s="7" t="s">
        <v>148</v>
      </c>
      <c r="D287" s="11">
        <v>25000</v>
      </c>
      <c r="E287" s="11">
        <v>37000</v>
      </c>
      <c r="F287" s="11">
        <v>37000</v>
      </c>
      <c r="G287" s="11">
        <v>37000</v>
      </c>
    </row>
    <row r="288" spans="1:7" x14ac:dyDescent="0.35">
      <c r="A288" s="14" t="s">
        <v>149</v>
      </c>
      <c r="B288" s="14" t="s">
        <v>116</v>
      </c>
      <c r="C288" s="7" t="s">
        <v>150</v>
      </c>
      <c r="D288" s="11">
        <v>0</v>
      </c>
      <c r="E288" s="11">
        <v>25000</v>
      </c>
      <c r="F288" s="11">
        <v>25000</v>
      </c>
      <c r="G288" s="11">
        <v>25000</v>
      </c>
    </row>
    <row r="289" spans="1:7" s="78" customFormat="1" ht="23.15" customHeight="1" x14ac:dyDescent="0.35">
      <c r="A289" s="126"/>
      <c r="B289" s="126"/>
      <c r="C289" s="127" t="s">
        <v>561</v>
      </c>
      <c r="D289" s="128">
        <f>D290+D324</f>
        <v>2930947</v>
      </c>
      <c r="E289" s="128">
        <f>E290+E324</f>
        <v>27391691</v>
      </c>
      <c r="F289" s="128">
        <f>F290+F324</f>
        <v>4059636</v>
      </c>
      <c r="G289" s="128">
        <f>G290+G324</f>
        <v>2671553</v>
      </c>
    </row>
    <row r="290" spans="1:7" s="78" customFormat="1" ht="15.5" x14ac:dyDescent="0.35">
      <c r="A290" s="28"/>
      <c r="B290" s="28"/>
      <c r="C290" s="3" t="s">
        <v>10</v>
      </c>
      <c r="D290" s="9">
        <f>D292+D298+D306+D313+D321</f>
        <v>2169311</v>
      </c>
      <c r="E290" s="9">
        <f>E292+E298+E306+E313+E321</f>
        <v>26088103</v>
      </c>
      <c r="F290" s="9">
        <f>F292+F298+F306+F313+F321</f>
        <v>2058621</v>
      </c>
      <c r="G290" s="9">
        <f>G292+G298+G306+G313+G321</f>
        <v>2058621</v>
      </c>
    </row>
    <row r="291" spans="1:7" s="13" customFormat="1" ht="20.149999999999999" customHeight="1" x14ac:dyDescent="0.3">
      <c r="A291" s="84"/>
      <c r="B291" s="84"/>
      <c r="C291" s="2" t="s">
        <v>9</v>
      </c>
      <c r="D291" s="108"/>
      <c r="E291" s="108"/>
      <c r="F291" s="108"/>
      <c r="G291" s="108"/>
    </row>
    <row r="292" spans="1:7" s="13" customFormat="1" ht="22.5" customHeight="1" x14ac:dyDescent="0.3">
      <c r="A292" s="109" t="s">
        <v>151</v>
      </c>
      <c r="B292" s="109" t="s">
        <v>152</v>
      </c>
      <c r="C292" s="110" t="s">
        <v>153</v>
      </c>
      <c r="D292" s="111">
        <f>SUM(D293:D297)</f>
        <v>480793</v>
      </c>
      <c r="E292" s="111">
        <f t="shared" ref="E292:G292" si="41">SUM(E293:E297)</f>
        <v>978813</v>
      </c>
      <c r="F292" s="111">
        <f t="shared" si="41"/>
        <v>359793</v>
      </c>
      <c r="G292" s="111">
        <f t="shared" si="41"/>
        <v>359793</v>
      </c>
    </row>
    <row r="293" spans="1:7" s="13" customFormat="1" ht="27" customHeight="1" x14ac:dyDescent="0.3">
      <c r="A293" s="84"/>
      <c r="B293" s="45"/>
      <c r="C293" s="8" t="s">
        <v>154</v>
      </c>
      <c r="D293" s="1">
        <v>0</v>
      </c>
      <c r="E293" s="1">
        <v>241500</v>
      </c>
      <c r="F293" s="1">
        <v>285500</v>
      </c>
      <c r="G293" s="1">
        <v>0</v>
      </c>
    </row>
    <row r="294" spans="1:7" s="13" customFormat="1" ht="13" x14ac:dyDescent="0.3">
      <c r="A294" s="84"/>
      <c r="B294" s="45"/>
      <c r="C294" s="8" t="s">
        <v>155</v>
      </c>
      <c r="D294" s="1">
        <v>285500</v>
      </c>
      <c r="E294" s="1">
        <f>285500+196020</f>
        <v>481520</v>
      </c>
      <c r="F294" s="1">
        <v>0</v>
      </c>
      <c r="G294" s="1">
        <v>285500</v>
      </c>
    </row>
    <row r="295" spans="1:7" s="13" customFormat="1" ht="26" x14ac:dyDescent="0.3">
      <c r="A295" s="84"/>
      <c r="B295" s="45"/>
      <c r="C295" s="8" t="s">
        <v>156</v>
      </c>
      <c r="D295" s="1">
        <v>121000</v>
      </c>
      <c r="E295" s="1">
        <v>0</v>
      </c>
      <c r="F295" s="1">
        <v>0</v>
      </c>
      <c r="G295" s="1">
        <v>0</v>
      </c>
    </row>
    <row r="296" spans="1:7" s="13" customFormat="1" ht="13" x14ac:dyDescent="0.3">
      <c r="A296" s="84"/>
      <c r="B296" s="45"/>
      <c r="C296" s="8" t="s">
        <v>157</v>
      </c>
      <c r="D296" s="1">
        <v>0</v>
      </c>
      <c r="E296" s="1">
        <v>181500</v>
      </c>
      <c r="F296" s="1">
        <v>0</v>
      </c>
      <c r="G296" s="1">
        <v>0</v>
      </c>
    </row>
    <row r="297" spans="1:7" s="13" customFormat="1" ht="13" x14ac:dyDescent="0.3">
      <c r="A297" s="84"/>
      <c r="B297" s="45"/>
      <c r="C297" s="8" t="s">
        <v>29</v>
      </c>
      <c r="D297" s="1">
        <v>74293</v>
      </c>
      <c r="E297" s="1">
        <v>74293</v>
      </c>
      <c r="F297" s="1">
        <v>74293</v>
      </c>
      <c r="G297" s="1">
        <v>74293</v>
      </c>
    </row>
    <row r="298" spans="1:7" s="13" customFormat="1" ht="26" x14ac:dyDescent="0.3">
      <c r="A298" s="109" t="s">
        <v>158</v>
      </c>
      <c r="B298" s="109" t="s">
        <v>152</v>
      </c>
      <c r="C298" s="110" t="s">
        <v>159</v>
      </c>
      <c r="D298" s="111">
        <f>SUM(D299:D305)</f>
        <v>788422</v>
      </c>
      <c r="E298" s="111">
        <f t="shared" ref="E298:G298" si="42">SUM(E299:E305)</f>
        <v>9561216</v>
      </c>
      <c r="F298" s="111">
        <f t="shared" si="42"/>
        <v>798732</v>
      </c>
      <c r="G298" s="111">
        <f t="shared" si="42"/>
        <v>798732</v>
      </c>
    </row>
    <row r="299" spans="1:7" s="13" customFormat="1" ht="38.25" customHeight="1" x14ac:dyDescent="0.3">
      <c r="A299" s="84"/>
      <c r="B299" s="84"/>
      <c r="C299" s="90" t="s">
        <v>160</v>
      </c>
      <c r="D299" s="1">
        <v>79522</v>
      </c>
      <c r="E299" s="1">
        <v>100000</v>
      </c>
      <c r="F299" s="1">
        <v>59522</v>
      </c>
      <c r="G299" s="1">
        <v>59522</v>
      </c>
    </row>
    <row r="300" spans="1:7" s="13" customFormat="1" ht="13" x14ac:dyDescent="0.3">
      <c r="A300" s="84"/>
      <c r="B300" s="84"/>
      <c r="C300" s="90" t="s">
        <v>161</v>
      </c>
      <c r="D300" s="1">
        <v>35000</v>
      </c>
      <c r="E300" s="1">
        <v>200000</v>
      </c>
      <c r="F300" s="1">
        <v>60000</v>
      </c>
      <c r="G300" s="1">
        <v>60000</v>
      </c>
    </row>
    <row r="301" spans="1:7" s="13" customFormat="1" ht="66.75" customHeight="1" x14ac:dyDescent="0.3">
      <c r="A301" s="84"/>
      <c r="B301" s="84"/>
      <c r="C301" s="15" t="s">
        <v>162</v>
      </c>
      <c r="D301" s="1">
        <v>0</v>
      </c>
      <c r="E301" s="1">
        <v>7798000</v>
      </c>
      <c r="F301" s="1">
        <v>0</v>
      </c>
      <c r="G301" s="1">
        <v>0</v>
      </c>
    </row>
    <row r="302" spans="1:7" s="13" customFormat="1" ht="13" x14ac:dyDescent="0.3">
      <c r="A302" s="84"/>
      <c r="B302" s="84"/>
      <c r="C302" s="15" t="s">
        <v>163</v>
      </c>
      <c r="D302" s="1">
        <v>0</v>
      </c>
      <c r="E302" s="1">
        <v>240028</v>
      </c>
      <c r="F302" s="1">
        <v>0</v>
      </c>
      <c r="G302" s="1">
        <v>0</v>
      </c>
    </row>
    <row r="303" spans="1:7" s="13" customFormat="1" ht="26" x14ac:dyDescent="0.3">
      <c r="A303" s="84"/>
      <c r="B303" s="84"/>
      <c r="C303" s="15" t="s">
        <v>164</v>
      </c>
      <c r="D303" s="1">
        <v>0</v>
      </c>
      <c r="E303" s="1">
        <v>230000</v>
      </c>
      <c r="F303" s="1">
        <v>0</v>
      </c>
      <c r="G303" s="1">
        <v>0</v>
      </c>
    </row>
    <row r="304" spans="1:7" s="13" customFormat="1" ht="13" x14ac:dyDescent="0.3">
      <c r="A304" s="84"/>
      <c r="B304" s="84"/>
      <c r="C304" s="15" t="s">
        <v>165</v>
      </c>
      <c r="D304" s="1">
        <v>0</v>
      </c>
      <c r="E304" s="1">
        <v>120944</v>
      </c>
      <c r="F304" s="1">
        <v>0</v>
      </c>
      <c r="G304" s="1">
        <v>0</v>
      </c>
    </row>
    <row r="305" spans="1:7" s="13" customFormat="1" ht="13" x14ac:dyDescent="0.3">
      <c r="A305" s="84"/>
      <c r="B305" s="84"/>
      <c r="C305" s="8" t="s">
        <v>29</v>
      </c>
      <c r="D305" s="1">
        <f>412613+6000+5000+250287</f>
        <v>673900</v>
      </c>
      <c r="E305" s="1">
        <f>422923+6000+250287+193034</f>
        <v>872244</v>
      </c>
      <c r="F305" s="1">
        <f>422923+6000+250287</f>
        <v>679210</v>
      </c>
      <c r="G305" s="1">
        <f>422923+6000+250287</f>
        <v>679210</v>
      </c>
    </row>
    <row r="306" spans="1:7" s="13" customFormat="1" ht="13" x14ac:dyDescent="0.3">
      <c r="A306" s="109" t="s">
        <v>166</v>
      </c>
      <c r="B306" s="109" t="s">
        <v>167</v>
      </c>
      <c r="C306" s="110" t="s">
        <v>168</v>
      </c>
      <c r="D306" s="111">
        <f>SUM(D307:D312)</f>
        <v>532575</v>
      </c>
      <c r="E306" s="111">
        <f t="shared" ref="E306:G306" si="43">SUM(E307:E312)</f>
        <v>8636512</v>
      </c>
      <c r="F306" s="111">
        <f t="shared" si="43"/>
        <v>532575</v>
      </c>
      <c r="G306" s="111">
        <f t="shared" si="43"/>
        <v>532575</v>
      </c>
    </row>
    <row r="307" spans="1:7" s="13" customFormat="1" ht="13" x14ac:dyDescent="0.3">
      <c r="A307" s="71"/>
      <c r="B307" s="45"/>
      <c r="C307" s="112" t="s">
        <v>169</v>
      </c>
      <c r="D307" s="16">
        <v>0</v>
      </c>
      <c r="E307" s="16">
        <v>100000</v>
      </c>
      <c r="F307" s="16">
        <v>100000</v>
      </c>
      <c r="G307" s="16">
        <v>100000</v>
      </c>
    </row>
    <row r="308" spans="1:7" s="13" customFormat="1" ht="13" x14ac:dyDescent="0.3">
      <c r="A308" s="71"/>
      <c r="B308" s="45"/>
      <c r="C308" s="112" t="s">
        <v>170</v>
      </c>
      <c r="D308" s="16">
        <v>360840</v>
      </c>
      <c r="E308" s="16">
        <v>268617</v>
      </c>
      <c r="F308" s="16">
        <v>278018</v>
      </c>
      <c r="G308" s="16">
        <v>287749</v>
      </c>
    </row>
    <row r="309" spans="1:7" s="13" customFormat="1" ht="13" x14ac:dyDescent="0.3">
      <c r="A309" s="71"/>
      <c r="B309" s="45"/>
      <c r="C309" s="112" t="s">
        <v>171</v>
      </c>
      <c r="D309" s="16">
        <v>10000</v>
      </c>
      <c r="E309" s="16">
        <v>114608</v>
      </c>
      <c r="F309" s="16">
        <v>105207</v>
      </c>
      <c r="G309" s="16">
        <v>95476</v>
      </c>
    </row>
    <row r="310" spans="1:7" s="13" customFormat="1" ht="26" x14ac:dyDescent="0.3">
      <c r="A310" s="71"/>
      <c r="B310" s="45"/>
      <c r="C310" s="8" t="s">
        <v>172</v>
      </c>
      <c r="D310" s="113">
        <v>0</v>
      </c>
      <c r="E310" s="16">
        <v>7379052</v>
      </c>
      <c r="F310" s="16">
        <v>0</v>
      </c>
      <c r="G310" s="16">
        <v>0</v>
      </c>
    </row>
    <row r="311" spans="1:7" s="13" customFormat="1" ht="39" x14ac:dyDescent="0.3">
      <c r="A311" s="71"/>
      <c r="B311" s="45"/>
      <c r="C311" s="8" t="s">
        <v>173</v>
      </c>
      <c r="D311" s="113">
        <v>0</v>
      </c>
      <c r="E311" s="16">
        <v>724885</v>
      </c>
      <c r="F311" s="16">
        <v>0</v>
      </c>
      <c r="G311" s="16">
        <v>0</v>
      </c>
    </row>
    <row r="312" spans="1:7" s="13" customFormat="1" ht="13" x14ac:dyDescent="0.3">
      <c r="A312" s="71"/>
      <c r="B312" s="45"/>
      <c r="C312" s="112" t="s">
        <v>29</v>
      </c>
      <c r="D312" s="16">
        <v>161735</v>
      </c>
      <c r="E312" s="16">
        <v>49350</v>
      </c>
      <c r="F312" s="16">
        <v>49350</v>
      </c>
      <c r="G312" s="16">
        <v>49350</v>
      </c>
    </row>
    <row r="313" spans="1:7" s="13" customFormat="1" ht="13" x14ac:dyDescent="0.3">
      <c r="A313" s="109" t="s">
        <v>174</v>
      </c>
      <c r="B313" s="109" t="s">
        <v>152</v>
      </c>
      <c r="C313" s="110" t="s">
        <v>175</v>
      </c>
      <c r="D313" s="111">
        <f>SUM(D314:D320)</f>
        <v>364633</v>
      </c>
      <c r="E313" s="111">
        <f t="shared" ref="E313:G313" si="44">SUM(E314:E320)</f>
        <v>894633</v>
      </c>
      <c r="F313" s="111">
        <f t="shared" si="44"/>
        <v>364633</v>
      </c>
      <c r="G313" s="111">
        <f t="shared" si="44"/>
        <v>364633</v>
      </c>
    </row>
    <row r="314" spans="1:7" s="13" customFormat="1" ht="27" customHeight="1" x14ac:dyDescent="0.3">
      <c r="A314" s="71"/>
      <c r="B314" s="71"/>
      <c r="C314" s="90" t="s">
        <v>176</v>
      </c>
      <c r="D314" s="16">
        <v>116983</v>
      </c>
      <c r="E314" s="16">
        <v>96633</v>
      </c>
      <c r="F314" s="16">
        <v>150000</v>
      </c>
      <c r="G314" s="16">
        <v>80000</v>
      </c>
    </row>
    <row r="315" spans="1:7" s="13" customFormat="1" ht="26" x14ac:dyDescent="0.3">
      <c r="A315" s="71"/>
      <c r="B315" s="71"/>
      <c r="C315" s="90" t="s">
        <v>559</v>
      </c>
      <c r="D315" s="16">
        <v>89500</v>
      </c>
      <c r="E315" s="16">
        <v>10000</v>
      </c>
      <c r="F315" s="16">
        <v>65000</v>
      </c>
      <c r="G315" s="16">
        <v>110000</v>
      </c>
    </row>
    <row r="316" spans="1:7" s="13" customFormat="1" ht="26" x14ac:dyDescent="0.3">
      <c r="A316" s="71"/>
      <c r="B316" s="71"/>
      <c r="C316" s="90" t="s">
        <v>560</v>
      </c>
      <c r="D316" s="16">
        <v>98400</v>
      </c>
      <c r="E316" s="16">
        <v>193000</v>
      </c>
      <c r="F316" s="16">
        <v>79883</v>
      </c>
      <c r="G316" s="16">
        <v>104883</v>
      </c>
    </row>
    <row r="317" spans="1:7" s="13" customFormat="1" ht="26" x14ac:dyDescent="0.3">
      <c r="A317" s="71"/>
      <c r="B317" s="71"/>
      <c r="C317" s="8" t="s">
        <v>177</v>
      </c>
      <c r="D317" s="16">
        <v>35000</v>
      </c>
      <c r="E317" s="16">
        <v>45000</v>
      </c>
      <c r="F317" s="16">
        <v>45000</v>
      </c>
      <c r="G317" s="16">
        <v>45000</v>
      </c>
    </row>
    <row r="318" spans="1:7" s="13" customFormat="1" ht="13" x14ac:dyDescent="0.3">
      <c r="A318" s="71"/>
      <c r="B318" s="71"/>
      <c r="C318" s="8" t="s">
        <v>178</v>
      </c>
      <c r="D318" s="16">
        <v>0</v>
      </c>
      <c r="E318" s="16">
        <v>480000</v>
      </c>
      <c r="F318" s="16">
        <v>0</v>
      </c>
      <c r="G318" s="16">
        <v>0</v>
      </c>
    </row>
    <row r="319" spans="1:7" s="13" customFormat="1" ht="26" x14ac:dyDescent="0.3">
      <c r="A319" s="71"/>
      <c r="B319" s="71"/>
      <c r="C319" s="8" t="s">
        <v>179</v>
      </c>
      <c r="D319" s="16">
        <v>0</v>
      </c>
      <c r="E319" s="16">
        <v>50000</v>
      </c>
      <c r="F319" s="16">
        <v>0</v>
      </c>
      <c r="G319" s="16">
        <v>0</v>
      </c>
    </row>
    <row r="320" spans="1:7" s="13" customFormat="1" ht="13" x14ac:dyDescent="0.3">
      <c r="A320" s="71"/>
      <c r="B320" s="71"/>
      <c r="C320" s="112" t="s">
        <v>29</v>
      </c>
      <c r="D320" s="16">
        <f>10000+14750</f>
        <v>24750</v>
      </c>
      <c r="E320" s="16">
        <v>20000</v>
      </c>
      <c r="F320" s="16">
        <v>24750</v>
      </c>
      <c r="G320" s="16">
        <v>24750</v>
      </c>
    </row>
    <row r="321" spans="1:7" s="13" customFormat="1" ht="13" x14ac:dyDescent="0.3">
      <c r="A321" s="109" t="s">
        <v>61</v>
      </c>
      <c r="B321" s="109" t="s">
        <v>180</v>
      </c>
      <c r="C321" s="110" t="s">
        <v>62</v>
      </c>
      <c r="D321" s="111">
        <f>D322+D323</f>
        <v>2888</v>
      </c>
      <c r="E321" s="111">
        <f t="shared" ref="E321:G321" si="45">E322+E323</f>
        <v>6016929</v>
      </c>
      <c r="F321" s="111">
        <f t="shared" si="45"/>
        <v>2888</v>
      </c>
      <c r="G321" s="111">
        <f t="shared" si="45"/>
        <v>2888</v>
      </c>
    </row>
    <row r="322" spans="1:7" s="13" customFormat="1" ht="66" customHeight="1" x14ac:dyDescent="0.3">
      <c r="A322" s="71"/>
      <c r="B322" s="45"/>
      <c r="C322" s="114" t="s">
        <v>162</v>
      </c>
      <c r="D322" s="16">
        <v>0</v>
      </c>
      <c r="E322" s="16">
        <v>6014041</v>
      </c>
      <c r="F322" s="16">
        <v>0</v>
      </c>
      <c r="G322" s="16">
        <v>0</v>
      </c>
    </row>
    <row r="323" spans="1:7" s="13" customFormat="1" ht="13" x14ac:dyDescent="0.3">
      <c r="A323" s="71"/>
      <c r="B323" s="71"/>
      <c r="C323" s="8" t="s">
        <v>29</v>
      </c>
      <c r="D323" s="16">
        <v>2888</v>
      </c>
      <c r="E323" s="16">
        <v>2888</v>
      </c>
      <c r="F323" s="16">
        <v>2888</v>
      </c>
      <c r="G323" s="16">
        <v>2888</v>
      </c>
    </row>
    <row r="324" spans="1:7" s="78" customFormat="1" ht="45" x14ac:dyDescent="0.35">
      <c r="A324" s="28"/>
      <c r="B324" s="28"/>
      <c r="C324" s="3" t="s">
        <v>21</v>
      </c>
      <c r="D324" s="9">
        <f>SUM(D326:D330)</f>
        <v>761636</v>
      </c>
      <c r="E324" s="9">
        <f t="shared" ref="E324:G324" si="46">SUM(E326:E330)</f>
        <v>1303588</v>
      </c>
      <c r="F324" s="9">
        <f>SUM(F326:F330)</f>
        <v>2001015</v>
      </c>
      <c r="G324" s="9">
        <f t="shared" si="46"/>
        <v>612932</v>
      </c>
    </row>
    <row r="325" spans="1:7" s="13" customFormat="1" ht="13" x14ac:dyDescent="0.3">
      <c r="A325" s="84"/>
      <c r="B325" s="84"/>
      <c r="C325" s="2" t="s">
        <v>9</v>
      </c>
      <c r="D325" s="115"/>
      <c r="E325" s="115"/>
      <c r="F325" s="116"/>
      <c r="G325" s="115"/>
    </row>
    <row r="326" spans="1:7" s="13" customFormat="1" ht="26" x14ac:dyDescent="0.3">
      <c r="A326" s="109" t="s">
        <v>140</v>
      </c>
      <c r="B326" s="109" t="s">
        <v>181</v>
      </c>
      <c r="C326" s="110" t="s">
        <v>182</v>
      </c>
      <c r="D326" s="117">
        <v>79121</v>
      </c>
      <c r="E326" s="117">
        <v>500000</v>
      </c>
      <c r="F326" s="117">
        <v>1186583</v>
      </c>
      <c r="G326" s="117">
        <v>0</v>
      </c>
    </row>
    <row r="327" spans="1:7" s="13" customFormat="1" ht="26" x14ac:dyDescent="0.3">
      <c r="A327" s="109" t="s">
        <v>183</v>
      </c>
      <c r="B327" s="109" t="s">
        <v>181</v>
      </c>
      <c r="C327" s="110" t="s">
        <v>184</v>
      </c>
      <c r="D327" s="117">
        <v>501015</v>
      </c>
      <c r="E327" s="117">
        <v>560432</v>
      </c>
      <c r="F327" s="117">
        <v>580432</v>
      </c>
      <c r="G327" s="117">
        <v>560432</v>
      </c>
    </row>
    <row r="328" spans="1:7" s="13" customFormat="1" ht="26" x14ac:dyDescent="0.3">
      <c r="A328" s="109" t="s">
        <v>185</v>
      </c>
      <c r="B328" s="109" t="s">
        <v>181</v>
      </c>
      <c r="C328" s="110" t="s">
        <v>186</v>
      </c>
      <c r="D328" s="117">
        <v>181500</v>
      </c>
      <c r="E328" s="117">
        <v>181500</v>
      </c>
      <c r="F328" s="117">
        <v>181500</v>
      </c>
      <c r="G328" s="117"/>
    </row>
    <row r="329" spans="1:7" s="13" customFormat="1" ht="26" x14ac:dyDescent="0.3">
      <c r="A329" s="109" t="s">
        <v>187</v>
      </c>
      <c r="B329" s="109" t="s">
        <v>181</v>
      </c>
      <c r="C329" s="110" t="s">
        <v>188</v>
      </c>
      <c r="D329" s="117">
        <v>0</v>
      </c>
      <c r="E329" s="117">
        <v>52500</v>
      </c>
      <c r="F329" s="117">
        <v>52500</v>
      </c>
      <c r="G329" s="117">
        <v>52500</v>
      </c>
    </row>
    <row r="330" spans="1:7" s="13" customFormat="1" ht="26.15" customHeight="1" x14ac:dyDescent="0.3">
      <c r="A330" s="109" t="s">
        <v>189</v>
      </c>
      <c r="B330" s="109" t="s">
        <v>181</v>
      </c>
      <c r="C330" s="110" t="s">
        <v>190</v>
      </c>
      <c r="D330" s="117">
        <v>0</v>
      </c>
      <c r="E330" s="117">
        <v>9156</v>
      </c>
      <c r="F330" s="117">
        <v>0</v>
      </c>
      <c r="G330" s="117">
        <v>0</v>
      </c>
    </row>
    <row r="331" spans="1:7" ht="15" x14ac:dyDescent="0.35">
      <c r="A331" s="127"/>
      <c r="B331" s="127"/>
      <c r="C331" s="127" t="s">
        <v>207</v>
      </c>
      <c r="D331" s="128">
        <v>176480081</v>
      </c>
      <c r="E331" s="128">
        <v>343969278</v>
      </c>
      <c r="F331" s="128">
        <v>158219743</v>
      </c>
      <c r="G331" s="128">
        <v>126248868</v>
      </c>
    </row>
    <row r="332" spans="1:7" ht="15.5" x14ac:dyDescent="0.35">
      <c r="A332" s="28"/>
      <c r="B332" s="28"/>
      <c r="C332" s="3" t="s">
        <v>10</v>
      </c>
      <c r="D332" s="9">
        <v>70168243</v>
      </c>
      <c r="E332" s="9">
        <v>182229675</v>
      </c>
      <c r="F332" s="9">
        <v>124332100</v>
      </c>
      <c r="G332" s="9">
        <v>126248868</v>
      </c>
    </row>
    <row r="333" spans="1:7" x14ac:dyDescent="0.35">
      <c r="A333" s="84"/>
      <c r="B333" s="84"/>
      <c r="C333" s="2" t="s">
        <v>9</v>
      </c>
      <c r="D333" s="40"/>
      <c r="E333" s="40"/>
      <c r="F333" s="40"/>
      <c r="G333" s="40"/>
    </row>
    <row r="334" spans="1:7" ht="26" x14ac:dyDescent="0.35">
      <c r="A334" s="31" t="s">
        <v>191</v>
      </c>
      <c r="B334" s="31" t="s">
        <v>192</v>
      </c>
      <c r="C334" s="7" t="s">
        <v>193</v>
      </c>
      <c r="D334" s="43">
        <v>70952</v>
      </c>
      <c r="E334" s="43">
        <v>70952</v>
      </c>
      <c r="F334" s="43">
        <v>70952</v>
      </c>
      <c r="G334" s="43">
        <v>70952</v>
      </c>
    </row>
    <row r="335" spans="1:7" x14ac:dyDescent="0.35">
      <c r="A335" s="45"/>
      <c r="B335" s="45"/>
      <c r="C335" s="15" t="s">
        <v>29</v>
      </c>
      <c r="D335" s="16">
        <v>70952</v>
      </c>
      <c r="E335" s="16">
        <v>70952</v>
      </c>
      <c r="F335" s="16">
        <v>70952</v>
      </c>
      <c r="G335" s="16">
        <v>70952</v>
      </c>
    </row>
    <row r="336" spans="1:7" x14ac:dyDescent="0.35">
      <c r="A336" s="72" t="s">
        <v>206</v>
      </c>
      <c r="B336" s="31" t="s">
        <v>194</v>
      </c>
      <c r="C336" s="7" t="s">
        <v>195</v>
      </c>
      <c r="D336" s="43">
        <f>SUM(D337:D341)</f>
        <v>70040376</v>
      </c>
      <c r="E336" s="43">
        <f t="shared" ref="E336:G336" si="47">SUM(E337:E341)</f>
        <v>182101808</v>
      </c>
      <c r="F336" s="43">
        <f t="shared" si="47"/>
        <v>124204233</v>
      </c>
      <c r="G336" s="43">
        <f t="shared" si="47"/>
        <v>126121001</v>
      </c>
    </row>
    <row r="337" spans="1:7" x14ac:dyDescent="0.35">
      <c r="A337" s="45"/>
      <c r="B337" s="45"/>
      <c r="C337" s="8" t="s">
        <v>562</v>
      </c>
      <c r="D337" s="16">
        <v>45195973</v>
      </c>
      <c r="E337" s="16">
        <v>143616280</v>
      </c>
      <c r="F337" s="16">
        <v>86178000</v>
      </c>
      <c r="G337" s="178">
        <v>88640001</v>
      </c>
    </row>
    <row r="338" spans="1:7" x14ac:dyDescent="0.35">
      <c r="A338" s="45"/>
      <c r="B338" s="45"/>
      <c r="C338" s="8" t="s">
        <v>563</v>
      </c>
      <c r="D338" s="16">
        <v>8953685</v>
      </c>
      <c r="E338" s="16">
        <v>10865000</v>
      </c>
      <c r="F338" s="16">
        <v>11681000</v>
      </c>
      <c r="G338" s="178">
        <v>11681000</v>
      </c>
    </row>
    <row r="339" spans="1:7" x14ac:dyDescent="0.35">
      <c r="A339" s="45"/>
      <c r="B339" s="45"/>
      <c r="C339" s="8" t="s">
        <v>564</v>
      </c>
      <c r="D339" s="16">
        <v>6918290</v>
      </c>
      <c r="E339" s="16">
        <v>6900000</v>
      </c>
      <c r="F339" s="16">
        <v>10300000</v>
      </c>
      <c r="G339" s="178">
        <v>10300000</v>
      </c>
    </row>
    <row r="340" spans="1:7" x14ac:dyDescent="0.35">
      <c r="A340" s="45"/>
      <c r="B340" s="45"/>
      <c r="C340" s="119" t="s">
        <v>565</v>
      </c>
      <c r="D340" s="16">
        <v>0</v>
      </c>
      <c r="E340" s="16">
        <v>150000</v>
      </c>
      <c r="F340" s="16">
        <v>500000</v>
      </c>
      <c r="G340" s="179">
        <v>500000</v>
      </c>
    </row>
    <row r="341" spans="1:7" x14ac:dyDescent="0.35">
      <c r="A341" s="45"/>
      <c r="B341" s="45"/>
      <c r="C341" s="8" t="s">
        <v>29</v>
      </c>
      <c r="D341" s="16">
        <v>8972428</v>
      </c>
      <c r="E341" s="16">
        <v>20570528</v>
      </c>
      <c r="F341" s="16">
        <v>15545233</v>
      </c>
      <c r="G341" s="179">
        <v>15000000</v>
      </c>
    </row>
    <row r="342" spans="1:7" x14ac:dyDescent="0.35">
      <c r="A342" s="31" t="s">
        <v>61</v>
      </c>
      <c r="B342" s="31" t="s">
        <v>196</v>
      </c>
      <c r="C342" s="32" t="s">
        <v>62</v>
      </c>
      <c r="D342" s="43">
        <v>56915</v>
      </c>
      <c r="E342" s="43">
        <v>56915</v>
      </c>
      <c r="F342" s="43">
        <v>56915</v>
      </c>
      <c r="G342" s="43">
        <v>56915</v>
      </c>
    </row>
    <row r="343" spans="1:7" x14ac:dyDescent="0.35">
      <c r="A343" s="45"/>
      <c r="B343" s="45"/>
      <c r="C343" s="15" t="s">
        <v>29</v>
      </c>
      <c r="D343" s="16">
        <v>56915</v>
      </c>
      <c r="E343" s="16">
        <v>56915</v>
      </c>
      <c r="F343" s="16">
        <v>56915</v>
      </c>
      <c r="G343" s="16">
        <v>56915</v>
      </c>
    </row>
    <row r="344" spans="1:7" ht="45" x14ac:dyDescent="0.35">
      <c r="A344" s="28"/>
      <c r="B344" s="28"/>
      <c r="C344" s="29" t="s">
        <v>21</v>
      </c>
      <c r="D344" s="67">
        <v>106311838</v>
      </c>
      <c r="E344" s="67">
        <v>161739603</v>
      </c>
      <c r="F344" s="67">
        <v>33887643</v>
      </c>
      <c r="G344" s="9"/>
    </row>
    <row r="345" spans="1:7" x14ac:dyDescent="0.35">
      <c r="A345" s="84"/>
      <c r="B345" s="84"/>
      <c r="C345" s="2" t="s">
        <v>9</v>
      </c>
      <c r="D345" s="42"/>
      <c r="E345" s="42"/>
      <c r="F345" s="42"/>
      <c r="G345" s="42"/>
    </row>
    <row r="346" spans="1:7" x14ac:dyDescent="0.35">
      <c r="A346" s="31" t="s">
        <v>197</v>
      </c>
      <c r="B346" s="31" t="s">
        <v>196</v>
      </c>
      <c r="C346" s="32" t="s">
        <v>198</v>
      </c>
      <c r="D346" s="43">
        <v>104336208</v>
      </c>
      <c r="E346" s="43">
        <v>160975564</v>
      </c>
      <c r="F346" s="43">
        <v>29059902</v>
      </c>
      <c r="G346" s="43">
        <v>0</v>
      </c>
    </row>
    <row r="347" spans="1:7" ht="26" x14ac:dyDescent="0.35">
      <c r="A347" s="31" t="s">
        <v>199</v>
      </c>
      <c r="B347" s="31" t="s">
        <v>196</v>
      </c>
      <c r="C347" s="32" t="s">
        <v>200</v>
      </c>
      <c r="D347" s="43">
        <v>0</v>
      </c>
      <c r="E347" s="43">
        <v>156800</v>
      </c>
      <c r="F347" s="43">
        <v>4827741</v>
      </c>
      <c r="G347" s="43">
        <v>0</v>
      </c>
    </row>
    <row r="348" spans="1:7" ht="26" x14ac:dyDescent="0.35">
      <c r="A348" s="31" t="s">
        <v>201</v>
      </c>
      <c r="B348" s="31" t="s">
        <v>196</v>
      </c>
      <c r="C348" s="32" t="s">
        <v>202</v>
      </c>
      <c r="D348" s="43">
        <v>1950430</v>
      </c>
      <c r="E348" s="43">
        <v>0</v>
      </c>
      <c r="F348" s="43">
        <v>0</v>
      </c>
      <c r="G348" s="43">
        <v>0</v>
      </c>
    </row>
    <row r="349" spans="1:7" ht="18.75" customHeight="1" x14ac:dyDescent="0.35">
      <c r="A349" s="31" t="s">
        <v>98</v>
      </c>
      <c r="B349" s="31" t="s">
        <v>196</v>
      </c>
      <c r="C349" s="32" t="s">
        <v>203</v>
      </c>
      <c r="D349" s="43">
        <v>25200</v>
      </c>
      <c r="E349" s="43">
        <v>0</v>
      </c>
      <c r="F349" s="43">
        <v>0</v>
      </c>
      <c r="G349" s="43">
        <v>0</v>
      </c>
    </row>
    <row r="350" spans="1:7" ht="26" x14ac:dyDescent="0.35">
      <c r="A350" s="31" t="s">
        <v>204</v>
      </c>
      <c r="B350" s="31" t="s">
        <v>196</v>
      </c>
      <c r="C350" s="32" t="s">
        <v>205</v>
      </c>
      <c r="D350" s="43">
        <v>0</v>
      </c>
      <c r="E350" s="43">
        <v>607239</v>
      </c>
      <c r="F350" s="43">
        <v>0</v>
      </c>
      <c r="G350" s="43">
        <v>0</v>
      </c>
    </row>
    <row r="351" spans="1:7" s="107" customFormat="1" ht="15.5" x14ac:dyDescent="0.35">
      <c r="A351" s="134"/>
      <c r="B351" s="135"/>
      <c r="C351" s="136" t="s">
        <v>553</v>
      </c>
      <c r="D351" s="137">
        <f>D352+D386</f>
        <v>9562769</v>
      </c>
      <c r="E351" s="137">
        <f>E352+E386</f>
        <v>9597049</v>
      </c>
      <c r="F351" s="137">
        <f>F352+F386</f>
        <v>1434525</v>
      </c>
      <c r="G351" s="137">
        <f>G352+G386</f>
        <v>1204889</v>
      </c>
    </row>
    <row r="352" spans="1:7" s="107" customFormat="1" ht="15.5" x14ac:dyDescent="0.35">
      <c r="A352" s="120"/>
      <c r="B352" s="121"/>
      <c r="C352" s="122" t="s">
        <v>208</v>
      </c>
      <c r="D352" s="123">
        <f>D354+D359+D365+D367+D370+D372+D375+D379</f>
        <v>5906281</v>
      </c>
      <c r="E352" s="123">
        <f t="shared" ref="E352:G352" si="48">E354+E359+E365+E367+E370+E372+E375+E379</f>
        <v>7529619</v>
      </c>
      <c r="F352" s="123">
        <f t="shared" si="48"/>
        <v>1209169</v>
      </c>
      <c r="G352" s="123">
        <f t="shared" si="48"/>
        <v>1204889</v>
      </c>
    </row>
    <row r="353" spans="1:7" s="105" customFormat="1" ht="14" x14ac:dyDescent="0.35">
      <c r="A353" s="38"/>
      <c r="B353" s="124"/>
      <c r="C353" s="177" t="s">
        <v>9</v>
      </c>
      <c r="D353" s="38"/>
      <c r="E353" s="47"/>
      <c r="F353" s="47"/>
      <c r="G353" s="47"/>
    </row>
    <row r="354" spans="1:7" s="105" customFormat="1" ht="14" x14ac:dyDescent="0.35">
      <c r="A354" s="150" t="s">
        <v>209</v>
      </c>
      <c r="B354" s="150" t="s">
        <v>210</v>
      </c>
      <c r="C354" s="151" t="s">
        <v>211</v>
      </c>
      <c r="D354" s="152">
        <f>SUM(D355:D358)</f>
        <v>631092</v>
      </c>
      <c r="E354" s="152">
        <f t="shared" ref="E354:G354" si="49">SUM(E355:E358)</f>
        <v>6631092</v>
      </c>
      <c r="F354" s="152">
        <f t="shared" si="49"/>
        <v>631092</v>
      </c>
      <c r="G354" s="152">
        <f t="shared" si="49"/>
        <v>631092</v>
      </c>
    </row>
    <row r="355" spans="1:7" s="105" customFormat="1" ht="39" x14ac:dyDescent="0.35">
      <c r="A355" s="153"/>
      <c r="B355" s="154"/>
      <c r="C355" s="153" t="s">
        <v>214</v>
      </c>
      <c r="D355" s="155"/>
      <c r="E355" s="155">
        <v>6000000</v>
      </c>
      <c r="F355" s="155"/>
      <c r="G355" s="155"/>
    </row>
    <row r="356" spans="1:7" s="105" customFormat="1" ht="39" x14ac:dyDescent="0.35">
      <c r="A356" s="153"/>
      <c r="B356" s="154"/>
      <c r="C356" s="153" t="s">
        <v>212</v>
      </c>
      <c r="D356" s="155">
        <v>414244</v>
      </c>
      <c r="E356" s="155">
        <v>386965</v>
      </c>
      <c r="F356" s="155">
        <v>382310</v>
      </c>
      <c r="G356" s="155">
        <v>377310</v>
      </c>
    </row>
    <row r="357" spans="1:7" s="105" customFormat="1" ht="52" x14ac:dyDescent="0.35">
      <c r="A357" s="153"/>
      <c r="B357" s="154"/>
      <c r="C357" s="153" t="s">
        <v>554</v>
      </c>
      <c r="D357" s="156">
        <f>102856+8382+34830+12000+33200</f>
        <v>191268</v>
      </c>
      <c r="E357" s="156">
        <f>94360+23485+7182+37100+35000</f>
        <v>197127</v>
      </c>
      <c r="F357" s="156">
        <f>97500+20000+6500+36782+36000</f>
        <v>196782</v>
      </c>
      <c r="G357" s="156">
        <f>97500+20000+6000+36282+37000</f>
        <v>196782</v>
      </c>
    </row>
    <row r="358" spans="1:7" s="105" customFormat="1" ht="14" x14ac:dyDescent="0.35">
      <c r="A358" s="153"/>
      <c r="B358" s="154"/>
      <c r="C358" s="153" t="s">
        <v>29</v>
      </c>
      <c r="D358" s="155">
        <v>25580</v>
      </c>
      <c r="E358" s="155">
        <v>47000</v>
      </c>
      <c r="F358" s="155">
        <v>52000</v>
      </c>
      <c r="G358" s="155">
        <v>57000</v>
      </c>
    </row>
    <row r="359" spans="1:7" s="105" customFormat="1" ht="26" x14ac:dyDescent="0.35">
      <c r="A359" s="151" t="s">
        <v>215</v>
      </c>
      <c r="B359" s="150" t="s">
        <v>210</v>
      </c>
      <c r="C359" s="151" t="s">
        <v>216</v>
      </c>
      <c r="D359" s="152">
        <f>SUM(D360:D364)</f>
        <v>160772</v>
      </c>
      <c r="E359" s="152">
        <f t="shared" ref="E359:G359" si="50">SUM(E360:E364)</f>
        <v>160772</v>
      </c>
      <c r="F359" s="152">
        <f t="shared" si="50"/>
        <v>160772</v>
      </c>
      <c r="G359" s="152">
        <f t="shared" si="50"/>
        <v>160772</v>
      </c>
    </row>
    <row r="360" spans="1:7" s="105" customFormat="1" ht="39" x14ac:dyDescent="0.35">
      <c r="A360" s="153"/>
      <c r="B360" s="154"/>
      <c r="C360" s="153" t="s">
        <v>555</v>
      </c>
      <c r="D360" s="155">
        <v>0</v>
      </c>
      <c r="E360" s="155">
        <f>20000+15000</f>
        <v>35000</v>
      </c>
      <c r="F360" s="155">
        <f>20000+15000+15000</f>
        <v>50000</v>
      </c>
      <c r="G360" s="155">
        <f>20000+20000+15000</f>
        <v>55000</v>
      </c>
    </row>
    <row r="361" spans="1:7" s="105" customFormat="1" ht="14" x14ac:dyDescent="0.35">
      <c r="A361" s="153"/>
      <c r="B361" s="154"/>
      <c r="C361" s="153" t="s">
        <v>219</v>
      </c>
      <c r="D361" s="155">
        <v>0</v>
      </c>
      <c r="E361" s="155">
        <v>84700</v>
      </c>
      <c r="F361" s="155">
        <v>0</v>
      </c>
      <c r="G361" s="155">
        <v>0</v>
      </c>
    </row>
    <row r="362" spans="1:7" s="105" customFormat="1" ht="39" x14ac:dyDescent="0.35">
      <c r="A362" s="153"/>
      <c r="B362" s="154"/>
      <c r="C362" s="153" t="s">
        <v>218</v>
      </c>
      <c r="D362" s="155">
        <v>0</v>
      </c>
      <c r="E362" s="155">
        <v>12000</v>
      </c>
      <c r="F362" s="155">
        <v>50000</v>
      </c>
      <c r="G362" s="155">
        <v>50000</v>
      </c>
    </row>
    <row r="363" spans="1:7" s="105" customFormat="1" ht="14" x14ac:dyDescent="0.35">
      <c r="A363" s="153"/>
      <c r="B363" s="154"/>
      <c r="C363" s="153" t="s">
        <v>217</v>
      </c>
      <c r="D363" s="155">
        <v>149562</v>
      </c>
      <c r="E363" s="155">
        <v>0</v>
      </c>
      <c r="F363" s="155">
        <v>0</v>
      </c>
      <c r="G363" s="155">
        <v>0</v>
      </c>
    </row>
    <row r="364" spans="1:7" s="105" customFormat="1" ht="14" x14ac:dyDescent="0.35">
      <c r="A364" s="153"/>
      <c r="B364" s="154"/>
      <c r="C364" s="153" t="s">
        <v>29</v>
      </c>
      <c r="D364" s="155">
        <f>11210</f>
        <v>11210</v>
      </c>
      <c r="E364" s="155">
        <f>14072+15000</f>
        <v>29072</v>
      </c>
      <c r="F364" s="155">
        <f>45772+15000</f>
        <v>60772</v>
      </c>
      <c r="G364" s="155">
        <f>40772+15000</f>
        <v>55772</v>
      </c>
    </row>
    <row r="365" spans="1:7" s="105" customFormat="1" ht="14" x14ac:dyDescent="0.35">
      <c r="A365" s="151" t="s">
        <v>220</v>
      </c>
      <c r="B365" s="150" t="s">
        <v>210</v>
      </c>
      <c r="C365" s="151" t="s">
        <v>221</v>
      </c>
      <c r="D365" s="152">
        <f>D366</f>
        <v>4000</v>
      </c>
      <c r="E365" s="152">
        <f t="shared" ref="E365:G365" si="51">E366</f>
        <v>7000</v>
      </c>
      <c r="F365" s="152">
        <f t="shared" si="51"/>
        <v>7000</v>
      </c>
      <c r="G365" s="152">
        <f t="shared" si="51"/>
        <v>7000</v>
      </c>
    </row>
    <row r="366" spans="1:7" s="105" customFormat="1" ht="14" x14ac:dyDescent="0.35">
      <c r="A366" s="153"/>
      <c r="B366" s="154"/>
      <c r="C366" s="153" t="s">
        <v>213</v>
      </c>
      <c r="D366" s="155">
        <v>4000</v>
      </c>
      <c r="E366" s="155">
        <v>7000</v>
      </c>
      <c r="F366" s="155">
        <v>7000</v>
      </c>
      <c r="G366" s="155">
        <v>7000</v>
      </c>
    </row>
    <row r="367" spans="1:7" s="105" customFormat="1" ht="14" x14ac:dyDescent="0.35">
      <c r="A367" s="150" t="s">
        <v>222</v>
      </c>
      <c r="B367" s="150" t="s">
        <v>223</v>
      </c>
      <c r="C367" s="151" t="s">
        <v>224</v>
      </c>
      <c r="D367" s="152">
        <f>SUM(D368:D369)</f>
        <v>140864</v>
      </c>
      <c r="E367" s="152">
        <f t="shared" ref="E367:G367" si="52">SUM(E368:E369)</f>
        <v>140864</v>
      </c>
      <c r="F367" s="152">
        <f t="shared" si="52"/>
        <v>140864</v>
      </c>
      <c r="G367" s="152">
        <f t="shared" si="52"/>
        <v>140864</v>
      </c>
    </row>
    <row r="368" spans="1:7" s="105" customFormat="1" ht="26" x14ac:dyDescent="0.35">
      <c r="A368" s="154"/>
      <c r="B368" s="154"/>
      <c r="C368" s="157" t="s">
        <v>225</v>
      </c>
      <c r="D368" s="156">
        <v>40612</v>
      </c>
      <c r="E368" s="156">
        <v>72600</v>
      </c>
      <c r="F368" s="156">
        <v>72600</v>
      </c>
      <c r="G368" s="156">
        <v>72600</v>
      </c>
    </row>
    <row r="369" spans="1:7" s="105" customFormat="1" ht="26" x14ac:dyDescent="0.35">
      <c r="A369" s="154"/>
      <c r="B369" s="154"/>
      <c r="C369" s="157" t="s">
        <v>232</v>
      </c>
      <c r="D369" s="156">
        <f>73284+22128+4840</f>
        <v>100252</v>
      </c>
      <c r="E369" s="156">
        <f>57203+11061</f>
        <v>68264</v>
      </c>
      <c r="F369" s="156">
        <v>68264</v>
      </c>
      <c r="G369" s="156">
        <v>68264</v>
      </c>
    </row>
    <row r="370" spans="1:7" s="105" customFormat="1" ht="14" x14ac:dyDescent="0.35">
      <c r="A370" s="150" t="s">
        <v>226</v>
      </c>
      <c r="B370" s="150" t="s">
        <v>223</v>
      </c>
      <c r="C370" s="151" t="s">
        <v>227</v>
      </c>
      <c r="D370" s="152">
        <f>SUM(D371:D371)</f>
        <v>21717</v>
      </c>
      <c r="E370" s="152">
        <f t="shared" ref="E370:G370" si="53">SUM(E371:E371)</f>
        <v>21717</v>
      </c>
      <c r="F370" s="152">
        <f t="shared" si="53"/>
        <v>21717</v>
      </c>
      <c r="G370" s="152">
        <f t="shared" si="53"/>
        <v>21717</v>
      </c>
    </row>
    <row r="371" spans="1:7" s="105" customFormat="1" ht="26" x14ac:dyDescent="0.35">
      <c r="A371" s="153"/>
      <c r="B371" s="154"/>
      <c r="C371" s="157" t="s">
        <v>232</v>
      </c>
      <c r="D371" s="155">
        <f>20517+1200</f>
        <v>21717</v>
      </c>
      <c r="E371" s="155">
        <v>21717</v>
      </c>
      <c r="F371" s="155">
        <v>21717</v>
      </c>
      <c r="G371" s="155">
        <v>21717</v>
      </c>
    </row>
    <row r="372" spans="1:7" s="106" customFormat="1" ht="14" x14ac:dyDescent="0.35">
      <c r="A372" s="158" t="s">
        <v>228</v>
      </c>
      <c r="B372" s="158" t="s">
        <v>229</v>
      </c>
      <c r="C372" s="159" t="s">
        <v>230</v>
      </c>
      <c r="D372" s="160">
        <f>D373+D374</f>
        <v>6070</v>
      </c>
      <c r="E372" s="160">
        <f t="shared" ref="E372:G372" si="54">E373+E374</f>
        <v>11420</v>
      </c>
      <c r="F372" s="160">
        <f t="shared" si="54"/>
        <v>10350</v>
      </c>
      <c r="G372" s="160">
        <f t="shared" si="54"/>
        <v>6070</v>
      </c>
    </row>
    <row r="373" spans="1:7" s="105" customFormat="1" ht="26" x14ac:dyDescent="0.35">
      <c r="A373" s="153"/>
      <c r="B373" s="154"/>
      <c r="C373" s="157" t="s">
        <v>232</v>
      </c>
      <c r="D373" s="155">
        <v>6070</v>
      </c>
      <c r="E373" s="155">
        <v>6070</v>
      </c>
      <c r="F373" s="155">
        <v>6070</v>
      </c>
      <c r="G373" s="155">
        <v>6070</v>
      </c>
    </row>
    <row r="374" spans="1:7" s="105" customFormat="1" ht="41.5" x14ac:dyDescent="0.35">
      <c r="A374" s="153"/>
      <c r="B374" s="154"/>
      <c r="C374" s="161" t="s">
        <v>574</v>
      </c>
      <c r="D374" s="155">
        <v>0</v>
      </c>
      <c r="E374" s="155">
        <v>5350</v>
      </c>
      <c r="F374" s="155">
        <v>4280</v>
      </c>
      <c r="G374" s="155">
        <v>0</v>
      </c>
    </row>
    <row r="375" spans="1:7" s="105" customFormat="1" ht="14" x14ac:dyDescent="0.35">
      <c r="A375" s="150" t="s">
        <v>138</v>
      </c>
      <c r="B375" s="150" t="s">
        <v>229</v>
      </c>
      <c r="C375" s="151" t="s">
        <v>231</v>
      </c>
      <c r="D375" s="152">
        <f>SUM(D376:D378)</f>
        <v>48319</v>
      </c>
      <c r="E375" s="152">
        <f t="shared" ref="E375:G375" si="55">SUM(E376:E378)</f>
        <v>48319</v>
      </c>
      <c r="F375" s="152">
        <f t="shared" si="55"/>
        <v>48319</v>
      </c>
      <c r="G375" s="152">
        <f t="shared" si="55"/>
        <v>48319</v>
      </c>
    </row>
    <row r="376" spans="1:7" s="105" customFormat="1" ht="26" x14ac:dyDescent="0.35">
      <c r="A376" s="153"/>
      <c r="B376" s="154"/>
      <c r="C376" s="161" t="s">
        <v>232</v>
      </c>
      <c r="D376" s="155">
        <v>47552</v>
      </c>
      <c r="E376" s="155">
        <v>25000</v>
      </c>
      <c r="F376" s="155">
        <v>25000</v>
      </c>
      <c r="G376" s="155">
        <v>25000</v>
      </c>
    </row>
    <row r="377" spans="1:7" s="105" customFormat="1" ht="26" x14ac:dyDescent="0.35">
      <c r="A377" s="153"/>
      <c r="B377" s="154"/>
      <c r="C377" s="161" t="s">
        <v>233</v>
      </c>
      <c r="D377" s="155">
        <v>767</v>
      </c>
      <c r="E377" s="155">
        <v>14319</v>
      </c>
      <c r="F377" s="155">
        <v>14319</v>
      </c>
      <c r="G377" s="155">
        <v>14319</v>
      </c>
    </row>
    <row r="378" spans="1:7" s="105" customFormat="1" ht="26.25" customHeight="1" x14ac:dyDescent="0.35">
      <c r="A378" s="153"/>
      <c r="B378" s="154"/>
      <c r="C378" s="153" t="s">
        <v>234</v>
      </c>
      <c r="D378" s="155">
        <v>0</v>
      </c>
      <c r="E378" s="155">
        <v>9000</v>
      </c>
      <c r="F378" s="155">
        <v>9000</v>
      </c>
      <c r="G378" s="155">
        <v>9000</v>
      </c>
    </row>
    <row r="379" spans="1:7" s="105" customFormat="1" ht="14" x14ac:dyDescent="0.35">
      <c r="A379" s="150" t="s">
        <v>235</v>
      </c>
      <c r="B379" s="150" t="s">
        <v>229</v>
      </c>
      <c r="C379" s="151" t="s">
        <v>236</v>
      </c>
      <c r="D379" s="152">
        <f>SUM(D380:D385)</f>
        <v>4893447</v>
      </c>
      <c r="E379" s="152">
        <f t="shared" ref="E379:G379" si="56">SUM(E380:E385)</f>
        <v>508435</v>
      </c>
      <c r="F379" s="152">
        <f t="shared" si="56"/>
        <v>189055</v>
      </c>
      <c r="G379" s="152">
        <f t="shared" si="56"/>
        <v>189055</v>
      </c>
    </row>
    <row r="380" spans="1:7" s="105" customFormat="1" ht="39.75" customHeight="1" x14ac:dyDescent="0.35">
      <c r="A380" s="162"/>
      <c r="B380" s="162"/>
      <c r="C380" s="153" t="s">
        <v>239</v>
      </c>
      <c r="D380" s="156">
        <v>2881425</v>
      </c>
      <c r="E380" s="156">
        <v>0</v>
      </c>
      <c r="F380" s="156">
        <v>0</v>
      </c>
      <c r="G380" s="156">
        <v>0</v>
      </c>
    </row>
    <row r="381" spans="1:7" s="105" customFormat="1" ht="39" x14ac:dyDescent="0.35">
      <c r="A381" s="162"/>
      <c r="B381" s="162"/>
      <c r="C381" s="153" t="s">
        <v>556</v>
      </c>
      <c r="D381" s="156">
        <f>252467</f>
        <v>252467</v>
      </c>
      <c r="E381" s="156">
        <f>129773+117975</f>
        <v>247748</v>
      </c>
      <c r="F381" s="156">
        <v>0</v>
      </c>
      <c r="G381" s="156">
        <v>0</v>
      </c>
    </row>
    <row r="382" spans="1:7" s="105" customFormat="1" ht="54.75" customHeight="1" x14ac:dyDescent="0.35">
      <c r="A382" s="162"/>
      <c r="B382" s="162"/>
      <c r="C382" s="153" t="s">
        <v>237</v>
      </c>
      <c r="D382" s="156">
        <v>1327891</v>
      </c>
      <c r="E382" s="156">
        <v>0</v>
      </c>
      <c r="F382" s="156">
        <v>0</v>
      </c>
      <c r="G382" s="156">
        <v>0</v>
      </c>
    </row>
    <row r="383" spans="1:7" s="105" customFormat="1" ht="26" x14ac:dyDescent="0.35">
      <c r="A383" s="162"/>
      <c r="B383" s="162"/>
      <c r="C383" s="153" t="s">
        <v>238</v>
      </c>
      <c r="D383" s="156">
        <f>123455+64000+20264</f>
        <v>207719</v>
      </c>
      <c r="E383" s="156">
        <f>139055+71632</f>
        <v>210687</v>
      </c>
      <c r="F383" s="156">
        <v>139055</v>
      </c>
      <c r="G383" s="156">
        <v>139055</v>
      </c>
    </row>
    <row r="384" spans="1:7" s="105" customFormat="1" ht="19.5" customHeight="1" x14ac:dyDescent="0.35">
      <c r="A384" s="162"/>
      <c r="B384" s="162"/>
      <c r="C384" s="161" t="s">
        <v>557</v>
      </c>
      <c r="D384" s="156">
        <v>50590</v>
      </c>
      <c r="E384" s="156">
        <v>45000</v>
      </c>
      <c r="F384" s="156">
        <v>45000</v>
      </c>
      <c r="G384" s="156">
        <v>45000</v>
      </c>
    </row>
    <row r="385" spans="1:7" s="105" customFormat="1" ht="26.25" customHeight="1" x14ac:dyDescent="0.35">
      <c r="A385" s="162"/>
      <c r="B385" s="162"/>
      <c r="C385" s="161" t="s">
        <v>240</v>
      </c>
      <c r="D385" s="156">
        <f>5014+168341</f>
        <v>173355</v>
      </c>
      <c r="E385" s="156">
        <v>5000</v>
      </c>
      <c r="F385" s="156">
        <v>5000</v>
      </c>
      <c r="G385" s="156">
        <v>5000</v>
      </c>
    </row>
    <row r="386" spans="1:7" s="105" customFormat="1" ht="45" x14ac:dyDescent="0.35">
      <c r="A386" s="120"/>
      <c r="B386" s="121"/>
      <c r="C386" s="122" t="s">
        <v>21</v>
      </c>
      <c r="D386" s="123">
        <f>D388+D389+D390</f>
        <v>3656488</v>
      </c>
      <c r="E386" s="123">
        <f>E388+E389+E390</f>
        <v>2067430</v>
      </c>
      <c r="F386" s="123">
        <f>F388+F389+F390</f>
        <v>225356</v>
      </c>
      <c r="G386" s="123">
        <f>G388+G389+G390</f>
        <v>0</v>
      </c>
    </row>
    <row r="387" spans="1:7" s="105" customFormat="1" ht="14" x14ac:dyDescent="0.35">
      <c r="A387" s="38"/>
      <c r="B387" s="124"/>
      <c r="C387" s="177" t="s">
        <v>9</v>
      </c>
      <c r="D387" s="47"/>
      <c r="E387" s="38"/>
      <c r="F387" s="38"/>
      <c r="G387" s="38"/>
    </row>
    <row r="388" spans="1:7" s="105" customFormat="1" ht="26" x14ac:dyDescent="0.35">
      <c r="A388" s="48" t="s">
        <v>241</v>
      </c>
      <c r="B388" s="48" t="s">
        <v>210</v>
      </c>
      <c r="C388" s="49" t="s">
        <v>242</v>
      </c>
      <c r="D388" s="50">
        <v>3648483</v>
      </c>
      <c r="E388" s="50">
        <v>1991430</v>
      </c>
      <c r="F388" s="50">
        <v>220356</v>
      </c>
      <c r="G388" s="50">
        <v>0</v>
      </c>
    </row>
    <row r="389" spans="1:7" s="105" customFormat="1" ht="26" x14ac:dyDescent="0.35">
      <c r="A389" s="48" t="s">
        <v>243</v>
      </c>
      <c r="B389" s="48" t="s">
        <v>244</v>
      </c>
      <c r="C389" s="49" t="s">
        <v>245</v>
      </c>
      <c r="D389" s="50">
        <v>6000</v>
      </c>
      <c r="E389" s="50">
        <v>76000</v>
      </c>
      <c r="F389" s="50">
        <v>5000</v>
      </c>
      <c r="G389" s="50">
        <v>0</v>
      </c>
    </row>
    <row r="390" spans="1:7" s="105" customFormat="1" ht="14" x14ac:dyDescent="0.35">
      <c r="A390" s="48" t="s">
        <v>98</v>
      </c>
      <c r="B390" s="48" t="s">
        <v>244</v>
      </c>
      <c r="C390" s="49" t="s">
        <v>246</v>
      </c>
      <c r="D390" s="50">
        <v>2005</v>
      </c>
      <c r="E390" s="49">
        <v>0</v>
      </c>
      <c r="F390" s="49">
        <v>0</v>
      </c>
      <c r="G390" s="49">
        <v>0</v>
      </c>
    </row>
    <row r="391" spans="1:7" ht="15" x14ac:dyDescent="0.35">
      <c r="A391" s="136"/>
      <c r="B391" s="136"/>
      <c r="C391" s="136" t="s">
        <v>253</v>
      </c>
      <c r="D391" s="137">
        <f>D394</f>
        <v>2107876</v>
      </c>
      <c r="E391" s="137">
        <f>E394</f>
        <v>2330906</v>
      </c>
      <c r="F391" s="137">
        <f>F394</f>
        <v>1100506</v>
      </c>
      <c r="G391" s="137">
        <f>G394</f>
        <v>1100506</v>
      </c>
    </row>
    <row r="392" spans="1:7" ht="15.5" x14ac:dyDescent="0.35">
      <c r="A392" s="28"/>
      <c r="B392" s="28"/>
      <c r="C392" s="29" t="s">
        <v>208</v>
      </c>
      <c r="D392" s="67">
        <f>D394</f>
        <v>2107876</v>
      </c>
      <c r="E392" s="67">
        <f>E394</f>
        <v>2330906</v>
      </c>
      <c r="F392" s="67">
        <f>F394</f>
        <v>1100506</v>
      </c>
      <c r="G392" s="9">
        <f>G394</f>
        <v>1100506</v>
      </c>
    </row>
    <row r="393" spans="1:7" x14ac:dyDescent="0.35">
      <c r="A393" s="38"/>
      <c r="B393" s="38"/>
      <c r="C393" s="2" t="s">
        <v>9</v>
      </c>
      <c r="D393" s="47"/>
      <c r="E393" s="47"/>
      <c r="F393" s="47"/>
      <c r="G393" s="47"/>
    </row>
    <row r="394" spans="1:7" x14ac:dyDescent="0.35">
      <c r="A394" s="48" t="s">
        <v>247</v>
      </c>
      <c r="B394" s="48" t="s">
        <v>229</v>
      </c>
      <c r="C394" s="49" t="s">
        <v>248</v>
      </c>
      <c r="D394" s="50">
        <f>SUM(D395:D400)</f>
        <v>2107876</v>
      </c>
      <c r="E394" s="50">
        <f t="shared" ref="E394:G394" si="57">SUM(E395:E400)</f>
        <v>2330906</v>
      </c>
      <c r="F394" s="50">
        <f t="shared" si="57"/>
        <v>1100506</v>
      </c>
      <c r="G394" s="50">
        <f t="shared" si="57"/>
        <v>1100506</v>
      </c>
    </row>
    <row r="395" spans="1:7" s="105" customFormat="1" ht="14" x14ac:dyDescent="0.35">
      <c r="A395" s="145"/>
      <c r="B395" s="145"/>
      <c r="C395" s="146" t="s">
        <v>249</v>
      </c>
      <c r="D395" s="147">
        <v>1415747</v>
      </c>
      <c r="E395" s="147">
        <v>549811</v>
      </c>
      <c r="F395" s="147">
        <v>549811</v>
      </c>
      <c r="G395" s="147">
        <v>549811</v>
      </c>
    </row>
    <row r="396" spans="1:7" s="105" customFormat="1" ht="14" x14ac:dyDescent="0.35">
      <c r="A396" s="145"/>
      <c r="B396" s="148"/>
      <c r="C396" s="146" t="s">
        <v>250</v>
      </c>
      <c r="D396" s="147">
        <v>236661</v>
      </c>
      <c r="E396" s="147">
        <v>254685</v>
      </c>
      <c r="F396" s="147">
        <v>95227</v>
      </c>
      <c r="G396" s="147">
        <v>95227</v>
      </c>
    </row>
    <row r="397" spans="1:7" s="105" customFormat="1" ht="70" x14ac:dyDescent="0.35">
      <c r="A397" s="145"/>
      <c r="B397" s="148"/>
      <c r="C397" s="146" t="s">
        <v>571</v>
      </c>
      <c r="D397" s="147">
        <v>0</v>
      </c>
      <c r="E397" s="147">
        <v>190268</v>
      </c>
      <c r="F397" s="147">
        <v>0</v>
      </c>
      <c r="G397" s="147">
        <v>0</v>
      </c>
    </row>
    <row r="398" spans="1:7" s="105" customFormat="1" ht="42" x14ac:dyDescent="0.35">
      <c r="A398" s="145"/>
      <c r="B398" s="148"/>
      <c r="C398" s="149" t="s">
        <v>251</v>
      </c>
      <c r="D398" s="147">
        <v>0</v>
      </c>
      <c r="E398" s="147">
        <v>600000</v>
      </c>
      <c r="F398" s="147">
        <v>0</v>
      </c>
      <c r="G398" s="147">
        <v>0</v>
      </c>
    </row>
    <row r="399" spans="1:7" s="105" customFormat="1" ht="35" customHeight="1" x14ac:dyDescent="0.35">
      <c r="A399" s="145"/>
      <c r="B399" s="148"/>
      <c r="C399" s="149" t="s">
        <v>252</v>
      </c>
      <c r="D399" s="147">
        <v>0</v>
      </c>
      <c r="E399" s="147">
        <v>250000</v>
      </c>
      <c r="F399" s="147">
        <v>0</v>
      </c>
      <c r="G399" s="147">
        <v>0</v>
      </c>
    </row>
    <row r="400" spans="1:7" s="105" customFormat="1" ht="28" x14ac:dyDescent="0.35">
      <c r="A400" s="145"/>
      <c r="B400" s="148"/>
      <c r="C400" s="146" t="s">
        <v>582</v>
      </c>
      <c r="D400" s="147">
        <v>455468</v>
      </c>
      <c r="E400" s="147">
        <f>455468+30674</f>
        <v>486142</v>
      </c>
      <c r="F400" s="147">
        <v>455468</v>
      </c>
      <c r="G400" s="147">
        <v>455468</v>
      </c>
    </row>
    <row r="401" spans="1:7" ht="15" x14ac:dyDescent="0.35">
      <c r="A401" s="127"/>
      <c r="B401" s="127"/>
      <c r="C401" s="127" t="s">
        <v>254</v>
      </c>
      <c r="D401" s="128">
        <f>D402+D439</f>
        <v>8601171</v>
      </c>
      <c r="E401" s="128">
        <f>E402+E439</f>
        <v>16766625</v>
      </c>
      <c r="F401" s="128">
        <f>F402+F439</f>
        <v>43437348</v>
      </c>
      <c r="G401" s="128">
        <f>G402+G439</f>
        <v>93291393</v>
      </c>
    </row>
    <row r="402" spans="1:7" ht="15.5" x14ac:dyDescent="0.35">
      <c r="A402" s="28"/>
      <c r="B402" s="28"/>
      <c r="C402" s="3" t="s">
        <v>10</v>
      </c>
      <c r="D402" s="9">
        <f>D404+D406+D411+D413+D415+D417+D419+D422+D424+D427+D429+D433+D435+D437</f>
        <v>3353673</v>
      </c>
      <c r="E402" s="9">
        <f>E404+E406+E411+E413+E415+E417+E419+E422+E424+E427+E429+E433+E435+E437</f>
        <v>10497677</v>
      </c>
      <c r="F402" s="9">
        <f>F404+F406+F411+F413+F415+F417+F419+F422+F424+F427+F429+F433+F435+F437</f>
        <v>42925168</v>
      </c>
      <c r="G402" s="9">
        <f>G404+G406+G411+G413+G415+G417+G419+G422+G424+G427+G429+G433+G435+G437</f>
        <v>93291393</v>
      </c>
    </row>
    <row r="403" spans="1:7" x14ac:dyDescent="0.35">
      <c r="A403" s="84"/>
      <c r="B403" s="84"/>
      <c r="C403" s="2" t="s">
        <v>9</v>
      </c>
      <c r="D403" s="40"/>
      <c r="E403" s="40"/>
      <c r="F403" s="40"/>
      <c r="G403" s="40"/>
    </row>
    <row r="404" spans="1:7" x14ac:dyDescent="0.35">
      <c r="A404" s="17" t="s">
        <v>255</v>
      </c>
      <c r="B404" s="17" t="s">
        <v>256</v>
      </c>
      <c r="C404" s="18" t="s">
        <v>472</v>
      </c>
      <c r="D404" s="19">
        <v>40000</v>
      </c>
      <c r="E404" s="19">
        <v>106957</v>
      </c>
      <c r="F404" s="19">
        <v>53957</v>
      </c>
      <c r="G404" s="19">
        <v>53957</v>
      </c>
    </row>
    <row r="405" spans="1:7" x14ac:dyDescent="0.35">
      <c r="A405" s="37"/>
      <c r="B405" s="37"/>
      <c r="C405" s="20" t="s">
        <v>29</v>
      </c>
      <c r="D405" s="12">
        <v>40000</v>
      </c>
      <c r="E405" s="12">
        <v>106957</v>
      </c>
      <c r="F405" s="12">
        <v>53957</v>
      </c>
      <c r="G405" s="12">
        <v>53957</v>
      </c>
    </row>
    <row r="406" spans="1:7" x14ac:dyDescent="0.35">
      <c r="A406" s="34" t="s">
        <v>257</v>
      </c>
      <c r="B406" s="17" t="s">
        <v>256</v>
      </c>
      <c r="C406" s="18" t="s">
        <v>473</v>
      </c>
      <c r="D406" s="19">
        <v>1556887</v>
      </c>
      <c r="E406" s="19">
        <v>2136107</v>
      </c>
      <c r="F406" s="19">
        <v>1529575</v>
      </c>
      <c r="G406" s="19">
        <v>1457950</v>
      </c>
    </row>
    <row r="407" spans="1:7" x14ac:dyDescent="0.35">
      <c r="A407" s="37"/>
      <c r="B407" s="37"/>
      <c r="C407" s="20" t="s">
        <v>258</v>
      </c>
      <c r="D407" s="12">
        <v>794245</v>
      </c>
      <c r="E407" s="12">
        <v>616245</v>
      </c>
      <c r="F407" s="12">
        <v>616245</v>
      </c>
      <c r="G407" s="12">
        <v>616245</v>
      </c>
    </row>
    <row r="408" spans="1:7" x14ac:dyDescent="0.35">
      <c r="A408" s="37"/>
      <c r="B408" s="37"/>
      <c r="C408" s="20" t="s">
        <v>259</v>
      </c>
      <c r="D408" s="12">
        <v>387737</v>
      </c>
      <c r="E408" s="12">
        <v>387800</v>
      </c>
      <c r="F408" s="12">
        <v>417750</v>
      </c>
      <c r="G408" s="12">
        <v>396125</v>
      </c>
    </row>
    <row r="409" spans="1:7" ht="26" x14ac:dyDescent="0.35">
      <c r="A409" s="37"/>
      <c r="B409" s="37"/>
      <c r="C409" s="20" t="s">
        <v>260</v>
      </c>
      <c r="D409" s="12">
        <v>39000</v>
      </c>
      <c r="E409" s="12">
        <v>746982</v>
      </c>
      <c r="F409" s="12">
        <v>140000</v>
      </c>
      <c r="G409" s="12">
        <v>90000</v>
      </c>
    </row>
    <row r="410" spans="1:7" x14ac:dyDescent="0.35">
      <c r="A410" s="37"/>
      <c r="B410" s="37"/>
      <c r="C410" s="20" t="s">
        <v>29</v>
      </c>
      <c r="D410" s="12">
        <v>335905</v>
      </c>
      <c r="E410" s="12">
        <v>385080</v>
      </c>
      <c r="F410" s="12">
        <v>355580</v>
      </c>
      <c r="G410" s="12">
        <v>355580</v>
      </c>
    </row>
    <row r="411" spans="1:7" x14ac:dyDescent="0.35">
      <c r="A411" s="34" t="s">
        <v>261</v>
      </c>
      <c r="B411" s="17" t="s">
        <v>256</v>
      </c>
      <c r="C411" s="18" t="s">
        <v>474</v>
      </c>
      <c r="D411" s="19">
        <v>3000</v>
      </c>
      <c r="E411" s="19">
        <v>5000</v>
      </c>
      <c r="F411" s="19">
        <v>3000</v>
      </c>
      <c r="G411" s="19">
        <v>3000</v>
      </c>
    </row>
    <row r="412" spans="1:7" x14ac:dyDescent="0.35">
      <c r="A412" s="37"/>
      <c r="B412" s="37"/>
      <c r="C412" s="20" t="s">
        <v>29</v>
      </c>
      <c r="D412" s="12">
        <v>3000</v>
      </c>
      <c r="E412" s="12">
        <v>5000</v>
      </c>
      <c r="F412" s="12">
        <v>3000</v>
      </c>
      <c r="G412" s="12">
        <v>3000</v>
      </c>
    </row>
    <row r="413" spans="1:7" x14ac:dyDescent="0.35">
      <c r="A413" s="34" t="s">
        <v>262</v>
      </c>
      <c r="B413" s="17" t="s">
        <v>256</v>
      </c>
      <c r="C413" s="18" t="s">
        <v>475</v>
      </c>
      <c r="D413" s="19">
        <v>30629</v>
      </c>
      <c r="E413" s="19">
        <v>31715</v>
      </c>
      <c r="F413" s="19">
        <v>31715</v>
      </c>
      <c r="G413" s="19">
        <v>31715</v>
      </c>
    </row>
    <row r="414" spans="1:7" x14ac:dyDescent="0.35">
      <c r="A414" s="37"/>
      <c r="B414" s="37"/>
      <c r="C414" s="20" t="s">
        <v>29</v>
      </c>
      <c r="D414" s="12">
        <v>30629</v>
      </c>
      <c r="E414" s="12">
        <v>31715</v>
      </c>
      <c r="F414" s="12">
        <v>31715</v>
      </c>
      <c r="G414" s="12">
        <v>31715</v>
      </c>
    </row>
    <row r="415" spans="1:7" x14ac:dyDescent="0.35">
      <c r="A415" s="34" t="s">
        <v>263</v>
      </c>
      <c r="B415" s="17" t="s">
        <v>264</v>
      </c>
      <c r="C415" s="18" t="s">
        <v>476</v>
      </c>
      <c r="D415" s="19">
        <v>0</v>
      </c>
      <c r="E415" s="19">
        <v>50000</v>
      </c>
      <c r="F415" s="19">
        <v>475000</v>
      </c>
      <c r="G415" s="19">
        <v>475000</v>
      </c>
    </row>
    <row r="416" spans="1:7" ht="26" x14ac:dyDescent="0.35">
      <c r="A416" s="37"/>
      <c r="B416" s="37"/>
      <c r="C416" s="20" t="s">
        <v>265</v>
      </c>
      <c r="D416" s="12">
        <v>0</v>
      </c>
      <c r="E416" s="12">
        <v>50000</v>
      </c>
      <c r="F416" s="12">
        <v>475000</v>
      </c>
      <c r="G416" s="12">
        <v>475000</v>
      </c>
    </row>
    <row r="417" spans="1:7" x14ac:dyDescent="0.35">
      <c r="A417" s="34" t="s">
        <v>266</v>
      </c>
      <c r="B417" s="17" t="s">
        <v>267</v>
      </c>
      <c r="C417" s="18" t="s">
        <v>477</v>
      </c>
      <c r="D417" s="19">
        <v>511094</v>
      </c>
      <c r="E417" s="19">
        <v>511094</v>
      </c>
      <c r="F417" s="19">
        <v>511094</v>
      </c>
      <c r="G417" s="19">
        <v>511094</v>
      </c>
    </row>
    <row r="418" spans="1:7" x14ac:dyDescent="0.35">
      <c r="A418" s="37"/>
      <c r="B418" s="37"/>
      <c r="C418" s="20" t="s">
        <v>268</v>
      </c>
      <c r="D418" s="12">
        <v>511094</v>
      </c>
      <c r="E418" s="12">
        <v>511094</v>
      </c>
      <c r="F418" s="12">
        <v>511094</v>
      </c>
      <c r="G418" s="12">
        <v>511094</v>
      </c>
    </row>
    <row r="419" spans="1:7" x14ac:dyDescent="0.35">
      <c r="A419" s="34" t="s">
        <v>269</v>
      </c>
      <c r="B419" s="17" t="s">
        <v>267</v>
      </c>
      <c r="C419" s="18" t="s">
        <v>478</v>
      </c>
      <c r="D419" s="19">
        <v>0</v>
      </c>
      <c r="E419" s="19">
        <v>6158652</v>
      </c>
      <c r="F419" s="19">
        <v>39396846</v>
      </c>
      <c r="G419" s="19">
        <v>90193596</v>
      </c>
    </row>
    <row r="420" spans="1:7" x14ac:dyDescent="0.35">
      <c r="A420" s="37"/>
      <c r="B420" s="37"/>
      <c r="C420" s="20" t="s">
        <v>270</v>
      </c>
      <c r="D420" s="12">
        <v>0</v>
      </c>
      <c r="E420" s="12">
        <v>6158652</v>
      </c>
      <c r="F420" s="12">
        <v>39396846</v>
      </c>
      <c r="G420" s="12">
        <v>90193596</v>
      </c>
    </row>
    <row r="421" spans="1:7" x14ac:dyDescent="0.35">
      <c r="A421" s="37"/>
      <c r="B421" s="37"/>
      <c r="C421" s="20" t="s">
        <v>29</v>
      </c>
      <c r="D421" s="1">
        <v>0</v>
      </c>
      <c r="E421" s="1">
        <v>0</v>
      </c>
      <c r="F421" s="1">
        <v>0</v>
      </c>
      <c r="G421" s="1">
        <v>0</v>
      </c>
    </row>
    <row r="422" spans="1:7" x14ac:dyDescent="0.35">
      <c r="A422" s="34" t="s">
        <v>271</v>
      </c>
      <c r="B422" s="17" t="s">
        <v>272</v>
      </c>
      <c r="C422" s="18" t="s">
        <v>479</v>
      </c>
      <c r="D422" s="19">
        <v>104695</v>
      </c>
      <c r="E422" s="19">
        <v>12195</v>
      </c>
      <c r="F422" s="19">
        <v>12195</v>
      </c>
      <c r="G422" s="19">
        <v>12195</v>
      </c>
    </row>
    <row r="423" spans="1:7" x14ac:dyDescent="0.35">
      <c r="A423" s="37"/>
      <c r="B423" s="37"/>
      <c r="C423" s="20" t="s">
        <v>29</v>
      </c>
      <c r="D423" s="12">
        <v>104695</v>
      </c>
      <c r="E423" s="12">
        <v>12195</v>
      </c>
      <c r="F423" s="12">
        <v>12195</v>
      </c>
      <c r="G423" s="12">
        <v>12195</v>
      </c>
    </row>
    <row r="424" spans="1:7" x14ac:dyDescent="0.35">
      <c r="A424" s="34" t="s">
        <v>273</v>
      </c>
      <c r="B424" s="17" t="s">
        <v>274</v>
      </c>
      <c r="C424" s="18" t="s">
        <v>480</v>
      </c>
      <c r="D424" s="19">
        <v>616778</v>
      </c>
      <c r="E424" s="19">
        <v>804388</v>
      </c>
      <c r="F424" s="19">
        <v>294541</v>
      </c>
      <c r="G424" s="19">
        <v>185641</v>
      </c>
    </row>
    <row r="425" spans="1:7" x14ac:dyDescent="0.35">
      <c r="A425" s="37"/>
      <c r="B425" s="37"/>
      <c r="C425" s="20" t="s">
        <v>275</v>
      </c>
      <c r="D425" s="12">
        <v>485587</v>
      </c>
      <c r="E425" s="12">
        <f>540339+78408</f>
        <v>618747</v>
      </c>
      <c r="F425" s="12">
        <v>108900</v>
      </c>
      <c r="G425" s="1">
        <v>0</v>
      </c>
    </row>
    <row r="426" spans="1:7" x14ac:dyDescent="0.35">
      <c r="A426" s="37"/>
      <c r="B426" s="37"/>
      <c r="C426" s="20" t="s">
        <v>29</v>
      </c>
      <c r="D426" s="12">
        <v>131191</v>
      </c>
      <c r="E426" s="12">
        <v>185641</v>
      </c>
      <c r="F426" s="12">
        <v>185641</v>
      </c>
      <c r="G426" s="12">
        <v>185641</v>
      </c>
    </row>
    <row r="427" spans="1:7" x14ac:dyDescent="0.35">
      <c r="A427" s="34" t="s">
        <v>276</v>
      </c>
      <c r="B427" s="17" t="s">
        <v>274</v>
      </c>
      <c r="C427" s="18" t="s">
        <v>481</v>
      </c>
      <c r="D427" s="19">
        <v>8950</v>
      </c>
      <c r="E427" s="19">
        <v>5950</v>
      </c>
      <c r="F427" s="19">
        <v>5950</v>
      </c>
      <c r="G427" s="19">
        <v>5950</v>
      </c>
    </row>
    <row r="428" spans="1:7" x14ac:dyDescent="0.35">
      <c r="A428" s="37"/>
      <c r="B428" s="37"/>
      <c r="C428" s="20" t="s">
        <v>29</v>
      </c>
      <c r="D428" s="12">
        <v>8950</v>
      </c>
      <c r="E428" s="12">
        <v>5950</v>
      </c>
      <c r="F428" s="12">
        <v>5950</v>
      </c>
      <c r="G428" s="12">
        <v>5950</v>
      </c>
    </row>
    <row r="429" spans="1:7" x14ac:dyDescent="0.35">
      <c r="A429" s="34" t="s">
        <v>119</v>
      </c>
      <c r="B429" s="17" t="s">
        <v>152</v>
      </c>
      <c r="C429" s="18" t="s">
        <v>482</v>
      </c>
      <c r="D429" s="19">
        <v>302699</v>
      </c>
      <c r="E429" s="19">
        <v>620478</v>
      </c>
      <c r="F429" s="19">
        <v>559354</v>
      </c>
      <c r="G429" s="19">
        <v>309354</v>
      </c>
    </row>
    <row r="430" spans="1:7" ht="26" x14ac:dyDescent="0.35">
      <c r="A430" s="51"/>
      <c r="B430" s="41"/>
      <c r="C430" s="20" t="s">
        <v>277</v>
      </c>
      <c r="D430" s="21">
        <v>0</v>
      </c>
      <c r="E430" s="21">
        <v>167779</v>
      </c>
      <c r="F430" s="21">
        <v>6655</v>
      </c>
      <c r="G430" s="21">
        <v>6655</v>
      </c>
    </row>
    <row r="431" spans="1:7" x14ac:dyDescent="0.35">
      <c r="A431" s="51"/>
      <c r="B431" s="41"/>
      <c r="C431" s="20" t="s">
        <v>278</v>
      </c>
      <c r="D431" s="21">
        <v>253767</v>
      </c>
      <c r="E431" s="21">
        <v>420000</v>
      </c>
      <c r="F431" s="21">
        <v>520000</v>
      </c>
      <c r="G431" s="21">
        <v>270000</v>
      </c>
    </row>
    <row r="432" spans="1:7" x14ac:dyDescent="0.35">
      <c r="A432" s="37"/>
      <c r="B432" s="37"/>
      <c r="C432" s="20" t="s">
        <v>29</v>
      </c>
      <c r="D432" s="12">
        <v>48932</v>
      </c>
      <c r="E432" s="12">
        <v>32699</v>
      </c>
      <c r="F432" s="12">
        <v>32699</v>
      </c>
      <c r="G432" s="12">
        <v>32699</v>
      </c>
    </row>
    <row r="433" spans="1:7" x14ac:dyDescent="0.35">
      <c r="A433" s="34" t="s">
        <v>279</v>
      </c>
      <c r="B433" s="17" t="s">
        <v>24</v>
      </c>
      <c r="C433" s="18" t="s">
        <v>483</v>
      </c>
      <c r="D433" s="19">
        <v>9814</v>
      </c>
      <c r="E433" s="19">
        <v>11014</v>
      </c>
      <c r="F433" s="19">
        <v>9814</v>
      </c>
      <c r="G433" s="19">
        <v>9814</v>
      </c>
    </row>
    <row r="434" spans="1:7" x14ac:dyDescent="0.35">
      <c r="A434" s="37"/>
      <c r="B434" s="37"/>
      <c r="C434" s="20" t="s">
        <v>29</v>
      </c>
      <c r="D434" s="12">
        <v>9814</v>
      </c>
      <c r="E434" s="12">
        <v>11014</v>
      </c>
      <c r="F434" s="12">
        <v>9814</v>
      </c>
      <c r="G434" s="12">
        <v>9814</v>
      </c>
    </row>
    <row r="435" spans="1:7" x14ac:dyDescent="0.35">
      <c r="A435" s="34" t="s">
        <v>280</v>
      </c>
      <c r="B435" s="17" t="s">
        <v>264</v>
      </c>
      <c r="C435" s="18" t="s">
        <v>484</v>
      </c>
      <c r="D435" s="19">
        <v>32033</v>
      </c>
      <c r="E435" s="19">
        <v>32033</v>
      </c>
      <c r="F435" s="19">
        <v>30033</v>
      </c>
      <c r="G435" s="19">
        <v>30033</v>
      </c>
    </row>
    <row r="436" spans="1:7" x14ac:dyDescent="0.35">
      <c r="A436" s="37"/>
      <c r="B436" s="37"/>
      <c r="C436" s="20" t="s">
        <v>29</v>
      </c>
      <c r="D436" s="12">
        <v>32033</v>
      </c>
      <c r="E436" s="12">
        <v>32033</v>
      </c>
      <c r="F436" s="12">
        <v>30033</v>
      </c>
      <c r="G436" s="12">
        <v>30033</v>
      </c>
    </row>
    <row r="437" spans="1:7" x14ac:dyDescent="0.35">
      <c r="A437" s="34" t="s">
        <v>61</v>
      </c>
      <c r="B437" s="17" t="s">
        <v>24</v>
      </c>
      <c r="C437" s="18" t="s">
        <v>62</v>
      </c>
      <c r="D437" s="19">
        <v>137094</v>
      </c>
      <c r="E437" s="19">
        <v>12094</v>
      </c>
      <c r="F437" s="19">
        <v>12094</v>
      </c>
      <c r="G437" s="19">
        <v>12094</v>
      </c>
    </row>
    <row r="438" spans="1:7" x14ac:dyDescent="0.35">
      <c r="A438" s="37"/>
      <c r="B438" s="37"/>
      <c r="C438" s="20" t="s">
        <v>29</v>
      </c>
      <c r="D438" s="12">
        <v>137094</v>
      </c>
      <c r="E438" s="12">
        <v>12094</v>
      </c>
      <c r="F438" s="12">
        <v>12094</v>
      </c>
      <c r="G438" s="12">
        <v>12094</v>
      </c>
    </row>
    <row r="439" spans="1:7" ht="45" x14ac:dyDescent="0.35">
      <c r="A439" s="30"/>
      <c r="B439" s="30"/>
      <c r="C439" s="22" t="s">
        <v>21</v>
      </c>
      <c r="D439" s="23">
        <f>D441+D442+D443</f>
        <v>5247498</v>
      </c>
      <c r="E439" s="23">
        <f>E441+E442+E443</f>
        <v>6268948</v>
      </c>
      <c r="F439" s="23">
        <f>F441+F442+F443</f>
        <v>512180</v>
      </c>
      <c r="G439" s="23">
        <f>G441+G442+G443</f>
        <v>0</v>
      </c>
    </row>
    <row r="440" spans="1:7" x14ac:dyDescent="0.35">
      <c r="A440" s="84"/>
      <c r="B440" s="84"/>
      <c r="C440" s="2" t="s">
        <v>9</v>
      </c>
      <c r="D440" s="40"/>
      <c r="E440" s="40"/>
      <c r="F440" s="40"/>
      <c r="G440" s="40"/>
    </row>
    <row r="441" spans="1:7" ht="26" x14ac:dyDescent="0.35">
      <c r="A441" s="6" t="s">
        <v>281</v>
      </c>
      <c r="B441" s="6" t="s">
        <v>264</v>
      </c>
      <c r="C441" s="7" t="s">
        <v>466</v>
      </c>
      <c r="D441" s="11">
        <v>690470</v>
      </c>
      <c r="E441" s="11"/>
      <c r="F441" s="11"/>
      <c r="G441" s="11"/>
    </row>
    <row r="442" spans="1:7" ht="26" x14ac:dyDescent="0.35">
      <c r="A442" s="6" t="s">
        <v>149</v>
      </c>
      <c r="B442" s="6" t="s">
        <v>264</v>
      </c>
      <c r="C442" s="7" t="s">
        <v>485</v>
      </c>
      <c r="D442" s="11">
        <v>100556</v>
      </c>
      <c r="E442" s="11">
        <v>116756</v>
      </c>
      <c r="F442" s="11">
        <v>9680</v>
      </c>
      <c r="G442" s="11">
        <v>0</v>
      </c>
    </row>
    <row r="443" spans="1:7" ht="26" x14ac:dyDescent="0.35">
      <c r="A443" s="6" t="s">
        <v>282</v>
      </c>
      <c r="B443" s="6" t="s">
        <v>264</v>
      </c>
      <c r="C443" s="7" t="s">
        <v>486</v>
      </c>
      <c r="D443" s="11">
        <v>4456472</v>
      </c>
      <c r="E443" s="11">
        <v>6152192</v>
      </c>
      <c r="F443" s="11">
        <v>502500</v>
      </c>
      <c r="G443" s="11">
        <v>0</v>
      </c>
    </row>
    <row r="444" spans="1:7" s="92" customFormat="1" ht="30" x14ac:dyDescent="0.3">
      <c r="A444" s="138"/>
      <c r="B444" s="138"/>
      <c r="C444" s="139" t="s">
        <v>283</v>
      </c>
      <c r="D444" s="140">
        <f>D445+D473</f>
        <v>7792589</v>
      </c>
      <c r="E444" s="140">
        <f>E445+E473</f>
        <v>7550105</v>
      </c>
      <c r="F444" s="140">
        <f>F445+F473</f>
        <v>5051767</v>
      </c>
      <c r="G444" s="140">
        <f>G445+G473</f>
        <v>3156385</v>
      </c>
    </row>
    <row r="445" spans="1:7" s="92" customFormat="1" ht="15" x14ac:dyDescent="0.3">
      <c r="A445" s="93"/>
      <c r="B445" s="93"/>
      <c r="C445" s="52" t="s">
        <v>10</v>
      </c>
      <c r="D445" s="53">
        <f>D447+D449+D453+D455+D458+D463+D465+D471</f>
        <v>3014819</v>
      </c>
      <c r="E445" s="53">
        <f>E447+E449+E453+E455+E458+E463+E465+E471</f>
        <v>3122983</v>
      </c>
      <c r="F445" s="53">
        <f>F447+F449+F453+F455+F458+F463+F465+F471</f>
        <v>3105185</v>
      </c>
      <c r="G445" s="53">
        <f>G447+G449+G453+G455+G458+G463+G465+G471</f>
        <v>3105185</v>
      </c>
    </row>
    <row r="446" spans="1:7" s="92" customFormat="1" ht="15.5" x14ac:dyDescent="0.35">
      <c r="A446" s="94"/>
      <c r="B446" s="94"/>
      <c r="C446" s="54" t="s">
        <v>9</v>
      </c>
      <c r="D446" s="55"/>
      <c r="E446" s="55"/>
      <c r="F446" s="55"/>
      <c r="G446" s="55"/>
    </row>
    <row r="447" spans="1:7" s="92" customFormat="1" ht="14" x14ac:dyDescent="0.3">
      <c r="A447" s="56" t="s">
        <v>284</v>
      </c>
      <c r="B447" s="57" t="s">
        <v>285</v>
      </c>
      <c r="C447" s="58" t="s">
        <v>487</v>
      </c>
      <c r="D447" s="59">
        <f>SUM(D448:D448)</f>
        <v>45000</v>
      </c>
      <c r="E447" s="59">
        <f>SUM(E448:E448)</f>
        <v>45000</v>
      </c>
      <c r="F447" s="59">
        <f>SUM(F448:F448)</f>
        <v>45000</v>
      </c>
      <c r="G447" s="59">
        <f>SUM(G448:G448)</f>
        <v>45000</v>
      </c>
    </row>
    <row r="448" spans="1:7" s="92" customFormat="1" ht="14" x14ac:dyDescent="0.3">
      <c r="A448" s="60"/>
      <c r="B448" s="60"/>
      <c r="C448" s="61" t="s">
        <v>29</v>
      </c>
      <c r="D448" s="55">
        <v>45000</v>
      </c>
      <c r="E448" s="55">
        <v>45000</v>
      </c>
      <c r="F448" s="55">
        <v>45000</v>
      </c>
      <c r="G448" s="55">
        <v>45000</v>
      </c>
    </row>
    <row r="449" spans="1:7" s="92" customFormat="1" ht="14" x14ac:dyDescent="0.3">
      <c r="A449" s="56" t="s">
        <v>286</v>
      </c>
      <c r="B449" s="57" t="s">
        <v>285</v>
      </c>
      <c r="C449" s="58" t="s">
        <v>488</v>
      </c>
      <c r="D449" s="59">
        <f>SUM(D450:D452)</f>
        <v>652408</v>
      </c>
      <c r="E449" s="59">
        <f>SUM(E450:E452)</f>
        <v>712518</v>
      </c>
      <c r="F449" s="59">
        <f>SUM(F450:F452)</f>
        <v>705828</v>
      </c>
      <c r="G449" s="59">
        <f>SUM(G450:G452)</f>
        <v>705828</v>
      </c>
    </row>
    <row r="450" spans="1:7" s="92" customFormat="1" ht="14" x14ac:dyDescent="0.3">
      <c r="A450" s="60"/>
      <c r="B450" s="60"/>
      <c r="C450" s="61" t="s">
        <v>287</v>
      </c>
      <c r="D450" s="55">
        <v>602528</v>
      </c>
      <c r="E450" s="55">
        <v>662638</v>
      </c>
      <c r="F450" s="55">
        <v>655948</v>
      </c>
      <c r="G450" s="55">
        <v>655948</v>
      </c>
    </row>
    <row r="451" spans="1:7" s="92" customFormat="1" ht="26" x14ac:dyDescent="0.3">
      <c r="A451" s="60"/>
      <c r="B451" s="60"/>
      <c r="C451" s="61" t="s">
        <v>288</v>
      </c>
      <c r="D451" s="55">
        <v>28457</v>
      </c>
      <c r="E451" s="55">
        <v>28457</v>
      </c>
      <c r="F451" s="55">
        <v>28457</v>
      </c>
      <c r="G451" s="55">
        <v>28457</v>
      </c>
    </row>
    <row r="452" spans="1:7" s="92" customFormat="1" ht="14" x14ac:dyDescent="0.3">
      <c r="A452" s="60"/>
      <c r="B452" s="60"/>
      <c r="C452" s="61" t="s">
        <v>29</v>
      </c>
      <c r="D452" s="55">
        <v>21423</v>
      </c>
      <c r="E452" s="55">
        <v>21423</v>
      </c>
      <c r="F452" s="55">
        <v>21423</v>
      </c>
      <c r="G452" s="55">
        <v>21423</v>
      </c>
    </row>
    <row r="453" spans="1:7" s="92" customFormat="1" ht="14" x14ac:dyDescent="0.3">
      <c r="A453" s="56" t="s">
        <v>289</v>
      </c>
      <c r="B453" s="57" t="s">
        <v>285</v>
      </c>
      <c r="C453" s="58" t="s">
        <v>489</v>
      </c>
      <c r="D453" s="59">
        <f>SUM(D454:D454)</f>
        <v>1138</v>
      </c>
      <c r="E453" s="59">
        <f>SUM(E454:E454)</f>
        <v>1510</v>
      </c>
      <c r="F453" s="59">
        <f>SUM(F454:F454)</f>
        <v>1510</v>
      </c>
      <c r="G453" s="59">
        <f>SUM(G454:G454)</f>
        <v>1510</v>
      </c>
    </row>
    <row r="454" spans="1:7" s="92" customFormat="1" ht="14" x14ac:dyDescent="0.3">
      <c r="A454" s="60"/>
      <c r="B454" s="60"/>
      <c r="C454" s="61" t="s">
        <v>29</v>
      </c>
      <c r="D454" s="55">
        <v>1138</v>
      </c>
      <c r="E454" s="55">
        <v>1510</v>
      </c>
      <c r="F454" s="55">
        <v>1510</v>
      </c>
      <c r="G454" s="55">
        <v>1510</v>
      </c>
    </row>
    <row r="455" spans="1:7" s="92" customFormat="1" ht="14" x14ac:dyDescent="0.3">
      <c r="A455" s="56" t="s">
        <v>290</v>
      </c>
      <c r="B455" s="57" t="s">
        <v>291</v>
      </c>
      <c r="C455" s="58" t="s">
        <v>490</v>
      </c>
      <c r="D455" s="59">
        <f>SUM(D456:D457)</f>
        <v>30332</v>
      </c>
      <c r="E455" s="59">
        <f>SUM(E456:E457)</f>
        <v>30332</v>
      </c>
      <c r="F455" s="59">
        <f>SUM(F456:F457)</f>
        <v>30332</v>
      </c>
      <c r="G455" s="59">
        <f>SUM(G456:G457)</f>
        <v>30332</v>
      </c>
    </row>
    <row r="456" spans="1:7" s="92" customFormat="1" ht="39" x14ac:dyDescent="0.3">
      <c r="A456" s="60"/>
      <c r="B456" s="60"/>
      <c r="C456" s="61" t="s">
        <v>292</v>
      </c>
      <c r="D456" s="55">
        <v>23720</v>
      </c>
      <c r="E456" s="55">
        <v>23720</v>
      </c>
      <c r="F456" s="55">
        <v>23720</v>
      </c>
      <c r="G456" s="55">
        <v>23720</v>
      </c>
    </row>
    <row r="457" spans="1:7" x14ac:dyDescent="0.35">
      <c r="A457" s="60"/>
      <c r="B457" s="60"/>
      <c r="C457" s="61" t="s">
        <v>29</v>
      </c>
      <c r="D457" s="55">
        <v>6612</v>
      </c>
      <c r="E457" s="55">
        <v>6612</v>
      </c>
      <c r="F457" s="55">
        <v>6612</v>
      </c>
      <c r="G457" s="55">
        <v>6612</v>
      </c>
    </row>
    <row r="458" spans="1:7" x14ac:dyDescent="0.35">
      <c r="A458" s="56" t="s">
        <v>293</v>
      </c>
      <c r="B458" s="57" t="s">
        <v>294</v>
      </c>
      <c r="C458" s="58" t="s">
        <v>491</v>
      </c>
      <c r="D458" s="59">
        <f>SUM(D459:D462)</f>
        <v>345382</v>
      </c>
      <c r="E458" s="59">
        <f>SUM(E459:E462)</f>
        <v>345382</v>
      </c>
      <c r="F458" s="59">
        <f>SUM(F459:F462)</f>
        <v>345382</v>
      </c>
      <c r="G458" s="59">
        <f>SUM(G459:G462)</f>
        <v>345382</v>
      </c>
    </row>
    <row r="459" spans="1:7" ht="39.5" x14ac:dyDescent="0.35">
      <c r="A459" s="60"/>
      <c r="B459" s="60"/>
      <c r="C459" s="61" t="s">
        <v>295</v>
      </c>
      <c r="D459" s="55">
        <v>60000</v>
      </c>
      <c r="E459" s="55">
        <v>60000</v>
      </c>
      <c r="F459" s="55">
        <v>60000</v>
      </c>
      <c r="G459" s="55">
        <v>60000</v>
      </c>
    </row>
    <row r="460" spans="1:7" ht="26.5" x14ac:dyDescent="0.35">
      <c r="A460" s="60"/>
      <c r="B460" s="60"/>
      <c r="C460" s="61" t="s">
        <v>296</v>
      </c>
      <c r="D460" s="55">
        <v>52284</v>
      </c>
      <c r="E460" s="55">
        <v>52284</v>
      </c>
      <c r="F460" s="55">
        <v>52284</v>
      </c>
      <c r="G460" s="55">
        <v>52284</v>
      </c>
    </row>
    <row r="461" spans="1:7" ht="26.5" x14ac:dyDescent="0.35">
      <c r="A461" s="60"/>
      <c r="B461" s="60"/>
      <c r="C461" s="61" t="s">
        <v>297</v>
      </c>
      <c r="D461" s="55">
        <v>152045</v>
      </c>
      <c r="E461" s="55">
        <v>152045</v>
      </c>
      <c r="F461" s="55">
        <v>152045</v>
      </c>
      <c r="G461" s="55">
        <v>152045</v>
      </c>
    </row>
    <row r="462" spans="1:7" x14ac:dyDescent="0.35">
      <c r="A462" s="60"/>
      <c r="B462" s="60"/>
      <c r="C462" s="61" t="s">
        <v>29</v>
      </c>
      <c r="D462" s="55">
        <v>81053</v>
      </c>
      <c r="E462" s="55">
        <v>81053</v>
      </c>
      <c r="F462" s="55">
        <v>81053</v>
      </c>
      <c r="G462" s="55">
        <v>81053</v>
      </c>
    </row>
    <row r="463" spans="1:7" x14ac:dyDescent="0.35">
      <c r="A463" s="57" t="s">
        <v>48</v>
      </c>
      <c r="B463" s="57" t="s">
        <v>298</v>
      </c>
      <c r="C463" s="58" t="s">
        <v>492</v>
      </c>
      <c r="D463" s="59">
        <f>SUM(D464:D464)</f>
        <v>16875</v>
      </c>
      <c r="E463" s="59">
        <f>SUM(E464:E464)</f>
        <v>16875</v>
      </c>
      <c r="F463" s="59">
        <f>SUM(F464:F464)</f>
        <v>16875</v>
      </c>
      <c r="G463" s="59">
        <f>SUM(G464:G464)</f>
        <v>16875</v>
      </c>
    </row>
    <row r="464" spans="1:7" x14ac:dyDescent="0.35">
      <c r="A464" s="60"/>
      <c r="B464" s="60"/>
      <c r="C464" s="61" t="s">
        <v>29</v>
      </c>
      <c r="D464" s="55">
        <f>16875</f>
        <v>16875</v>
      </c>
      <c r="E464" s="55">
        <f>16875</f>
        <v>16875</v>
      </c>
      <c r="F464" s="55">
        <f>16875</f>
        <v>16875</v>
      </c>
      <c r="G464" s="55">
        <f>16875</f>
        <v>16875</v>
      </c>
    </row>
    <row r="465" spans="1:7" x14ac:dyDescent="0.35">
      <c r="A465" s="57" t="s">
        <v>79</v>
      </c>
      <c r="B465" s="57" t="s">
        <v>298</v>
      </c>
      <c r="C465" s="58" t="s">
        <v>493</v>
      </c>
      <c r="D465" s="59">
        <f>SUM(D466:D470)</f>
        <v>1743887</v>
      </c>
      <c r="E465" s="59">
        <f>SUM(E466:E470)</f>
        <v>1777897</v>
      </c>
      <c r="F465" s="59">
        <f>SUM(F466:F470)</f>
        <v>1766789</v>
      </c>
      <c r="G465" s="59">
        <f>SUM(G466:G470)</f>
        <v>1766789</v>
      </c>
    </row>
    <row r="466" spans="1:7" ht="26.5" x14ac:dyDescent="0.35">
      <c r="A466" s="60"/>
      <c r="B466" s="60"/>
      <c r="C466" s="62" t="s">
        <v>299</v>
      </c>
      <c r="D466" s="63">
        <v>227098</v>
      </c>
      <c r="E466" s="63">
        <v>261108</v>
      </c>
      <c r="F466" s="63">
        <v>250000</v>
      </c>
      <c r="G466" s="63">
        <v>250000</v>
      </c>
    </row>
    <row r="467" spans="1:7" ht="26.5" x14ac:dyDescent="0.35">
      <c r="A467" s="60"/>
      <c r="B467" s="60"/>
      <c r="C467" s="62" t="s">
        <v>300</v>
      </c>
      <c r="D467" s="63">
        <v>114621</v>
      </c>
      <c r="E467" s="63">
        <v>114621</v>
      </c>
      <c r="F467" s="63">
        <v>114621</v>
      </c>
      <c r="G467" s="63">
        <v>114621</v>
      </c>
    </row>
    <row r="468" spans="1:7" ht="26.5" x14ac:dyDescent="0.35">
      <c r="A468" s="60"/>
      <c r="B468" s="60"/>
      <c r="C468" s="62" t="s">
        <v>301</v>
      </c>
      <c r="D468" s="63">
        <v>383000</v>
      </c>
      <c r="E468" s="63">
        <v>383000</v>
      </c>
      <c r="F468" s="63">
        <v>383000</v>
      </c>
      <c r="G468" s="63">
        <v>383000</v>
      </c>
    </row>
    <row r="469" spans="1:7" ht="26.5" x14ac:dyDescent="0.35">
      <c r="A469" s="60"/>
      <c r="B469" s="60"/>
      <c r="C469" s="62" t="s">
        <v>302</v>
      </c>
      <c r="D469" s="63">
        <v>925222</v>
      </c>
      <c r="E469" s="63">
        <v>925222</v>
      </c>
      <c r="F469" s="63">
        <v>925222</v>
      </c>
      <c r="G469" s="63">
        <v>925222</v>
      </c>
    </row>
    <row r="470" spans="1:7" x14ac:dyDescent="0.35">
      <c r="A470" s="60"/>
      <c r="B470" s="60"/>
      <c r="C470" s="62" t="s">
        <v>29</v>
      </c>
      <c r="D470" s="63">
        <f>1743887-D466-D467-D468-D469</f>
        <v>93946</v>
      </c>
      <c r="E470" s="63">
        <f>1777897-E466-E467-E468-E469</f>
        <v>93946</v>
      </c>
      <c r="F470" s="63">
        <f>1766789-F466-F467-F468-F469</f>
        <v>93946</v>
      </c>
      <c r="G470" s="63">
        <f>1766789-G466-G467-G468-G469</f>
        <v>93946</v>
      </c>
    </row>
    <row r="471" spans="1:7" x14ac:dyDescent="0.35">
      <c r="A471" s="57" t="s">
        <v>61</v>
      </c>
      <c r="B471" s="57" t="s">
        <v>285</v>
      </c>
      <c r="C471" s="58" t="s">
        <v>62</v>
      </c>
      <c r="D471" s="59">
        <f>SUM(D472:D472)</f>
        <v>179797</v>
      </c>
      <c r="E471" s="59">
        <f>SUM(E472:E472)</f>
        <v>193469</v>
      </c>
      <c r="F471" s="59">
        <f>SUM(F472:F472)</f>
        <v>193469</v>
      </c>
      <c r="G471" s="59">
        <f>SUM(G472:G472)</f>
        <v>193469</v>
      </c>
    </row>
    <row r="472" spans="1:7" x14ac:dyDescent="0.35">
      <c r="A472" s="60"/>
      <c r="B472" s="60"/>
      <c r="C472" s="61" t="s">
        <v>29</v>
      </c>
      <c r="D472" s="55">
        <v>179797</v>
      </c>
      <c r="E472" s="55">
        <v>193469</v>
      </c>
      <c r="F472" s="55">
        <v>193469</v>
      </c>
      <c r="G472" s="55">
        <v>193469</v>
      </c>
    </row>
    <row r="473" spans="1:7" s="96" customFormat="1" ht="45" x14ac:dyDescent="0.35">
      <c r="A473" s="95"/>
      <c r="B473" s="95"/>
      <c r="C473" s="64" t="s">
        <v>21</v>
      </c>
      <c r="D473" s="65">
        <f>SUM(D474:D483)</f>
        <v>4777770</v>
      </c>
      <c r="E473" s="65">
        <f>SUM(E474:E483)</f>
        <v>4427122</v>
      </c>
      <c r="F473" s="65">
        <f>SUM(F474:F483)</f>
        <v>1946582</v>
      </c>
      <c r="G473" s="65">
        <f>SUM(G474:G483)</f>
        <v>51200</v>
      </c>
    </row>
    <row r="474" spans="1:7" s="96" customFormat="1" ht="15" x14ac:dyDescent="0.35">
      <c r="A474" s="97"/>
      <c r="B474" s="97"/>
      <c r="C474" s="66" t="s">
        <v>9</v>
      </c>
      <c r="D474" s="98"/>
      <c r="E474" s="98"/>
      <c r="F474" s="98"/>
      <c r="G474" s="98"/>
    </row>
    <row r="475" spans="1:7" s="96" customFormat="1" x14ac:dyDescent="0.35">
      <c r="A475" s="24" t="s">
        <v>303</v>
      </c>
      <c r="B475" s="24" t="s">
        <v>285</v>
      </c>
      <c r="C475" s="25" t="s">
        <v>494</v>
      </c>
      <c r="D475" s="26">
        <v>318190</v>
      </c>
      <c r="E475" s="26">
        <v>232345</v>
      </c>
      <c r="F475" s="26">
        <v>18150</v>
      </c>
      <c r="G475" s="26">
        <v>0</v>
      </c>
    </row>
    <row r="476" spans="1:7" s="96" customFormat="1" ht="26.25" customHeight="1" x14ac:dyDescent="0.35">
      <c r="A476" s="24" t="s">
        <v>241</v>
      </c>
      <c r="B476" s="24" t="s">
        <v>304</v>
      </c>
      <c r="C476" s="25" t="s">
        <v>141</v>
      </c>
      <c r="D476" s="26">
        <v>4379686</v>
      </c>
      <c r="E476" s="26">
        <v>3883077</v>
      </c>
      <c r="F476" s="26">
        <v>1765958</v>
      </c>
      <c r="G476" s="26">
        <v>0</v>
      </c>
    </row>
    <row r="477" spans="1:7" s="96" customFormat="1" ht="26" x14ac:dyDescent="0.35">
      <c r="A477" s="24" t="s">
        <v>22</v>
      </c>
      <c r="B477" s="24" t="s">
        <v>285</v>
      </c>
      <c r="C477" s="25" t="s">
        <v>142</v>
      </c>
      <c r="D477" s="26">
        <v>17000</v>
      </c>
      <c r="E477" s="26">
        <v>0</v>
      </c>
      <c r="F477" s="26">
        <v>0</v>
      </c>
      <c r="G477" s="26">
        <v>0</v>
      </c>
    </row>
    <row r="478" spans="1:7" s="96" customFormat="1" x14ac:dyDescent="0.35">
      <c r="A478" s="24" t="s">
        <v>98</v>
      </c>
      <c r="B478" s="24" t="s">
        <v>285</v>
      </c>
      <c r="C478" s="25" t="s">
        <v>246</v>
      </c>
      <c r="D478" s="26">
        <v>20000</v>
      </c>
      <c r="E478" s="26">
        <v>0</v>
      </c>
      <c r="F478" s="26">
        <v>0</v>
      </c>
      <c r="G478" s="26">
        <v>0</v>
      </c>
    </row>
    <row r="479" spans="1:7" s="96" customFormat="1" ht="26" x14ac:dyDescent="0.35">
      <c r="A479" s="24" t="s">
        <v>305</v>
      </c>
      <c r="B479" s="24" t="s">
        <v>304</v>
      </c>
      <c r="C479" s="25" t="s">
        <v>495</v>
      </c>
      <c r="D479" s="26">
        <v>25894</v>
      </c>
      <c r="E479" s="26">
        <v>43000</v>
      </c>
      <c r="F479" s="26">
        <v>2000</v>
      </c>
      <c r="G479" s="26">
        <v>0</v>
      </c>
    </row>
    <row r="480" spans="1:7" s="96" customFormat="1" x14ac:dyDescent="0.35">
      <c r="A480" s="24" t="s">
        <v>189</v>
      </c>
      <c r="B480" s="24" t="s">
        <v>285</v>
      </c>
      <c r="C480" s="25" t="s">
        <v>496</v>
      </c>
      <c r="D480" s="26">
        <v>0</v>
      </c>
      <c r="E480" s="26">
        <v>248700</v>
      </c>
      <c r="F480" s="26">
        <v>143474</v>
      </c>
      <c r="G480" s="26">
        <v>36200</v>
      </c>
    </row>
    <row r="481" spans="1:7" s="96" customFormat="1" ht="39" x14ac:dyDescent="0.35">
      <c r="A481" s="24" t="s">
        <v>282</v>
      </c>
      <c r="B481" s="24" t="s">
        <v>285</v>
      </c>
      <c r="C481" s="25" t="s">
        <v>497</v>
      </c>
      <c r="D481" s="26">
        <v>6000</v>
      </c>
      <c r="E481" s="26">
        <v>9000</v>
      </c>
      <c r="F481" s="26">
        <v>6000</v>
      </c>
      <c r="G481" s="26">
        <v>4000</v>
      </c>
    </row>
    <row r="482" spans="1:7" s="96" customFormat="1" ht="39" x14ac:dyDescent="0.35">
      <c r="A482" s="24" t="s">
        <v>306</v>
      </c>
      <c r="B482" s="24" t="s">
        <v>304</v>
      </c>
      <c r="C482" s="99" t="s">
        <v>540</v>
      </c>
      <c r="D482" s="26">
        <v>4000</v>
      </c>
      <c r="E482" s="26">
        <v>4000</v>
      </c>
      <c r="F482" s="26">
        <v>4000</v>
      </c>
      <c r="G482" s="26">
        <v>4000</v>
      </c>
    </row>
    <row r="483" spans="1:7" s="96" customFormat="1" ht="24" customHeight="1" x14ac:dyDescent="0.35">
      <c r="A483" s="24" t="s">
        <v>101</v>
      </c>
      <c r="B483" s="24" t="s">
        <v>285</v>
      </c>
      <c r="C483" s="25" t="s">
        <v>541</v>
      </c>
      <c r="D483" s="26">
        <v>7000</v>
      </c>
      <c r="E483" s="26">
        <v>7000</v>
      </c>
      <c r="F483" s="26">
        <v>7000</v>
      </c>
      <c r="G483" s="26">
        <v>7000</v>
      </c>
    </row>
    <row r="484" spans="1:7" ht="15" x14ac:dyDescent="0.35">
      <c r="A484" s="132"/>
      <c r="B484" s="132"/>
      <c r="C484" s="127" t="s">
        <v>307</v>
      </c>
      <c r="D484" s="128">
        <f>D485+D518</f>
        <v>4872668</v>
      </c>
      <c r="E484" s="128">
        <f>E485+E518</f>
        <v>12665631</v>
      </c>
      <c r="F484" s="128">
        <f>F485+F518</f>
        <v>3542960</v>
      </c>
      <c r="G484" s="128">
        <f>G485+G518</f>
        <v>3542960</v>
      </c>
    </row>
    <row r="485" spans="1:7" ht="15" x14ac:dyDescent="0.35">
      <c r="A485" s="75"/>
      <c r="B485" s="75"/>
      <c r="C485" s="3" t="s">
        <v>10</v>
      </c>
      <c r="D485" s="9">
        <f>D487+D489+D492+D501+D506+D508+D510+D512+D514+D516</f>
        <v>4047000</v>
      </c>
      <c r="E485" s="9">
        <f>E487+E489+E492+E501+E506+E508+E510+E512+E514+E516</f>
        <v>12394132</v>
      </c>
      <c r="F485" s="9">
        <f>F487+F489+F492+F501+F506+F508+F510+F512+F514+F516</f>
        <v>3542960</v>
      </c>
      <c r="G485" s="9">
        <f>G487+G489+G492+G501+G506+G508+G510+G512+G514+G516</f>
        <v>3542960</v>
      </c>
    </row>
    <row r="486" spans="1:7" ht="15" x14ac:dyDescent="0.35">
      <c r="A486" s="76"/>
      <c r="B486" s="76"/>
      <c r="C486" s="2" t="s">
        <v>9</v>
      </c>
      <c r="D486" s="79"/>
      <c r="E486" s="79"/>
      <c r="F486" s="79"/>
      <c r="G486" s="79"/>
    </row>
    <row r="487" spans="1:7" x14ac:dyDescent="0.35">
      <c r="A487" s="102" t="s">
        <v>544</v>
      </c>
      <c r="B487" s="6" t="s">
        <v>125</v>
      </c>
      <c r="C487" s="7" t="s">
        <v>498</v>
      </c>
      <c r="D487" s="11">
        <v>2846</v>
      </c>
      <c r="E487" s="11">
        <v>2846</v>
      </c>
      <c r="F487" s="11">
        <v>2846</v>
      </c>
      <c r="G487" s="11">
        <v>2846</v>
      </c>
    </row>
    <row r="488" spans="1:7" ht="15.5" x14ac:dyDescent="0.35">
      <c r="A488" s="76"/>
      <c r="B488" s="76"/>
      <c r="C488" s="8" t="s">
        <v>365</v>
      </c>
      <c r="D488" s="1">
        <v>2846</v>
      </c>
      <c r="E488" s="1">
        <v>2846</v>
      </c>
      <c r="F488" s="1">
        <v>2846</v>
      </c>
      <c r="G488" s="1">
        <v>2846</v>
      </c>
    </row>
    <row r="489" spans="1:7" x14ac:dyDescent="0.35">
      <c r="A489" s="6" t="s">
        <v>545</v>
      </c>
      <c r="B489" s="6" t="s">
        <v>109</v>
      </c>
      <c r="C489" s="7" t="s">
        <v>499</v>
      </c>
      <c r="D489" s="11">
        <f>D490+D491</f>
        <v>849075</v>
      </c>
      <c r="E489" s="11">
        <v>614075</v>
      </c>
      <c r="F489" s="11">
        <v>614075</v>
      </c>
      <c r="G489" s="11">
        <v>614075</v>
      </c>
    </row>
    <row r="490" spans="1:7" ht="33.65" customHeight="1" x14ac:dyDescent="0.35">
      <c r="A490" s="45"/>
      <c r="B490" s="45"/>
      <c r="C490" s="8" t="s">
        <v>308</v>
      </c>
      <c r="D490" s="16">
        <v>235000</v>
      </c>
      <c r="E490" s="16">
        <v>0</v>
      </c>
      <c r="F490" s="16">
        <v>0</v>
      </c>
      <c r="G490" s="16">
        <v>0</v>
      </c>
    </row>
    <row r="491" spans="1:7" x14ac:dyDescent="0.35">
      <c r="A491" s="76"/>
      <c r="B491" s="76"/>
      <c r="C491" s="8" t="s">
        <v>29</v>
      </c>
      <c r="D491" s="1">
        <v>614075</v>
      </c>
      <c r="E491" s="1">
        <v>614075</v>
      </c>
      <c r="F491" s="1">
        <v>614075</v>
      </c>
      <c r="G491" s="1">
        <v>614075</v>
      </c>
    </row>
    <row r="492" spans="1:7" x14ac:dyDescent="0.35">
      <c r="A492" s="6" t="s">
        <v>546</v>
      </c>
      <c r="B492" s="6" t="s">
        <v>125</v>
      </c>
      <c r="C492" s="7" t="s">
        <v>500</v>
      </c>
      <c r="D492" s="11">
        <v>2952718</v>
      </c>
      <c r="E492" s="11">
        <v>4211856</v>
      </c>
      <c r="F492" s="11">
        <v>2697578</v>
      </c>
      <c r="G492" s="11">
        <v>2697578</v>
      </c>
    </row>
    <row r="493" spans="1:7" ht="57.65" customHeight="1" x14ac:dyDescent="0.35">
      <c r="A493" s="76"/>
      <c r="B493" s="76"/>
      <c r="C493" s="8" t="s">
        <v>309</v>
      </c>
      <c r="D493" s="1">
        <v>295433</v>
      </c>
      <c r="E493" s="1">
        <v>0</v>
      </c>
      <c r="F493" s="1">
        <v>0</v>
      </c>
      <c r="G493" s="1">
        <v>0</v>
      </c>
    </row>
    <row r="494" spans="1:7" x14ac:dyDescent="0.35">
      <c r="A494" s="76"/>
      <c r="B494" s="76"/>
      <c r="C494" s="8" t="s">
        <v>310</v>
      </c>
      <c r="D494" s="1">
        <v>702000</v>
      </c>
      <c r="E494" s="1">
        <v>761227</v>
      </c>
      <c r="F494" s="1">
        <v>761227</v>
      </c>
      <c r="G494" s="1">
        <v>761227</v>
      </c>
    </row>
    <row r="495" spans="1:7" ht="26" x14ac:dyDescent="0.35">
      <c r="A495" s="76"/>
      <c r="B495" s="76"/>
      <c r="C495" s="8" t="s">
        <v>311</v>
      </c>
      <c r="D495" s="1">
        <f>1035715+275333+168225+200000</f>
        <v>1679273</v>
      </c>
      <c r="E495" s="1">
        <f t="shared" ref="E495:G495" si="58">1035715+275333+168225+200000</f>
        <v>1679273</v>
      </c>
      <c r="F495" s="1">
        <f t="shared" si="58"/>
        <v>1679273</v>
      </c>
      <c r="G495" s="1">
        <f t="shared" si="58"/>
        <v>1679273</v>
      </c>
    </row>
    <row r="496" spans="1:7" ht="39" x14ac:dyDescent="0.35">
      <c r="A496" s="76"/>
      <c r="B496" s="76"/>
      <c r="C496" s="8" t="s">
        <v>312</v>
      </c>
      <c r="D496" s="1">
        <v>0</v>
      </c>
      <c r="E496" s="1">
        <v>649278</v>
      </c>
      <c r="F496" s="1">
        <v>0</v>
      </c>
      <c r="G496" s="1">
        <v>0</v>
      </c>
    </row>
    <row r="497" spans="1:7" ht="23" customHeight="1" x14ac:dyDescent="0.35">
      <c r="A497" s="76"/>
      <c r="B497" s="76"/>
      <c r="C497" s="20" t="s">
        <v>313</v>
      </c>
      <c r="D497" s="1">
        <v>0</v>
      </c>
      <c r="E497" s="1">
        <v>165000</v>
      </c>
      <c r="F497" s="1">
        <v>0</v>
      </c>
      <c r="G497" s="1">
        <v>0</v>
      </c>
    </row>
    <row r="498" spans="1:7" ht="24.75" customHeight="1" x14ac:dyDescent="0.35">
      <c r="A498" s="76"/>
      <c r="B498" s="76"/>
      <c r="C498" s="8" t="s">
        <v>314</v>
      </c>
      <c r="D498" s="1">
        <v>0</v>
      </c>
      <c r="E498" s="1">
        <v>400000</v>
      </c>
      <c r="F498" s="1">
        <v>0</v>
      </c>
      <c r="G498" s="1">
        <v>0</v>
      </c>
    </row>
    <row r="499" spans="1:7" ht="38.25" customHeight="1" x14ac:dyDescent="0.35">
      <c r="A499" s="76"/>
      <c r="B499" s="76"/>
      <c r="C499" s="8" t="s">
        <v>315</v>
      </c>
      <c r="D499" s="1">
        <v>0</v>
      </c>
      <c r="E499" s="1">
        <v>300000</v>
      </c>
      <c r="F499" s="1">
        <v>0</v>
      </c>
      <c r="G499" s="1">
        <v>0</v>
      </c>
    </row>
    <row r="500" spans="1:7" x14ac:dyDescent="0.35">
      <c r="A500" s="76"/>
      <c r="B500" s="76"/>
      <c r="C500" s="8" t="s">
        <v>29</v>
      </c>
      <c r="D500" s="1">
        <f>D492-D493-D494-D495</f>
        <v>276012</v>
      </c>
      <c r="E500" s="1">
        <f>E492-E494-E497-E498-E499-E495-E496</f>
        <v>257078</v>
      </c>
      <c r="F500" s="1">
        <f>F492-F494-F495</f>
        <v>257078</v>
      </c>
      <c r="G500" s="1">
        <f>G492-G494-G495</f>
        <v>257078</v>
      </c>
    </row>
    <row r="501" spans="1:7" x14ac:dyDescent="0.35">
      <c r="A501" s="6" t="s">
        <v>547</v>
      </c>
      <c r="B501" s="6" t="s">
        <v>125</v>
      </c>
      <c r="C501" s="7" t="s">
        <v>501</v>
      </c>
      <c r="D501" s="11">
        <v>0</v>
      </c>
      <c r="E501" s="11">
        <v>7336894</v>
      </c>
      <c r="F501" s="11">
        <v>0</v>
      </c>
      <c r="G501" s="11">
        <v>0</v>
      </c>
    </row>
    <row r="502" spans="1:7" ht="39" x14ac:dyDescent="0.35">
      <c r="A502" s="76"/>
      <c r="B502" s="76"/>
      <c r="C502" s="8" t="s">
        <v>316</v>
      </c>
      <c r="D502" s="1">
        <v>0</v>
      </c>
      <c r="E502" s="1">
        <v>3000000</v>
      </c>
      <c r="F502" s="1">
        <v>0</v>
      </c>
      <c r="G502" s="1">
        <v>0</v>
      </c>
    </row>
    <row r="503" spans="1:7" ht="65" x14ac:dyDescent="0.35">
      <c r="A503" s="76"/>
      <c r="B503" s="76"/>
      <c r="C503" s="8" t="s">
        <v>317</v>
      </c>
      <c r="D503" s="1">
        <v>0</v>
      </c>
      <c r="E503" s="1">
        <v>2662623</v>
      </c>
      <c r="F503" s="1">
        <v>0</v>
      </c>
      <c r="G503" s="1">
        <v>0</v>
      </c>
    </row>
    <row r="504" spans="1:7" ht="65" x14ac:dyDescent="0.35">
      <c r="A504" s="76"/>
      <c r="B504" s="76"/>
      <c r="C504" s="8" t="s">
        <v>318</v>
      </c>
      <c r="D504" s="1">
        <v>0</v>
      </c>
      <c r="E504" s="1">
        <v>292715</v>
      </c>
      <c r="F504" s="1">
        <v>0</v>
      </c>
      <c r="G504" s="1">
        <v>0</v>
      </c>
    </row>
    <row r="505" spans="1:7" x14ac:dyDescent="0.35">
      <c r="A505" s="76"/>
      <c r="B505" s="76"/>
      <c r="C505" s="8" t="s">
        <v>319</v>
      </c>
      <c r="D505" s="1">
        <v>0</v>
      </c>
      <c r="E505" s="1">
        <v>1381556</v>
      </c>
      <c r="F505" s="1">
        <v>0</v>
      </c>
      <c r="G505" s="1">
        <v>0</v>
      </c>
    </row>
    <row r="506" spans="1:7" x14ac:dyDescent="0.35">
      <c r="A506" s="103" t="s">
        <v>320</v>
      </c>
      <c r="B506" s="6" t="s">
        <v>321</v>
      </c>
      <c r="C506" s="7" t="s">
        <v>502</v>
      </c>
      <c r="D506" s="11">
        <v>44419</v>
      </c>
      <c r="E506" s="11">
        <v>44419</v>
      </c>
      <c r="F506" s="11">
        <v>44419</v>
      </c>
      <c r="G506" s="11">
        <v>44419</v>
      </c>
    </row>
    <row r="507" spans="1:7" x14ac:dyDescent="0.35">
      <c r="A507" s="76"/>
      <c r="B507" s="76"/>
      <c r="C507" s="8" t="s">
        <v>29</v>
      </c>
      <c r="D507" s="1">
        <v>44419</v>
      </c>
      <c r="E507" s="1">
        <v>44419</v>
      </c>
      <c r="F507" s="1">
        <v>44419</v>
      </c>
      <c r="G507" s="1">
        <v>44419</v>
      </c>
    </row>
    <row r="508" spans="1:7" x14ac:dyDescent="0.35">
      <c r="A508" s="6" t="s">
        <v>548</v>
      </c>
      <c r="B508" s="6" t="s">
        <v>125</v>
      </c>
      <c r="C508" s="7" t="s">
        <v>503</v>
      </c>
      <c r="D508" s="11">
        <v>95500</v>
      </c>
      <c r="E508" s="11">
        <v>95500</v>
      </c>
      <c r="F508" s="11">
        <v>95500</v>
      </c>
      <c r="G508" s="11">
        <v>95500</v>
      </c>
    </row>
    <row r="509" spans="1:7" x14ac:dyDescent="0.35">
      <c r="A509" s="76"/>
      <c r="B509" s="76"/>
      <c r="C509" s="8" t="s">
        <v>29</v>
      </c>
      <c r="D509" s="1">
        <v>95500</v>
      </c>
      <c r="E509" s="1">
        <v>95500</v>
      </c>
      <c r="F509" s="1">
        <v>95500</v>
      </c>
      <c r="G509" s="1">
        <v>95500</v>
      </c>
    </row>
    <row r="510" spans="1:7" x14ac:dyDescent="0.35">
      <c r="A510" s="6" t="s">
        <v>549</v>
      </c>
      <c r="B510" s="6" t="s">
        <v>125</v>
      </c>
      <c r="C510" s="7" t="s">
        <v>504</v>
      </c>
      <c r="D510" s="11">
        <v>4269</v>
      </c>
      <c r="E510" s="11">
        <v>4269</v>
      </c>
      <c r="F510" s="11">
        <v>4269</v>
      </c>
      <c r="G510" s="11">
        <v>4269</v>
      </c>
    </row>
    <row r="511" spans="1:7" x14ac:dyDescent="0.35">
      <c r="A511" s="76"/>
      <c r="B511" s="76"/>
      <c r="C511" s="8" t="s">
        <v>29</v>
      </c>
      <c r="D511" s="1">
        <v>4269</v>
      </c>
      <c r="E511" s="1">
        <v>4269</v>
      </c>
      <c r="F511" s="1">
        <v>4269</v>
      </c>
      <c r="G511" s="1">
        <v>4269</v>
      </c>
    </row>
    <row r="512" spans="1:7" x14ac:dyDescent="0.35">
      <c r="A512" s="6" t="s">
        <v>550</v>
      </c>
      <c r="B512" s="6" t="s">
        <v>322</v>
      </c>
      <c r="C512" s="7" t="s">
        <v>505</v>
      </c>
      <c r="D512" s="11">
        <v>35451</v>
      </c>
      <c r="E512" s="11">
        <v>35451</v>
      </c>
      <c r="F512" s="11">
        <v>35451</v>
      </c>
      <c r="G512" s="11">
        <v>35451</v>
      </c>
    </row>
    <row r="513" spans="1:7" x14ac:dyDescent="0.35">
      <c r="A513" s="76"/>
      <c r="B513" s="76"/>
      <c r="C513" s="8" t="s">
        <v>29</v>
      </c>
      <c r="D513" s="1">
        <v>35451</v>
      </c>
      <c r="E513" s="1">
        <v>35451</v>
      </c>
      <c r="F513" s="1">
        <v>35451</v>
      </c>
      <c r="G513" s="1">
        <v>35451</v>
      </c>
    </row>
    <row r="514" spans="1:7" x14ac:dyDescent="0.35">
      <c r="A514" s="6" t="s">
        <v>551</v>
      </c>
      <c r="B514" s="6" t="s">
        <v>322</v>
      </c>
      <c r="C514" s="7" t="s">
        <v>506</v>
      </c>
      <c r="D514" s="11">
        <v>44000</v>
      </c>
      <c r="E514" s="11">
        <v>30100</v>
      </c>
      <c r="F514" s="11">
        <v>30100</v>
      </c>
      <c r="G514" s="11">
        <v>30100</v>
      </c>
    </row>
    <row r="515" spans="1:7" x14ac:dyDescent="0.35">
      <c r="A515" s="76"/>
      <c r="B515" s="76"/>
      <c r="C515" s="8" t="s">
        <v>29</v>
      </c>
      <c r="D515" s="1">
        <v>44000</v>
      </c>
      <c r="E515" s="1">
        <v>30100</v>
      </c>
      <c r="F515" s="1">
        <v>30100</v>
      </c>
      <c r="G515" s="1">
        <v>30100</v>
      </c>
    </row>
    <row r="516" spans="1:7" x14ac:dyDescent="0.35">
      <c r="A516" s="6" t="s">
        <v>552</v>
      </c>
      <c r="B516" s="6" t="s">
        <v>323</v>
      </c>
      <c r="C516" s="7" t="s">
        <v>62</v>
      </c>
      <c r="D516" s="11">
        <v>18722</v>
      </c>
      <c r="E516" s="11">
        <v>18722</v>
      </c>
      <c r="F516" s="11">
        <v>18722</v>
      </c>
      <c r="G516" s="11">
        <v>18722</v>
      </c>
    </row>
    <row r="517" spans="1:7" x14ac:dyDescent="0.35">
      <c r="A517" s="76"/>
      <c r="B517" s="76"/>
      <c r="C517" s="8" t="s">
        <v>29</v>
      </c>
      <c r="D517" s="1">
        <v>18722</v>
      </c>
      <c r="E517" s="1">
        <v>18722</v>
      </c>
      <c r="F517" s="1">
        <v>18722</v>
      </c>
      <c r="G517" s="1">
        <v>18722</v>
      </c>
    </row>
    <row r="518" spans="1:7" ht="45" x14ac:dyDescent="0.35">
      <c r="A518" s="75"/>
      <c r="B518" s="75"/>
      <c r="C518" s="3" t="s">
        <v>21</v>
      </c>
      <c r="D518" s="9">
        <f>SUM(D520:D521)</f>
        <v>825668</v>
      </c>
      <c r="E518" s="9">
        <f>SUM(E520:E521)</f>
        <v>271499</v>
      </c>
      <c r="F518" s="9">
        <f>SUM(F520:F521)</f>
        <v>0</v>
      </c>
      <c r="G518" s="9">
        <f>SUM(G520:G521)</f>
        <v>0</v>
      </c>
    </row>
    <row r="519" spans="1:7" ht="15" x14ac:dyDescent="0.35">
      <c r="A519" s="76"/>
      <c r="B519" s="76"/>
      <c r="C519" s="2" t="s">
        <v>9</v>
      </c>
      <c r="D519" s="79"/>
      <c r="E519" s="79"/>
      <c r="F519" s="79"/>
      <c r="G519" s="79"/>
    </row>
    <row r="520" spans="1:7" ht="26" x14ac:dyDescent="0.35">
      <c r="A520" s="6" t="s">
        <v>241</v>
      </c>
      <c r="B520" s="6" t="s">
        <v>125</v>
      </c>
      <c r="C520" s="7" t="s">
        <v>466</v>
      </c>
      <c r="D520" s="11">
        <v>824668</v>
      </c>
      <c r="E520" s="11">
        <v>270999</v>
      </c>
      <c r="F520" s="11">
        <v>0</v>
      </c>
      <c r="G520" s="11">
        <v>0</v>
      </c>
    </row>
    <row r="521" spans="1:7" ht="26" x14ac:dyDescent="0.35">
      <c r="A521" s="6" t="s">
        <v>324</v>
      </c>
      <c r="B521" s="6" t="s">
        <v>264</v>
      </c>
      <c r="C521" s="7" t="s">
        <v>507</v>
      </c>
      <c r="D521" s="11">
        <v>1000</v>
      </c>
      <c r="E521" s="11">
        <v>500</v>
      </c>
      <c r="F521" s="11">
        <v>0</v>
      </c>
      <c r="G521" s="125">
        <v>0</v>
      </c>
    </row>
    <row r="522" spans="1:7" ht="15" x14ac:dyDescent="0.35">
      <c r="A522" s="132"/>
      <c r="B522" s="132"/>
      <c r="C522" s="127" t="s">
        <v>363</v>
      </c>
      <c r="D522" s="128">
        <f>D523</f>
        <v>86433</v>
      </c>
      <c r="E522" s="128">
        <f t="shared" ref="E522:G522" si="59">E523</f>
        <v>86433</v>
      </c>
      <c r="F522" s="128">
        <f t="shared" si="59"/>
        <v>86433</v>
      </c>
      <c r="G522" s="128">
        <f t="shared" si="59"/>
        <v>86433</v>
      </c>
    </row>
    <row r="523" spans="1:7" ht="15" x14ac:dyDescent="0.35">
      <c r="A523" s="75"/>
      <c r="B523" s="75"/>
      <c r="C523" s="3" t="s">
        <v>10</v>
      </c>
      <c r="D523" s="9">
        <f>D525</f>
        <v>86433</v>
      </c>
      <c r="E523" s="9">
        <f t="shared" ref="E523:G523" si="60">E525</f>
        <v>86433</v>
      </c>
      <c r="F523" s="9">
        <f t="shared" si="60"/>
        <v>86433</v>
      </c>
      <c r="G523" s="9">
        <f t="shared" si="60"/>
        <v>86433</v>
      </c>
    </row>
    <row r="524" spans="1:7" ht="15" x14ac:dyDescent="0.35">
      <c r="A524" s="76"/>
      <c r="B524" s="76"/>
      <c r="C524" s="2" t="s">
        <v>9</v>
      </c>
      <c r="D524" s="79"/>
      <c r="E524" s="79"/>
      <c r="F524" s="79"/>
      <c r="G524" s="79"/>
    </row>
    <row r="525" spans="1:7" x14ac:dyDescent="0.35">
      <c r="A525" s="6" t="s">
        <v>8</v>
      </c>
      <c r="B525" s="104" t="s">
        <v>72</v>
      </c>
      <c r="C525" s="7" t="s">
        <v>364</v>
      </c>
      <c r="D525" s="11">
        <f>D526+D527</f>
        <v>86433</v>
      </c>
      <c r="E525" s="11">
        <f t="shared" ref="E525:G525" si="61">E526+E527</f>
        <v>86433</v>
      </c>
      <c r="F525" s="11">
        <f t="shared" si="61"/>
        <v>86433</v>
      </c>
      <c r="G525" s="11">
        <f t="shared" si="61"/>
        <v>86433</v>
      </c>
    </row>
    <row r="526" spans="1:7" x14ac:dyDescent="0.35">
      <c r="A526" s="76"/>
      <c r="B526" s="76"/>
      <c r="C526" s="8" t="s">
        <v>6</v>
      </c>
      <c r="D526" s="1">
        <v>0</v>
      </c>
      <c r="E526" s="1">
        <v>0</v>
      </c>
      <c r="F526" s="1">
        <v>0</v>
      </c>
      <c r="G526" s="1">
        <v>0</v>
      </c>
    </row>
    <row r="527" spans="1:7" ht="15.5" x14ac:dyDescent="0.35">
      <c r="A527" s="76"/>
      <c r="B527" s="76"/>
      <c r="C527" s="8" t="s">
        <v>365</v>
      </c>
      <c r="D527" s="1">
        <v>86433</v>
      </c>
      <c r="E527" s="1">
        <v>86433</v>
      </c>
      <c r="F527" s="1">
        <v>86433</v>
      </c>
      <c r="G527" s="1">
        <v>86433</v>
      </c>
    </row>
    <row r="528" spans="1:7" ht="15" x14ac:dyDescent="0.35">
      <c r="A528" s="127"/>
      <c r="B528" s="127"/>
      <c r="C528" s="130" t="s">
        <v>325</v>
      </c>
      <c r="D528" s="131">
        <v>45345</v>
      </c>
      <c r="E528" s="131">
        <v>9550</v>
      </c>
      <c r="F528" s="131">
        <v>5000</v>
      </c>
      <c r="G528" s="131">
        <v>5000</v>
      </c>
    </row>
    <row r="529" spans="1:7" ht="15.5" x14ac:dyDescent="0.35">
      <c r="A529" s="28"/>
      <c r="B529" s="28"/>
      <c r="C529" s="29" t="s">
        <v>10</v>
      </c>
      <c r="D529" s="67">
        <v>45345</v>
      </c>
      <c r="E529" s="67">
        <v>9550</v>
      </c>
      <c r="F529" s="67">
        <v>5000</v>
      </c>
      <c r="G529" s="67">
        <v>5000</v>
      </c>
    </row>
    <row r="530" spans="1:7" x14ac:dyDescent="0.35">
      <c r="A530" s="84"/>
      <c r="B530" s="84"/>
      <c r="C530" s="2" t="s">
        <v>9</v>
      </c>
      <c r="D530" s="40"/>
      <c r="E530" s="40"/>
      <c r="F530" s="40"/>
      <c r="G530" s="40"/>
    </row>
    <row r="531" spans="1:7" x14ac:dyDescent="0.35">
      <c r="A531" s="31" t="s">
        <v>8</v>
      </c>
      <c r="B531" s="31" t="s">
        <v>7</v>
      </c>
      <c r="C531" s="32" t="s">
        <v>508</v>
      </c>
      <c r="D531" s="43">
        <v>45345</v>
      </c>
      <c r="E531" s="43">
        <v>9550</v>
      </c>
      <c r="F531" s="43">
        <v>5000</v>
      </c>
      <c r="G531" s="43">
        <v>5000</v>
      </c>
    </row>
    <row r="532" spans="1:7" ht="65" x14ac:dyDescent="0.35">
      <c r="A532" s="84"/>
      <c r="B532" s="84"/>
      <c r="C532" s="8" t="s">
        <v>326</v>
      </c>
      <c r="D532" s="1">
        <v>40345</v>
      </c>
      <c r="E532" s="1">
        <v>4550</v>
      </c>
      <c r="F532" s="1">
        <v>5000</v>
      </c>
      <c r="G532" s="1">
        <v>5000</v>
      </c>
    </row>
    <row r="533" spans="1:7" ht="65" x14ac:dyDescent="0.35">
      <c r="A533" s="84"/>
      <c r="B533" s="84"/>
      <c r="C533" s="8" t="s">
        <v>327</v>
      </c>
      <c r="D533" s="1">
        <v>5000</v>
      </c>
      <c r="E533" s="1">
        <v>5000</v>
      </c>
      <c r="F533" s="1">
        <v>5000</v>
      </c>
      <c r="G533" s="1">
        <v>5000</v>
      </c>
    </row>
    <row r="534" spans="1:7" ht="15" x14ac:dyDescent="0.35">
      <c r="A534" s="127"/>
      <c r="B534" s="127"/>
      <c r="C534" s="127" t="s">
        <v>524</v>
      </c>
      <c r="D534" s="128">
        <f>D535</f>
        <v>78783</v>
      </c>
      <c r="E534" s="128">
        <f t="shared" ref="E534:G534" si="62">E535</f>
        <v>119423</v>
      </c>
      <c r="F534" s="128">
        <f t="shared" si="62"/>
        <v>78783</v>
      </c>
      <c r="G534" s="128">
        <f t="shared" si="62"/>
        <v>36283</v>
      </c>
    </row>
    <row r="535" spans="1:7" ht="15.5" x14ac:dyDescent="0.35">
      <c r="A535" s="28"/>
      <c r="B535" s="28"/>
      <c r="C535" s="3" t="s">
        <v>10</v>
      </c>
      <c r="D535" s="9">
        <f>D538</f>
        <v>78783</v>
      </c>
      <c r="E535" s="9">
        <f t="shared" ref="E535:G535" si="63">E538</f>
        <v>119423</v>
      </c>
      <c r="F535" s="9">
        <f t="shared" si="63"/>
        <v>78783</v>
      </c>
      <c r="G535" s="9">
        <f t="shared" si="63"/>
        <v>36283</v>
      </c>
    </row>
    <row r="536" spans="1:7" x14ac:dyDescent="0.35">
      <c r="A536" s="84"/>
      <c r="B536" s="84"/>
      <c r="C536" s="2" t="s">
        <v>9</v>
      </c>
      <c r="D536" s="40"/>
      <c r="E536" s="40"/>
      <c r="F536" s="40"/>
      <c r="G536" s="40"/>
    </row>
    <row r="537" spans="1:7" x14ac:dyDescent="0.35">
      <c r="A537" s="6" t="s">
        <v>8</v>
      </c>
      <c r="B537" s="6" t="s">
        <v>328</v>
      </c>
      <c r="C537" s="7" t="s">
        <v>509</v>
      </c>
      <c r="D537" s="11">
        <f>D538</f>
        <v>78783</v>
      </c>
      <c r="E537" s="11">
        <f t="shared" ref="E537:G537" si="64">E538</f>
        <v>119423</v>
      </c>
      <c r="F537" s="11">
        <f t="shared" si="64"/>
        <v>78783</v>
      </c>
      <c r="G537" s="11">
        <f t="shared" si="64"/>
        <v>36283</v>
      </c>
    </row>
    <row r="538" spans="1:7" ht="15.5" x14ac:dyDescent="0.35">
      <c r="A538" s="84"/>
      <c r="B538" s="84"/>
      <c r="C538" s="8" t="s">
        <v>365</v>
      </c>
      <c r="D538" s="1">
        <v>78783</v>
      </c>
      <c r="E538" s="1">
        <v>119423</v>
      </c>
      <c r="F538" s="1">
        <v>78783</v>
      </c>
      <c r="G538" s="1">
        <v>36283</v>
      </c>
    </row>
    <row r="539" spans="1:7" ht="15" x14ac:dyDescent="0.35">
      <c r="A539" s="141"/>
      <c r="B539" s="141"/>
      <c r="C539" s="141" t="s">
        <v>525</v>
      </c>
      <c r="D539" s="142">
        <f>D540+D566</f>
        <v>6601751</v>
      </c>
      <c r="E539" s="142">
        <f>E540+E566</f>
        <v>21241222</v>
      </c>
      <c r="F539" s="142">
        <f>F540+F566</f>
        <v>3671890</v>
      </c>
      <c r="G539" s="142">
        <f>G540+G566</f>
        <v>3402012</v>
      </c>
    </row>
    <row r="540" spans="1:7" ht="15.5" x14ac:dyDescent="0.35">
      <c r="A540" s="30"/>
      <c r="B540" s="30"/>
      <c r="C540" s="22" t="s">
        <v>10</v>
      </c>
      <c r="D540" s="23">
        <f>D542+D545+D548+D551+D554+D556+D559+D561+D564</f>
        <v>5509948</v>
      </c>
      <c r="E540" s="23">
        <f t="shared" ref="E540:G540" si="65">E542+E545+E548+E551+E554+E556+E559+E561+E564</f>
        <v>8446550</v>
      </c>
      <c r="F540" s="23">
        <f t="shared" si="65"/>
        <v>3667890</v>
      </c>
      <c r="G540" s="23">
        <f t="shared" si="65"/>
        <v>3402012</v>
      </c>
    </row>
    <row r="541" spans="1:7" x14ac:dyDescent="0.35">
      <c r="A541" s="37"/>
      <c r="B541" s="37"/>
      <c r="C541" s="27" t="s">
        <v>9</v>
      </c>
      <c r="D541" s="44"/>
      <c r="E541" s="44"/>
      <c r="F541" s="44"/>
      <c r="G541" s="44"/>
    </row>
    <row r="542" spans="1:7" s="167" customFormat="1" ht="14" x14ac:dyDescent="0.3">
      <c r="A542" s="163" t="s">
        <v>329</v>
      </c>
      <c r="B542" s="164" t="s">
        <v>330</v>
      </c>
      <c r="C542" s="165" t="s">
        <v>510</v>
      </c>
      <c r="D542" s="166">
        <f>D543+D544</f>
        <v>14229</v>
      </c>
      <c r="E542" s="166">
        <f>E543+E544</f>
        <v>159169</v>
      </c>
      <c r="F542" s="166">
        <f>F543+F544</f>
        <v>14229</v>
      </c>
      <c r="G542" s="166">
        <f>G543+G544</f>
        <v>14229</v>
      </c>
    </row>
    <row r="543" spans="1:7" s="167" customFormat="1" ht="26" x14ac:dyDescent="0.3">
      <c r="A543" s="168"/>
      <c r="B543" s="169"/>
      <c r="C543" s="170" t="s">
        <v>572</v>
      </c>
      <c r="D543" s="171"/>
      <c r="E543" s="171">
        <v>144940</v>
      </c>
      <c r="F543" s="171"/>
      <c r="G543" s="171"/>
    </row>
    <row r="544" spans="1:7" s="167" customFormat="1" ht="15.5" x14ac:dyDescent="0.3">
      <c r="A544" s="172"/>
      <c r="B544" s="172"/>
      <c r="C544" s="170" t="s">
        <v>573</v>
      </c>
      <c r="D544" s="173">
        <v>14229</v>
      </c>
      <c r="E544" s="173">
        <v>14229</v>
      </c>
      <c r="F544" s="173">
        <v>14229</v>
      </c>
      <c r="G544" s="173">
        <v>14229</v>
      </c>
    </row>
    <row r="545" spans="1:7" s="167" customFormat="1" ht="26" x14ac:dyDescent="0.3">
      <c r="A545" s="174" t="s">
        <v>331</v>
      </c>
      <c r="B545" s="174" t="s">
        <v>332</v>
      </c>
      <c r="C545" s="165" t="s">
        <v>511</v>
      </c>
      <c r="D545" s="166">
        <f>D546+D547</f>
        <v>210829</v>
      </c>
      <c r="E545" s="166">
        <f>E546+E547</f>
        <v>1249026</v>
      </c>
      <c r="F545" s="166">
        <f>F546+F547</f>
        <v>210829</v>
      </c>
      <c r="G545" s="166">
        <f>G546+G547</f>
        <v>210829</v>
      </c>
    </row>
    <row r="546" spans="1:7" s="167" customFormat="1" ht="26" x14ac:dyDescent="0.3">
      <c r="A546" s="168"/>
      <c r="B546" s="169"/>
      <c r="C546" s="170" t="s">
        <v>572</v>
      </c>
      <c r="D546" s="171"/>
      <c r="E546" s="171">
        <v>1038197</v>
      </c>
      <c r="F546" s="171"/>
      <c r="G546" s="171"/>
    </row>
    <row r="547" spans="1:7" s="167" customFormat="1" ht="15.5" x14ac:dyDescent="0.3">
      <c r="A547" s="172"/>
      <c r="B547" s="172"/>
      <c r="C547" s="170" t="s">
        <v>573</v>
      </c>
      <c r="D547" s="173">
        <v>210829</v>
      </c>
      <c r="E547" s="173">
        <f>181152+29677</f>
        <v>210829</v>
      </c>
      <c r="F547" s="173">
        <v>210829</v>
      </c>
      <c r="G547" s="173">
        <v>210829</v>
      </c>
    </row>
    <row r="548" spans="1:7" s="167" customFormat="1" ht="14" x14ac:dyDescent="0.3">
      <c r="A548" s="174" t="s">
        <v>333</v>
      </c>
      <c r="B548" s="174" t="s">
        <v>334</v>
      </c>
      <c r="C548" s="165" t="s">
        <v>512</v>
      </c>
      <c r="D548" s="166">
        <f>D549+D550</f>
        <v>2557643</v>
      </c>
      <c r="E548" s="166">
        <f>E549+E550</f>
        <v>3155548</v>
      </c>
      <c r="F548" s="166">
        <f>F549+F550</f>
        <v>2115133</v>
      </c>
      <c r="G548" s="166">
        <f>G549+G550</f>
        <v>2115133</v>
      </c>
    </row>
    <row r="549" spans="1:7" s="167" customFormat="1" ht="29.25" customHeight="1" x14ac:dyDescent="0.3">
      <c r="A549" s="168"/>
      <c r="B549" s="169"/>
      <c r="C549" s="170" t="s">
        <v>572</v>
      </c>
      <c r="D549" s="171">
        <v>0</v>
      </c>
      <c r="E549" s="171">
        <v>1040415</v>
      </c>
      <c r="F549" s="171"/>
      <c r="G549" s="171"/>
    </row>
    <row r="550" spans="1:7" s="167" customFormat="1" ht="15.5" x14ac:dyDescent="0.3">
      <c r="A550" s="172"/>
      <c r="B550" s="172"/>
      <c r="C550" s="170" t="s">
        <v>573</v>
      </c>
      <c r="D550" s="173">
        <f>1763711+249106+101407+443419</f>
        <v>2557643</v>
      </c>
      <c r="E550" s="173">
        <f>277580+909+35450+1699787+101407</f>
        <v>2115133</v>
      </c>
      <c r="F550" s="173">
        <f>313030+909+1699787+101407</f>
        <v>2115133</v>
      </c>
      <c r="G550" s="173">
        <f>313030+909+1699787+101407</f>
        <v>2115133</v>
      </c>
    </row>
    <row r="551" spans="1:7" s="167" customFormat="1" ht="14" x14ac:dyDescent="0.3">
      <c r="A551" s="174" t="s">
        <v>335</v>
      </c>
      <c r="B551" s="174" t="s">
        <v>334</v>
      </c>
      <c r="C551" s="165" t="s">
        <v>513</v>
      </c>
      <c r="D551" s="166">
        <f>D552+D553</f>
        <v>20864</v>
      </c>
      <c r="E551" s="166">
        <f>E552+E553</f>
        <v>275045</v>
      </c>
      <c r="F551" s="166">
        <f>F552+F553</f>
        <v>19060</v>
      </c>
      <c r="G551" s="166">
        <f>G552+G553</f>
        <v>19060</v>
      </c>
    </row>
    <row r="552" spans="1:7" s="167" customFormat="1" ht="28.5" customHeight="1" x14ac:dyDescent="0.3">
      <c r="A552" s="168"/>
      <c r="B552" s="169"/>
      <c r="C552" s="170" t="s">
        <v>572</v>
      </c>
      <c r="D552" s="171"/>
      <c r="E552" s="171">
        <v>255985</v>
      </c>
      <c r="F552" s="171"/>
      <c r="G552" s="171"/>
    </row>
    <row r="553" spans="1:7" s="167" customFormat="1" ht="15.5" x14ac:dyDescent="0.3">
      <c r="A553" s="172"/>
      <c r="B553" s="172"/>
      <c r="C553" s="170" t="s">
        <v>573</v>
      </c>
      <c r="D553" s="173">
        <f>3163+17701</f>
        <v>20864</v>
      </c>
      <c r="E553" s="173">
        <f>3163+15897</f>
        <v>19060</v>
      </c>
      <c r="F553" s="173">
        <f t="shared" ref="F553:G553" si="66">3163+15897</f>
        <v>19060</v>
      </c>
      <c r="G553" s="173">
        <f t="shared" si="66"/>
        <v>19060</v>
      </c>
    </row>
    <row r="554" spans="1:7" s="167" customFormat="1" ht="14" x14ac:dyDescent="0.3">
      <c r="A554" s="174" t="s">
        <v>336</v>
      </c>
      <c r="B554" s="164" t="s">
        <v>330</v>
      </c>
      <c r="C554" s="165" t="s">
        <v>514</v>
      </c>
      <c r="D554" s="166">
        <f>D555</f>
        <v>76</v>
      </c>
      <c r="E554" s="166">
        <f t="shared" ref="E554:G554" si="67">E555</f>
        <v>76</v>
      </c>
      <c r="F554" s="166">
        <f t="shared" si="67"/>
        <v>76</v>
      </c>
      <c r="G554" s="166">
        <f t="shared" si="67"/>
        <v>76</v>
      </c>
    </row>
    <row r="555" spans="1:7" s="167" customFormat="1" ht="15.5" x14ac:dyDescent="0.3">
      <c r="A555" s="172"/>
      <c r="B555" s="172"/>
      <c r="C555" s="170" t="s">
        <v>573</v>
      </c>
      <c r="D555" s="173">
        <v>76</v>
      </c>
      <c r="E555" s="173">
        <v>76</v>
      </c>
      <c r="F555" s="173">
        <v>76</v>
      </c>
      <c r="G555" s="173">
        <v>76</v>
      </c>
    </row>
    <row r="556" spans="1:7" s="167" customFormat="1" ht="26" x14ac:dyDescent="0.3">
      <c r="A556" s="174" t="s">
        <v>337</v>
      </c>
      <c r="B556" s="175" t="s">
        <v>338</v>
      </c>
      <c r="C556" s="165" t="s">
        <v>515</v>
      </c>
      <c r="D556" s="166">
        <f>D557+D558</f>
        <v>2486493</v>
      </c>
      <c r="E556" s="166">
        <f t="shared" ref="E556:G556" si="68">E557+E558</f>
        <v>3040811</v>
      </c>
      <c r="F556" s="166">
        <f t="shared" si="68"/>
        <v>1173749</v>
      </c>
      <c r="G556" s="166">
        <f t="shared" si="68"/>
        <v>907871</v>
      </c>
    </row>
    <row r="557" spans="1:7" s="167" customFormat="1" ht="28.5" customHeight="1" x14ac:dyDescent="0.3">
      <c r="A557" s="168"/>
      <c r="B557" s="169"/>
      <c r="C557" s="170" t="s">
        <v>572</v>
      </c>
      <c r="D557" s="171"/>
      <c r="E557" s="171">
        <v>1386127</v>
      </c>
      <c r="F557" s="171"/>
      <c r="G557" s="171"/>
    </row>
    <row r="558" spans="1:7" s="167" customFormat="1" ht="15.5" x14ac:dyDescent="0.3">
      <c r="A558" s="172"/>
      <c r="B558" s="172"/>
      <c r="C558" s="170" t="s">
        <v>573</v>
      </c>
      <c r="D558" s="173">
        <f>873749+612744+1000000</f>
        <v>2486493</v>
      </c>
      <c r="E558" s="173">
        <f>873749+700000+80935</f>
        <v>1654684</v>
      </c>
      <c r="F558" s="173">
        <f>873749+300000</f>
        <v>1173749</v>
      </c>
      <c r="G558" s="173">
        <f>873749+34122</f>
        <v>907871</v>
      </c>
    </row>
    <row r="559" spans="1:7" s="167" customFormat="1" ht="28.5" customHeight="1" x14ac:dyDescent="0.3">
      <c r="A559" s="174" t="s">
        <v>339</v>
      </c>
      <c r="B559" s="176" t="s">
        <v>340</v>
      </c>
      <c r="C559" s="165" t="s">
        <v>516</v>
      </c>
      <c r="D559" s="166">
        <f>D560</f>
        <v>47385</v>
      </c>
      <c r="E559" s="166">
        <f t="shared" ref="E559:G559" si="69">E560</f>
        <v>47385</v>
      </c>
      <c r="F559" s="166">
        <f t="shared" si="69"/>
        <v>47385</v>
      </c>
      <c r="G559" s="166">
        <f t="shared" si="69"/>
        <v>47385</v>
      </c>
    </row>
    <row r="560" spans="1:7" s="167" customFormat="1" ht="15.5" x14ac:dyDescent="0.3">
      <c r="A560" s="172"/>
      <c r="B560" s="172"/>
      <c r="C560" s="170" t="s">
        <v>573</v>
      </c>
      <c r="D560" s="173">
        <f>2117+45268</f>
        <v>47385</v>
      </c>
      <c r="E560" s="173">
        <f>8859+38526</f>
        <v>47385</v>
      </c>
      <c r="F560" s="173">
        <v>47385</v>
      </c>
      <c r="G560" s="173">
        <f>23189+24196</f>
        <v>47385</v>
      </c>
    </row>
    <row r="561" spans="1:7" s="167" customFormat="1" ht="33.75" customHeight="1" x14ac:dyDescent="0.3">
      <c r="A561" s="174" t="s">
        <v>341</v>
      </c>
      <c r="B561" s="176" t="s">
        <v>340</v>
      </c>
      <c r="C561" s="165" t="s">
        <v>517</v>
      </c>
      <c r="D561" s="166">
        <f>D562+D563</f>
        <v>166860</v>
      </c>
      <c r="E561" s="166">
        <f>E562+E563</f>
        <v>513921</v>
      </c>
      <c r="F561" s="166">
        <f>F562+F563</f>
        <v>81860</v>
      </c>
      <c r="G561" s="166">
        <f>G562+G563</f>
        <v>81860</v>
      </c>
    </row>
    <row r="562" spans="1:7" s="167" customFormat="1" ht="28.5" customHeight="1" x14ac:dyDescent="0.3">
      <c r="A562" s="168"/>
      <c r="B562" s="169"/>
      <c r="C562" s="170" t="s">
        <v>572</v>
      </c>
      <c r="D562" s="171"/>
      <c r="E562" s="171">
        <v>432061</v>
      </c>
      <c r="F562" s="171"/>
      <c r="G562" s="171"/>
    </row>
    <row r="563" spans="1:7" s="167" customFormat="1" ht="15.5" x14ac:dyDescent="0.3">
      <c r="A563" s="172"/>
      <c r="B563" s="172"/>
      <c r="C563" s="170" t="s">
        <v>573</v>
      </c>
      <c r="D563" s="173">
        <f>15860+151000</f>
        <v>166860</v>
      </c>
      <c r="E563" s="173">
        <v>81860</v>
      </c>
      <c r="F563" s="173">
        <v>81860</v>
      </c>
      <c r="G563" s="173">
        <v>81860</v>
      </c>
    </row>
    <row r="564" spans="1:7" s="167" customFormat="1" ht="14" x14ac:dyDescent="0.3">
      <c r="A564" s="163" t="s">
        <v>61</v>
      </c>
      <c r="B564" s="164" t="s">
        <v>330</v>
      </c>
      <c r="C564" s="165" t="s">
        <v>518</v>
      </c>
      <c r="D564" s="166">
        <f>D565</f>
        <v>5569</v>
      </c>
      <c r="E564" s="166">
        <f t="shared" ref="E564:G564" si="70">E565</f>
        <v>5569</v>
      </c>
      <c r="F564" s="166">
        <f t="shared" si="70"/>
        <v>5569</v>
      </c>
      <c r="G564" s="166">
        <f t="shared" si="70"/>
        <v>5569</v>
      </c>
    </row>
    <row r="565" spans="1:7" s="167" customFormat="1" ht="17.25" customHeight="1" x14ac:dyDescent="0.3">
      <c r="A565" s="172"/>
      <c r="B565" s="172"/>
      <c r="C565" s="170" t="s">
        <v>573</v>
      </c>
      <c r="D565" s="173">
        <v>5569</v>
      </c>
      <c r="E565" s="173">
        <v>5569</v>
      </c>
      <c r="F565" s="173">
        <v>5569</v>
      </c>
      <c r="G565" s="173">
        <v>5569</v>
      </c>
    </row>
    <row r="566" spans="1:7" ht="45" x14ac:dyDescent="0.35">
      <c r="A566" s="30"/>
      <c r="B566" s="30"/>
      <c r="C566" s="22" t="s">
        <v>21</v>
      </c>
      <c r="D566" s="23">
        <f>D568+D569</f>
        <v>1091803</v>
      </c>
      <c r="E566" s="23">
        <f>E568+E569</f>
        <v>12794672</v>
      </c>
      <c r="F566" s="23">
        <f t="shared" ref="F566:G566" si="71">F568+F569</f>
        <v>4000</v>
      </c>
      <c r="G566" s="23">
        <f t="shared" si="71"/>
        <v>0</v>
      </c>
    </row>
    <row r="567" spans="1:7" x14ac:dyDescent="0.35">
      <c r="A567" s="37"/>
      <c r="B567" s="37"/>
      <c r="C567" s="27" t="s">
        <v>9</v>
      </c>
      <c r="D567" s="44"/>
      <c r="E567" s="44"/>
      <c r="F567" s="44"/>
      <c r="G567" s="44"/>
    </row>
    <row r="568" spans="1:7" ht="26" x14ac:dyDescent="0.35">
      <c r="A568" s="17" t="s">
        <v>140</v>
      </c>
      <c r="B568" s="35" t="s">
        <v>340</v>
      </c>
      <c r="C568" s="18" t="s">
        <v>519</v>
      </c>
      <c r="D568" s="19">
        <v>594159</v>
      </c>
      <c r="E568" s="19">
        <v>12790672</v>
      </c>
      <c r="F568" s="19">
        <v>0</v>
      </c>
      <c r="G568" s="19">
        <v>0</v>
      </c>
    </row>
    <row r="569" spans="1:7" x14ac:dyDescent="0.35">
      <c r="A569" s="17" t="s">
        <v>243</v>
      </c>
      <c r="B569" s="35" t="s">
        <v>340</v>
      </c>
      <c r="C569" s="18" t="s">
        <v>520</v>
      </c>
      <c r="D569" s="19">
        <v>497644</v>
      </c>
      <c r="E569" s="19">
        <v>4000</v>
      </c>
      <c r="F569" s="19">
        <v>4000</v>
      </c>
      <c r="G569" s="19">
        <v>0</v>
      </c>
    </row>
    <row r="570" spans="1:7" ht="15" x14ac:dyDescent="0.35">
      <c r="A570" s="127"/>
      <c r="B570" s="127"/>
      <c r="C570" s="127" t="s">
        <v>342</v>
      </c>
      <c r="D570" s="128">
        <f>D571</f>
        <v>526188</v>
      </c>
      <c r="E570" s="128">
        <f t="shared" ref="E570:G570" si="72">E571</f>
        <v>262891</v>
      </c>
      <c r="F570" s="128">
        <f t="shared" si="72"/>
        <v>80326</v>
      </c>
      <c r="G570" s="128">
        <f t="shared" si="72"/>
        <v>80326</v>
      </c>
    </row>
    <row r="571" spans="1:7" ht="15.5" x14ac:dyDescent="0.35">
      <c r="A571" s="28"/>
      <c r="B571" s="28"/>
      <c r="C571" s="3" t="s">
        <v>10</v>
      </c>
      <c r="D571" s="9">
        <f>D573</f>
        <v>526188</v>
      </c>
      <c r="E571" s="9">
        <f t="shared" ref="E571:G571" si="73">E573</f>
        <v>262891</v>
      </c>
      <c r="F571" s="9">
        <f t="shared" si="73"/>
        <v>80326</v>
      </c>
      <c r="G571" s="9">
        <f t="shared" si="73"/>
        <v>80326</v>
      </c>
    </row>
    <row r="572" spans="1:7" x14ac:dyDescent="0.35">
      <c r="A572" s="84"/>
      <c r="B572" s="84"/>
      <c r="C572" s="2" t="s">
        <v>9</v>
      </c>
      <c r="D572" s="40"/>
      <c r="E572" s="40"/>
      <c r="F572" s="40"/>
      <c r="G572" s="40"/>
    </row>
    <row r="573" spans="1:7" x14ac:dyDescent="0.35">
      <c r="A573" s="6" t="s">
        <v>8</v>
      </c>
      <c r="B573" s="14" t="s">
        <v>328</v>
      </c>
      <c r="C573" s="7" t="s">
        <v>509</v>
      </c>
      <c r="D573" s="11">
        <f>D574+D575+D576+D577+D578+D579</f>
        <v>526188</v>
      </c>
      <c r="E573" s="11">
        <f t="shared" ref="E573:G573" si="74">E574+E575+E576+E577+E578+E579</f>
        <v>262891</v>
      </c>
      <c r="F573" s="11">
        <f t="shared" si="74"/>
        <v>80326</v>
      </c>
      <c r="G573" s="11">
        <f t="shared" si="74"/>
        <v>80326</v>
      </c>
    </row>
    <row r="574" spans="1:7" ht="26" x14ac:dyDescent="0.35">
      <c r="A574" s="84"/>
      <c r="B574" s="84"/>
      <c r="C574" s="8" t="s">
        <v>343</v>
      </c>
      <c r="D574" s="1">
        <v>74814</v>
      </c>
      <c r="E574" s="1">
        <v>0</v>
      </c>
      <c r="F574" s="1">
        <v>0</v>
      </c>
      <c r="G574" s="1">
        <v>0</v>
      </c>
    </row>
    <row r="575" spans="1:7" ht="26" x14ac:dyDescent="0.35">
      <c r="A575" s="84"/>
      <c r="B575" s="84"/>
      <c r="C575" s="8" t="s">
        <v>344</v>
      </c>
      <c r="D575" s="1">
        <v>39500</v>
      </c>
      <c r="E575" s="1">
        <v>0</v>
      </c>
      <c r="F575" s="1">
        <v>0</v>
      </c>
      <c r="G575" s="1">
        <v>0</v>
      </c>
    </row>
    <row r="576" spans="1:7" x14ac:dyDescent="0.35">
      <c r="A576" s="84"/>
      <c r="B576" s="84"/>
      <c r="C576" s="8" t="s">
        <v>345</v>
      </c>
      <c r="D576" s="1">
        <v>150000</v>
      </c>
      <c r="E576" s="1">
        <v>70000</v>
      </c>
      <c r="F576" s="1">
        <v>0</v>
      </c>
      <c r="G576" s="1">
        <v>0</v>
      </c>
    </row>
    <row r="577" spans="1:7" ht="26" x14ac:dyDescent="0.35">
      <c r="A577" s="84"/>
      <c r="B577" s="84"/>
      <c r="C577" s="8" t="s">
        <v>346</v>
      </c>
      <c r="D577" s="1">
        <v>249018</v>
      </c>
      <c r="E577" s="1">
        <v>0</v>
      </c>
      <c r="F577" s="1">
        <v>0</v>
      </c>
      <c r="G577" s="1">
        <v>0</v>
      </c>
    </row>
    <row r="578" spans="1:7" ht="26" x14ac:dyDescent="0.35">
      <c r="A578" s="84"/>
      <c r="B578" s="84"/>
      <c r="C578" s="8" t="s">
        <v>347</v>
      </c>
      <c r="D578" s="1">
        <v>0</v>
      </c>
      <c r="E578" s="1">
        <v>180000</v>
      </c>
      <c r="F578" s="1">
        <v>0</v>
      </c>
      <c r="G578" s="1">
        <v>0</v>
      </c>
    </row>
    <row r="579" spans="1:7" ht="15.5" x14ac:dyDescent="0.35">
      <c r="A579" s="84"/>
      <c r="B579" s="84"/>
      <c r="C579" s="8" t="s">
        <v>365</v>
      </c>
      <c r="D579" s="1">
        <v>12856</v>
      </c>
      <c r="E579" s="1">
        <v>12891</v>
      </c>
      <c r="F579" s="1">
        <v>80326</v>
      </c>
      <c r="G579" s="1">
        <v>80326</v>
      </c>
    </row>
    <row r="580" spans="1:7" ht="15" x14ac:dyDescent="0.35">
      <c r="A580" s="127"/>
      <c r="B580" s="127"/>
      <c r="C580" s="127" t="s">
        <v>348</v>
      </c>
      <c r="D580" s="128">
        <v>579572</v>
      </c>
      <c r="E580" s="128">
        <v>393968</v>
      </c>
      <c r="F580" s="128">
        <v>393968</v>
      </c>
      <c r="G580" s="128">
        <v>393968</v>
      </c>
    </row>
    <row r="581" spans="1:7" ht="15.5" x14ac:dyDescent="0.35">
      <c r="A581" s="28"/>
      <c r="B581" s="28"/>
      <c r="C581" s="3" t="s">
        <v>10</v>
      </c>
      <c r="D581" s="9">
        <v>579572</v>
      </c>
      <c r="E581" s="9">
        <v>393968</v>
      </c>
      <c r="F581" s="9">
        <v>393968</v>
      </c>
      <c r="G581" s="9">
        <v>393968</v>
      </c>
    </row>
    <row r="582" spans="1:7" x14ac:dyDescent="0.35">
      <c r="A582" s="84"/>
      <c r="B582" s="84"/>
      <c r="C582" s="2" t="s">
        <v>9</v>
      </c>
      <c r="D582" s="40"/>
      <c r="E582" s="40"/>
      <c r="F582" s="40"/>
      <c r="G582" s="40"/>
    </row>
    <row r="583" spans="1:7" x14ac:dyDescent="0.35">
      <c r="A583" s="6" t="s">
        <v>8</v>
      </c>
      <c r="B583" s="6" t="s">
        <v>349</v>
      </c>
      <c r="C583" s="7" t="s">
        <v>521</v>
      </c>
      <c r="D583" s="11">
        <v>579572</v>
      </c>
      <c r="E583" s="11">
        <v>393968</v>
      </c>
      <c r="F583" s="11">
        <v>393968</v>
      </c>
      <c r="G583" s="11">
        <v>393968</v>
      </c>
    </row>
    <row r="584" spans="1:7" ht="26" x14ac:dyDescent="0.35">
      <c r="A584" s="84"/>
      <c r="B584" s="84"/>
      <c r="C584" s="8" t="s">
        <v>350</v>
      </c>
      <c r="D584" s="1">
        <v>143716</v>
      </c>
      <c r="E584" s="1">
        <v>0</v>
      </c>
      <c r="F584" s="1">
        <v>0</v>
      </c>
      <c r="G584" s="1">
        <v>0</v>
      </c>
    </row>
    <row r="585" spans="1:7" ht="26" x14ac:dyDescent="0.35">
      <c r="A585" s="84"/>
      <c r="B585" s="84"/>
      <c r="C585" s="8" t="s">
        <v>351</v>
      </c>
      <c r="D585" s="1">
        <v>25953</v>
      </c>
      <c r="E585" s="1">
        <v>0</v>
      </c>
      <c r="F585" s="1">
        <v>0</v>
      </c>
      <c r="G585" s="1">
        <v>0</v>
      </c>
    </row>
    <row r="586" spans="1:7" ht="39" x14ac:dyDescent="0.35">
      <c r="A586" s="84"/>
      <c r="B586" s="84"/>
      <c r="C586" s="8" t="s">
        <v>352</v>
      </c>
      <c r="D586" s="1">
        <v>15935</v>
      </c>
      <c r="E586" s="1">
        <v>0</v>
      </c>
      <c r="F586" s="1">
        <v>0</v>
      </c>
      <c r="G586" s="1">
        <v>0</v>
      </c>
    </row>
    <row r="587" spans="1:7" ht="26" x14ac:dyDescent="0.35">
      <c r="A587" s="84"/>
      <c r="B587" s="84"/>
      <c r="C587" s="8" t="s">
        <v>353</v>
      </c>
      <c r="D587" s="1">
        <v>58288</v>
      </c>
      <c r="E587" s="1">
        <v>58288</v>
      </c>
      <c r="F587" s="1">
        <v>58288</v>
      </c>
      <c r="G587" s="1">
        <v>58288</v>
      </c>
    </row>
    <row r="588" spans="1:7" x14ac:dyDescent="0.35">
      <c r="A588" s="84"/>
      <c r="B588" s="84"/>
      <c r="C588" s="8" t="s">
        <v>29</v>
      </c>
      <c r="D588" s="1">
        <v>335680</v>
      </c>
      <c r="E588" s="1">
        <v>335680</v>
      </c>
      <c r="F588" s="1">
        <v>335680</v>
      </c>
      <c r="G588" s="1">
        <v>335680</v>
      </c>
    </row>
    <row r="589" spans="1:7" ht="15" x14ac:dyDescent="0.35">
      <c r="A589" s="132"/>
      <c r="B589" s="132"/>
      <c r="C589" s="127" t="s">
        <v>409</v>
      </c>
      <c r="D589" s="128">
        <f>D590</f>
        <v>364992</v>
      </c>
      <c r="E589" s="128">
        <f t="shared" ref="E589:G589" si="75">E590</f>
        <v>364992</v>
      </c>
      <c r="F589" s="128">
        <f t="shared" si="75"/>
        <v>546492</v>
      </c>
      <c r="G589" s="128">
        <f t="shared" si="75"/>
        <v>1992</v>
      </c>
    </row>
    <row r="590" spans="1:7" ht="15" x14ac:dyDescent="0.35">
      <c r="A590" s="75"/>
      <c r="B590" s="75"/>
      <c r="C590" s="3" t="s">
        <v>10</v>
      </c>
      <c r="D590" s="9">
        <f>D593+D594</f>
        <v>364992</v>
      </c>
      <c r="E590" s="9">
        <f t="shared" ref="E590:G590" si="76">E593+E594</f>
        <v>364992</v>
      </c>
      <c r="F590" s="9">
        <f t="shared" si="76"/>
        <v>546492</v>
      </c>
      <c r="G590" s="9">
        <f t="shared" si="76"/>
        <v>1992</v>
      </c>
    </row>
    <row r="591" spans="1:7" ht="15" x14ac:dyDescent="0.35">
      <c r="A591" s="76"/>
      <c r="B591" s="76"/>
      <c r="C591" s="2" t="s">
        <v>9</v>
      </c>
      <c r="D591" s="79"/>
      <c r="E591" s="79"/>
      <c r="F591" s="79"/>
      <c r="G591" s="79"/>
    </row>
    <row r="592" spans="1:7" x14ac:dyDescent="0.35">
      <c r="A592" s="6" t="s">
        <v>8</v>
      </c>
      <c r="B592" s="6" t="s">
        <v>410</v>
      </c>
      <c r="C592" s="7" t="s">
        <v>522</v>
      </c>
      <c r="D592" s="11">
        <f>D593+D594</f>
        <v>364992</v>
      </c>
      <c r="E592" s="11">
        <f t="shared" ref="E592:G592" si="77">E593+E594</f>
        <v>364992</v>
      </c>
      <c r="F592" s="11">
        <f t="shared" si="77"/>
        <v>546492</v>
      </c>
      <c r="G592" s="11">
        <f t="shared" si="77"/>
        <v>1992</v>
      </c>
    </row>
    <row r="593" spans="1:7" x14ac:dyDescent="0.35">
      <c r="A593" s="76"/>
      <c r="B593" s="76"/>
      <c r="C593" s="8" t="s">
        <v>411</v>
      </c>
      <c r="D593" s="1">
        <v>363000</v>
      </c>
      <c r="E593" s="1">
        <v>363000</v>
      </c>
      <c r="F593" s="1">
        <v>544500</v>
      </c>
      <c r="G593" s="1">
        <v>0</v>
      </c>
    </row>
    <row r="594" spans="1:7" ht="15.5" x14ac:dyDescent="0.35">
      <c r="A594" s="76"/>
      <c r="B594" s="76"/>
      <c r="C594" s="8" t="s">
        <v>365</v>
      </c>
      <c r="D594" s="1">
        <v>1992</v>
      </c>
      <c r="E594" s="1">
        <v>1992</v>
      </c>
      <c r="F594" s="1">
        <v>1992</v>
      </c>
      <c r="G594" s="1">
        <v>1992</v>
      </c>
    </row>
    <row r="595" spans="1:7" ht="15.5" x14ac:dyDescent="0.35">
      <c r="A595" s="143"/>
      <c r="B595" s="129"/>
      <c r="C595" s="130" t="s">
        <v>412</v>
      </c>
      <c r="D595" s="131">
        <v>0</v>
      </c>
      <c r="E595" s="131">
        <v>6600</v>
      </c>
      <c r="F595" s="131">
        <v>6600</v>
      </c>
      <c r="G595" s="131">
        <v>6600</v>
      </c>
    </row>
    <row r="596" spans="1:7" ht="15" x14ac:dyDescent="0.35">
      <c r="A596" s="70"/>
      <c r="B596" s="70"/>
      <c r="C596" s="29" t="s">
        <v>10</v>
      </c>
      <c r="D596" s="67">
        <v>0</v>
      </c>
      <c r="E596" s="67">
        <v>6600</v>
      </c>
      <c r="F596" s="67">
        <v>6600</v>
      </c>
      <c r="G596" s="67">
        <v>6600</v>
      </c>
    </row>
    <row r="597" spans="1:7" ht="15" x14ac:dyDescent="0.35">
      <c r="A597" s="71"/>
      <c r="B597" s="71"/>
      <c r="C597" s="2" t="s">
        <v>9</v>
      </c>
      <c r="D597" s="79"/>
      <c r="E597" s="79"/>
      <c r="F597" s="79"/>
      <c r="G597" s="79"/>
    </row>
    <row r="598" spans="1:7" ht="26" x14ac:dyDescent="0.35">
      <c r="A598" s="31" t="s">
        <v>8</v>
      </c>
      <c r="B598" s="31" t="s">
        <v>354</v>
      </c>
      <c r="C598" s="32" t="s">
        <v>523</v>
      </c>
      <c r="D598" s="43">
        <v>0</v>
      </c>
      <c r="E598" s="43">
        <v>6600</v>
      </c>
      <c r="F598" s="43">
        <v>6600</v>
      </c>
      <c r="G598" s="43">
        <v>6600</v>
      </c>
    </row>
    <row r="599" spans="1:7" x14ac:dyDescent="0.35">
      <c r="A599" s="71"/>
      <c r="B599" s="71"/>
      <c r="C599" s="8" t="s">
        <v>558</v>
      </c>
      <c r="D599" s="1">
        <v>0</v>
      </c>
      <c r="E599" s="1">
        <v>6600</v>
      </c>
      <c r="F599" s="1">
        <v>6600</v>
      </c>
      <c r="G599" s="1">
        <v>6600</v>
      </c>
    </row>
    <row r="600" spans="1:7" ht="15" x14ac:dyDescent="0.35">
      <c r="A600" s="127"/>
      <c r="B600" s="127"/>
      <c r="C600" s="127" t="s">
        <v>526</v>
      </c>
      <c r="D600" s="128">
        <v>4423</v>
      </c>
      <c r="E600" s="128">
        <v>4423</v>
      </c>
      <c r="F600" s="128">
        <v>4423</v>
      </c>
      <c r="G600" s="128">
        <v>4423</v>
      </c>
    </row>
    <row r="601" spans="1:7" ht="15.5" x14ac:dyDescent="0.35">
      <c r="A601" s="28"/>
      <c r="B601" s="28"/>
      <c r="C601" s="3" t="s">
        <v>10</v>
      </c>
      <c r="D601" s="9">
        <v>4423</v>
      </c>
      <c r="E601" s="9">
        <v>4423</v>
      </c>
      <c r="F601" s="9">
        <v>4423</v>
      </c>
      <c r="G601" s="9">
        <v>4423</v>
      </c>
    </row>
    <row r="602" spans="1:7" x14ac:dyDescent="0.35">
      <c r="A602" s="84"/>
      <c r="B602" s="84"/>
      <c r="C602" s="2" t="s">
        <v>9</v>
      </c>
      <c r="D602" s="40"/>
      <c r="E602" s="40"/>
      <c r="F602" s="40"/>
      <c r="G602" s="40"/>
    </row>
    <row r="603" spans="1:7" x14ac:dyDescent="0.35">
      <c r="A603" s="6" t="s">
        <v>8</v>
      </c>
      <c r="B603" s="6" t="s">
        <v>354</v>
      </c>
      <c r="C603" s="7" t="s">
        <v>355</v>
      </c>
      <c r="D603" s="11">
        <v>4423</v>
      </c>
      <c r="E603" s="11">
        <v>4423</v>
      </c>
      <c r="F603" s="11">
        <v>4423</v>
      </c>
      <c r="G603" s="11">
        <v>4423</v>
      </c>
    </row>
    <row r="605" spans="1:7" s="181" customFormat="1" x14ac:dyDescent="0.35">
      <c r="A605" s="180" t="s">
        <v>584</v>
      </c>
      <c r="B605" s="180"/>
      <c r="C605" s="180"/>
      <c r="D605" s="180"/>
      <c r="E605" s="180"/>
      <c r="F605" s="180"/>
      <c r="G605" s="180"/>
    </row>
  </sheetData>
  <mergeCells count="3">
    <mergeCell ref="A150:B150"/>
    <mergeCell ref="A3:G3"/>
    <mergeCell ref="A1:G1"/>
  </mergeCells>
  <phoneticPr fontId="9" type="noConversion"/>
  <pageMargins left="0.70866141732283472" right="0.70866141732283472" top="0.74803149606299213" bottom="0.74803149606299213" header="0.31496062992125984" footer="0.31496062992125984"/>
  <pageSetup paperSize="9" scale="82" firstPageNumber="894" fitToHeight="0" orientation="landscape" useFirstPageNumber="1" r:id="rId1"/>
  <headerFooter differentFirst="1">
    <oddHeader>&amp;C&amp;"Times New Roman,Regular"&amp;12&amp;P</oddHeader>
    <oddFooter>&amp;L&amp;"Times New Roman,Regular"&amp;F</oddFooter>
    <firstHeader>&amp;C&amp;"Times New Roman,Regular"&amp;12&amp;P</first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investicijas</vt:lpstr>
      <vt:lpstr>investicijas!_Hlk83731208</vt:lpstr>
      <vt:lpstr>investicijas!Print_Titles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Likumprojekta "Par valsts budžetu 2022. gadam" paskaidrojumi. 5.4. nodaļa Pielikumi. Likumprojektā  "Par valsts budžetu 2022.gadam" plānotie izdevumi investīcijām</dc:title>
  <dc:subject>Paskaidrojuma raksts</dc:subject>
  <dc:creator>kristaps.riekstins@fm.gov.lv</dc:creator>
  <dc:description>67095429, kristaps.riekstins@fm.gov.lv;</dc:description>
  <cp:lastModifiedBy>Dace Godiņa</cp:lastModifiedBy>
  <cp:lastPrinted>2021-10-07T13:24:46Z</cp:lastPrinted>
  <dcterms:created xsi:type="dcterms:W3CDTF">2021-10-03T13:53:33Z</dcterms:created>
  <dcterms:modified xsi:type="dcterms:W3CDTF">2021-10-10T10:08:01Z</dcterms:modified>
</cp:coreProperties>
</file>