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hidePivotFieldList="1"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1/LNG_2021/SM_izevumi par transportu_LNG/IESNIEGTIE DOKUMENTI/"/>
    </mc:Choice>
  </mc:AlternateContent>
  <xr:revisionPtr revIDLastSave="3" documentId="13_ncr:1_{AB3E7F29-9C0D-418E-8782-5C3C114C3810}" xr6:coauthVersionLast="47" xr6:coauthVersionMax="47" xr10:uidLastSave="{40053C74-5DA2-489D-B22B-25DD42812C24}"/>
  <bookViews>
    <workbookView minimized="1" xWindow="3980" yWindow="3180" windowWidth="14400" windowHeight="7360" activeTab="4" xr2:uid="{7EC9B69B-BD36-4D60-B55F-35F41D639EF9}"/>
  </bookViews>
  <sheets>
    <sheet name="marts" sheetId="2" r:id="rId1"/>
    <sheet name="aprīlis" sheetId="3" r:id="rId2"/>
    <sheet name="maijs" sheetId="4" r:id="rId3"/>
    <sheet name="jūnijs" sheetId="5" r:id="rId4"/>
    <sheet name="Pivot_apkopojums" sheetId="8" r:id="rId5"/>
    <sheet name="PIVOT" sheetId="7" r:id="rId6"/>
    <sheet name="atskaites_jedox" sheetId="6" state="hidden" r:id="rId7"/>
  </sheets>
  <definedNames>
    <definedName name="_palopasteviewstyle" hidden="1">"White"</definedName>
    <definedName name="_xlnm.Print_Area" localSheetId="1">aprīlis!$A$1:$G$37</definedName>
    <definedName name="_xlnm.Print_Area" localSheetId="3">jūnijs!$A$1:$G$37</definedName>
    <definedName name="_xlnm.Print_Area" localSheetId="2">maijs!$A$1:$G$37</definedName>
    <definedName name="_xlnm.Print_Area" localSheetId="0">marts!$A$1:$G$37</definedName>
  </definedNames>
  <calcPr calcId="191029"/>
  <pivotCaches>
    <pivotCache cacheId="1"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 i="6" l="1"/>
  <c r="AL7" i="6"/>
  <c r="E2" i="6"/>
  <c r="M7" i="6"/>
  <c r="L6" i="6"/>
  <c r="G6" i="6"/>
  <c r="AD6" i="6"/>
  <c r="D3" i="6"/>
  <c r="E6" i="6"/>
  <c r="D2" i="6"/>
  <c r="L7" i="6"/>
  <c r="C7" i="6"/>
  <c r="T7" i="6"/>
  <c r="E3" i="6"/>
  <c r="M6" i="6"/>
  <c r="J7" i="6"/>
  <c r="AL6" i="6"/>
  <c r="S6" i="6"/>
  <c r="T6" i="6"/>
  <c r="U7" i="6"/>
  <c r="F3" i="6"/>
  <c r="J6" i="6"/>
  <c r="V7" i="6"/>
  <c r="W6" i="6"/>
  <c r="O7" i="6"/>
  <c r="Y7" i="6"/>
  <c r="AI6" i="6"/>
  <c r="AJ7" i="6"/>
  <c r="AC6" i="6"/>
  <c r="G2" i="6"/>
  <c r="AK7" i="6"/>
  <c r="Z6" i="6"/>
  <c r="F7" i="6"/>
  <c r="I6" i="6"/>
  <c r="P7" i="6"/>
  <c r="AH7" i="6"/>
  <c r="I7" i="6"/>
  <c r="AA7" i="6"/>
  <c r="P6" i="6"/>
  <c r="I2" i="6"/>
  <c r="G7" i="6"/>
  <c r="I3" i="6"/>
  <c r="N7" i="6"/>
  <c r="F2" i="6"/>
  <c r="Q6" i="6"/>
  <c r="X7" i="6"/>
  <c r="F6" i="6"/>
  <c r="Q7" i="6"/>
  <c r="K6" i="6"/>
  <c r="H6" i="6"/>
  <c r="AK6" i="6"/>
  <c r="AE7" i="6"/>
  <c r="H2" i="6"/>
  <c r="AH6" i="6"/>
  <c r="AE6" i="6"/>
  <c r="AJ6" i="6"/>
  <c r="H7" i="6"/>
  <c r="Z7" i="6"/>
  <c r="B8" i="6"/>
  <c r="S7" i="6"/>
  <c r="X6" i="6"/>
  <c r="J3" i="6"/>
  <c r="N6" i="6"/>
  <c r="AF7" i="6"/>
  <c r="Y6" i="6"/>
  <c r="G3" i="6"/>
  <c r="AA6" i="6"/>
  <c r="AD7" i="6"/>
  <c r="AG6" i="6"/>
  <c r="E7" i="6"/>
  <c r="D6" i="6"/>
  <c r="W7" i="6"/>
  <c r="V6" i="6"/>
  <c r="O6" i="6"/>
  <c r="AG7" i="6"/>
  <c r="AF6" i="6"/>
  <c r="D7" i="6"/>
  <c r="K7" i="6"/>
  <c r="AB7" i="6"/>
  <c r="C6" i="6"/>
  <c r="U6" i="6"/>
  <c r="R7" i="6"/>
  <c r="J2" i="6"/>
  <c r="H3" i="6"/>
  <c r="AB6" i="6"/>
  <c r="AB8" i="6" s="1"/>
  <c r="AC7" i="6"/>
  <c r="AI7" i="6"/>
  <c r="R6" i="6"/>
  <c r="R8" i="6" s="1"/>
  <c r="AJ8" i="6"/>
  <c r="AE8" i="6"/>
  <c r="AH8" i="6"/>
  <c r="AK8" i="6"/>
  <c r="H8" i="6"/>
  <c r="F8" i="6"/>
  <c r="Q8" i="6"/>
  <c r="J8" i="6"/>
  <c r="P8" i="6"/>
  <c r="I8" i="6"/>
  <c r="AL8" i="6"/>
  <c r="Z8" i="6"/>
  <c r="AD8" i="6"/>
  <c r="AC8" i="6"/>
  <c r="W8" i="6"/>
  <c r="T8" i="6"/>
  <c r="M8" i="6"/>
  <c r="E8" i="6"/>
  <c r="L8" i="6"/>
  <c r="Y8" i="6"/>
  <c r="N8" i="6"/>
  <c r="X8" i="6"/>
  <c r="U8" i="6"/>
  <c r="C8" i="6"/>
  <c r="AF8" i="6"/>
  <c r="O8" i="6"/>
  <c r="V8" i="6"/>
  <c r="D8" i="6"/>
  <c r="AG8" i="6"/>
  <c r="H37" i="5" l="1"/>
  <c r="H36" i="5"/>
  <c r="H35" i="5"/>
  <c r="H34" i="5"/>
  <c r="H13" i="5"/>
  <c r="H10" i="5"/>
  <c r="H37" i="4"/>
  <c r="H36" i="4"/>
  <c r="H35" i="4"/>
  <c r="H34" i="4"/>
  <c r="H10" i="4"/>
  <c r="H36" i="3"/>
  <c r="H35" i="3"/>
  <c r="H34" i="3"/>
  <c r="H13" i="3"/>
  <c r="H10" i="3"/>
  <c r="H37" i="2"/>
  <c r="H36" i="2"/>
  <c r="H35" i="2"/>
  <c r="H13" i="2"/>
  <c r="H10" i="2"/>
  <c r="G33" i="5"/>
  <c r="F33" i="5"/>
  <c r="E33" i="5"/>
  <c r="D33" i="5"/>
  <c r="G14" i="5"/>
  <c r="F14" i="5"/>
  <c r="E14" i="5"/>
  <c r="D14" i="5"/>
  <c r="G10" i="5"/>
  <c r="F10" i="5"/>
  <c r="E10" i="5"/>
  <c r="D10" i="5"/>
  <c r="J35" i="5" s="1"/>
  <c r="G6" i="5"/>
  <c r="F6" i="5"/>
  <c r="E6" i="5"/>
  <c r="D6" i="5"/>
  <c r="G3" i="5"/>
  <c r="F3" i="5"/>
  <c r="E3" i="5"/>
  <c r="D3" i="5"/>
  <c r="AI8" i="6"/>
  <c r="S8" i="6"/>
  <c r="G8" i="6"/>
  <c r="AA8" i="6"/>
  <c r="K8" i="6"/>
  <c r="H34" i="2" l="1"/>
  <c r="H13" i="4"/>
  <c r="H37" i="3"/>
  <c r="G33" i="4"/>
  <c r="F33" i="4"/>
  <c r="E33" i="4"/>
  <c r="D33" i="4"/>
  <c r="G14" i="4"/>
  <c r="F14" i="4"/>
  <c r="E14" i="4"/>
  <c r="D14" i="4"/>
  <c r="G10" i="4"/>
  <c r="F10" i="4"/>
  <c r="E10" i="4"/>
  <c r="D10" i="4"/>
  <c r="D3" i="4" s="1"/>
  <c r="G6" i="4"/>
  <c r="F6" i="4"/>
  <c r="E6" i="4"/>
  <c r="D6" i="4"/>
  <c r="G3" i="4"/>
  <c r="F3" i="4"/>
  <c r="E3" i="4"/>
  <c r="G33" i="3" l="1"/>
  <c r="F33" i="3"/>
  <c r="E33" i="3"/>
  <c r="D33" i="3"/>
  <c r="G14" i="3"/>
  <c r="F14" i="3"/>
  <c r="E14" i="3"/>
  <c r="D14" i="3"/>
  <c r="G10" i="3"/>
  <c r="F10" i="3"/>
  <c r="E10" i="3"/>
  <c r="E3" i="3" s="1"/>
  <c r="D10" i="3"/>
  <c r="I35" i="3" s="1"/>
  <c r="G6" i="3"/>
  <c r="F6" i="3"/>
  <c r="E6" i="3"/>
  <c r="D6" i="3"/>
  <c r="G3" i="3"/>
  <c r="F3" i="3"/>
  <c r="D3" i="3" l="1"/>
  <c r="D14" i="2"/>
  <c r="D10" i="2" l="1"/>
  <c r="I35" i="2" s="1"/>
  <c r="G33" i="2"/>
  <c r="F33" i="2"/>
  <c r="E33" i="2"/>
  <c r="D33" i="2"/>
  <c r="E14" i="2"/>
  <c r="F14" i="2"/>
  <c r="G14" i="2"/>
  <c r="E10" i="2"/>
  <c r="E3" i="2" s="1"/>
  <c r="F10" i="2"/>
  <c r="F3" i="2" s="1"/>
  <c r="G10" i="2"/>
  <c r="G3" i="2" s="1"/>
  <c r="E6" i="2"/>
  <c r="F6" i="2"/>
  <c r="G6" i="2"/>
  <c r="D6" i="2" l="1"/>
  <c r="D3" i="2" l="1"/>
</calcChain>
</file>

<file path=xl/sharedStrings.xml><?xml version="1.0" encoding="utf-8"?>
<sst xmlns="http://schemas.openxmlformats.org/spreadsheetml/2006/main" count="1013" uniqueCount="115">
  <si>
    <t>Dezinfekcijas līdzekļi</t>
  </si>
  <si>
    <t>Autobusi</t>
  </si>
  <si>
    <t>Tramvaji</t>
  </si>
  <si>
    <t>Trolejbusi</t>
  </si>
  <si>
    <t xml:space="preserve">Periods </t>
  </si>
  <si>
    <t xml:space="preserve">Vienības </t>
  </si>
  <si>
    <t>skaits</t>
  </si>
  <si>
    <t>09.03.2021.- 31.03.2021.</t>
  </si>
  <si>
    <t>km</t>
  </si>
  <si>
    <t>EUR/km</t>
  </si>
  <si>
    <t>Informāciju aizpilda katra pašvaldība par pārvadājumu veidiem, kādi ir noteikti attiecīgā pilsētā</t>
  </si>
  <si>
    <t>Minibusi (ekspresbusi)</t>
  </si>
  <si>
    <t xml:space="preserve">Iesaistīto transportlīdzekļu vienības </t>
  </si>
  <si>
    <t>Sejas maskas</t>
  </si>
  <si>
    <t>Citi izdevumi (norādīt kādi)</t>
  </si>
  <si>
    <t>01.03.2021.-31.03.2021.</t>
  </si>
  <si>
    <t>1.SADAĻA</t>
  </si>
  <si>
    <t>2.SADAĻA</t>
  </si>
  <si>
    <t>1.SADAĻĀ tiek aprēķināti faktiskie izdevumi, kas radušies saistībā ar atcelto reisu vai/un papildu reisu nodrošināšanu sakarā ar pakalpojuma apjoma ierobežošanu un 50% pasažieru piepildījuma noteikšanu</t>
  </si>
  <si>
    <t xml:space="preserve">Sociālā distancēšanās sabiedriskā transportā </t>
  </si>
  <si>
    <t>Paskaidrojumi</t>
  </si>
  <si>
    <t xml:space="preserve">2.SADAĻĀ nosakāmi kopējie izdevumi par Covid-19 infekcijas ierobežošanas pasākumiem, kas izpildāmi atbilstoši MK 09.06.2020. noteikumiem Nr.360; MK 06.11.2020. rīkojumam Nr.655 </t>
  </si>
  <si>
    <r>
      <rPr>
        <u/>
        <sz val="11"/>
        <rFont val="Times New Roman"/>
        <family val="1"/>
        <charset val="186"/>
      </rPr>
      <t>Dezinfekcijas līdzekļi</t>
    </r>
    <r>
      <rPr>
        <sz val="11"/>
        <rFont val="Times New Roman"/>
        <family val="1"/>
        <charset val="186"/>
      </rPr>
      <t xml:space="preserve"> - roku higiēnai  šķidrās ziepes un roku susināšanas līdzekļi vai spirtu saturoši roku dezinfekcijas līdzekļi (kas satur vismaz 70 % etanola) - MK noteikumu Nr.360 7.1.punkts</t>
    </r>
  </si>
  <si>
    <r>
      <rPr>
        <u/>
        <sz val="11"/>
        <rFont val="Times New Roman"/>
        <family val="1"/>
        <charset val="186"/>
      </rPr>
      <t>Transportlīdzekļu dezinfekcija</t>
    </r>
    <r>
      <rPr>
        <sz val="11"/>
        <rFont val="Times New Roman"/>
        <family val="1"/>
        <charset val="186"/>
      </rPr>
      <t xml:space="preserve"> -  regulāra saimnieciskā vai publiskā pakalpojuma nodrošināšanai izmantotā transportlīdzekļa salona un kabīnes virsmu dezinfekcija - MK noteikumu Nr.360 7.5.punkts</t>
    </r>
  </si>
  <si>
    <t>Transportlīdzekļu dezinfekcija, to starpā darba spēka izmaksas</t>
  </si>
  <si>
    <t>Transportlīdzekļu papildu mazgāšana</t>
  </si>
  <si>
    <t>Transportlīdzekļu papildu mazgāšana, to starpā darba spēka izmaksas</t>
  </si>
  <si>
    <r>
      <rPr>
        <u/>
        <sz val="11"/>
        <rFont val="Times New Roman"/>
        <family val="1"/>
        <charset val="186"/>
      </rPr>
      <t>Sejas maskas</t>
    </r>
    <r>
      <rPr>
        <sz val="11"/>
        <rFont val="Times New Roman"/>
        <family val="1"/>
        <charset val="186"/>
      </rPr>
      <t xml:space="preserve"> - sabiedriskajā transportlīdzeklī, ar kuru veic pasažieru komercpārvadājumus, transportlīdzekļa vadītāji, kuri nav atdalīti ar fizisku barjeru no pasažieriem, kā arī pasažieri, lieto mutes un deguna aizsegus - MK noteikumu Nr.360 6.3.</t>
    </r>
    <r>
      <rPr>
        <vertAlign val="superscript"/>
        <sz val="11"/>
        <rFont val="Times New Roman"/>
        <family val="1"/>
        <charset val="186"/>
      </rPr>
      <t>1</t>
    </r>
    <r>
      <rPr>
        <sz val="11"/>
        <rFont val="Times New Roman"/>
        <family val="1"/>
        <charset val="186"/>
      </rPr>
      <t>punkts</t>
    </r>
  </si>
  <si>
    <r>
      <rPr>
        <u/>
        <sz val="11"/>
        <rFont val="Times New Roman"/>
        <family val="1"/>
        <charset val="186"/>
      </rPr>
      <t xml:space="preserve">Transportlīdzekļu papildu mazgāšana </t>
    </r>
    <r>
      <rPr>
        <sz val="11"/>
        <rFont val="Times New Roman"/>
        <family val="1"/>
        <charset val="186"/>
      </rPr>
      <t>- veic regulāru telpu un virsmu, tai skaitā inventāra un darba aprīkojuma, tīrīšanu un dezinfekciju, īpašu uzmanību pievēršot virsmām un priekšmetiem, ar kuriem cilvēki bieži saskaras (piemēram, durvju rokturi, galdu virsmas, krēslu roku balsti, virsmas tualetēs, krāni) - MK noteikumu Nr.360 7.4.punkts.</t>
    </r>
  </si>
  <si>
    <t xml:space="preserve">skaits (jānorāda atbilstoša mērvienība gab., litri, reižu skaits, darba stundas u.c.) </t>
  </si>
  <si>
    <t xml:space="preserve">Pašvaldībai ir pienākums pārliecināties par izmaksu pamatotību, to apjomu vai attiecināto apmēru. </t>
  </si>
  <si>
    <t>Tabulā iekļauj norādītajā laika periodā radušās pamatotās izmaksas, kas attiecināmas uz sabiedriskā transporta pakalpojuma izpildē noteiktajiem drošības pasākumiem Covid-19 infekcijas izplatības ierobežošanai.</t>
  </si>
  <si>
    <t>to starpā uzlīmes</t>
  </si>
  <si>
    <t>to starpā norobežojošā lenta</t>
  </si>
  <si>
    <t>EUR/vien bez PVN</t>
  </si>
  <si>
    <t>3.SADAĻA</t>
  </si>
  <si>
    <t>09.03.2021.-31.03.2021.</t>
  </si>
  <si>
    <t>09.03.2019.-31.03.2019.</t>
  </si>
  <si>
    <t>EUR bez PVN</t>
  </si>
  <si>
    <t>3.SADAĻĀ nosakāma kopējā ietekme uz ieņēmumu apgrozījumu, ko radījusi Covid-19 infekcijas apkarošanā radītā iedzīvotāju mobilitātes ierobežošana, pakalpojuma apjoma ierobežošana, kā arī citi ārkārtējās situācijas laikā un pēc tās noteiktie ierobežojumi atsevišķām nozarēm</t>
  </si>
  <si>
    <r>
      <rPr>
        <u/>
        <sz val="11"/>
        <rFont val="Times New Roman"/>
        <family val="1"/>
        <charset val="186"/>
      </rPr>
      <t>1 km pašizmaksa</t>
    </r>
    <r>
      <rPr>
        <sz val="11"/>
        <rFont val="Times New Roman"/>
        <family val="1"/>
        <charset val="186"/>
      </rPr>
      <t xml:space="preserve"> - atbilstoši MK 28.07.2015. noteikumu Nr.435 3.pielikumā norādītās izmaksas, izņemot šajā tabulā 2.sadaļas izmaksas par Covid-19 pandēmijas ierobežošanas pasākumiem, dalītas ar faktisko nobraukumu</t>
    </r>
  </si>
  <si>
    <r>
      <rPr>
        <u/>
        <sz val="11"/>
        <rFont val="Times New Roman"/>
        <family val="1"/>
        <charset val="186"/>
      </rPr>
      <t>Sociālā distancēšanās sabiedriskā transportā</t>
    </r>
    <r>
      <rPr>
        <sz val="11"/>
        <rFont val="Times New Roman"/>
        <family val="1"/>
        <charset val="186"/>
      </rPr>
      <t xml:space="preserve"> - sabiedriskā transporta pārvadātājam organizēt iekāpšanu un izkāpšanu tā, lai pasažieru skaits transportīdzeklī nepārsniedz 50 % no tā ietilpības. Ja transportlīdzeklī tā specifikas dēļ nav iespējams kontrolēt pasažieru iekāpšanu un izkāpšanu, transportlīdzeklī tiek marķētas sēdvietas, nodrošinot distancēšanās prasību ievērošanu - MK rīkojuma Nr.655 5.42.punkts. Ar minētajām izmaksām saprot sēdvietu marķēšanu, dažādu tam nepieciešamo materiālu izmaksas, piktogrammu vai informācijas izvietošanu. </t>
    </r>
  </si>
  <si>
    <r>
      <rPr>
        <u/>
        <sz val="11"/>
        <rFont val="Times New Roman"/>
        <family val="1"/>
        <charset val="186"/>
      </rPr>
      <t>Citi izdevumi</t>
    </r>
    <r>
      <rPr>
        <sz val="11"/>
        <rFont val="Times New Roman"/>
        <family val="1"/>
        <charset val="186"/>
      </rPr>
      <t xml:space="preserve"> - minētajā rindā norādāmas pamatotās izmaksas, kas nepieciešamas Covid-19 infekcijas izplatības ierobežošanai, to starpā var būt citi materiāli, piemēram, cimdi, mitrās salvetes, atbilstoši MK noteikumu Nr.360 5.punktā noteiktās informācijas izplatīšanas izmaksas, u.c. izmaksas.</t>
    </r>
  </si>
  <si>
    <r>
      <rPr>
        <u/>
        <sz val="11"/>
        <rFont val="Times New Roman"/>
        <family val="1"/>
        <charset val="186"/>
      </rPr>
      <t>No pasažieriem, t.sk., personām, kurām noteikti pašvaldības noteiktie braukšanas maksas atvieglojumi, saņemtie ieņēmumi</t>
    </r>
    <r>
      <rPr>
        <sz val="11"/>
        <rFont val="Times New Roman"/>
        <family val="1"/>
        <charset val="186"/>
      </rPr>
      <t xml:space="preserve"> - norāda ieņēmumi no pārdotajām biļetēm un abonementa biļetēm, kurus pārvadātājs saņem no pasažiera. Norāda arī ieņēmumu daļu, ko maksā pasažieris, ja tam pašvaldība ir noteikusi braukšanas maksas atvieglojumus. </t>
    </r>
  </si>
  <si>
    <t xml:space="preserve">(A) No pasažieriem, t.sk., personām, kurām noteikti pašvaldības noteiktie braukšanas maksas atvieglojumi, saņemtie ieņēmumi par sniegto sabiedriskā transporta pakalpojumu </t>
  </si>
  <si>
    <t xml:space="preserve">(C) No pasažieriem, t.sk., personām, kurām noteikti pašvaldības noteiktie braukšanas maksas atvieglojumi, saņemtie ieņēmumi par sniegto sabiedriskā transporta pakalpojumu </t>
  </si>
  <si>
    <t xml:space="preserve">(D) Faktiskais nobraukums </t>
  </si>
  <si>
    <t xml:space="preserve">(Z) Pakalpojumi, pasākumi un materiāli Covid-19 pandēmijas ierobežošanai </t>
  </si>
  <si>
    <t xml:space="preserve">(K) Faktiskās izmaksas Covid-19 pandēmijas ierobežošanai, t.sk. </t>
  </si>
  <si>
    <t>KOPSUMMA (1 vienības cenas reizinājums ar preču/pakalpojumu skaitu; summa ( K x Z))</t>
  </si>
  <si>
    <t xml:space="preserve">(P) Plānotais nobraukums </t>
  </si>
  <si>
    <t xml:space="preserve">(Izm) 1 km pašizmaksa </t>
  </si>
  <si>
    <t>to starpā papildu reisi (RP)</t>
  </si>
  <si>
    <t>to starpā atceltie reisi (RA)</t>
  </si>
  <si>
    <t>to starpā papildu reisos veiktais nobraukums (NP)</t>
  </si>
  <si>
    <t>to starpā atcelto reisu nobraukums (NA)</t>
  </si>
  <si>
    <t>(S) Plānotais reisu skaits</t>
  </si>
  <si>
    <t xml:space="preserve">(R) Faktiskais reisu skaits (S + RP-RA) </t>
  </si>
  <si>
    <t>(N) Faktiskais nobraukums (P + NP-NA)</t>
  </si>
  <si>
    <t>KOPSUMMA ((N - P) x Izm)</t>
  </si>
  <si>
    <t xml:space="preserve">(N) Faktiskais nobraukums </t>
  </si>
  <si>
    <t>KOPSUMMA ((C/D-A/N) x N)</t>
  </si>
  <si>
    <r>
      <t xml:space="preserve">Pašvaldības atbildīgās personas vārds, uzvārds, kontaktinformācija un paraksts </t>
    </r>
    <r>
      <rPr>
        <sz val="11"/>
        <color theme="0" tint="-0.499984740745262"/>
        <rFont val="Times New Roman"/>
        <family val="1"/>
        <charset val="186"/>
      </rPr>
      <t>(ja dokuments nav parakstīts ar elektroniski)</t>
    </r>
  </si>
  <si>
    <t>to starpā uzlīmes (gab)</t>
  </si>
  <si>
    <t>Dezinfekcijas līdzekļi (gab)</t>
  </si>
  <si>
    <t>Sejas maskas (gab)</t>
  </si>
  <si>
    <t>to starpā norobežojošā lenta (gab)</t>
  </si>
  <si>
    <t>Transportlīdzekļu dezinfekcija (reizes)</t>
  </si>
  <si>
    <r>
      <rPr>
        <b/>
        <u/>
        <sz val="14"/>
        <color theme="1"/>
        <rFont val="Times New Roman"/>
        <family val="1"/>
      </rPr>
      <t>PRECIZĒTAIS</t>
    </r>
    <r>
      <rPr>
        <b/>
        <sz val="14"/>
        <color theme="1"/>
        <rFont val="Times New Roman"/>
        <family val="1"/>
      </rPr>
      <t xml:space="preserve"> p</t>
    </r>
    <r>
      <rPr>
        <b/>
        <sz val="14"/>
        <color theme="1"/>
        <rFont val="Times New Roman"/>
        <family val="1"/>
        <charset val="186"/>
      </rPr>
      <t xml:space="preserve">ārskata par sabiedriskā transporta pakalpojumos radītajiem izdevumiem un zaudējumiem 
sakarā ar noteiktajiem ierobežojumiem </t>
    </r>
  </si>
  <si>
    <r>
      <rPr>
        <b/>
        <u/>
        <sz val="14"/>
        <color theme="1"/>
        <rFont val="Times New Roman"/>
        <family val="1"/>
      </rPr>
      <t>PRECIZĒTAIS</t>
    </r>
    <r>
      <rPr>
        <b/>
        <sz val="14"/>
        <color theme="1"/>
        <rFont val="Times New Roman"/>
        <family val="1"/>
      </rPr>
      <t xml:space="preserve"> p</t>
    </r>
    <r>
      <rPr>
        <b/>
        <sz val="14"/>
        <color theme="1"/>
        <rFont val="Times New Roman"/>
        <family val="1"/>
        <charset val="186"/>
      </rPr>
      <t xml:space="preserve">ārskats par sabiedriskā transporta pakalpojumos radītajiem izdevumiem un zaudējumiem
sakarā ar noteiktajiem ierobežojumiem </t>
    </r>
  </si>
  <si>
    <t>01.04.2021.-30.04.2021.</t>
  </si>
  <si>
    <t>01.04.2019.-30.04.2019.</t>
  </si>
  <si>
    <t>.</t>
  </si>
  <si>
    <r>
      <rPr>
        <b/>
        <u/>
        <sz val="14"/>
        <color theme="1"/>
        <rFont val="Times New Roman"/>
        <family val="1"/>
      </rPr>
      <t>PRECIZĒTAIS</t>
    </r>
    <r>
      <rPr>
        <b/>
        <sz val="14"/>
        <color theme="1"/>
        <rFont val="Times New Roman"/>
        <family val="1"/>
        <charset val="186"/>
      </rPr>
      <t xml:space="preserve"> pārskats par sabiedriskā transporta pakalpojumos radītajiem izdevumiem un zaudējumiem
sakarā ar noteiktajiem ierobežojumiem </t>
    </r>
  </si>
  <si>
    <t>01.05.2021.-31.05.2021.</t>
  </si>
  <si>
    <t>01.05.2021.-31.05.2021</t>
  </si>
  <si>
    <t>01.05.2019.-31.05.2019.</t>
  </si>
  <si>
    <t xml:space="preserve">Pārskats par sabiedriskā transporta pakalpojumos radītajiem izdevumiem un zaudējumiem
sakarā ar noteiktajiem ierobežojumiem </t>
  </si>
  <si>
    <t>01.06.2021.-30.06.2021.</t>
  </si>
  <si>
    <t>01.06.2019.-30.06.2019.</t>
  </si>
  <si>
    <t>servers_ATD/STIFSS</t>
  </si>
  <si>
    <t>[Edit View]</t>
  </si>
  <si>
    <t>[Swap]</t>
  </si>
  <si>
    <t>Rādītājs</t>
  </si>
  <si>
    <t>Vērtība</t>
  </si>
  <si>
    <t>Pārvadājumu veids</t>
  </si>
  <si>
    <t>Pilsēta</t>
  </si>
  <si>
    <t>1. Faktiskie izdevumi, kas radušies saistībā ar reisu atcelšanu vai papild reisu nodrošināšanu - KOPSUMMA ((N - P) x Izm)</t>
  </si>
  <si>
    <t>Autobuss</t>
  </si>
  <si>
    <t>2. Kopējie izdevumi par Covid-19 infekcijas ierobežošanas pasākumiem - KOPSUMMA (1 vienības cenas reizinājums ar preču/pakalpojumu skaitu; summa ( K x Z))</t>
  </si>
  <si>
    <t>3. Kopējā ietekme uz ieņēmumu apgrozījumu - KOPSUMMA ((C/D-A/N) x N)</t>
  </si>
  <si>
    <t>(A) No pasažieriem, t.sk., personām, kurām noteikti pašvaldības noteiktie braukšanas maksas atvieglojumi, saņemtie ieņēmumi par sniegto sabiedriskā transporta pakalpojumu - 09.03.2021.-31.03.2021.</t>
  </si>
  <si>
    <t>(N) Faktiskais nobraukums - 09.03.2021.-31.03.2021.</t>
  </si>
  <si>
    <t>(C) No pasažieriem, t.sk., personām, kurām noteikti pašvaldības noteiktie braukšanas maksas atvieglojumi, saņemtie ieņēmumi par sniegto sabiedriskā transporta pakalpojumu - 09.03.2019.-31.03.2019.</t>
  </si>
  <si>
    <t>(D) Faktiskais nobraukums - 09.03.2019.-31.03.2019.</t>
  </si>
  <si>
    <t>Aprīlis</t>
  </si>
  <si>
    <t>(A) No pasažieriem, t.sk., personām, kurām noteikti pašvaldības noteiktie braukšanas maksas atvieglojumi, saņemtie ieņēmumi par sniegto sabiedriskā transporta pakalpojumu - 01.04.2021.-30.04.2021.</t>
  </si>
  <si>
    <t>(N) Faktiskais nobraukums - 01.04.2021.-30.04.2021.</t>
  </si>
  <si>
    <t>(C) No pasažieriem, t.sk., personām, kurām noteikti pašvaldības noteiktie braukšanas maksas atvieglojumi, saņemtie ieņēmumi par sniegto sabiedriskā transporta pakalpojumu - 01.04.2019.-30.04.2019.</t>
  </si>
  <si>
    <t>(D) Faktiskais nobraukums - 01.04.2019.-30.04.2019.</t>
  </si>
  <si>
    <t>Maijs</t>
  </si>
  <si>
    <t>(A) No pasažieriem, t.sk., personām, kurām noteikti pašvaldības noteiktie braukšanas maksas atvieglojumi, saņemtie ieņēmumi par sniegto sabiedriskā transporta pakalpojumu - 01.05.2021.-31.05.2021.</t>
  </si>
  <si>
    <t>(N) Faktiskais nobraukums - 01.05.2021.-31.05.2021.</t>
  </si>
  <si>
    <t>(C) No pasažieriem, t.sk., personām, kurām noteikti pašvaldības noteiktie braukšanas maksas atvieglojumi, saņemtie ieņēmumi par sniegto sabiedriskā transporta pakalpojumu - 01.05.2019.-31.05.2019.</t>
  </si>
  <si>
    <t>(D) Faktiskais nobraukums - 01.05.2019.-31.05.2019.</t>
  </si>
  <si>
    <t>Jūnijs</t>
  </si>
  <si>
    <t>(A) No pasažieriem, t.sk., personām, kurām noteikti pašvaldības noteiktie braukšanas maksas atvieglojumi, saņemtie ieņēmumi par sniegto sabiedriskā transporta pakalpojumu - 01.06.2021.-30.06.2021.</t>
  </si>
  <si>
    <t>(N) Faktiskais nobraukums - 01.06.2021.-30.06.2021.</t>
  </si>
  <si>
    <t>(C) No pasažieriem, t.sk., personām, kurām noteikti pašvaldības noteiktie braukšanas maksas atvieglojumi, saņemtie ieņēmumi par sniegto sabiedriskā transporta pakalpojumu - 01.06.2019.-30.06.2019.</t>
  </si>
  <si>
    <t>(D) Faktiskais nobraukums - 01.06.2019.-30.06.2019.</t>
  </si>
  <si>
    <t>Valmiera</t>
  </si>
  <si>
    <t>Row Labels</t>
  </si>
  <si>
    <t>Grand Total</t>
  </si>
  <si>
    <t>Sum of Vērtība</t>
  </si>
  <si>
    <t>Column Labels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</si>
</sst>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quot;DB: &quot;@"/>
    <numFmt numFmtId="165" formatCode="&quot;&quot;;;;&quot;Cube: PnL_&quot;"/>
    <numFmt numFmtId="166" formatCode=";;;"/>
  </numFmts>
  <fonts count="23" x14ac:knownFonts="1">
    <font>
      <sz val="11"/>
      <name val="Calibri"/>
      <family val="2"/>
    </font>
    <font>
      <sz val="11"/>
      <color theme="1"/>
      <name val="Times New Roman"/>
      <family val="1"/>
      <charset val="186"/>
    </font>
    <font>
      <b/>
      <sz val="11"/>
      <color theme="1"/>
      <name val="Times New Roman"/>
      <family val="1"/>
      <charset val="186"/>
    </font>
    <font>
      <b/>
      <sz val="11"/>
      <name val="Times New Roman"/>
      <family val="1"/>
      <charset val="186"/>
    </font>
    <font>
      <sz val="11"/>
      <name val="Times New Roman"/>
      <family val="1"/>
      <charset val="186"/>
    </font>
    <font>
      <vertAlign val="superscript"/>
      <sz val="11"/>
      <name val="Times New Roman"/>
      <family val="1"/>
      <charset val="186"/>
    </font>
    <font>
      <u/>
      <sz val="11"/>
      <name val="Times New Roman"/>
      <family val="1"/>
      <charset val="186"/>
    </font>
    <font>
      <b/>
      <sz val="14"/>
      <color theme="1"/>
      <name val="Times New Roman"/>
      <family val="1"/>
      <charset val="186"/>
    </font>
    <font>
      <sz val="11"/>
      <color theme="0" tint="-0.499984740745262"/>
      <name val="Times New Roman"/>
      <family val="1"/>
      <charset val="186"/>
    </font>
    <font>
      <i/>
      <sz val="11"/>
      <name val="Times New Roman"/>
      <family val="1"/>
    </font>
    <font>
      <b/>
      <u/>
      <sz val="14"/>
      <color theme="1"/>
      <name val="Times New Roman"/>
      <family val="1"/>
    </font>
    <font>
      <b/>
      <sz val="14"/>
      <color theme="1"/>
      <name val="Times New Roman"/>
      <family val="1"/>
    </font>
    <font>
      <sz val="9"/>
      <color rgb="FF004C93"/>
      <name val="Segoe UI"/>
      <family val="2"/>
    </font>
    <font>
      <sz val="11"/>
      <name val="Calibri"/>
      <family val="2"/>
    </font>
    <font>
      <b/>
      <sz val="9"/>
      <color rgb="FF004C93"/>
      <name val="Segoe UI"/>
      <family val="2"/>
      <charset val="186"/>
    </font>
    <font>
      <sz val="9"/>
      <color rgb="FF004C93"/>
      <name val="Segoe UI"/>
      <family val="2"/>
      <charset val="186"/>
    </font>
    <font>
      <sz val="9"/>
      <color theme="0"/>
      <name val="Segoe UI"/>
      <family val="2"/>
    </font>
    <font>
      <sz val="9"/>
      <name val="Segoe UI"/>
      <family val="2"/>
    </font>
    <font>
      <b/>
      <sz val="10"/>
      <color indexed="9"/>
      <name val="Arial"/>
      <family val="2"/>
    </font>
    <font>
      <i/>
      <sz val="9"/>
      <name val="Segoe UI"/>
      <family val="2"/>
    </font>
    <font>
      <b/>
      <sz val="12"/>
      <name val="Calibri"/>
      <family val="2"/>
      <charset val="186"/>
    </font>
    <font>
      <b/>
      <sz val="12"/>
      <name val="Times New Roman"/>
      <family val="1"/>
      <charset val="186"/>
    </font>
    <font>
      <b/>
      <sz val="11"/>
      <name val="Calibri"/>
      <family val="2"/>
      <charset val="186"/>
    </font>
  </fonts>
  <fills count="8">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0072AB"/>
        <bgColor indexed="64"/>
      </patternFill>
    </fill>
    <fill>
      <patternFill patternType="solid">
        <fgColor indexed="9"/>
        <bgColor indexed="64"/>
      </patternFill>
    </fill>
    <fill>
      <patternFill patternType="solid">
        <fgColor rgb="FFD2D2D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top/>
      <bottom style="thin">
        <color rgb="FFE8F7FE"/>
      </bottom>
      <diagonal/>
    </border>
    <border>
      <left/>
      <right/>
      <top style="thin">
        <color rgb="FFE8F7FE"/>
      </top>
      <bottom/>
      <diagonal/>
    </border>
    <border>
      <left style="thin">
        <color rgb="FFE8F7FE"/>
      </left>
      <right style="thin">
        <color rgb="FFE8F7FE"/>
      </right>
      <top style="thin">
        <color rgb="FFE8F7FE"/>
      </top>
      <bottom style="thin">
        <color rgb="FFE8F7FE"/>
      </bottom>
      <diagonal/>
    </border>
    <border>
      <left style="thin">
        <color theme="0"/>
      </left>
      <right style="thin">
        <color theme="0"/>
      </right>
      <top/>
      <bottom/>
      <diagonal/>
    </border>
    <border>
      <left/>
      <right/>
      <top/>
      <bottom style="hair">
        <color rgb="FF004C93"/>
      </bottom>
      <diagonal/>
    </border>
    <border>
      <left/>
      <right/>
      <top style="hair">
        <color rgb="FF004C93"/>
      </top>
      <bottom style="hair">
        <color rgb="FFE8F7FE"/>
      </bottom>
      <diagonal/>
    </border>
    <border>
      <left/>
      <right/>
      <top style="hair">
        <color rgb="FFD7F1FD"/>
      </top>
      <bottom/>
      <diagonal/>
    </border>
    <border>
      <left/>
      <right style="thin">
        <color theme="0"/>
      </right>
      <top style="hair">
        <color rgb="FFD7F1FD"/>
      </top>
      <bottom/>
      <diagonal/>
    </border>
    <border>
      <left/>
      <right/>
      <top style="thin">
        <color theme="0"/>
      </top>
      <bottom style="thin">
        <color theme="0"/>
      </bottom>
      <diagonal/>
    </border>
    <border>
      <left/>
      <right style="thin">
        <color theme="0"/>
      </right>
      <top style="thin">
        <color theme="0"/>
      </top>
      <bottom/>
      <diagonal/>
    </border>
  </borders>
  <cellStyleXfs count="26">
    <xf numFmtId="0" fontId="0" fillId="0" borderId="0"/>
    <xf numFmtId="0" fontId="12" fillId="0" borderId="0">
      <alignment horizontal="center"/>
    </xf>
    <xf numFmtId="0" fontId="13" fillId="0" borderId="0"/>
    <xf numFmtId="0" fontId="12" fillId="0" borderId="28">
      <alignment horizontal="center"/>
    </xf>
    <xf numFmtId="0" fontId="12" fillId="0" borderId="29">
      <alignment horizontal="center"/>
    </xf>
    <xf numFmtId="0" fontId="16" fillId="5" borderId="30">
      <alignment horizontal="center" vertical="center"/>
    </xf>
    <xf numFmtId="0" fontId="12" fillId="0" borderId="0">
      <alignment horizontal="right"/>
    </xf>
    <xf numFmtId="166" fontId="12" fillId="0" borderId="31">
      <alignment horizontal="left"/>
    </xf>
    <xf numFmtId="0" fontId="12" fillId="0" borderId="32">
      <alignment horizontal="right"/>
    </xf>
    <xf numFmtId="0" fontId="12" fillId="0" borderId="33">
      <alignment horizontal="left"/>
    </xf>
    <xf numFmtId="3" fontId="17" fillId="6" borderId="34"/>
    <xf numFmtId="0" fontId="12" fillId="0" borderId="0">
      <alignment horizontal="right"/>
    </xf>
    <xf numFmtId="0" fontId="12" fillId="0" borderId="0">
      <alignment horizontal="right"/>
    </xf>
    <xf numFmtId="0" fontId="12" fillId="0" borderId="28">
      <alignment horizontal="left"/>
    </xf>
    <xf numFmtId="0" fontId="12" fillId="0" borderId="35">
      <alignment horizontal="left"/>
    </xf>
    <xf numFmtId="0" fontId="12" fillId="0" borderId="35">
      <alignment horizontal="left"/>
    </xf>
    <xf numFmtId="166" fontId="12" fillId="0" borderId="31">
      <alignment horizontal="left"/>
    </xf>
    <xf numFmtId="166" fontId="18" fillId="0" borderId="31">
      <alignment horizontal="left"/>
    </xf>
    <xf numFmtId="166" fontId="12" fillId="0" borderId="36"/>
    <xf numFmtId="166" fontId="12" fillId="0" borderId="37"/>
    <xf numFmtId="166" fontId="12" fillId="0" borderId="37"/>
    <xf numFmtId="0" fontId="12" fillId="0" borderId="0">
      <alignment horizontal="right"/>
    </xf>
    <xf numFmtId="0" fontId="12" fillId="0" borderId="0">
      <alignment horizontal="right"/>
    </xf>
    <xf numFmtId="3" fontId="19" fillId="7" borderId="0"/>
    <xf numFmtId="0" fontId="12" fillId="0" borderId="33">
      <alignment horizontal="left"/>
    </xf>
    <xf numFmtId="0" fontId="12" fillId="0" borderId="33">
      <alignment horizontal="left"/>
    </xf>
  </cellStyleXfs>
  <cellXfs count="149">
    <xf numFmtId="0" fontId="0" fillId="0" borderId="0" xfId="0"/>
    <xf numFmtId="0" fontId="1" fillId="0" borderId="0" xfId="0" applyFont="1"/>
    <xf numFmtId="0" fontId="2" fillId="0" borderId="0" xfId="0" applyFont="1"/>
    <xf numFmtId="0" fontId="2" fillId="0" borderId="1" xfId="0" applyFont="1" applyBorder="1" applyAlignment="1">
      <alignment vertical="center"/>
    </xf>
    <xf numFmtId="0" fontId="4" fillId="0" borderId="0" xfId="0" applyFont="1"/>
    <xf numFmtId="2" fontId="1" fillId="2" borderId="1" xfId="0" applyNumberFormat="1" applyFont="1" applyFill="1" applyBorder="1" applyAlignment="1">
      <alignment horizontal="center"/>
    </xf>
    <xf numFmtId="2" fontId="4" fillId="3" borderId="1" xfId="0" applyNumberFormat="1" applyFont="1" applyFill="1" applyBorder="1" applyAlignment="1">
      <alignment horizontal="center"/>
    </xf>
    <xf numFmtId="0" fontId="4" fillId="0" borderId="0" xfId="0" applyFont="1" applyAlignment="1">
      <alignment horizontal="left" wrapText="1"/>
    </xf>
    <xf numFmtId="0" fontId="1" fillId="4" borderId="1" xfId="0" applyFont="1" applyFill="1" applyBorder="1"/>
    <xf numFmtId="3" fontId="1" fillId="4" borderId="1" xfId="0" applyNumberFormat="1" applyFont="1" applyFill="1" applyBorder="1" applyAlignment="1">
      <alignment horizontal="center"/>
    </xf>
    <xf numFmtId="0" fontId="3" fillId="0" borderId="0" xfId="0" applyFont="1"/>
    <xf numFmtId="0" fontId="4" fillId="3" borderId="7" xfId="0" applyFont="1" applyFill="1" applyBorder="1" applyAlignment="1">
      <alignment wrapText="1"/>
    </xf>
    <xf numFmtId="2" fontId="4" fillId="3" borderId="9" xfId="0" applyNumberFormat="1" applyFont="1" applyFill="1" applyBorder="1" applyAlignment="1">
      <alignment horizontal="center"/>
    </xf>
    <xf numFmtId="2" fontId="4" fillId="3" borderId="10" xfId="0" applyNumberFormat="1" applyFont="1" applyFill="1" applyBorder="1" applyAlignment="1">
      <alignment horizontal="center"/>
    </xf>
    <xf numFmtId="0" fontId="4" fillId="3" borderId="11" xfId="0" applyFont="1" applyFill="1" applyBorder="1" applyAlignment="1">
      <alignment horizontal="right"/>
    </xf>
    <xf numFmtId="2" fontId="4" fillId="3" borderId="12" xfId="0" applyNumberFormat="1" applyFont="1" applyFill="1" applyBorder="1" applyAlignment="1">
      <alignment horizontal="center"/>
    </xf>
    <xf numFmtId="0" fontId="4" fillId="3" borderId="11" xfId="0" applyFont="1" applyFill="1" applyBorder="1" applyAlignment="1">
      <alignment horizontal="right" wrapText="1"/>
    </xf>
    <xf numFmtId="0" fontId="4" fillId="3" borderId="13" xfId="0" applyFont="1" applyFill="1" applyBorder="1" applyAlignment="1">
      <alignment horizontal="right"/>
    </xf>
    <xf numFmtId="2" fontId="4" fillId="3" borderId="15" xfId="0" applyNumberFormat="1" applyFont="1" applyFill="1" applyBorder="1" applyAlignment="1">
      <alignment horizontal="center"/>
    </xf>
    <xf numFmtId="2" fontId="4" fillId="3" borderId="16" xfId="0" applyNumberFormat="1" applyFont="1" applyFill="1" applyBorder="1" applyAlignment="1">
      <alignment horizontal="center"/>
    </xf>
    <xf numFmtId="0" fontId="3" fillId="3" borderId="17" xfId="0" applyFont="1" applyFill="1" applyBorder="1"/>
    <xf numFmtId="0" fontId="4" fillId="3" borderId="18" xfId="0" applyFont="1" applyFill="1" applyBorder="1" applyAlignment="1">
      <alignment wrapText="1"/>
    </xf>
    <xf numFmtId="2" fontId="4" fillId="3" borderId="4" xfId="0" applyNumberFormat="1" applyFont="1" applyFill="1" applyBorder="1" applyAlignment="1">
      <alignment horizontal="center"/>
    </xf>
    <xf numFmtId="2" fontId="4" fillId="3" borderId="19" xfId="0" applyNumberFormat="1" applyFont="1" applyFill="1" applyBorder="1" applyAlignment="1">
      <alignment horizontal="center"/>
    </xf>
    <xf numFmtId="0" fontId="3" fillId="3" borderId="20" xfId="0" applyFont="1" applyFill="1" applyBorder="1" applyAlignment="1">
      <alignment wrapText="1"/>
    </xf>
    <xf numFmtId="0" fontId="3" fillId="3" borderId="21" xfId="0" applyFont="1" applyFill="1" applyBorder="1" applyAlignment="1">
      <alignment horizontal="center"/>
    </xf>
    <xf numFmtId="2" fontId="3" fillId="3" borderId="21" xfId="0" applyNumberFormat="1" applyFont="1" applyFill="1" applyBorder="1" applyAlignment="1">
      <alignment horizontal="center"/>
    </xf>
    <xf numFmtId="2" fontId="3" fillId="3" borderId="22" xfId="0" applyNumberFormat="1" applyFont="1" applyFill="1" applyBorder="1" applyAlignment="1">
      <alignment horizontal="center"/>
    </xf>
    <xf numFmtId="0" fontId="2" fillId="2" borderId="17" xfId="0" applyFont="1" applyFill="1" applyBorder="1" applyAlignment="1">
      <alignment vertical="center"/>
    </xf>
    <xf numFmtId="0" fontId="2" fillId="0" borderId="2" xfId="0" applyFont="1" applyBorder="1" applyAlignment="1">
      <alignment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2" fontId="1" fillId="2" borderId="12" xfId="0" applyNumberFormat="1" applyFont="1" applyFill="1" applyBorder="1" applyAlignment="1">
      <alignment horizontal="center"/>
    </xf>
    <xf numFmtId="0" fontId="1" fillId="2" borderId="11" xfId="0" applyFont="1" applyFill="1" applyBorder="1"/>
    <xf numFmtId="0" fontId="1" fillId="2" borderId="11" xfId="0" applyFont="1" applyFill="1" applyBorder="1" applyAlignment="1">
      <alignment horizontal="right"/>
    </xf>
    <xf numFmtId="0" fontId="1" fillId="2" borderId="11" xfId="0" applyFont="1" applyFill="1" applyBorder="1" applyAlignment="1">
      <alignment horizontal="right" wrapText="1"/>
    </xf>
    <xf numFmtId="0" fontId="1" fillId="2" borderId="13" xfId="0" applyFont="1" applyFill="1" applyBorder="1"/>
    <xf numFmtId="0" fontId="1" fillId="2" borderId="15" xfId="0" applyFont="1" applyFill="1" applyBorder="1" applyAlignment="1">
      <alignment horizontal="center"/>
    </xf>
    <xf numFmtId="2" fontId="1" fillId="2" borderId="15" xfId="0" applyNumberFormat="1" applyFont="1" applyFill="1" applyBorder="1" applyAlignment="1">
      <alignment horizontal="center"/>
    </xf>
    <xf numFmtId="2" fontId="1" fillId="2" borderId="16" xfId="0" applyNumberFormat="1" applyFont="1" applyFill="1" applyBorder="1" applyAlignment="1">
      <alignment horizontal="center"/>
    </xf>
    <xf numFmtId="0" fontId="2" fillId="4" borderId="23" xfId="0" applyFont="1" applyFill="1" applyBorder="1"/>
    <xf numFmtId="0" fontId="1" fillId="4" borderId="15" xfId="0" applyFont="1" applyFill="1" applyBorder="1"/>
    <xf numFmtId="0" fontId="1" fillId="4" borderId="16" xfId="0" applyFont="1" applyFill="1" applyBorder="1"/>
    <xf numFmtId="0" fontId="1" fillId="2" borderId="18" xfId="0" applyFont="1" applyFill="1" applyBorder="1" applyAlignment="1">
      <alignment wrapText="1"/>
    </xf>
    <xf numFmtId="2" fontId="1" fillId="2" borderId="4" xfId="0" applyNumberFormat="1" applyFont="1" applyFill="1" applyBorder="1" applyAlignment="1">
      <alignment horizontal="center"/>
    </xf>
    <xf numFmtId="2" fontId="1" fillId="2" borderId="4" xfId="0" applyNumberFormat="1" applyFont="1" applyFill="1" applyBorder="1" applyAlignment="1">
      <alignment horizontal="center" wrapText="1"/>
    </xf>
    <xf numFmtId="2" fontId="1" fillId="2" borderId="19" xfId="0" applyNumberFormat="1" applyFont="1" applyFill="1" applyBorder="1" applyAlignment="1">
      <alignment horizontal="center"/>
    </xf>
    <xf numFmtId="0" fontId="2" fillId="2" borderId="20" xfId="0" applyFont="1" applyFill="1" applyBorder="1" applyAlignment="1">
      <alignment vertical="center"/>
    </xf>
    <xf numFmtId="0" fontId="2" fillId="2" borderId="21" xfId="0" applyFont="1" applyFill="1" applyBorder="1" applyAlignment="1">
      <alignment horizontal="center" vertical="center"/>
    </xf>
    <xf numFmtId="2" fontId="2" fillId="2" borderId="21" xfId="0" applyNumberFormat="1" applyFont="1" applyFill="1" applyBorder="1" applyAlignment="1">
      <alignment horizontal="center" vertical="center"/>
    </xf>
    <xf numFmtId="2" fontId="2" fillId="2" borderId="22" xfId="0" applyNumberFormat="1" applyFont="1" applyFill="1" applyBorder="1" applyAlignment="1">
      <alignment horizontal="center" vertical="center"/>
    </xf>
    <xf numFmtId="0" fontId="1" fillId="4" borderId="15" xfId="0" applyFont="1" applyFill="1" applyBorder="1" applyAlignment="1">
      <alignment horizontal="center" vertical="center" wrapText="1"/>
    </xf>
    <xf numFmtId="0" fontId="1" fillId="4" borderId="0" xfId="0" applyFont="1" applyFill="1" applyBorder="1"/>
    <xf numFmtId="0" fontId="1" fillId="4" borderId="1" xfId="0" applyFont="1" applyFill="1" applyBorder="1" applyAlignment="1">
      <alignment horizontal="center" vertical="center" wrapText="1"/>
    </xf>
    <xf numFmtId="0" fontId="1" fillId="2" borderId="23" xfId="0" applyFont="1" applyFill="1" applyBorder="1" applyAlignment="1">
      <alignment horizontal="center" wrapText="1"/>
    </xf>
    <xf numFmtId="0" fontId="2" fillId="4" borderId="7" xfId="0" applyFont="1" applyFill="1" applyBorder="1"/>
    <xf numFmtId="0" fontId="2" fillId="4" borderId="9" xfId="0" applyFont="1" applyFill="1" applyBorder="1"/>
    <xf numFmtId="4" fontId="2" fillId="4" borderId="9" xfId="0" applyNumberFormat="1" applyFont="1" applyFill="1" applyBorder="1" applyAlignment="1">
      <alignment horizontal="center"/>
    </xf>
    <xf numFmtId="4" fontId="2" fillId="4" borderId="10" xfId="0" applyNumberFormat="1" applyFont="1" applyFill="1" applyBorder="1" applyAlignment="1">
      <alignment horizontal="center"/>
    </xf>
    <xf numFmtId="0" fontId="1" fillId="4" borderId="11" xfId="0" applyFont="1" applyFill="1" applyBorder="1" applyAlignment="1">
      <alignment wrapText="1"/>
    </xf>
    <xf numFmtId="0" fontId="1" fillId="4" borderId="12" xfId="0" applyFont="1" applyFill="1" applyBorder="1"/>
    <xf numFmtId="0" fontId="1" fillId="4" borderId="13" xfId="0" applyFont="1" applyFill="1" applyBorder="1" applyAlignment="1">
      <alignment wrapText="1"/>
    </xf>
    <xf numFmtId="3" fontId="1" fillId="4" borderId="15" xfId="0" applyNumberFormat="1" applyFont="1" applyFill="1" applyBorder="1" applyAlignment="1">
      <alignment horizontal="center"/>
    </xf>
    <xf numFmtId="0" fontId="1" fillId="0" borderId="25" xfId="0" applyFont="1" applyBorder="1"/>
    <xf numFmtId="0" fontId="2" fillId="0" borderId="25" xfId="0" applyFont="1" applyBorder="1"/>
    <xf numFmtId="0" fontId="9" fillId="3" borderId="11" xfId="0" applyFont="1" applyFill="1" applyBorder="1" applyAlignment="1">
      <alignment horizontal="right" wrapText="1"/>
    </xf>
    <xf numFmtId="0" fontId="6" fillId="3" borderId="11" xfId="0" applyFont="1" applyFill="1" applyBorder="1" applyAlignment="1">
      <alignment horizontal="right" wrapText="1"/>
    </xf>
    <xf numFmtId="0" fontId="4" fillId="0" borderId="0" xfId="0" applyFont="1" applyAlignment="1">
      <alignment horizontal="left" wrapText="1"/>
    </xf>
    <xf numFmtId="0" fontId="1" fillId="4" borderId="0" xfId="0" applyFont="1" applyFill="1"/>
    <xf numFmtId="164" fontId="12" fillId="0" borderId="0" xfId="1" applyNumberFormat="1">
      <alignment horizontal="center"/>
    </xf>
    <xf numFmtId="0" fontId="13" fillId="0" borderId="0" xfId="2"/>
    <xf numFmtId="0" fontId="12" fillId="0" borderId="28" xfId="3">
      <alignment horizontal="center"/>
    </xf>
    <xf numFmtId="165" fontId="12" fillId="0" borderId="0" xfId="1" applyNumberFormat="1">
      <alignment horizontal="center"/>
    </xf>
    <xf numFmtId="0" fontId="14" fillId="0" borderId="29" xfId="4" applyFont="1" applyAlignment="1">
      <alignment horizontal="center" wrapText="1" shrinkToFit="1"/>
    </xf>
    <xf numFmtId="0" fontId="15" fillId="0" borderId="29" xfId="4" applyFont="1" applyAlignment="1">
      <alignment horizontal="center" wrapText="1" shrinkToFit="1"/>
    </xf>
    <xf numFmtId="0" fontId="16" fillId="5" borderId="30" xfId="5">
      <alignment horizontal="center" vertical="center"/>
    </xf>
    <xf numFmtId="0" fontId="12" fillId="0" borderId="0" xfId="1">
      <alignment horizontal="center"/>
    </xf>
    <xf numFmtId="0" fontId="15" fillId="0" borderId="0" xfId="6" applyFont="1" applyAlignment="1">
      <alignment horizontal="right" wrapText="1" shrinkToFit="1"/>
    </xf>
    <xf numFmtId="166" fontId="15" fillId="0" borderId="31" xfId="7" applyFont="1" applyAlignment="1">
      <alignment horizontal="left" wrapText="1" shrinkToFit="1"/>
    </xf>
    <xf numFmtId="0" fontId="15" fillId="0" borderId="32" xfId="8" applyFont="1" applyAlignment="1">
      <alignment horizontal="right" wrapText="1" shrinkToFit="1"/>
    </xf>
    <xf numFmtId="0" fontId="15" fillId="0" borderId="33" xfId="9" applyFont="1" applyAlignment="1">
      <alignment horizontal="left" indent="1"/>
    </xf>
    <xf numFmtId="3" fontId="17" fillId="6" borderId="34" xfId="10"/>
    <xf numFmtId="3" fontId="1" fillId="0" borderId="0" xfId="0" applyNumberFormat="1" applyFont="1"/>
    <xf numFmtId="4" fontId="1" fillId="0" borderId="0" xfId="0" applyNumberFormat="1" applyFont="1"/>
    <xf numFmtId="0" fontId="1" fillId="2" borderId="1" xfId="0" applyFont="1" applyFill="1" applyBorder="1" applyAlignment="1">
      <alignment vertical="center" wrapText="1"/>
    </xf>
    <xf numFmtId="0" fontId="0" fillId="0" borderId="1" xfId="0" applyBorder="1"/>
    <xf numFmtId="0" fontId="1" fillId="2" borderId="1" xfId="0" applyFont="1" applyFill="1" applyBorder="1" applyAlignment="1">
      <alignment vertical="center"/>
    </xf>
    <xf numFmtId="0" fontId="4" fillId="3" borderId="1" xfId="0" applyFont="1" applyFill="1" applyBorder="1" applyAlignment="1">
      <alignment vertical="center" wrapText="1"/>
    </xf>
    <xf numFmtId="0" fontId="1" fillId="2" borderId="1" xfId="0" applyFont="1" applyFill="1" applyBorder="1"/>
    <xf numFmtId="0" fontId="1" fillId="2" borderId="1" xfId="0" applyFont="1" applyFill="1" applyBorder="1" applyAlignment="1">
      <alignment horizontal="right"/>
    </xf>
    <xf numFmtId="0" fontId="1" fillId="2" borderId="1" xfId="0" applyFont="1" applyFill="1" applyBorder="1" applyAlignment="1">
      <alignment horizontal="right" wrapText="1"/>
    </xf>
    <xf numFmtId="0" fontId="4" fillId="3" borderId="1" xfId="0" applyFont="1" applyFill="1" applyBorder="1" applyAlignment="1">
      <alignment horizontal="right"/>
    </xf>
    <xf numFmtId="0" fontId="4" fillId="3" borderId="1" xfId="0" applyFont="1" applyFill="1" applyBorder="1" applyAlignment="1">
      <alignment horizontal="right" wrapText="1"/>
    </xf>
    <xf numFmtId="0" fontId="4" fillId="3" borderId="1" xfId="0" applyFont="1" applyFill="1" applyBorder="1" applyAlignment="1">
      <alignment wrapText="1"/>
    </xf>
    <xf numFmtId="0" fontId="3" fillId="3" borderId="1" xfId="0" applyFont="1" applyFill="1" applyBorder="1" applyAlignment="1">
      <alignment wrapText="1"/>
    </xf>
    <xf numFmtId="0" fontId="3" fillId="3" borderId="1" xfId="0" applyFont="1" applyFill="1" applyBorder="1" applyAlignment="1">
      <alignment horizontal="center"/>
    </xf>
    <xf numFmtId="0" fontId="6" fillId="3" borderId="1" xfId="0" applyFont="1" applyFill="1" applyBorder="1" applyAlignment="1">
      <alignment horizontal="right" wrapText="1"/>
    </xf>
    <xf numFmtId="0" fontId="9" fillId="3" borderId="1" xfId="0" applyFont="1" applyFill="1" applyBorder="1" applyAlignment="1">
      <alignment horizontal="right" wrapText="1"/>
    </xf>
    <xf numFmtId="0" fontId="1" fillId="4" borderId="1" xfId="0" applyFont="1" applyFill="1" applyBorder="1" applyAlignment="1">
      <alignment wrapText="1"/>
    </xf>
    <xf numFmtId="0" fontId="2" fillId="4" borderId="1" xfId="0" applyFont="1" applyFill="1" applyBorder="1" applyAlignment="1">
      <alignment wrapText="1"/>
    </xf>
    <xf numFmtId="0" fontId="2" fillId="4" borderId="1" xfId="0" applyFont="1" applyFill="1" applyBorder="1"/>
    <xf numFmtId="0" fontId="0" fillId="0" borderId="0" xfId="0" pivotButton="1"/>
    <xf numFmtId="0" fontId="0" fillId="0" borderId="0" xfId="0" applyAlignment="1">
      <alignment horizontal="left"/>
    </xf>
    <xf numFmtId="4" fontId="0" fillId="0" borderId="0" xfId="0" applyNumberFormat="1"/>
    <xf numFmtId="0" fontId="20" fillId="0" borderId="1" xfId="0" applyFont="1" applyBorder="1" applyAlignment="1">
      <alignment horizontal="center"/>
    </xf>
    <xf numFmtId="0" fontId="2" fillId="2" borderId="1" xfId="0" applyFont="1" applyFill="1" applyBorder="1" applyAlignment="1">
      <alignment vertical="center" wrapText="1"/>
    </xf>
    <xf numFmtId="0" fontId="2" fillId="2" borderId="1" xfId="0" applyFont="1" applyFill="1" applyBorder="1" applyAlignment="1">
      <alignment horizontal="center" vertical="center"/>
    </xf>
    <xf numFmtId="0" fontId="1" fillId="2" borderId="1" xfId="0" applyFont="1" applyFill="1" applyBorder="1" applyAlignment="1">
      <alignment wrapText="1"/>
    </xf>
    <xf numFmtId="0" fontId="1" fillId="2" borderId="1" xfId="0" applyFont="1" applyFill="1" applyBorder="1" applyAlignment="1">
      <alignment horizontal="center"/>
    </xf>
    <xf numFmtId="4" fontId="21" fillId="0" borderId="1" xfId="0" applyNumberFormat="1" applyFont="1" applyFill="1" applyBorder="1" applyAlignment="1">
      <alignment horizontal="center"/>
    </xf>
    <xf numFmtId="4" fontId="2" fillId="0" borderId="1" xfId="0" applyNumberFormat="1" applyFont="1" applyFill="1" applyBorder="1" applyAlignment="1">
      <alignment horizontal="center" vertical="center"/>
    </xf>
    <xf numFmtId="4" fontId="4" fillId="0" borderId="1" xfId="0" applyNumberFormat="1" applyFont="1" applyFill="1" applyBorder="1" applyAlignment="1">
      <alignment horizontal="center"/>
    </xf>
    <xf numFmtId="4" fontId="3" fillId="0" borderId="1" xfId="0" applyNumberFormat="1" applyFont="1" applyFill="1" applyBorder="1" applyAlignment="1">
      <alignment horizontal="center"/>
    </xf>
    <xf numFmtId="4" fontId="2" fillId="0" borderId="1" xfId="0" applyNumberFormat="1" applyFont="1" applyFill="1" applyBorder="1" applyAlignment="1">
      <alignment horizontal="center"/>
    </xf>
    <xf numFmtId="4" fontId="1" fillId="0" borderId="1" xfId="0" applyNumberFormat="1" applyFont="1" applyFill="1" applyBorder="1" applyAlignment="1">
      <alignment horizontal="center"/>
    </xf>
    <xf numFmtId="4" fontId="3" fillId="0" borderId="1" xfId="0" applyNumberFormat="1" applyFont="1" applyFill="1" applyBorder="1"/>
    <xf numFmtId="4" fontId="4" fillId="0" borderId="1" xfId="0" applyNumberFormat="1" applyFont="1" applyFill="1" applyBorder="1"/>
    <xf numFmtId="4" fontId="4" fillId="0" borderId="0" xfId="0" applyNumberFormat="1" applyFont="1" applyFill="1"/>
    <xf numFmtId="0" fontId="0" fillId="0" borderId="0" xfId="0" applyAlignment="1">
      <alignment wrapText="1"/>
    </xf>
    <xf numFmtId="0" fontId="0" fillId="0" borderId="1" xfId="0" applyBorder="1" applyAlignment="1">
      <alignment horizontal="left" wrapText="1"/>
    </xf>
    <xf numFmtId="4" fontId="0" fillId="0" borderId="1" xfId="0" applyNumberFormat="1" applyBorder="1"/>
    <xf numFmtId="4" fontId="22" fillId="0" borderId="1" xfId="0" applyNumberFormat="1" applyFont="1" applyBorder="1"/>
    <xf numFmtId="0" fontId="4" fillId="0" borderId="0" xfId="0" applyFont="1" applyAlignment="1">
      <alignment horizontal="left" wrapText="1"/>
    </xf>
    <xf numFmtId="0" fontId="1" fillId="4" borderId="17"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1" fillId="0" borderId="24" xfId="0" applyFont="1" applyBorder="1" applyAlignment="1">
      <alignment horizontal="center" wrapText="1"/>
    </xf>
    <xf numFmtId="0" fontId="7" fillId="0" borderId="24" xfId="0" applyFont="1" applyBorder="1" applyAlignment="1">
      <alignment horizont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left" wrapText="1"/>
    </xf>
    <xf numFmtId="0" fontId="1" fillId="0" borderId="0" xfId="0" applyFont="1" applyAlignment="1">
      <alignment horizontal="left" wrapText="1"/>
    </xf>
    <xf numFmtId="0" fontId="4" fillId="3" borderId="8"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0" borderId="0" xfId="0" applyFont="1" applyAlignment="1">
      <alignment horizontal="left"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20" fillId="0" borderId="0" xfId="0" applyFont="1" applyAlignment="1">
      <alignment horizontal="center" wrapText="1"/>
    </xf>
  </cellXfs>
  <cellStyles count="26">
    <cellStyle name="____page" xfId="5" xr:uid="{1C908EFE-59F6-4770-9481-6DE44B482A7C}"/>
    <cellStyle name="___col1" xfId="11" xr:uid="{77AF6E05-B5DC-4F6E-A22D-8C5E62E0CD98}"/>
    <cellStyle name="___col2" xfId="6" xr:uid="{A70411FF-04EE-4652-8D44-309D993F7B63}"/>
    <cellStyle name="___col3" xfId="12" xr:uid="{0F416460-E95A-4594-BA5C-2ABCD1E7121C}"/>
    <cellStyle name="___page" xfId="3" xr:uid="{0424A2E7-AC48-485A-9C8C-AE1D4AB56F0E}"/>
    <cellStyle name="___row1" xfId="13" xr:uid="{5A835B9C-931C-499C-B544-EFDC7ACFA88E}"/>
    <cellStyle name="___row2" xfId="14" xr:uid="{AEC54BD6-5000-4A51-8F8B-10DAEF0085DB}"/>
    <cellStyle name="___row3" xfId="15" xr:uid="{1770D6F0-4BB0-46CC-86CA-67E62F51F67A}"/>
    <cellStyle name="__col1" xfId="16" xr:uid="{87F0C230-CB95-464A-B2BD-60394E5CEC5B}"/>
    <cellStyle name="__col2" xfId="7" xr:uid="{42D7CD7C-7375-4A89-AB7F-9933FCAFA052}"/>
    <cellStyle name="__col3" xfId="17" xr:uid="{2B18B16D-E299-46CD-B8C2-6583EF406299}"/>
    <cellStyle name="__page" xfId="1" xr:uid="{18DBD1F9-C682-436A-80E3-79AF4CB158CA}"/>
    <cellStyle name="__row1" xfId="18" xr:uid="{0A734687-8416-45ED-812B-197D6C4C44BE}"/>
    <cellStyle name="__row2" xfId="19" xr:uid="{55050CE3-F9F2-4A6C-90BD-7FE3C1A2EDAC}"/>
    <cellStyle name="__row3" xfId="20" xr:uid="{274FDD55-7B58-4E3D-A4DD-4EEAAEC7495B}"/>
    <cellStyle name="_col1" xfId="8" xr:uid="{BA28F1A3-2FA4-48CB-BF84-2A39F5990CC3}"/>
    <cellStyle name="_col2" xfId="21" xr:uid="{6C8C15D1-48C7-499B-8716-9E590EC52763}"/>
    <cellStyle name="_col3" xfId="22" xr:uid="{22874E2E-B924-4877-B09F-DC4CB8A2B92B}"/>
    <cellStyle name="_data" xfId="10" xr:uid="{06686EFC-AE8C-4509-8B0D-90B4A0D22E94}"/>
    <cellStyle name="_freeze" xfId="23" xr:uid="{A388ED0C-50DF-4748-A93B-E36BBB2252D1}"/>
    <cellStyle name="_page" xfId="4" xr:uid="{36B32782-D2A8-4D9B-9BD3-20D667878198}"/>
    <cellStyle name="_row1" xfId="9" xr:uid="{BE83117E-A261-40EE-9DE6-F910FCF80A83}"/>
    <cellStyle name="_row2" xfId="24" xr:uid="{62DF2A2E-AD01-4C9C-B7E5-F5A78C9A08E9}"/>
    <cellStyle name="_row3" xfId="25" xr:uid="{22B5750E-2EB8-49E9-9162-E9008548BBBB}"/>
    <cellStyle name="Normal" xfId="0" builtinId="0" customBuiltin="1"/>
    <cellStyle name="Normal 3" xfId="2" xr:uid="{2B8BC3D8-D70E-483D-9285-1F7DE4805DA1}"/>
  </cellStyles>
  <dxfs count="6">
    <dxf>
      <font>
        <b/>
        <charset val="186"/>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numFmt numFmtId="4" formatCode="#,##0.00"/>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lze Pence" refreshedDate="44405.636917245371" createdVersion="7" refreshedVersion="7" minRefreshableVersion="3" recordCount="140" xr:uid="{87C55E4D-12BD-4A10-B956-D2286853B9BD}">
  <cacheSource type="worksheet">
    <worksheetSource ref="B5:G145" sheet="PIVOT"/>
  </cacheSource>
  <cacheFields count="6">
    <cacheField name="Rādītājs" numFmtId="0">
      <sharedItems count="45">
        <s v="1. Faktiskie izdevumi, kas radušies saistībā ar reisu atcelšanu vai papild reisu nodrošināšanu - KOPSUMMA ((N - P) x Izm)"/>
        <s v="Iesaistīto transportlīdzekļu vienības "/>
        <s v="(S) Plānotais reisu skaits"/>
        <s v="(R) Faktiskais reisu skaits (S + RP-RA) "/>
        <s v="to starpā papildu reisi (RP)"/>
        <s v="to starpā atceltie reisi (RA)"/>
        <s v="(P) Plānotais nobraukums "/>
        <s v="(N) Faktiskais nobraukums (P + NP-NA)"/>
        <s v="to starpā papildu reisos veiktais nobraukums (NP)"/>
        <s v="to starpā atcelto reisu nobraukums (NA)"/>
        <s v="(Izm) 1 km pašizmaksa "/>
        <s v="2. Kopējie izdevumi par Covid-19 infekcijas ierobežošanas pasākumiem - KOPSUMMA (1 vienības cenas reizinājums ar preču/pakalpojumu skaitu; summa ( K x Z))"/>
        <s v="(Z) Pakalpojumi, pasākumi un materiāli Covid-19 pandēmijas ierobežošanai "/>
        <s v="Dezinfekcijas līdzekļi (gab)"/>
        <s v="Sejas maskas (gab)"/>
        <s v="Sociālā distancēšanās sabiedriskā transportā "/>
        <s v="to starpā uzlīmes (gab)"/>
        <s v="to starpā norobežojošā lenta (gab)"/>
        <s v="Transportlīdzekļu dezinfekcija (reizes)"/>
        <s v="Transportlīdzekļu papildu mazgāšana"/>
        <s v="Citi izdevumi (norādīt kādi)"/>
        <s v="(K) Faktiskās izmaksas Covid-19 pandēmijas ierobežošanai, t.sk. "/>
        <s v="Dezinfekcijas līdzekļi"/>
        <s v="Sejas maskas"/>
        <s v="to starpā uzlīmes"/>
        <s v="to starpā norobežojošā lenta"/>
        <s v="Transportlīdzekļu dezinfekcija, to starpā darba spēka izmaksas"/>
        <s v="Transportlīdzekļu papildu mazgāšana, to starpā darba spēka izmaksas"/>
        <s v="3. Kopējā ietekme uz ieņēmumu apgrozījumu - KOPSUMMA ((C/D-A/N) x N)"/>
        <s v="(A) No pasažieriem, t.sk., personām, kurām noteikti pašvaldības noteiktie braukšanas maksas atvieglojumi, saņemtie ieņēmumi par sniegto sabiedriskā transporta pakalpojumu - 09.03.2021.-31.03.2021."/>
        <s v="(N) Faktiskais nobraukums - 09.03.2021.-31.03.2021."/>
        <s v="(C) No pasažieriem, t.sk., personām, kurām noteikti pašvaldības noteiktie braukšanas maksas atvieglojumi, saņemtie ieņēmumi par sniegto sabiedriskā transporta pakalpojumu - 09.03.2019.-31.03.2019."/>
        <s v="(D) Faktiskais nobraukums - 09.03.2019.-31.03.2019."/>
        <s v="(A) No pasažieriem, t.sk., personām, kurām noteikti pašvaldības noteiktie braukšanas maksas atvieglojumi, saņemtie ieņēmumi par sniegto sabiedriskā transporta pakalpojumu - 01.04.2021.-30.04.2021."/>
        <s v="(N) Faktiskais nobraukums - 01.04.2021.-30.04.2021."/>
        <s v="(C) No pasažieriem, t.sk., personām, kurām noteikti pašvaldības noteiktie braukšanas maksas atvieglojumi, saņemtie ieņēmumi par sniegto sabiedriskā transporta pakalpojumu - 01.04.2019.-30.04.2019."/>
        <s v="(D) Faktiskais nobraukums - 01.04.2019.-30.04.2019."/>
        <s v="(A) No pasažieriem, t.sk., personām, kurām noteikti pašvaldības noteiktie braukšanas maksas atvieglojumi, saņemtie ieņēmumi par sniegto sabiedriskā transporta pakalpojumu - 01.05.2021.-31.05.2021."/>
        <s v="(N) Faktiskais nobraukums - 01.05.2021.-31.05.2021."/>
        <s v="(C) No pasažieriem, t.sk., personām, kurām noteikti pašvaldības noteiktie braukšanas maksas atvieglojumi, saņemtie ieņēmumi par sniegto sabiedriskā transporta pakalpojumu - 01.05.2019.-31.05.2019."/>
        <s v="(D) Faktiskais nobraukums - 01.05.2019.-31.05.2019."/>
        <s v="(A) No pasažieriem, t.sk., personām, kurām noteikti pašvaldības noteiktie braukšanas maksas atvieglojumi, saņemtie ieņēmumi par sniegto sabiedriskā transporta pakalpojumu - 01.06.2021.-30.06.2021."/>
        <s v="(N) Faktiskais nobraukums - 01.06.2021.-30.06.2021."/>
        <s v="(C) No pasažieriem, t.sk., personām, kurām noteikti pašvaldības noteiktie braukšanas maksas atvieglojumi, saņemtie ieņēmumi par sniegto sabiedriskā transporta pakalpojumu - 01.06.2019.-30.06.2019."/>
        <s v="(D) Faktiskais nobraukums - 01.06.2019.-30.06.2019."/>
      </sharedItems>
    </cacheField>
    <cacheField name="Vienības " numFmtId="0">
      <sharedItems containsBlank="1"/>
    </cacheField>
    <cacheField name="Vērtība" numFmtId="4">
      <sharedItems containsString="0" containsBlank="1" containsNumber="1" minValue="-13.314280000003954" maxValue="48204.800000000003"/>
    </cacheField>
    <cacheField name="Pārvadājumu veids" numFmtId="0">
      <sharedItems/>
    </cacheField>
    <cacheField name="Pilsēta" numFmtId="0">
      <sharedItems/>
    </cacheField>
    <cacheField name="Periods " numFmtId="0">
      <sharedItems count="4">
        <s v="09.03.2021.- 31.03.2021."/>
        <s v="Aprīlis"/>
        <s v="Maijs"/>
        <s v="Jūnij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0">
  <r>
    <x v="0"/>
    <m/>
    <n v="0"/>
    <s v="Autobuss"/>
    <s v="Valmiera"/>
    <x v="0"/>
  </r>
  <r>
    <x v="1"/>
    <s v="skaits"/>
    <n v="13"/>
    <s v="Autobuss"/>
    <s v="Valmiera"/>
    <x v="0"/>
  </r>
  <r>
    <x v="2"/>
    <s v="skaits"/>
    <n v="3390"/>
    <s v="Autobuss"/>
    <s v="Valmiera"/>
    <x v="0"/>
  </r>
  <r>
    <x v="3"/>
    <s v="skaits"/>
    <n v="3390"/>
    <s v="Autobuss"/>
    <s v="Valmiera"/>
    <x v="0"/>
  </r>
  <r>
    <x v="4"/>
    <s v="skaits"/>
    <m/>
    <s v="Autobuss"/>
    <s v="Valmiera"/>
    <x v="0"/>
  </r>
  <r>
    <x v="5"/>
    <s v="skaits"/>
    <m/>
    <s v="Autobuss"/>
    <s v="Valmiera"/>
    <x v="0"/>
  </r>
  <r>
    <x v="6"/>
    <s v="km"/>
    <n v="36749"/>
    <s v="Autobuss"/>
    <s v="Valmiera"/>
    <x v="0"/>
  </r>
  <r>
    <x v="7"/>
    <s v="km"/>
    <n v="36749"/>
    <s v="Autobuss"/>
    <s v="Valmiera"/>
    <x v="0"/>
  </r>
  <r>
    <x v="8"/>
    <s v="km"/>
    <m/>
    <s v="Autobuss"/>
    <s v="Valmiera"/>
    <x v="0"/>
  </r>
  <r>
    <x v="9"/>
    <s v="km"/>
    <m/>
    <s v="Autobuss"/>
    <s v="Valmiera"/>
    <x v="0"/>
  </r>
  <r>
    <x v="10"/>
    <s v="EUR/km"/>
    <n v="1.3302"/>
    <s v="Autobuss"/>
    <s v="Valmiera"/>
    <x v="0"/>
  </r>
  <r>
    <x v="11"/>
    <m/>
    <n v="477.75400000000002"/>
    <s v="Autobuss"/>
    <s v="Valmiera"/>
    <x v="0"/>
  </r>
  <r>
    <x v="12"/>
    <s v="skaits (jānorāda atbilstoša mērvienība gab., litri, reižu skaits, darba stundas u.c.) "/>
    <m/>
    <s v="Autobuss"/>
    <s v="Valmiera"/>
    <x v="0"/>
  </r>
  <r>
    <x v="13"/>
    <s v="skaits (jānorāda atbilstoša mērvienība gab., litri, reižu skaits, darba stundas u.c.) "/>
    <n v="13"/>
    <s v="Autobuss"/>
    <s v="Valmiera"/>
    <x v="0"/>
  </r>
  <r>
    <x v="14"/>
    <s v="skaits (jānorāda atbilstoša mērvienība gab., litri, reižu skaits, darba stundas u.c.) "/>
    <n v="40"/>
    <s v="Autobuss"/>
    <s v="Valmiera"/>
    <x v="0"/>
  </r>
  <r>
    <x v="15"/>
    <s v="skaits (jānorāda atbilstoša mērvienība gab., litri, reižu skaits, darba stundas u.c.) "/>
    <m/>
    <s v="Autobuss"/>
    <s v="Valmiera"/>
    <x v="0"/>
  </r>
  <r>
    <x v="16"/>
    <s v="skaits (jānorāda atbilstoša mērvienība gab., litri, reižu skaits, darba stundas u.c.) "/>
    <n v="26"/>
    <s v="Autobuss"/>
    <s v="Valmiera"/>
    <x v="0"/>
  </r>
  <r>
    <x v="17"/>
    <s v="skaits (jānorāda atbilstoša mērvienība gab., litri, reižu skaits, darba stundas u.c.) "/>
    <n v="13"/>
    <s v="Autobuss"/>
    <s v="Valmiera"/>
    <x v="0"/>
  </r>
  <r>
    <x v="18"/>
    <s v="skaits (jānorāda atbilstoša mērvienība gab., litri, reižu skaits, darba stundas u.c.) "/>
    <n v="241"/>
    <s v="Autobuss"/>
    <s v="Valmiera"/>
    <x v="0"/>
  </r>
  <r>
    <x v="19"/>
    <s v="skaits (jānorāda atbilstoša mērvienība gab., litri, reižu skaits, darba stundas u.c.) "/>
    <m/>
    <s v="Autobuss"/>
    <s v="Valmiera"/>
    <x v="0"/>
  </r>
  <r>
    <x v="20"/>
    <s v="skaits (jānorāda atbilstoša mērvienība gab., litri, reižu skaits, darba stundas u.c.) "/>
    <m/>
    <s v="Autobuss"/>
    <s v="Valmiera"/>
    <x v="0"/>
  </r>
  <r>
    <x v="21"/>
    <s v="EUR/vien bez PVN"/>
    <m/>
    <s v="Autobuss"/>
    <s v="Valmiera"/>
    <x v="0"/>
  </r>
  <r>
    <x v="22"/>
    <s v="EUR/vien bez PVN"/>
    <n v="4.12"/>
    <s v="Autobuss"/>
    <s v="Valmiera"/>
    <x v="0"/>
  </r>
  <r>
    <x v="23"/>
    <s v="EUR/vien bez PVN"/>
    <n v="1.25"/>
    <s v="Autobuss"/>
    <s v="Valmiera"/>
    <x v="0"/>
  </r>
  <r>
    <x v="15"/>
    <s v="EUR/vien bez PVN"/>
    <m/>
    <s v="Autobuss"/>
    <s v="Valmiera"/>
    <x v="0"/>
  </r>
  <r>
    <x v="24"/>
    <s v="EUR/vien bez PVN"/>
    <n v="0.38"/>
    <s v="Autobuss"/>
    <s v="Valmiera"/>
    <x v="0"/>
  </r>
  <r>
    <x v="25"/>
    <s v="EUR/vien bez PVN"/>
    <n v="1.44"/>
    <s v="Autobuss"/>
    <s v="Valmiera"/>
    <x v="0"/>
  </r>
  <r>
    <x v="26"/>
    <s v="EUR/vien bez PVN"/>
    <n v="1.4339999999999999"/>
    <s v="Autobuss"/>
    <s v="Valmiera"/>
    <x v="0"/>
  </r>
  <r>
    <x v="27"/>
    <s v="EUR/vien bez PVN"/>
    <m/>
    <s v="Autobuss"/>
    <s v="Valmiera"/>
    <x v="0"/>
  </r>
  <r>
    <x v="20"/>
    <s v="EUR/vien bez PVN"/>
    <m/>
    <s v="Autobuss"/>
    <s v="Valmiera"/>
    <x v="0"/>
  </r>
  <r>
    <x v="28"/>
    <m/>
    <n v="8983.5622162608324"/>
    <s v="Autobuss"/>
    <s v="Valmiera"/>
    <x v="0"/>
  </r>
  <r>
    <x v="29"/>
    <s v="EUR bez PVN"/>
    <n v="12084.55"/>
    <s v="Autobuss"/>
    <s v="Valmiera"/>
    <x v="0"/>
  </r>
  <r>
    <x v="30"/>
    <s v="km"/>
    <n v="36749"/>
    <s v="Autobuss"/>
    <s v="Valmiera"/>
    <x v="0"/>
  </r>
  <r>
    <x v="31"/>
    <s v="EUR bez PVN"/>
    <n v="20280.86"/>
    <s v="Autobuss"/>
    <s v="Valmiera"/>
    <x v="0"/>
  </r>
  <r>
    <x v="32"/>
    <s v="km"/>
    <n v="35375.800000000003"/>
    <s v="Autobuss"/>
    <s v="Valmiera"/>
    <x v="0"/>
  </r>
  <r>
    <x v="0"/>
    <m/>
    <n v="-13.314280000003954"/>
    <s v="Autobuss"/>
    <s v="Valmiera"/>
    <x v="1"/>
  </r>
  <r>
    <x v="1"/>
    <s v="skaits"/>
    <n v="14"/>
    <s v="Autobuss"/>
    <s v="Valmiera"/>
    <x v="1"/>
  </r>
  <r>
    <x v="2"/>
    <s v="skaits"/>
    <n v="4265"/>
    <s v="Autobuss"/>
    <s v="Valmiera"/>
    <x v="1"/>
  </r>
  <r>
    <x v="3"/>
    <s v="skaits"/>
    <n v="4264"/>
    <s v="Autobuss"/>
    <s v="Valmiera"/>
    <x v="1"/>
  </r>
  <r>
    <x v="4"/>
    <s v="skaits"/>
    <m/>
    <s v="Autobuss"/>
    <s v="Valmiera"/>
    <x v="1"/>
  </r>
  <r>
    <x v="5"/>
    <s v="skaits"/>
    <n v="1"/>
    <s v="Autobuss"/>
    <s v="Valmiera"/>
    <x v="1"/>
  </r>
  <r>
    <x v="6"/>
    <s v="km"/>
    <n v="46285.2"/>
    <s v="Autobuss"/>
    <s v="Valmiera"/>
    <x v="1"/>
  </r>
  <r>
    <x v="7"/>
    <s v="km"/>
    <n v="46275.399999999994"/>
    <s v="Autobuss"/>
    <s v="Valmiera"/>
    <x v="1"/>
  </r>
  <r>
    <x v="8"/>
    <s v="km"/>
    <m/>
    <s v="Autobuss"/>
    <s v="Valmiera"/>
    <x v="1"/>
  </r>
  <r>
    <x v="9"/>
    <s v="km"/>
    <n v="9.8000000000000007"/>
    <s v="Autobuss"/>
    <s v="Valmiera"/>
    <x v="1"/>
  </r>
  <r>
    <x v="10"/>
    <s v="EUR/km"/>
    <n v="1.3586"/>
    <s v="Autobuss"/>
    <s v="Valmiera"/>
    <x v="1"/>
  </r>
  <r>
    <x v="11"/>
    <m/>
    <n v="519.51199999999994"/>
    <s v="Autobuss"/>
    <s v="Valmiera"/>
    <x v="1"/>
  </r>
  <r>
    <x v="12"/>
    <s v="skaits (jānorāda atbilstoša mērvienība gab., litri, reižu skaits, darba stundas u.c.) "/>
    <m/>
    <s v="Autobuss"/>
    <s v="Valmiera"/>
    <x v="1"/>
  </r>
  <r>
    <x v="13"/>
    <s v="skaits (jānorāda atbilstoša mērvienība gab., litri, reižu skaits, darba stundas u.c.) "/>
    <n v="14"/>
    <s v="Autobuss"/>
    <s v="Valmiera"/>
    <x v="1"/>
  </r>
  <r>
    <x v="14"/>
    <s v="skaits (jānorāda atbilstoša mērvienība gab., litri, reižu skaits, darba stundas u.c.) "/>
    <m/>
    <s v="Autobuss"/>
    <s v="Valmiera"/>
    <x v="1"/>
  </r>
  <r>
    <x v="15"/>
    <s v="skaits (jānorāda atbilstoša mērvienība gab., litri, reižu skaits, darba stundas u.c.) "/>
    <m/>
    <s v="Autobuss"/>
    <s v="Valmiera"/>
    <x v="1"/>
  </r>
  <r>
    <x v="16"/>
    <s v="skaits (jānorāda atbilstoša mērvienība gab., litri, reižu skaits, darba stundas u.c.) "/>
    <m/>
    <s v="Autobuss"/>
    <s v="Valmiera"/>
    <x v="1"/>
  </r>
  <r>
    <x v="17"/>
    <s v="skaits (jānorāda atbilstoša mērvienība gab., litri, reižu skaits, darba stundas u.c.) "/>
    <n v="14"/>
    <s v="Autobuss"/>
    <s v="Valmiera"/>
    <x v="1"/>
  </r>
  <r>
    <x v="18"/>
    <s v="skaits (jānorāda atbilstoša mērvienība gab., litri, reižu skaits, darba stundas u.c.) "/>
    <n v="308"/>
    <s v="Autobuss"/>
    <s v="Valmiera"/>
    <x v="1"/>
  </r>
  <r>
    <x v="19"/>
    <s v="skaits (jānorāda atbilstoša mērvienība gab., litri, reižu skaits, darba stundas u.c.) "/>
    <m/>
    <s v="Autobuss"/>
    <s v="Valmiera"/>
    <x v="1"/>
  </r>
  <r>
    <x v="20"/>
    <s v="skaits (jānorāda atbilstoša mērvienība gab., litri, reižu skaits, darba stundas u.c.) "/>
    <m/>
    <s v="Autobuss"/>
    <s v="Valmiera"/>
    <x v="1"/>
  </r>
  <r>
    <x v="21"/>
    <s v="EUR/vien bez PVN"/>
    <m/>
    <s v="Autobuss"/>
    <s v="Valmiera"/>
    <x v="1"/>
  </r>
  <r>
    <x v="22"/>
    <s v="EUR/vien bez PVN"/>
    <n v="4.12"/>
    <s v="Autobuss"/>
    <s v="Valmiera"/>
    <x v="1"/>
  </r>
  <r>
    <x v="23"/>
    <s v="EUR/vien bez PVN"/>
    <n v="1.25"/>
    <s v="Autobuss"/>
    <s v="Valmiera"/>
    <x v="1"/>
  </r>
  <r>
    <x v="15"/>
    <s v="EUR/vien bez PVN"/>
    <m/>
    <s v="Autobuss"/>
    <s v="Valmiera"/>
    <x v="1"/>
  </r>
  <r>
    <x v="24"/>
    <s v="EUR/vien bez PVN"/>
    <n v="0.38"/>
    <s v="Autobuss"/>
    <s v="Valmiera"/>
    <x v="1"/>
  </r>
  <r>
    <x v="25"/>
    <s v="EUR/vien bez PVN"/>
    <n v="1.44"/>
    <s v="Autobuss"/>
    <s v="Valmiera"/>
    <x v="1"/>
  </r>
  <r>
    <x v="26"/>
    <s v="EUR/vien bez PVN"/>
    <n v="1.4339999999999999"/>
    <s v="Autobuss"/>
    <s v="Valmiera"/>
    <x v="1"/>
  </r>
  <r>
    <x v="27"/>
    <s v="EUR/vien bez PVN"/>
    <m/>
    <s v="Autobuss"/>
    <s v="Valmiera"/>
    <x v="1"/>
  </r>
  <r>
    <x v="20"/>
    <s v="EUR/vien bez PVN"/>
    <m/>
    <s v="Autobuss"/>
    <s v="Valmiera"/>
    <x v="1"/>
  </r>
  <r>
    <x v="28"/>
    <m/>
    <n v="8234.9019049402668"/>
    <s v="Autobuss"/>
    <s v="Valmiera"/>
    <x v="1"/>
  </r>
  <r>
    <x v="33"/>
    <s v="EUR bez PVN"/>
    <n v="12405.6"/>
    <s v="Autobuss"/>
    <s v="Valmiera"/>
    <x v="1"/>
  </r>
  <r>
    <x v="34"/>
    <s v="km"/>
    <n v="46275.4"/>
    <s v="Autobuss"/>
    <s v="Valmiera"/>
    <x v="1"/>
  </r>
  <r>
    <x v="35"/>
    <s v="EUR bez PVN"/>
    <n v="20720.61"/>
    <s v="Autobuss"/>
    <s v="Valmiera"/>
    <x v="1"/>
  </r>
  <r>
    <x v="36"/>
    <s v="km"/>
    <n v="46455"/>
    <s v="Autobuss"/>
    <s v="Valmiera"/>
    <x v="1"/>
  </r>
  <r>
    <x v="0"/>
    <m/>
    <n v="0"/>
    <s v="Autobuss"/>
    <s v="Valmiera"/>
    <x v="2"/>
  </r>
  <r>
    <x v="1"/>
    <s v="skaits"/>
    <n v="13"/>
    <s v="Autobuss"/>
    <s v="Valmiera"/>
    <x v="2"/>
  </r>
  <r>
    <x v="2"/>
    <s v="skaits"/>
    <n v="4478"/>
    <s v="Autobuss"/>
    <s v="Valmiera"/>
    <x v="2"/>
  </r>
  <r>
    <x v="3"/>
    <s v="skaits"/>
    <n v="4478"/>
    <s v="Autobuss"/>
    <s v="Valmiera"/>
    <x v="2"/>
  </r>
  <r>
    <x v="4"/>
    <s v="skaits"/>
    <m/>
    <s v="Autobuss"/>
    <s v="Valmiera"/>
    <x v="2"/>
  </r>
  <r>
    <x v="5"/>
    <s v="skaits"/>
    <m/>
    <s v="Autobuss"/>
    <s v="Valmiera"/>
    <x v="2"/>
  </r>
  <r>
    <x v="6"/>
    <s v="km"/>
    <n v="47538"/>
    <s v="Autobuss"/>
    <s v="Valmiera"/>
    <x v="2"/>
  </r>
  <r>
    <x v="7"/>
    <s v="km"/>
    <n v="47538"/>
    <s v="Autobuss"/>
    <s v="Valmiera"/>
    <x v="2"/>
  </r>
  <r>
    <x v="8"/>
    <s v="km"/>
    <m/>
    <s v="Autobuss"/>
    <s v="Valmiera"/>
    <x v="2"/>
  </r>
  <r>
    <x v="9"/>
    <s v="km"/>
    <m/>
    <s v="Autobuss"/>
    <s v="Valmiera"/>
    <x v="2"/>
  </r>
  <r>
    <x v="10"/>
    <s v="EUR/km"/>
    <n v="1.393"/>
    <s v="Autobuss"/>
    <s v="Valmiera"/>
    <x v="2"/>
  </r>
  <r>
    <x v="11"/>
    <m/>
    <n v="528.29200000000003"/>
    <s v="Autobuss"/>
    <s v="Valmiera"/>
    <x v="2"/>
  </r>
  <r>
    <x v="12"/>
    <s v="skaits (jānorāda atbilstoša mērvienība gab., litri, reižu skaits, darba stundas u.c.) "/>
    <m/>
    <s v="Autobuss"/>
    <s v="Valmiera"/>
    <x v="2"/>
  </r>
  <r>
    <x v="13"/>
    <s v="skaits (jānorāda atbilstoša mērvienība gab., litri, reižu skaits, darba stundas u.c.) "/>
    <n v="13"/>
    <s v="Autobuss"/>
    <s v="Valmiera"/>
    <x v="2"/>
  </r>
  <r>
    <x v="14"/>
    <s v="skaits (jānorāda atbilstoša mērvienība gab., litri, reižu skaits, darba stundas u.c.) "/>
    <m/>
    <s v="Autobuss"/>
    <s v="Valmiera"/>
    <x v="2"/>
  </r>
  <r>
    <x v="15"/>
    <s v="skaits (jānorāda atbilstoša mērvienība gab., litri, reižu skaits, darba stundas u.c.) "/>
    <m/>
    <s v="Autobuss"/>
    <s v="Valmiera"/>
    <x v="2"/>
  </r>
  <r>
    <x v="16"/>
    <s v="skaits (jānorāda atbilstoša mērvienība gab., litri, reižu skaits, darba stundas u.c.) "/>
    <m/>
    <s v="Autobuss"/>
    <s v="Valmiera"/>
    <x v="2"/>
  </r>
  <r>
    <x v="17"/>
    <s v="skaits (jānorāda atbilstoša mērvienība gab., litri, reižu skaits, darba stundas u.c.) "/>
    <n v="13"/>
    <s v="Autobuss"/>
    <s v="Valmiera"/>
    <x v="2"/>
  </r>
  <r>
    <x v="18"/>
    <s v="skaits (jānorāda atbilstoša mērvienība gab., litri, reižu skaits, darba stundas u.c.) "/>
    <n v="318"/>
    <s v="Autobuss"/>
    <s v="Valmiera"/>
    <x v="2"/>
  </r>
  <r>
    <x v="19"/>
    <s v="skaits (jānorāda atbilstoša mērvienība gab., litri, reižu skaits, darba stundas u.c.) "/>
    <m/>
    <s v="Autobuss"/>
    <s v="Valmiera"/>
    <x v="2"/>
  </r>
  <r>
    <x v="20"/>
    <s v="skaits (jānorāda atbilstoša mērvienība gab., litri, reižu skaits, darba stundas u.c.) "/>
    <m/>
    <s v="Autobuss"/>
    <s v="Valmiera"/>
    <x v="2"/>
  </r>
  <r>
    <x v="21"/>
    <s v="EUR/vien bez PVN"/>
    <m/>
    <s v="Autobuss"/>
    <s v="Valmiera"/>
    <x v="2"/>
  </r>
  <r>
    <x v="22"/>
    <s v="EUR/vien bez PVN"/>
    <n v="4.12"/>
    <s v="Autobuss"/>
    <s v="Valmiera"/>
    <x v="2"/>
  </r>
  <r>
    <x v="23"/>
    <s v="EUR/vien bez PVN"/>
    <n v="1.25"/>
    <s v="Autobuss"/>
    <s v="Valmiera"/>
    <x v="2"/>
  </r>
  <r>
    <x v="15"/>
    <s v="EUR/vien bez PVN"/>
    <m/>
    <s v="Autobuss"/>
    <s v="Valmiera"/>
    <x v="2"/>
  </r>
  <r>
    <x v="24"/>
    <s v="EUR/vien bez PVN"/>
    <m/>
    <s v="Autobuss"/>
    <s v="Valmiera"/>
    <x v="2"/>
  </r>
  <r>
    <x v="25"/>
    <s v="EUR/vien bez PVN"/>
    <n v="1.44"/>
    <s v="Autobuss"/>
    <s v="Valmiera"/>
    <x v="2"/>
  </r>
  <r>
    <x v="26"/>
    <s v="EUR/vien bez PVN"/>
    <n v="1.4339999999999999"/>
    <s v="Autobuss"/>
    <s v="Valmiera"/>
    <x v="2"/>
  </r>
  <r>
    <x v="27"/>
    <s v="EUR/vien bez PVN"/>
    <m/>
    <s v="Autobuss"/>
    <s v="Valmiera"/>
    <x v="2"/>
  </r>
  <r>
    <x v="20"/>
    <s v="EUR/vien bez PVN"/>
    <m/>
    <s v="Autobuss"/>
    <s v="Valmiera"/>
    <x v="2"/>
  </r>
  <r>
    <x v="28"/>
    <m/>
    <n v="7553.3294786411307"/>
    <s v="Autobuss"/>
    <s v="Valmiera"/>
    <x v="2"/>
  </r>
  <r>
    <x v="37"/>
    <s v="EUR bez PVN"/>
    <n v="12195.51"/>
    <s v="Autobuss"/>
    <s v="Valmiera"/>
    <x v="2"/>
  </r>
  <r>
    <x v="38"/>
    <s v="km"/>
    <n v="47538"/>
    <s v="Autobuss"/>
    <s v="Valmiera"/>
    <x v="2"/>
  </r>
  <r>
    <x v="39"/>
    <s v="EUR bez PVN"/>
    <n v="20025.849999999999"/>
    <s v="Autobuss"/>
    <s v="Valmiera"/>
    <x v="2"/>
  </r>
  <r>
    <x v="40"/>
    <s v="km"/>
    <n v="48204.800000000003"/>
    <s v="Autobuss"/>
    <s v="Valmiera"/>
    <x v="2"/>
  </r>
  <r>
    <x v="0"/>
    <m/>
    <n v="0"/>
    <s v="Autobuss"/>
    <s v="Valmiera"/>
    <x v="3"/>
  </r>
  <r>
    <x v="1"/>
    <s v="skaits"/>
    <n v="12"/>
    <s v="Autobuss"/>
    <s v="Valmiera"/>
    <x v="3"/>
  </r>
  <r>
    <x v="2"/>
    <s v="skaits"/>
    <n v="4140"/>
    <s v="Autobuss"/>
    <s v="Valmiera"/>
    <x v="3"/>
  </r>
  <r>
    <x v="3"/>
    <s v="skaits"/>
    <n v="4140"/>
    <s v="Autobuss"/>
    <s v="Valmiera"/>
    <x v="3"/>
  </r>
  <r>
    <x v="4"/>
    <s v="skaits"/>
    <m/>
    <s v="Autobuss"/>
    <s v="Valmiera"/>
    <x v="3"/>
  </r>
  <r>
    <x v="5"/>
    <s v="skaits"/>
    <m/>
    <s v="Autobuss"/>
    <s v="Valmiera"/>
    <x v="3"/>
  </r>
  <r>
    <x v="6"/>
    <s v="km"/>
    <n v="44979"/>
    <s v="Autobuss"/>
    <s v="Valmiera"/>
    <x v="3"/>
  </r>
  <r>
    <x v="7"/>
    <s v="km"/>
    <n v="44979"/>
    <s v="Autobuss"/>
    <s v="Valmiera"/>
    <x v="3"/>
  </r>
  <r>
    <x v="8"/>
    <s v="km"/>
    <m/>
    <s v="Autobuss"/>
    <s v="Valmiera"/>
    <x v="3"/>
  </r>
  <r>
    <x v="9"/>
    <s v="km"/>
    <m/>
    <s v="Autobuss"/>
    <s v="Valmiera"/>
    <x v="3"/>
  </r>
  <r>
    <x v="10"/>
    <s v="EUR/km"/>
    <n v="1.4311"/>
    <s v="Autobuss"/>
    <s v="Valmiera"/>
    <x v="3"/>
  </r>
  <r>
    <x v="11"/>
    <m/>
    <n v="508.39199999999994"/>
    <s v="Autobuss"/>
    <s v="Valmiera"/>
    <x v="3"/>
  </r>
  <r>
    <x v="12"/>
    <s v="skaits (jānorāda atbilstoša mērvienība gab., litri, reižu skaits, darba stundas u.c.) "/>
    <m/>
    <s v="Autobuss"/>
    <s v="Valmiera"/>
    <x v="3"/>
  </r>
  <r>
    <x v="13"/>
    <s v="skaits (jānorāda atbilstoša mērvienība gab., litri, reižu skaits, darba stundas u.c.) "/>
    <n v="12"/>
    <s v="Autobuss"/>
    <s v="Valmiera"/>
    <x v="3"/>
  </r>
  <r>
    <x v="14"/>
    <s v="skaits (jānorāda atbilstoša mērvienība gab., litri, reižu skaits, darba stundas u.c.) "/>
    <m/>
    <s v="Autobuss"/>
    <s v="Valmiera"/>
    <x v="3"/>
  </r>
  <r>
    <x v="15"/>
    <s v="skaits (jānorāda atbilstoša mērvienība gab., litri, reižu skaits, darba stundas u.c.) "/>
    <m/>
    <s v="Autobuss"/>
    <s v="Valmiera"/>
    <x v="3"/>
  </r>
  <r>
    <x v="16"/>
    <s v="skaits (jānorāda atbilstoša mērvienība gab., litri, reižu skaits, darba stundas u.c.) "/>
    <m/>
    <s v="Autobuss"/>
    <s v="Valmiera"/>
    <x v="3"/>
  </r>
  <r>
    <x v="17"/>
    <s v="skaits (jānorāda atbilstoša mērvienība gab., litri, reižu skaits, darba stundas u.c.) "/>
    <n v="12"/>
    <s v="Autobuss"/>
    <s v="Valmiera"/>
    <x v="3"/>
  </r>
  <r>
    <x v="18"/>
    <s v="skaits (jānorāda atbilstoša mērvienība gab., litri, reižu skaits, darba stundas u.c.) "/>
    <n v="308"/>
    <s v="Autobuss"/>
    <s v="Valmiera"/>
    <x v="3"/>
  </r>
  <r>
    <x v="19"/>
    <s v="skaits (jānorāda atbilstoša mērvienība gab., litri, reižu skaits, darba stundas u.c.) "/>
    <m/>
    <s v="Autobuss"/>
    <s v="Valmiera"/>
    <x v="3"/>
  </r>
  <r>
    <x v="20"/>
    <s v="skaits (jānorāda atbilstoša mērvienība gab., litri, reižu skaits, darba stundas u.c.) "/>
    <m/>
    <s v="Autobuss"/>
    <s v="Valmiera"/>
    <x v="3"/>
  </r>
  <r>
    <x v="21"/>
    <s v="EUR/vien bez PVN"/>
    <m/>
    <s v="Autobuss"/>
    <s v="Valmiera"/>
    <x v="3"/>
  </r>
  <r>
    <x v="22"/>
    <s v="EUR/vien bez PVN"/>
    <n v="4.12"/>
    <s v="Autobuss"/>
    <s v="Valmiera"/>
    <x v="3"/>
  </r>
  <r>
    <x v="23"/>
    <s v="EUR/vien bez PVN"/>
    <n v="1.25"/>
    <s v="Autobuss"/>
    <s v="Valmiera"/>
    <x v="3"/>
  </r>
  <r>
    <x v="15"/>
    <s v="EUR/vien bez PVN"/>
    <m/>
    <s v="Autobuss"/>
    <s v="Valmiera"/>
    <x v="3"/>
  </r>
  <r>
    <x v="24"/>
    <s v="EUR/vien bez PVN"/>
    <m/>
    <s v="Autobuss"/>
    <s v="Valmiera"/>
    <x v="3"/>
  </r>
  <r>
    <x v="25"/>
    <s v="EUR/vien bez PVN"/>
    <n v="1.44"/>
    <s v="Autobuss"/>
    <s v="Valmiera"/>
    <x v="3"/>
  </r>
  <r>
    <x v="26"/>
    <s v="EUR/vien bez PVN"/>
    <n v="1.4339999999999999"/>
    <s v="Autobuss"/>
    <s v="Valmiera"/>
    <x v="3"/>
  </r>
  <r>
    <x v="27"/>
    <s v="EUR/vien bez PVN"/>
    <m/>
    <s v="Autobuss"/>
    <s v="Valmiera"/>
    <x v="3"/>
  </r>
  <r>
    <x v="20"/>
    <s v="EUR/vien bez PVN"/>
    <m/>
    <s v="Autobuss"/>
    <s v="Valmiera"/>
    <x v="3"/>
  </r>
  <r>
    <x v="28"/>
    <m/>
    <n v="9210.1680068279293"/>
    <s v="Autobuss"/>
    <s v="Valmiera"/>
    <x v="3"/>
  </r>
  <r>
    <x v="41"/>
    <s v="EUR bez PVN"/>
    <n v="8217.68"/>
    <s v="Autobuss"/>
    <s v="Valmiera"/>
    <x v="3"/>
  </r>
  <r>
    <x v="42"/>
    <s v="km"/>
    <n v="44979"/>
    <s v="Autobuss"/>
    <s v="Valmiera"/>
    <x v="3"/>
  </r>
  <r>
    <x v="43"/>
    <s v="EUR bez PVN"/>
    <n v="17160.38"/>
    <s v="Autobuss"/>
    <s v="Valmiera"/>
    <x v="3"/>
  </r>
  <r>
    <x v="44"/>
    <s v="km"/>
    <n v="44288.7"/>
    <s v="Autobuss"/>
    <s v="Valmiera"/>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4739E44-DAA0-4B91-96E4-23F7B80D746B}" name="PivotTable1" cacheId="1"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location ref="A3:F8" firstHeaderRow="1" firstDataRow="2" firstDataCol="1"/>
  <pivotFields count="6">
    <pivotField axis="axisRow" showAll="0">
      <items count="46">
        <item h="1" x="33"/>
        <item h="1" x="37"/>
        <item h="1" x="41"/>
        <item h="1" x="29"/>
        <item h="1" x="35"/>
        <item h="1" x="39"/>
        <item h="1" x="43"/>
        <item h="1" x="31"/>
        <item h="1" x="36"/>
        <item h="1" x="40"/>
        <item h="1" x="44"/>
        <item h="1" x="32"/>
        <item h="1" x="10"/>
        <item h="1" x="21"/>
        <item h="1" x="34"/>
        <item h="1" x="38"/>
        <item h="1" x="42"/>
        <item h="1" x="30"/>
        <item h="1" x="7"/>
        <item h="1" x="6"/>
        <item h="1" x="3"/>
        <item h="1" x="2"/>
        <item h="1" x="12"/>
        <item x="0"/>
        <item x="11"/>
        <item x="28"/>
        <item h="1" x="20"/>
        <item h="1" x="22"/>
        <item h="1" x="13"/>
        <item h="1" x="1"/>
        <item h="1" x="23"/>
        <item h="1" x="14"/>
        <item h="1" x="15"/>
        <item h="1" x="5"/>
        <item h="1" x="9"/>
        <item h="1" x="25"/>
        <item h="1" x="17"/>
        <item h="1" x="4"/>
        <item h="1" x="8"/>
        <item h="1" x="24"/>
        <item h="1" x="16"/>
        <item h="1" x="18"/>
        <item h="1" x="26"/>
        <item h="1" x="19"/>
        <item h="1" x="27"/>
        <item t="default"/>
      </items>
    </pivotField>
    <pivotField showAll="0"/>
    <pivotField dataField="1" showAll="0"/>
    <pivotField showAll="0"/>
    <pivotField showAll="0"/>
    <pivotField axis="axisCol" showAll="0">
      <items count="5">
        <item x="0"/>
        <item x="1"/>
        <item x="2"/>
        <item x="3"/>
        <item t="default"/>
      </items>
    </pivotField>
  </pivotFields>
  <rowFields count="1">
    <field x="0"/>
  </rowFields>
  <rowItems count="4">
    <i>
      <x v="23"/>
    </i>
    <i>
      <x v="24"/>
    </i>
    <i>
      <x v="25"/>
    </i>
    <i t="grand">
      <x/>
    </i>
  </rowItems>
  <colFields count="1">
    <field x="5"/>
  </colFields>
  <colItems count="5">
    <i>
      <x/>
    </i>
    <i>
      <x v="1"/>
    </i>
    <i>
      <x v="2"/>
    </i>
    <i>
      <x v="3"/>
    </i>
    <i t="grand">
      <x/>
    </i>
  </colItems>
  <dataFields count="1">
    <dataField name="Sum of Vērtība" fld="2" baseField="0" baseItem="0" numFmtId="4"/>
  </dataFields>
  <formats count="6">
    <format dxfId="5">
      <pivotArea dataOnly="0" labelOnly="1" fieldPosition="0">
        <references count="1">
          <reference field="0" count="0"/>
        </references>
      </pivotArea>
    </format>
    <format dxfId="4">
      <pivotArea outline="0" collapsedLevelsAreSubtotals="1" fieldPosition="0"/>
    </format>
    <format dxfId="3">
      <pivotArea dataOnly="0" labelOnly="1" fieldPosition="0">
        <references count="1">
          <reference field="5" count="1">
            <x v="0"/>
          </reference>
        </references>
      </pivotArea>
    </format>
    <format dxfId="2">
      <pivotArea collapsedLevelsAreSubtotals="1" fieldPosition="0">
        <references count="1">
          <reference field="0" count="0"/>
        </references>
      </pivotArea>
    </format>
    <format dxfId="1">
      <pivotArea dataOnly="0" labelOnly="1" fieldPosition="0">
        <references count="1">
          <reference field="0" count="0"/>
        </references>
      </pivotArea>
    </format>
    <format dxfId="0">
      <pivotArea field="0" grandCol="1" collapsedLevelsAreSubtotals="1" axis="axisRow" fieldPosition="0">
        <references count="1">
          <reference field="0"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FDCCB-D681-4EEB-83EA-E116793AC980}">
  <dimension ref="A1:I61"/>
  <sheetViews>
    <sheetView topLeftCell="A28" workbookViewId="0">
      <selection activeCell="D33" sqref="D33"/>
    </sheetView>
  </sheetViews>
  <sheetFormatPr defaultColWidth="9.1796875" defaultRowHeight="14" x14ac:dyDescent="0.3"/>
  <cols>
    <col min="1" max="1" width="12.54296875" style="1" customWidth="1"/>
    <col min="2" max="2" width="46.1796875" style="1" customWidth="1"/>
    <col min="3" max="3" width="11.453125" style="1" customWidth="1"/>
    <col min="4" max="5" width="17" style="1" customWidth="1"/>
    <col min="6" max="6" width="14.26953125" style="1" customWidth="1"/>
    <col min="7" max="7" width="16.7265625" style="1" customWidth="1"/>
    <col min="8" max="9" width="0" style="1" hidden="1" customWidth="1"/>
    <col min="10" max="16384" width="9.1796875" style="1"/>
  </cols>
  <sheetData>
    <row r="1" spans="1:8" ht="42" customHeight="1" x14ac:dyDescent="0.35">
      <c r="A1" s="125" t="s">
        <v>68</v>
      </c>
      <c r="B1" s="126"/>
      <c r="C1" s="126"/>
      <c r="D1" s="126"/>
      <c r="E1" s="126"/>
      <c r="F1" s="126"/>
      <c r="G1" s="126"/>
    </row>
    <row r="2" spans="1:8" s="2" customFormat="1" ht="28.5" thickBot="1" x14ac:dyDescent="0.35">
      <c r="A2" s="3" t="s">
        <v>4</v>
      </c>
      <c r="B2" s="29"/>
      <c r="C2" s="30" t="s">
        <v>5</v>
      </c>
      <c r="D2" s="30" t="s">
        <v>1</v>
      </c>
      <c r="E2" s="31" t="s">
        <v>11</v>
      </c>
      <c r="F2" s="30" t="s">
        <v>2</v>
      </c>
      <c r="G2" s="30" t="s">
        <v>3</v>
      </c>
    </row>
    <row r="3" spans="1:8" s="2" customFormat="1" ht="14.5" thickBot="1" x14ac:dyDescent="0.35">
      <c r="A3" s="28" t="s">
        <v>16</v>
      </c>
      <c r="B3" s="47" t="s">
        <v>59</v>
      </c>
      <c r="C3" s="48"/>
      <c r="D3" s="49">
        <f>(D10-D9)*D13</f>
        <v>0</v>
      </c>
      <c r="E3" s="49">
        <f t="shared" ref="E3:G3" si="0">(E10-E9)*E13</f>
        <v>0</v>
      </c>
      <c r="F3" s="49">
        <f t="shared" si="0"/>
        <v>0</v>
      </c>
      <c r="G3" s="50">
        <f t="shared" si="0"/>
        <v>0</v>
      </c>
    </row>
    <row r="4" spans="1:8" x14ac:dyDescent="0.3">
      <c r="A4" s="132" t="s">
        <v>7</v>
      </c>
      <c r="B4" s="43" t="s">
        <v>12</v>
      </c>
      <c r="C4" s="130" t="s">
        <v>6</v>
      </c>
      <c r="D4" s="44">
        <v>13</v>
      </c>
      <c r="E4" s="45"/>
      <c r="F4" s="44"/>
      <c r="G4" s="46"/>
    </row>
    <row r="5" spans="1:8" ht="15" customHeight="1" x14ac:dyDescent="0.3">
      <c r="A5" s="133"/>
      <c r="B5" s="33" t="s">
        <v>56</v>
      </c>
      <c r="C5" s="130"/>
      <c r="D5" s="5">
        <v>3390</v>
      </c>
      <c r="E5" s="5"/>
      <c r="F5" s="5"/>
      <c r="G5" s="32"/>
    </row>
    <row r="6" spans="1:8" x14ac:dyDescent="0.3">
      <c r="A6" s="133"/>
      <c r="B6" s="33" t="s">
        <v>57</v>
      </c>
      <c r="C6" s="130"/>
      <c r="D6" s="5">
        <f>D5+D7-D8</f>
        <v>3390</v>
      </c>
      <c r="E6" s="5">
        <f t="shared" ref="E6:G6" si="1">E5+E7-E8</f>
        <v>0</v>
      </c>
      <c r="F6" s="5">
        <f t="shared" si="1"/>
        <v>0</v>
      </c>
      <c r="G6" s="32">
        <f t="shared" si="1"/>
        <v>0</v>
      </c>
    </row>
    <row r="7" spans="1:8" x14ac:dyDescent="0.3">
      <c r="A7" s="133"/>
      <c r="B7" s="34" t="s">
        <v>52</v>
      </c>
      <c r="C7" s="130"/>
      <c r="D7" s="5"/>
      <c r="E7" s="5"/>
      <c r="F7" s="5"/>
      <c r="G7" s="32"/>
    </row>
    <row r="8" spans="1:8" x14ac:dyDescent="0.3">
      <c r="A8" s="133"/>
      <c r="B8" s="34" t="s">
        <v>53</v>
      </c>
      <c r="C8" s="131"/>
      <c r="D8" s="5"/>
      <c r="E8" s="5"/>
      <c r="F8" s="5"/>
      <c r="G8" s="32"/>
    </row>
    <row r="9" spans="1:8" x14ac:dyDescent="0.3">
      <c r="A9" s="133"/>
      <c r="B9" s="33" t="s">
        <v>50</v>
      </c>
      <c r="C9" s="127" t="s">
        <v>8</v>
      </c>
      <c r="D9" s="5">
        <v>36749</v>
      </c>
      <c r="E9" s="5"/>
      <c r="F9" s="5"/>
      <c r="G9" s="32"/>
    </row>
    <row r="10" spans="1:8" x14ac:dyDescent="0.3">
      <c r="A10" s="133"/>
      <c r="B10" s="33" t="s">
        <v>58</v>
      </c>
      <c r="C10" s="128"/>
      <c r="D10" s="5">
        <f>D9+D12-D11</f>
        <v>36749</v>
      </c>
      <c r="E10" s="5">
        <f t="shared" ref="E10:G10" si="2">E9+E11-E12</f>
        <v>0</v>
      </c>
      <c r="F10" s="5">
        <f t="shared" si="2"/>
        <v>0</v>
      </c>
      <c r="G10" s="32">
        <f t="shared" si="2"/>
        <v>0</v>
      </c>
      <c r="H10" s="82" t="e">
        <f ca="1">atskaites_jedox!AB8</f>
        <v>#NAME?</v>
      </c>
    </row>
    <row r="11" spans="1:8" ht="16.5" customHeight="1" x14ac:dyDescent="0.3">
      <c r="A11" s="133"/>
      <c r="B11" s="35" t="s">
        <v>54</v>
      </c>
      <c r="C11" s="128"/>
      <c r="D11" s="5"/>
      <c r="E11" s="5"/>
      <c r="F11" s="5"/>
      <c r="G11" s="32"/>
    </row>
    <row r="12" spans="1:8" ht="16.5" customHeight="1" x14ac:dyDescent="0.3">
      <c r="A12" s="134"/>
      <c r="B12" s="35" t="s">
        <v>55</v>
      </c>
      <c r="C12" s="129"/>
      <c r="D12" s="5"/>
      <c r="E12" s="5"/>
      <c r="F12" s="5"/>
      <c r="G12" s="32"/>
    </row>
    <row r="13" spans="1:8" ht="28.5" thickBot="1" x14ac:dyDescent="0.35">
      <c r="A13" s="54" t="s">
        <v>15</v>
      </c>
      <c r="B13" s="36" t="s">
        <v>51</v>
      </c>
      <c r="C13" s="37" t="s">
        <v>9</v>
      </c>
      <c r="D13" s="38">
        <v>1.3302</v>
      </c>
      <c r="E13" s="38"/>
      <c r="F13" s="38"/>
      <c r="G13" s="39"/>
      <c r="H13" s="83" t="e">
        <f ca="1">atskaites_jedox!AC8</f>
        <v>#NAME?</v>
      </c>
    </row>
    <row r="14" spans="1:8" s="2" customFormat="1" ht="28.5" thickBot="1" x14ac:dyDescent="0.35">
      <c r="A14" s="20" t="s">
        <v>17</v>
      </c>
      <c r="B14" s="24" t="s">
        <v>49</v>
      </c>
      <c r="C14" s="25"/>
      <c r="D14" s="26">
        <f>SUM(D16*D25,D17*D26,D18*D27,D21*D30,D22*D31,D23*D32, D19*D28, D20*D29)</f>
        <v>477.75400000000002</v>
      </c>
      <c r="E14" s="26">
        <f t="shared" ref="E14:G14" si="3">SUM(E16*E25,E17*E26,E18*E27,E21*E30,E22*E31,E23*E32)</f>
        <v>0</v>
      </c>
      <c r="F14" s="26">
        <f t="shared" si="3"/>
        <v>0</v>
      </c>
      <c r="G14" s="27">
        <f t="shared" si="3"/>
        <v>0</v>
      </c>
    </row>
    <row r="15" spans="1:8" s="4" customFormat="1" ht="48.75" customHeight="1" x14ac:dyDescent="0.3">
      <c r="A15" s="141" t="s">
        <v>7</v>
      </c>
      <c r="B15" s="21" t="s">
        <v>47</v>
      </c>
      <c r="C15" s="139" t="s">
        <v>29</v>
      </c>
      <c r="D15" s="22"/>
      <c r="E15" s="22"/>
      <c r="F15" s="22"/>
      <c r="G15" s="23"/>
    </row>
    <row r="16" spans="1:8" s="4" customFormat="1" x14ac:dyDescent="0.3">
      <c r="A16" s="142"/>
      <c r="B16" s="14" t="s">
        <v>64</v>
      </c>
      <c r="C16" s="139"/>
      <c r="D16" s="6">
        <v>13</v>
      </c>
      <c r="E16" s="6"/>
      <c r="F16" s="6"/>
      <c r="G16" s="15"/>
    </row>
    <row r="17" spans="1:7" s="4" customFormat="1" x14ac:dyDescent="0.3">
      <c r="A17" s="142"/>
      <c r="B17" s="14" t="s">
        <v>65</v>
      </c>
      <c r="C17" s="139"/>
      <c r="D17" s="6">
        <v>40</v>
      </c>
      <c r="E17" s="6"/>
      <c r="F17" s="6"/>
      <c r="G17" s="15"/>
    </row>
    <row r="18" spans="1:7" s="4" customFormat="1" ht="18.75" customHeight="1" x14ac:dyDescent="0.3">
      <c r="A18" s="142"/>
      <c r="B18" s="66" t="s">
        <v>19</v>
      </c>
      <c r="C18" s="139"/>
      <c r="D18" s="6"/>
      <c r="E18" s="6"/>
      <c r="F18" s="6"/>
      <c r="G18" s="15"/>
    </row>
    <row r="19" spans="1:7" s="4" customFormat="1" ht="18.75" customHeight="1" x14ac:dyDescent="0.3">
      <c r="A19" s="142"/>
      <c r="B19" s="65" t="s">
        <v>63</v>
      </c>
      <c r="C19" s="139"/>
      <c r="D19" s="6">
        <v>26</v>
      </c>
      <c r="E19" s="6"/>
      <c r="F19" s="6"/>
      <c r="G19" s="15"/>
    </row>
    <row r="20" spans="1:7" s="4" customFormat="1" ht="18.75" customHeight="1" x14ac:dyDescent="0.3">
      <c r="A20" s="142"/>
      <c r="B20" s="65" t="s">
        <v>66</v>
      </c>
      <c r="C20" s="139"/>
      <c r="D20" s="6">
        <v>13</v>
      </c>
      <c r="E20" s="6"/>
      <c r="F20" s="6"/>
      <c r="G20" s="15"/>
    </row>
    <row r="21" spans="1:7" s="4" customFormat="1" x14ac:dyDescent="0.3">
      <c r="A21" s="142"/>
      <c r="B21" s="14" t="s">
        <v>67</v>
      </c>
      <c r="C21" s="139"/>
      <c r="D21" s="6">
        <v>241</v>
      </c>
      <c r="E21" s="6"/>
      <c r="F21" s="6"/>
      <c r="G21" s="15"/>
    </row>
    <row r="22" spans="1:7" s="4" customFormat="1" ht="17.25" customHeight="1" x14ac:dyDescent="0.3">
      <c r="A22" s="142"/>
      <c r="B22" s="16" t="s">
        <v>25</v>
      </c>
      <c r="C22" s="139"/>
      <c r="D22" s="6"/>
      <c r="E22" s="6"/>
      <c r="F22" s="6"/>
      <c r="G22" s="15"/>
    </row>
    <row r="23" spans="1:7" s="4" customFormat="1" ht="14.5" thickBot="1" x14ac:dyDescent="0.35">
      <c r="A23" s="142"/>
      <c r="B23" s="17" t="s">
        <v>14</v>
      </c>
      <c r="C23" s="140"/>
      <c r="D23" s="18"/>
      <c r="E23" s="18"/>
      <c r="F23" s="18"/>
      <c r="G23" s="19"/>
    </row>
    <row r="24" spans="1:7" s="4" customFormat="1" ht="28" x14ac:dyDescent="0.3">
      <c r="A24" s="142"/>
      <c r="B24" s="11" t="s">
        <v>48</v>
      </c>
      <c r="C24" s="138" t="s">
        <v>34</v>
      </c>
      <c r="D24" s="12"/>
      <c r="E24" s="12"/>
      <c r="F24" s="12"/>
      <c r="G24" s="13"/>
    </row>
    <row r="25" spans="1:7" s="4" customFormat="1" x14ac:dyDescent="0.3">
      <c r="A25" s="142"/>
      <c r="B25" s="14" t="s">
        <v>0</v>
      </c>
      <c r="C25" s="139"/>
      <c r="D25" s="6">
        <v>4.12</v>
      </c>
      <c r="E25" s="6"/>
      <c r="F25" s="6"/>
      <c r="G25" s="15"/>
    </row>
    <row r="26" spans="1:7" s="4" customFormat="1" x14ac:dyDescent="0.3">
      <c r="A26" s="142"/>
      <c r="B26" s="14" t="s">
        <v>13</v>
      </c>
      <c r="C26" s="139"/>
      <c r="D26" s="6">
        <v>1.25</v>
      </c>
      <c r="E26" s="6"/>
      <c r="F26" s="6"/>
      <c r="G26" s="15"/>
    </row>
    <row r="27" spans="1:7" s="4" customFormat="1" ht="15" customHeight="1" x14ac:dyDescent="0.3">
      <c r="A27" s="142"/>
      <c r="B27" s="16" t="s">
        <v>19</v>
      </c>
      <c r="C27" s="139"/>
      <c r="D27" s="6"/>
      <c r="E27" s="6"/>
      <c r="F27" s="6"/>
      <c r="G27" s="15"/>
    </row>
    <row r="28" spans="1:7" s="4" customFormat="1" ht="15" customHeight="1" x14ac:dyDescent="0.3">
      <c r="A28" s="142"/>
      <c r="B28" s="65" t="s">
        <v>32</v>
      </c>
      <c r="C28" s="139"/>
      <c r="D28" s="6">
        <v>0.38</v>
      </c>
      <c r="E28" s="6"/>
      <c r="F28" s="6"/>
      <c r="G28" s="15"/>
    </row>
    <row r="29" spans="1:7" s="4" customFormat="1" ht="15" customHeight="1" x14ac:dyDescent="0.3">
      <c r="A29" s="142"/>
      <c r="B29" s="65" t="s">
        <v>33</v>
      </c>
      <c r="C29" s="139"/>
      <c r="D29" s="6">
        <v>1.44</v>
      </c>
      <c r="E29" s="6"/>
      <c r="F29" s="6"/>
      <c r="G29" s="15"/>
    </row>
    <row r="30" spans="1:7" s="4" customFormat="1" ht="31.5" customHeight="1" x14ac:dyDescent="0.3">
      <c r="A30" s="142"/>
      <c r="B30" s="16" t="s">
        <v>24</v>
      </c>
      <c r="C30" s="139"/>
      <c r="D30" s="6">
        <v>1.4339999999999999</v>
      </c>
      <c r="E30" s="6"/>
      <c r="F30" s="6"/>
      <c r="G30" s="15"/>
    </row>
    <row r="31" spans="1:7" s="4" customFormat="1" ht="33" customHeight="1" x14ac:dyDescent="0.3">
      <c r="A31" s="142"/>
      <c r="B31" s="16" t="s">
        <v>26</v>
      </c>
      <c r="C31" s="139"/>
      <c r="D31" s="6"/>
      <c r="E31" s="6"/>
      <c r="F31" s="6"/>
      <c r="G31" s="15"/>
    </row>
    <row r="32" spans="1:7" ht="14.5" thickBot="1" x14ac:dyDescent="0.35">
      <c r="A32" s="143"/>
      <c r="B32" s="17" t="s">
        <v>14</v>
      </c>
      <c r="C32" s="140"/>
      <c r="D32" s="18"/>
      <c r="E32" s="18"/>
      <c r="F32" s="18"/>
      <c r="G32" s="19"/>
    </row>
    <row r="33" spans="1:9" s="2" customFormat="1" x14ac:dyDescent="0.3">
      <c r="A33" s="40" t="s">
        <v>35</v>
      </c>
      <c r="B33" s="55" t="s">
        <v>61</v>
      </c>
      <c r="C33" s="56"/>
      <c r="D33" s="57">
        <f>((D36/D37)-(D34/D35))*D35</f>
        <v>8983.5622162608324</v>
      </c>
      <c r="E33" s="57" t="e">
        <f>((E36/E37)-(E35/#REF!))*#REF!</f>
        <v>#DIV/0!</v>
      </c>
      <c r="F33" s="57" t="e">
        <f t="shared" ref="F33:G33" si="4">((F36/F37)-(F34/F35))*F35</f>
        <v>#DIV/0!</v>
      </c>
      <c r="G33" s="58" t="e">
        <f t="shared" si="4"/>
        <v>#DIV/0!</v>
      </c>
    </row>
    <row r="34" spans="1:9" ht="56" x14ac:dyDescent="0.3">
      <c r="A34" s="123" t="s">
        <v>36</v>
      </c>
      <c r="B34" s="59" t="s">
        <v>44</v>
      </c>
      <c r="C34" s="53" t="s">
        <v>38</v>
      </c>
      <c r="D34" s="9">
        <v>12084.55</v>
      </c>
      <c r="E34" s="52"/>
      <c r="F34" s="8"/>
      <c r="G34" s="60"/>
      <c r="H34" s="82" t="e">
        <f ca="1">atskaites_jedox!AA8</f>
        <v>#NAME?</v>
      </c>
    </row>
    <row r="35" spans="1:9" x14ac:dyDescent="0.3">
      <c r="A35" s="124"/>
      <c r="B35" s="59" t="s">
        <v>60</v>
      </c>
      <c r="C35" s="53" t="s">
        <v>8</v>
      </c>
      <c r="D35" s="9">
        <v>36749</v>
      </c>
      <c r="E35" s="8"/>
      <c r="F35" s="8"/>
      <c r="G35" s="60"/>
      <c r="H35" s="82" t="e">
        <f ca="1">atskaites_jedox!AB8</f>
        <v>#NAME?</v>
      </c>
      <c r="I35" s="1" t="b">
        <f>D35=D10</f>
        <v>1</v>
      </c>
    </row>
    <row r="36" spans="1:9" ht="56" x14ac:dyDescent="0.3">
      <c r="A36" s="123" t="s">
        <v>37</v>
      </c>
      <c r="B36" s="59" t="s">
        <v>45</v>
      </c>
      <c r="C36" s="53" t="s">
        <v>38</v>
      </c>
      <c r="D36" s="9">
        <v>20280.86</v>
      </c>
      <c r="E36" s="8"/>
      <c r="F36" s="8"/>
      <c r="G36" s="60"/>
      <c r="H36" s="82" t="e">
        <f ca="1">atskaites_jedox!C8</f>
        <v>#NAME?</v>
      </c>
    </row>
    <row r="37" spans="1:9" ht="14.5" thickBot="1" x14ac:dyDescent="0.35">
      <c r="A37" s="124"/>
      <c r="B37" s="61" t="s">
        <v>46</v>
      </c>
      <c r="C37" s="51" t="s">
        <v>8</v>
      </c>
      <c r="D37" s="62">
        <v>35375.800000000003</v>
      </c>
      <c r="E37" s="41"/>
      <c r="F37" s="41"/>
      <c r="G37" s="42"/>
      <c r="H37" s="82" t="e">
        <f ca="1">atskaites_jedox!D8</f>
        <v>#NAME?</v>
      </c>
    </row>
    <row r="40" spans="1:9" ht="14.5" thickBot="1" x14ac:dyDescent="0.35">
      <c r="B40" s="64" t="s">
        <v>62</v>
      </c>
      <c r="C40" s="63"/>
      <c r="D40" s="63"/>
      <c r="E40" s="63"/>
      <c r="F40" s="63"/>
      <c r="G40" s="63"/>
    </row>
    <row r="41" spans="1:9" ht="14.5" thickTop="1" x14ac:dyDescent="0.3"/>
    <row r="43" spans="1:9" x14ac:dyDescent="0.3">
      <c r="A43" s="1" t="s">
        <v>10</v>
      </c>
    </row>
    <row r="44" spans="1:9" ht="33" customHeight="1" x14ac:dyDescent="0.3">
      <c r="A44" s="122" t="s">
        <v>31</v>
      </c>
      <c r="B44" s="122"/>
      <c r="C44" s="122"/>
      <c r="D44" s="122"/>
      <c r="E44" s="122"/>
      <c r="F44" s="122"/>
      <c r="G44" s="122"/>
    </row>
    <row r="45" spans="1:9" x14ac:dyDescent="0.3">
      <c r="A45" s="4" t="s">
        <v>30</v>
      </c>
      <c r="B45" s="4"/>
      <c r="C45" s="4"/>
      <c r="D45" s="4"/>
      <c r="E45" s="4"/>
      <c r="F45" s="4"/>
      <c r="G45" s="4"/>
    </row>
    <row r="46" spans="1:9" ht="28.5" customHeight="1" x14ac:dyDescent="0.3">
      <c r="A46" s="137" t="s">
        <v>18</v>
      </c>
      <c r="B46" s="137"/>
      <c r="C46" s="137"/>
      <c r="D46" s="137"/>
      <c r="E46" s="137"/>
      <c r="F46" s="137"/>
      <c r="G46" s="137"/>
    </row>
    <row r="47" spans="1:9" ht="33" customHeight="1" x14ac:dyDescent="0.3">
      <c r="A47" s="122" t="s">
        <v>21</v>
      </c>
      <c r="B47" s="122"/>
      <c r="C47" s="122"/>
      <c r="D47" s="122"/>
      <c r="E47" s="122"/>
      <c r="F47" s="122"/>
      <c r="G47" s="122"/>
    </row>
    <row r="48" spans="1:9" ht="33" customHeight="1" x14ac:dyDescent="0.3">
      <c r="A48" s="122" t="s">
        <v>39</v>
      </c>
      <c r="B48" s="122"/>
      <c r="C48" s="122"/>
      <c r="D48" s="122"/>
      <c r="E48" s="122"/>
      <c r="F48" s="122"/>
      <c r="G48" s="122"/>
    </row>
    <row r="49" spans="1:7" x14ac:dyDescent="0.3">
      <c r="A49" s="4"/>
      <c r="B49" s="4"/>
      <c r="C49" s="4"/>
      <c r="D49" s="4"/>
      <c r="E49" s="4"/>
      <c r="F49" s="4"/>
      <c r="G49" s="4"/>
    </row>
    <row r="50" spans="1:7" x14ac:dyDescent="0.3">
      <c r="A50" s="10" t="s">
        <v>20</v>
      </c>
      <c r="B50" s="4"/>
      <c r="C50" s="4"/>
      <c r="D50" s="4"/>
      <c r="E50" s="4"/>
      <c r="F50" s="4"/>
      <c r="G50" s="4"/>
    </row>
    <row r="51" spans="1:7" ht="30" customHeight="1" x14ac:dyDescent="0.3">
      <c r="A51" s="122" t="s">
        <v>40</v>
      </c>
      <c r="B51" s="122"/>
      <c r="C51" s="122"/>
      <c r="D51" s="122"/>
      <c r="E51" s="122"/>
      <c r="F51" s="122"/>
      <c r="G51" s="122"/>
    </row>
    <row r="52" spans="1:7" ht="33" customHeight="1" x14ac:dyDescent="0.3">
      <c r="A52" s="136" t="s">
        <v>22</v>
      </c>
      <c r="B52" s="136"/>
      <c r="C52" s="136"/>
      <c r="D52" s="136"/>
      <c r="E52" s="136"/>
      <c r="F52" s="136"/>
      <c r="G52" s="136"/>
    </row>
    <row r="53" spans="1:7" ht="34.5" customHeight="1" x14ac:dyDescent="0.3">
      <c r="A53" s="136" t="s">
        <v>27</v>
      </c>
      <c r="B53" s="136"/>
      <c r="C53" s="136"/>
      <c r="D53" s="136"/>
      <c r="E53" s="136"/>
      <c r="F53" s="136"/>
      <c r="G53" s="136"/>
    </row>
    <row r="54" spans="1:7" ht="63" customHeight="1" x14ac:dyDescent="0.3">
      <c r="A54" s="136" t="s">
        <v>41</v>
      </c>
      <c r="B54" s="136"/>
      <c r="C54" s="136"/>
      <c r="D54" s="136"/>
      <c r="E54" s="136"/>
      <c r="F54" s="136"/>
      <c r="G54" s="136"/>
    </row>
    <row r="55" spans="1:7" ht="30.75" customHeight="1" x14ac:dyDescent="0.3">
      <c r="A55" s="136" t="s">
        <v>23</v>
      </c>
      <c r="B55" s="136"/>
      <c r="C55" s="136"/>
      <c r="D55" s="136"/>
      <c r="E55" s="136"/>
      <c r="F55" s="136"/>
      <c r="G55" s="136"/>
    </row>
    <row r="56" spans="1:7" ht="43.5" customHeight="1" x14ac:dyDescent="0.3">
      <c r="A56" s="135" t="s">
        <v>28</v>
      </c>
      <c r="B56" s="135"/>
      <c r="C56" s="135"/>
      <c r="D56" s="135"/>
      <c r="E56" s="135"/>
      <c r="F56" s="135"/>
      <c r="G56" s="135"/>
    </row>
    <row r="57" spans="1:7" ht="30" customHeight="1" x14ac:dyDescent="0.3">
      <c r="A57" s="122" t="s">
        <v>42</v>
      </c>
      <c r="B57" s="122"/>
      <c r="C57" s="122"/>
      <c r="D57" s="122"/>
      <c r="E57" s="122"/>
      <c r="F57" s="122"/>
      <c r="G57" s="122"/>
    </row>
    <row r="58" spans="1:7" ht="45" customHeight="1" x14ac:dyDescent="0.3">
      <c r="A58" s="122" t="s">
        <v>43</v>
      </c>
      <c r="B58" s="122"/>
      <c r="C58" s="122"/>
      <c r="D58" s="122"/>
      <c r="E58" s="122"/>
      <c r="F58" s="122"/>
      <c r="G58" s="122"/>
    </row>
    <row r="59" spans="1:7" ht="16.5" customHeight="1" x14ac:dyDescent="0.3">
      <c r="A59" s="7"/>
      <c r="B59" s="7"/>
      <c r="C59" s="7"/>
      <c r="D59" s="7"/>
      <c r="E59" s="7"/>
      <c r="F59" s="7"/>
      <c r="G59" s="7"/>
    </row>
    <row r="60" spans="1:7" x14ac:dyDescent="0.3">
      <c r="A60" s="4"/>
      <c r="B60" s="4"/>
      <c r="C60" s="4"/>
      <c r="D60" s="4"/>
      <c r="E60" s="4"/>
      <c r="F60" s="4"/>
      <c r="G60" s="4"/>
    </row>
    <row r="61" spans="1:7" x14ac:dyDescent="0.3">
      <c r="A61" s="4"/>
      <c r="B61" s="4"/>
      <c r="C61" s="4"/>
      <c r="D61" s="4"/>
      <c r="E61" s="4"/>
      <c r="F61" s="4"/>
      <c r="G61" s="4"/>
    </row>
  </sheetData>
  <mergeCells count="21">
    <mergeCell ref="A1:G1"/>
    <mergeCell ref="C9:C12"/>
    <mergeCell ref="C4:C8"/>
    <mergeCell ref="A4:A12"/>
    <mergeCell ref="A56:G56"/>
    <mergeCell ref="A55:G55"/>
    <mergeCell ref="A52:G52"/>
    <mergeCell ref="A46:G46"/>
    <mergeCell ref="A47:G47"/>
    <mergeCell ref="A53:G53"/>
    <mergeCell ref="A54:G54"/>
    <mergeCell ref="A48:G48"/>
    <mergeCell ref="A51:G51"/>
    <mergeCell ref="C24:C32"/>
    <mergeCell ref="C15:C23"/>
    <mergeCell ref="A15:A32"/>
    <mergeCell ref="A44:G44"/>
    <mergeCell ref="A34:A35"/>
    <mergeCell ref="A36:A37"/>
    <mergeCell ref="A58:G58"/>
    <mergeCell ref="A57:G57"/>
  </mergeCells>
  <pageMargins left="0.31496062992125984" right="0.31496062992125984"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E7492-6139-4FF9-864C-DD22E96E2D8A}">
  <dimension ref="A1:I61"/>
  <sheetViews>
    <sheetView workbookViewId="0">
      <selection activeCell="H1" sqref="H1:H1048576"/>
    </sheetView>
  </sheetViews>
  <sheetFormatPr defaultColWidth="9.1796875" defaultRowHeight="14" x14ac:dyDescent="0.3"/>
  <cols>
    <col min="1" max="1" width="12.54296875" style="1" customWidth="1"/>
    <col min="2" max="2" width="46.1796875" style="1" customWidth="1"/>
    <col min="3" max="3" width="11.453125" style="1" customWidth="1"/>
    <col min="4" max="5" width="17" style="1" customWidth="1"/>
    <col min="6" max="6" width="14.26953125" style="1" customWidth="1"/>
    <col min="7" max="7" width="16.7265625" style="1" customWidth="1"/>
    <col min="8" max="8" width="0" style="1" hidden="1" customWidth="1"/>
    <col min="9" max="16384" width="9.1796875" style="1"/>
  </cols>
  <sheetData>
    <row r="1" spans="1:8" ht="42" customHeight="1" x14ac:dyDescent="0.35">
      <c r="A1" s="125" t="s">
        <v>69</v>
      </c>
      <c r="B1" s="126"/>
      <c r="C1" s="126"/>
      <c r="D1" s="126"/>
      <c r="E1" s="126"/>
      <c r="F1" s="126"/>
      <c r="G1" s="126"/>
    </row>
    <row r="2" spans="1:8" s="2" customFormat="1" ht="28.5" thickBot="1" x14ac:dyDescent="0.35">
      <c r="A2" s="3" t="s">
        <v>4</v>
      </c>
      <c r="B2" s="29"/>
      <c r="C2" s="30" t="s">
        <v>5</v>
      </c>
      <c r="D2" s="30" t="s">
        <v>1</v>
      </c>
      <c r="E2" s="31" t="s">
        <v>11</v>
      </c>
      <c r="F2" s="30" t="s">
        <v>2</v>
      </c>
      <c r="G2" s="30" t="s">
        <v>3</v>
      </c>
    </row>
    <row r="3" spans="1:8" s="2" customFormat="1" ht="14.5" thickBot="1" x14ac:dyDescent="0.35">
      <c r="A3" s="28" t="s">
        <v>16</v>
      </c>
      <c r="B3" s="47" t="s">
        <v>59</v>
      </c>
      <c r="C3" s="48"/>
      <c r="D3" s="49">
        <f>(D10-D9)*D13</f>
        <v>-13.314280000003954</v>
      </c>
      <c r="E3" s="49">
        <f t="shared" ref="E3:G3" si="0">(E10-E9)*E13</f>
        <v>0</v>
      </c>
      <c r="F3" s="49">
        <f t="shared" si="0"/>
        <v>0</v>
      </c>
      <c r="G3" s="50">
        <f t="shared" si="0"/>
        <v>0</v>
      </c>
    </row>
    <row r="4" spans="1:8" x14ac:dyDescent="0.3">
      <c r="A4" s="132" t="s">
        <v>70</v>
      </c>
      <c r="B4" s="43" t="s">
        <v>12</v>
      </c>
      <c r="C4" s="130" t="s">
        <v>6</v>
      </c>
      <c r="D4" s="44">
        <v>14</v>
      </c>
      <c r="E4" s="45"/>
      <c r="F4" s="44"/>
      <c r="G4" s="46"/>
    </row>
    <row r="5" spans="1:8" ht="15" customHeight="1" x14ac:dyDescent="0.3">
      <c r="A5" s="133"/>
      <c r="B5" s="33" t="s">
        <v>56</v>
      </c>
      <c r="C5" s="130"/>
      <c r="D5" s="5">
        <v>4265</v>
      </c>
      <c r="E5" s="5"/>
      <c r="F5" s="5"/>
      <c r="G5" s="32"/>
    </row>
    <row r="6" spans="1:8" x14ac:dyDescent="0.3">
      <c r="A6" s="133"/>
      <c r="B6" s="33" t="s">
        <v>57</v>
      </c>
      <c r="C6" s="130"/>
      <c r="D6" s="5">
        <f>D5+D7-D8</f>
        <v>4264</v>
      </c>
      <c r="E6" s="5">
        <f t="shared" ref="E6:G6" si="1">E5+E7-E8</f>
        <v>0</v>
      </c>
      <c r="F6" s="5">
        <f t="shared" si="1"/>
        <v>0</v>
      </c>
      <c r="G6" s="32">
        <f t="shared" si="1"/>
        <v>0</v>
      </c>
    </row>
    <row r="7" spans="1:8" x14ac:dyDescent="0.3">
      <c r="A7" s="133"/>
      <c r="B7" s="34" t="s">
        <v>52</v>
      </c>
      <c r="C7" s="130"/>
      <c r="D7" s="5"/>
      <c r="E7" s="5"/>
      <c r="F7" s="5"/>
      <c r="G7" s="32"/>
    </row>
    <row r="8" spans="1:8" x14ac:dyDescent="0.3">
      <c r="A8" s="133"/>
      <c r="B8" s="34" t="s">
        <v>53</v>
      </c>
      <c r="C8" s="131"/>
      <c r="D8" s="5">
        <v>1</v>
      </c>
      <c r="E8" s="5"/>
      <c r="F8" s="5"/>
      <c r="G8" s="32"/>
    </row>
    <row r="9" spans="1:8" x14ac:dyDescent="0.3">
      <c r="A9" s="133"/>
      <c r="B9" s="33" t="s">
        <v>50</v>
      </c>
      <c r="C9" s="127" t="s">
        <v>8</v>
      </c>
      <c r="D9" s="5">
        <v>46285.2</v>
      </c>
      <c r="E9" s="5"/>
      <c r="F9" s="5"/>
      <c r="G9" s="32"/>
    </row>
    <row r="10" spans="1:8" x14ac:dyDescent="0.3">
      <c r="A10" s="133"/>
      <c r="B10" s="33" t="s">
        <v>58</v>
      </c>
      <c r="C10" s="128"/>
      <c r="D10" s="5">
        <f>D9+D11-D12</f>
        <v>46275.399999999994</v>
      </c>
      <c r="E10" s="5">
        <f t="shared" ref="E10:G10" si="2">E9+E11-E12</f>
        <v>0</v>
      </c>
      <c r="F10" s="5">
        <f t="shared" si="2"/>
        <v>0</v>
      </c>
      <c r="G10" s="32">
        <f t="shared" si="2"/>
        <v>0</v>
      </c>
      <c r="H10" s="82" t="e">
        <f ca="1">atskaites_jedox!AE8</f>
        <v>#NAME?</v>
      </c>
    </row>
    <row r="11" spans="1:8" ht="16.5" customHeight="1" x14ac:dyDescent="0.3">
      <c r="A11" s="133"/>
      <c r="B11" s="35" t="s">
        <v>54</v>
      </c>
      <c r="C11" s="128"/>
      <c r="D11" s="5"/>
      <c r="E11" s="5"/>
      <c r="F11" s="5"/>
      <c r="G11" s="32"/>
    </row>
    <row r="12" spans="1:8" ht="16.5" customHeight="1" x14ac:dyDescent="0.3">
      <c r="A12" s="134"/>
      <c r="B12" s="35" t="s">
        <v>55</v>
      </c>
      <c r="C12" s="129"/>
      <c r="D12" s="5">
        <v>9.8000000000000007</v>
      </c>
      <c r="E12" s="5"/>
      <c r="F12" s="5"/>
      <c r="G12" s="32"/>
    </row>
    <row r="13" spans="1:8" ht="28.5" thickBot="1" x14ac:dyDescent="0.35">
      <c r="A13" s="54" t="s">
        <v>70</v>
      </c>
      <c r="B13" s="36" t="s">
        <v>51</v>
      </c>
      <c r="C13" s="37" t="s">
        <v>9</v>
      </c>
      <c r="D13" s="38">
        <v>1.3586</v>
      </c>
      <c r="E13" s="38"/>
      <c r="F13" s="38"/>
      <c r="G13" s="39"/>
      <c r="H13" s="83" t="e">
        <f ca="1">atskaites_jedox!AF8</f>
        <v>#NAME?</v>
      </c>
    </row>
    <row r="14" spans="1:8" s="2" customFormat="1" ht="28.5" thickBot="1" x14ac:dyDescent="0.35">
      <c r="A14" s="20" t="s">
        <v>17</v>
      </c>
      <c r="B14" s="24" t="s">
        <v>49</v>
      </c>
      <c r="C14" s="25"/>
      <c r="D14" s="26">
        <f>SUM(D16*D25,D17*D26,D18*D27,D21*D30,D22*D31,D23*D32, D19*D28, D20*D29)</f>
        <v>519.51199999999994</v>
      </c>
      <c r="E14" s="26">
        <f t="shared" ref="E14:G14" si="3">SUM(E16*E25,E17*E26,E18*E27,E21*E30,E22*E31,E23*E32)</f>
        <v>0</v>
      </c>
      <c r="F14" s="26">
        <f t="shared" si="3"/>
        <v>0</v>
      </c>
      <c r="G14" s="27">
        <f t="shared" si="3"/>
        <v>0</v>
      </c>
    </row>
    <row r="15" spans="1:8" s="4" customFormat="1" ht="48.75" customHeight="1" x14ac:dyDescent="0.3">
      <c r="A15" s="141" t="s">
        <v>70</v>
      </c>
      <c r="B15" s="21" t="s">
        <v>47</v>
      </c>
      <c r="C15" s="139" t="s">
        <v>29</v>
      </c>
      <c r="D15" s="22"/>
      <c r="E15" s="22"/>
      <c r="F15" s="22"/>
      <c r="G15" s="23"/>
    </row>
    <row r="16" spans="1:8" s="4" customFormat="1" x14ac:dyDescent="0.3">
      <c r="A16" s="142"/>
      <c r="B16" s="14" t="s">
        <v>64</v>
      </c>
      <c r="C16" s="139"/>
      <c r="D16" s="6">
        <v>14</v>
      </c>
      <c r="E16" s="6"/>
      <c r="F16" s="6"/>
      <c r="G16" s="15"/>
    </row>
    <row r="17" spans="1:7" s="4" customFormat="1" x14ac:dyDescent="0.3">
      <c r="A17" s="142"/>
      <c r="B17" s="14" t="s">
        <v>65</v>
      </c>
      <c r="C17" s="139"/>
      <c r="D17" s="6"/>
      <c r="E17" s="6"/>
      <c r="F17" s="6"/>
      <c r="G17" s="15"/>
    </row>
    <row r="18" spans="1:7" s="4" customFormat="1" ht="18.75" customHeight="1" x14ac:dyDescent="0.3">
      <c r="A18" s="142"/>
      <c r="B18" s="66" t="s">
        <v>19</v>
      </c>
      <c r="C18" s="139"/>
      <c r="D18" s="6"/>
      <c r="E18" s="6"/>
      <c r="F18" s="6"/>
      <c r="G18" s="15"/>
    </row>
    <row r="19" spans="1:7" s="4" customFormat="1" ht="18.75" customHeight="1" x14ac:dyDescent="0.3">
      <c r="A19" s="142"/>
      <c r="B19" s="65" t="s">
        <v>63</v>
      </c>
      <c r="C19" s="139"/>
      <c r="D19" s="6"/>
      <c r="E19" s="6"/>
      <c r="F19" s="6"/>
      <c r="G19" s="15"/>
    </row>
    <row r="20" spans="1:7" s="4" customFormat="1" ht="18.75" customHeight="1" x14ac:dyDescent="0.3">
      <c r="A20" s="142"/>
      <c r="B20" s="65" t="s">
        <v>66</v>
      </c>
      <c r="C20" s="139"/>
      <c r="D20" s="6">
        <v>14</v>
      </c>
      <c r="E20" s="6"/>
      <c r="F20" s="6"/>
      <c r="G20" s="15"/>
    </row>
    <row r="21" spans="1:7" s="4" customFormat="1" x14ac:dyDescent="0.3">
      <c r="A21" s="142"/>
      <c r="B21" s="14" t="s">
        <v>67</v>
      </c>
      <c r="C21" s="139"/>
      <c r="D21" s="6">
        <v>308</v>
      </c>
      <c r="E21" s="6"/>
      <c r="F21" s="6"/>
      <c r="G21" s="15"/>
    </row>
    <row r="22" spans="1:7" s="4" customFormat="1" ht="17.25" customHeight="1" x14ac:dyDescent="0.3">
      <c r="A22" s="142"/>
      <c r="B22" s="16" t="s">
        <v>25</v>
      </c>
      <c r="C22" s="139"/>
      <c r="D22" s="6"/>
      <c r="E22" s="6"/>
      <c r="F22" s="6"/>
      <c r="G22" s="15"/>
    </row>
    <row r="23" spans="1:7" s="4" customFormat="1" ht="14.5" thickBot="1" x14ac:dyDescent="0.35">
      <c r="A23" s="142"/>
      <c r="B23" s="17" t="s">
        <v>14</v>
      </c>
      <c r="C23" s="140"/>
      <c r="D23" s="18"/>
      <c r="E23" s="18"/>
      <c r="F23" s="18"/>
      <c r="G23" s="19"/>
    </row>
    <row r="24" spans="1:7" s="4" customFormat="1" ht="28" x14ac:dyDescent="0.3">
      <c r="A24" s="142"/>
      <c r="B24" s="11" t="s">
        <v>48</v>
      </c>
      <c r="C24" s="138" t="s">
        <v>34</v>
      </c>
      <c r="D24" s="12"/>
      <c r="E24" s="12"/>
      <c r="F24" s="12"/>
      <c r="G24" s="13"/>
    </row>
    <row r="25" spans="1:7" s="4" customFormat="1" x14ac:dyDescent="0.3">
      <c r="A25" s="142"/>
      <c r="B25" s="14" t="s">
        <v>0</v>
      </c>
      <c r="C25" s="139"/>
      <c r="D25" s="6">
        <v>4.12</v>
      </c>
      <c r="E25" s="6"/>
      <c r="F25" s="6"/>
      <c r="G25" s="15"/>
    </row>
    <row r="26" spans="1:7" s="4" customFormat="1" x14ac:dyDescent="0.3">
      <c r="A26" s="142"/>
      <c r="B26" s="14" t="s">
        <v>13</v>
      </c>
      <c r="C26" s="139"/>
      <c r="D26" s="6">
        <v>1.25</v>
      </c>
      <c r="E26" s="6"/>
      <c r="F26" s="6"/>
      <c r="G26" s="15"/>
    </row>
    <row r="27" spans="1:7" s="4" customFormat="1" ht="15" customHeight="1" x14ac:dyDescent="0.3">
      <c r="A27" s="142"/>
      <c r="B27" s="16" t="s">
        <v>19</v>
      </c>
      <c r="C27" s="139"/>
      <c r="D27" s="6"/>
      <c r="E27" s="6"/>
      <c r="F27" s="6"/>
      <c r="G27" s="15"/>
    </row>
    <row r="28" spans="1:7" s="4" customFormat="1" ht="15" customHeight="1" x14ac:dyDescent="0.3">
      <c r="A28" s="142"/>
      <c r="B28" s="65" t="s">
        <v>32</v>
      </c>
      <c r="C28" s="139"/>
      <c r="D28" s="6">
        <v>0.38</v>
      </c>
      <c r="E28" s="6"/>
      <c r="F28" s="6"/>
      <c r="G28" s="15"/>
    </row>
    <row r="29" spans="1:7" s="4" customFormat="1" ht="15" customHeight="1" x14ac:dyDescent="0.3">
      <c r="A29" s="142"/>
      <c r="B29" s="65" t="s">
        <v>33</v>
      </c>
      <c r="C29" s="139"/>
      <c r="D29" s="6">
        <v>1.44</v>
      </c>
      <c r="E29" s="6"/>
      <c r="F29" s="6"/>
      <c r="G29" s="15"/>
    </row>
    <row r="30" spans="1:7" s="4" customFormat="1" ht="31.5" customHeight="1" x14ac:dyDescent="0.3">
      <c r="A30" s="142"/>
      <c r="B30" s="16" t="s">
        <v>24</v>
      </c>
      <c r="C30" s="139"/>
      <c r="D30" s="6">
        <v>1.4339999999999999</v>
      </c>
      <c r="E30" s="6"/>
      <c r="F30" s="6"/>
      <c r="G30" s="15"/>
    </row>
    <row r="31" spans="1:7" s="4" customFormat="1" ht="33" customHeight="1" x14ac:dyDescent="0.3">
      <c r="A31" s="142"/>
      <c r="B31" s="16" t="s">
        <v>26</v>
      </c>
      <c r="C31" s="139"/>
      <c r="D31" s="6"/>
      <c r="E31" s="6"/>
      <c r="F31" s="6"/>
      <c r="G31" s="15"/>
    </row>
    <row r="32" spans="1:7" ht="14.5" thickBot="1" x14ac:dyDescent="0.35">
      <c r="A32" s="143"/>
      <c r="B32" s="17" t="s">
        <v>14</v>
      </c>
      <c r="C32" s="140"/>
      <c r="D32" s="18"/>
      <c r="E32" s="18"/>
      <c r="F32" s="18"/>
      <c r="G32" s="19"/>
    </row>
    <row r="33" spans="1:9" s="2" customFormat="1" x14ac:dyDescent="0.3">
      <c r="A33" s="40" t="s">
        <v>35</v>
      </c>
      <c r="B33" s="55" t="s">
        <v>61</v>
      </c>
      <c r="C33" s="56"/>
      <c r="D33" s="57">
        <f>((D36/D37)-(D34/D35))*D35</f>
        <v>8234.9019049402668</v>
      </c>
      <c r="E33" s="57" t="e">
        <f>((E36/E37)-(E35/#REF!))*#REF!</f>
        <v>#DIV/0!</v>
      </c>
      <c r="F33" s="57" t="e">
        <f t="shared" ref="F33:G33" si="4">((F36/F37)-(F34/F35))*F35</f>
        <v>#DIV/0!</v>
      </c>
      <c r="G33" s="58" t="e">
        <f t="shared" si="4"/>
        <v>#DIV/0!</v>
      </c>
    </row>
    <row r="34" spans="1:9" ht="56" x14ac:dyDescent="0.3">
      <c r="A34" s="123" t="s">
        <v>70</v>
      </c>
      <c r="B34" s="59" t="s">
        <v>44</v>
      </c>
      <c r="C34" s="53" t="s">
        <v>38</v>
      </c>
      <c r="D34" s="9">
        <v>12405.6</v>
      </c>
      <c r="E34" s="68"/>
      <c r="F34" s="8"/>
      <c r="G34" s="60"/>
      <c r="H34" s="82" t="e">
        <f ca="1">atskaites_jedox!AD8</f>
        <v>#NAME?</v>
      </c>
    </row>
    <row r="35" spans="1:9" x14ac:dyDescent="0.3">
      <c r="A35" s="124"/>
      <c r="B35" s="59" t="s">
        <v>60</v>
      </c>
      <c r="C35" s="53" t="s">
        <v>8</v>
      </c>
      <c r="D35" s="9">
        <v>46275.4</v>
      </c>
      <c r="E35" s="8"/>
      <c r="F35" s="8"/>
      <c r="G35" s="60"/>
      <c r="H35" s="82" t="e">
        <f ca="1">atskaites_jedox!AE8</f>
        <v>#NAME?</v>
      </c>
      <c r="I35" s="1" t="b">
        <f>D35=D10</f>
        <v>1</v>
      </c>
    </row>
    <row r="36" spans="1:9" ht="56" x14ac:dyDescent="0.3">
      <c r="A36" s="123" t="s">
        <v>71</v>
      </c>
      <c r="B36" s="59" t="s">
        <v>45</v>
      </c>
      <c r="C36" s="53" t="s">
        <v>38</v>
      </c>
      <c r="D36" s="9">
        <v>20720.61</v>
      </c>
      <c r="E36" s="8"/>
      <c r="F36" s="8"/>
      <c r="G36" s="60"/>
      <c r="H36" s="82" t="e">
        <f ca="1">atskaites_jedox!F8</f>
        <v>#NAME?</v>
      </c>
    </row>
    <row r="37" spans="1:9" ht="14.5" thickBot="1" x14ac:dyDescent="0.35">
      <c r="A37" s="124"/>
      <c r="B37" s="61" t="s">
        <v>46</v>
      </c>
      <c r="C37" s="51" t="s">
        <v>8</v>
      </c>
      <c r="D37" s="62">
        <v>46455</v>
      </c>
      <c r="E37" s="41"/>
      <c r="F37" s="41"/>
      <c r="G37" s="42"/>
      <c r="H37" s="82" t="e">
        <f ca="1">atskaites_jedox!G8</f>
        <v>#NAME?</v>
      </c>
    </row>
    <row r="38" spans="1:9" x14ac:dyDescent="0.3">
      <c r="A38" s="1" t="s">
        <v>72</v>
      </c>
    </row>
    <row r="40" spans="1:9" ht="14.5" thickBot="1" x14ac:dyDescent="0.35">
      <c r="B40" s="64" t="s">
        <v>62</v>
      </c>
      <c r="C40" s="63"/>
      <c r="D40" s="63"/>
      <c r="E40" s="63"/>
      <c r="F40" s="63"/>
      <c r="G40" s="63"/>
    </row>
    <row r="41" spans="1:9" ht="14.5" thickTop="1" x14ac:dyDescent="0.3"/>
    <row r="43" spans="1:9" x14ac:dyDescent="0.3">
      <c r="A43" s="1" t="s">
        <v>10</v>
      </c>
    </row>
    <row r="44" spans="1:9" ht="33" customHeight="1" x14ac:dyDescent="0.3">
      <c r="A44" s="122" t="s">
        <v>31</v>
      </c>
      <c r="B44" s="122"/>
      <c r="C44" s="122"/>
      <c r="D44" s="122"/>
      <c r="E44" s="122"/>
      <c r="F44" s="122"/>
      <c r="G44" s="122"/>
    </row>
    <row r="45" spans="1:9" x14ac:dyDescent="0.3">
      <c r="A45" s="4" t="s">
        <v>30</v>
      </c>
      <c r="B45" s="4"/>
      <c r="C45" s="4"/>
      <c r="D45" s="4"/>
      <c r="E45" s="4"/>
      <c r="F45" s="4"/>
      <c r="G45" s="4"/>
    </row>
    <row r="46" spans="1:9" ht="28.5" customHeight="1" x14ac:dyDescent="0.3">
      <c r="A46" s="137" t="s">
        <v>18</v>
      </c>
      <c r="B46" s="137"/>
      <c r="C46" s="137"/>
      <c r="D46" s="137"/>
      <c r="E46" s="137"/>
      <c r="F46" s="137"/>
      <c r="G46" s="137"/>
    </row>
    <row r="47" spans="1:9" ht="33" customHeight="1" x14ac:dyDescent="0.3">
      <c r="A47" s="122" t="s">
        <v>21</v>
      </c>
      <c r="B47" s="122"/>
      <c r="C47" s="122"/>
      <c r="D47" s="122"/>
      <c r="E47" s="122"/>
      <c r="F47" s="122"/>
      <c r="G47" s="122"/>
    </row>
    <row r="48" spans="1:9" ht="33" customHeight="1" x14ac:dyDescent="0.3">
      <c r="A48" s="122" t="s">
        <v>39</v>
      </c>
      <c r="B48" s="122"/>
      <c r="C48" s="122"/>
      <c r="D48" s="122"/>
      <c r="E48" s="122"/>
      <c r="F48" s="122"/>
      <c r="G48" s="122"/>
    </row>
    <row r="49" spans="1:7" x14ac:dyDescent="0.3">
      <c r="A49" s="4"/>
      <c r="B49" s="4"/>
      <c r="C49" s="4"/>
      <c r="D49" s="4"/>
      <c r="E49" s="4"/>
      <c r="F49" s="4"/>
      <c r="G49" s="4"/>
    </row>
    <row r="50" spans="1:7" x14ac:dyDescent="0.3">
      <c r="A50" s="10" t="s">
        <v>20</v>
      </c>
      <c r="B50" s="4"/>
      <c r="C50" s="4"/>
      <c r="D50" s="4"/>
      <c r="E50" s="4"/>
      <c r="F50" s="4"/>
      <c r="G50" s="4"/>
    </row>
    <row r="51" spans="1:7" ht="30" customHeight="1" x14ac:dyDescent="0.3">
      <c r="A51" s="122" t="s">
        <v>40</v>
      </c>
      <c r="B51" s="122"/>
      <c r="C51" s="122"/>
      <c r="D51" s="122"/>
      <c r="E51" s="122"/>
      <c r="F51" s="122"/>
      <c r="G51" s="122"/>
    </row>
    <row r="52" spans="1:7" ht="33" customHeight="1" x14ac:dyDescent="0.3">
      <c r="A52" s="122" t="s">
        <v>22</v>
      </c>
      <c r="B52" s="122"/>
      <c r="C52" s="122"/>
      <c r="D52" s="122"/>
      <c r="E52" s="122"/>
      <c r="F52" s="122"/>
      <c r="G52" s="122"/>
    </row>
    <row r="53" spans="1:7" ht="34.5" customHeight="1" x14ac:dyDescent="0.3">
      <c r="A53" s="122" t="s">
        <v>27</v>
      </c>
      <c r="B53" s="122"/>
      <c r="C53" s="122"/>
      <c r="D53" s="122"/>
      <c r="E53" s="122"/>
      <c r="F53" s="122"/>
      <c r="G53" s="122"/>
    </row>
    <row r="54" spans="1:7" ht="63" customHeight="1" x14ac:dyDescent="0.3">
      <c r="A54" s="122" t="s">
        <v>41</v>
      </c>
      <c r="B54" s="122"/>
      <c r="C54" s="122"/>
      <c r="D54" s="122"/>
      <c r="E54" s="122"/>
      <c r="F54" s="122"/>
      <c r="G54" s="122"/>
    </row>
    <row r="55" spans="1:7" ht="30.75" customHeight="1" x14ac:dyDescent="0.3">
      <c r="A55" s="122" t="s">
        <v>23</v>
      </c>
      <c r="B55" s="122"/>
      <c r="C55" s="122"/>
      <c r="D55" s="122"/>
      <c r="E55" s="122"/>
      <c r="F55" s="122"/>
      <c r="G55" s="122"/>
    </row>
    <row r="56" spans="1:7" ht="43.5" customHeight="1" x14ac:dyDescent="0.3">
      <c r="A56" s="144" t="s">
        <v>28</v>
      </c>
      <c r="B56" s="144"/>
      <c r="C56" s="144"/>
      <c r="D56" s="144"/>
      <c r="E56" s="144"/>
      <c r="F56" s="144"/>
      <c r="G56" s="144"/>
    </row>
    <row r="57" spans="1:7" ht="30" customHeight="1" x14ac:dyDescent="0.3">
      <c r="A57" s="122" t="s">
        <v>42</v>
      </c>
      <c r="B57" s="122"/>
      <c r="C57" s="122"/>
      <c r="D57" s="122"/>
      <c r="E57" s="122"/>
      <c r="F57" s="122"/>
      <c r="G57" s="122"/>
    </row>
    <row r="58" spans="1:7" ht="45" customHeight="1" x14ac:dyDescent="0.3">
      <c r="A58" s="122" t="s">
        <v>43</v>
      </c>
      <c r="B58" s="122"/>
      <c r="C58" s="122"/>
      <c r="D58" s="122"/>
      <c r="E58" s="122"/>
      <c r="F58" s="122"/>
      <c r="G58" s="122"/>
    </row>
    <row r="59" spans="1:7" ht="16.5" customHeight="1" x14ac:dyDescent="0.3">
      <c r="A59" s="67"/>
      <c r="B59" s="67"/>
      <c r="C59" s="67"/>
      <c r="D59" s="67"/>
      <c r="E59" s="67"/>
      <c r="F59" s="67"/>
      <c r="G59" s="67"/>
    </row>
    <row r="60" spans="1:7" x14ac:dyDescent="0.3">
      <c r="A60" s="4"/>
      <c r="B60" s="4"/>
      <c r="C60" s="4"/>
      <c r="D60" s="4"/>
      <c r="E60" s="4"/>
      <c r="F60" s="4"/>
      <c r="G60" s="4"/>
    </row>
    <row r="61" spans="1:7" x14ac:dyDescent="0.3">
      <c r="A61" s="4"/>
      <c r="B61" s="4"/>
      <c r="C61" s="4"/>
      <c r="D61" s="4"/>
      <c r="E61" s="4"/>
      <c r="F61" s="4"/>
      <c r="G61" s="4"/>
    </row>
  </sheetData>
  <mergeCells count="21">
    <mergeCell ref="A57:G57"/>
    <mergeCell ref="A58:G58"/>
    <mergeCell ref="A51:G51"/>
    <mergeCell ref="A52:G52"/>
    <mergeCell ref="A53:G53"/>
    <mergeCell ref="A54:G54"/>
    <mergeCell ref="A55:G55"/>
    <mergeCell ref="A56:G56"/>
    <mergeCell ref="A48:G48"/>
    <mergeCell ref="A1:G1"/>
    <mergeCell ref="A4:A12"/>
    <mergeCell ref="C4:C8"/>
    <mergeCell ref="C9:C12"/>
    <mergeCell ref="A15:A32"/>
    <mergeCell ref="C15:C23"/>
    <mergeCell ref="C24:C32"/>
    <mergeCell ref="A34:A35"/>
    <mergeCell ref="A36:A37"/>
    <mergeCell ref="A44:G44"/>
    <mergeCell ref="A46:G46"/>
    <mergeCell ref="A47:G47"/>
  </mergeCells>
  <pageMargins left="0.31496062992125984" right="0.31496062992125984" top="0.15748031496062992" bottom="0.15748031496062992"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54572-37AD-4B27-8616-4779C53CA1F7}">
  <dimension ref="A1:H61"/>
  <sheetViews>
    <sheetView workbookViewId="0">
      <selection activeCell="H1" sqref="H1:H1048576"/>
    </sheetView>
  </sheetViews>
  <sheetFormatPr defaultColWidth="9.1796875" defaultRowHeight="14" x14ac:dyDescent="0.3"/>
  <cols>
    <col min="1" max="1" width="12.54296875" style="1" customWidth="1"/>
    <col min="2" max="2" width="46.1796875" style="1" customWidth="1"/>
    <col min="3" max="3" width="11.453125" style="1" customWidth="1"/>
    <col min="4" max="5" width="17" style="1" customWidth="1"/>
    <col min="6" max="6" width="14.26953125" style="1" customWidth="1"/>
    <col min="7" max="7" width="16.7265625" style="1" customWidth="1"/>
    <col min="8" max="8" width="0" style="1" hidden="1" customWidth="1"/>
    <col min="9" max="16384" width="9.1796875" style="1"/>
  </cols>
  <sheetData>
    <row r="1" spans="1:8" ht="42" customHeight="1" x14ac:dyDescent="0.35">
      <c r="A1" s="125" t="s">
        <v>73</v>
      </c>
      <c r="B1" s="126"/>
      <c r="C1" s="126"/>
      <c r="D1" s="126"/>
      <c r="E1" s="126"/>
      <c r="F1" s="126"/>
      <c r="G1" s="126"/>
    </row>
    <row r="2" spans="1:8" s="2" customFormat="1" ht="28.5" thickBot="1" x14ac:dyDescent="0.35">
      <c r="A2" s="3" t="s">
        <v>4</v>
      </c>
      <c r="B2" s="29"/>
      <c r="C2" s="30" t="s">
        <v>5</v>
      </c>
      <c r="D2" s="30" t="s">
        <v>1</v>
      </c>
      <c r="E2" s="31" t="s">
        <v>11</v>
      </c>
      <c r="F2" s="30" t="s">
        <v>2</v>
      </c>
      <c r="G2" s="30" t="s">
        <v>3</v>
      </c>
    </row>
    <row r="3" spans="1:8" s="2" customFormat="1" ht="14.5" thickBot="1" x14ac:dyDescent="0.35">
      <c r="A3" s="28" t="s">
        <v>16</v>
      </c>
      <c r="B3" s="47" t="s">
        <v>59</v>
      </c>
      <c r="C3" s="48"/>
      <c r="D3" s="49">
        <f>(D10-D9)*D13</f>
        <v>0</v>
      </c>
      <c r="E3" s="49">
        <f t="shared" ref="E3:G3" si="0">(E10-E9)*E13</f>
        <v>0</v>
      </c>
      <c r="F3" s="49">
        <f t="shared" si="0"/>
        <v>0</v>
      </c>
      <c r="G3" s="50">
        <f t="shared" si="0"/>
        <v>0</v>
      </c>
    </row>
    <row r="4" spans="1:8" x14ac:dyDescent="0.3">
      <c r="A4" s="132" t="s">
        <v>74</v>
      </c>
      <c r="B4" s="43" t="s">
        <v>12</v>
      </c>
      <c r="C4" s="130" t="s">
        <v>6</v>
      </c>
      <c r="D4" s="44">
        <v>13</v>
      </c>
      <c r="E4" s="45"/>
      <c r="F4" s="44"/>
      <c r="G4" s="46"/>
    </row>
    <row r="5" spans="1:8" ht="15" customHeight="1" x14ac:dyDescent="0.3">
      <c r="A5" s="133"/>
      <c r="B5" s="33" t="s">
        <v>56</v>
      </c>
      <c r="C5" s="130"/>
      <c r="D5" s="5">
        <v>4478</v>
      </c>
      <c r="E5" s="5"/>
      <c r="F5" s="5"/>
      <c r="G5" s="32"/>
    </row>
    <row r="6" spans="1:8" x14ac:dyDescent="0.3">
      <c r="A6" s="133"/>
      <c r="B6" s="33" t="s">
        <v>57</v>
      </c>
      <c r="C6" s="130"/>
      <c r="D6" s="5">
        <f>D5+D7-D8</f>
        <v>4478</v>
      </c>
      <c r="E6" s="5">
        <f t="shared" ref="E6:G6" si="1">E5+E7-E8</f>
        <v>0</v>
      </c>
      <c r="F6" s="5">
        <f t="shared" si="1"/>
        <v>0</v>
      </c>
      <c r="G6" s="32">
        <f t="shared" si="1"/>
        <v>0</v>
      </c>
    </row>
    <row r="7" spans="1:8" x14ac:dyDescent="0.3">
      <c r="A7" s="133"/>
      <c r="B7" s="34" t="s">
        <v>52</v>
      </c>
      <c r="C7" s="130"/>
      <c r="D7" s="5"/>
      <c r="E7" s="5"/>
      <c r="F7" s="5"/>
      <c r="G7" s="32"/>
    </row>
    <row r="8" spans="1:8" x14ac:dyDescent="0.3">
      <c r="A8" s="133"/>
      <c r="B8" s="34" t="s">
        <v>53</v>
      </c>
      <c r="C8" s="131"/>
      <c r="D8" s="5"/>
      <c r="E8" s="5"/>
      <c r="F8" s="5"/>
      <c r="G8" s="32"/>
    </row>
    <row r="9" spans="1:8" x14ac:dyDescent="0.3">
      <c r="A9" s="133"/>
      <c r="B9" s="33" t="s">
        <v>50</v>
      </c>
      <c r="C9" s="127" t="s">
        <v>8</v>
      </c>
      <c r="D9" s="5">
        <v>47538</v>
      </c>
      <c r="E9" s="5"/>
      <c r="F9" s="5"/>
      <c r="G9" s="32"/>
    </row>
    <row r="10" spans="1:8" x14ac:dyDescent="0.3">
      <c r="A10" s="133"/>
      <c r="B10" s="33" t="s">
        <v>58</v>
      </c>
      <c r="C10" s="128"/>
      <c r="D10" s="5">
        <f>D9+D11-D12</f>
        <v>47538</v>
      </c>
      <c r="E10" s="5">
        <f t="shared" ref="E10:G10" si="2">E9+E11-E12</f>
        <v>0</v>
      </c>
      <c r="F10" s="5">
        <f t="shared" si="2"/>
        <v>0</v>
      </c>
      <c r="G10" s="32">
        <f t="shared" si="2"/>
        <v>0</v>
      </c>
      <c r="H10" s="82" t="e">
        <f ca="1">atskaites_jedox!AH8</f>
        <v>#NAME?</v>
      </c>
    </row>
    <row r="11" spans="1:8" ht="16.5" customHeight="1" x14ac:dyDescent="0.3">
      <c r="A11" s="133"/>
      <c r="B11" s="35" t="s">
        <v>54</v>
      </c>
      <c r="C11" s="128"/>
      <c r="D11" s="5"/>
      <c r="E11" s="5"/>
      <c r="F11" s="5"/>
      <c r="G11" s="32"/>
    </row>
    <row r="12" spans="1:8" ht="16.5" customHeight="1" x14ac:dyDescent="0.3">
      <c r="A12" s="134"/>
      <c r="B12" s="35" t="s">
        <v>55</v>
      </c>
      <c r="C12" s="129"/>
      <c r="D12" s="5"/>
      <c r="E12" s="5"/>
      <c r="F12" s="5"/>
      <c r="G12" s="32"/>
    </row>
    <row r="13" spans="1:8" ht="28.5" thickBot="1" x14ac:dyDescent="0.35">
      <c r="A13" s="54" t="s">
        <v>74</v>
      </c>
      <c r="B13" s="36" t="s">
        <v>51</v>
      </c>
      <c r="C13" s="37" t="s">
        <v>9</v>
      </c>
      <c r="D13" s="38">
        <v>1.393</v>
      </c>
      <c r="E13" s="38"/>
      <c r="F13" s="38"/>
      <c r="G13" s="39"/>
      <c r="H13" s="83" t="e">
        <f ca="1">atskaites_jedox!AI8</f>
        <v>#NAME?</v>
      </c>
    </row>
    <row r="14" spans="1:8" s="2" customFormat="1" ht="28.5" thickBot="1" x14ac:dyDescent="0.35">
      <c r="A14" s="20" t="s">
        <v>17</v>
      </c>
      <c r="B14" s="24" t="s">
        <v>49</v>
      </c>
      <c r="C14" s="25"/>
      <c r="D14" s="26">
        <f>SUM(D16*D25,D17*D26,D18*D27,D21*D30,D22*D31,D23*D32, D19*D28, D20*D29)</f>
        <v>528.29200000000003</v>
      </c>
      <c r="E14" s="26">
        <f t="shared" ref="E14:G14" si="3">SUM(E16*E25,E17*E26,E18*E27,E21*E30,E22*E31,E23*E32)</f>
        <v>0</v>
      </c>
      <c r="F14" s="26">
        <f t="shared" si="3"/>
        <v>0</v>
      </c>
      <c r="G14" s="27">
        <f t="shared" si="3"/>
        <v>0</v>
      </c>
    </row>
    <row r="15" spans="1:8" s="4" customFormat="1" ht="48.75" customHeight="1" x14ac:dyDescent="0.3">
      <c r="A15" s="141" t="s">
        <v>75</v>
      </c>
      <c r="B15" s="21" t="s">
        <v>47</v>
      </c>
      <c r="C15" s="139" t="s">
        <v>29</v>
      </c>
      <c r="D15" s="22"/>
      <c r="E15" s="22"/>
      <c r="F15" s="22"/>
      <c r="G15" s="23"/>
    </row>
    <row r="16" spans="1:8" s="4" customFormat="1" x14ac:dyDescent="0.3">
      <c r="A16" s="142"/>
      <c r="B16" s="14" t="s">
        <v>64</v>
      </c>
      <c r="C16" s="139"/>
      <c r="D16" s="6">
        <v>13</v>
      </c>
      <c r="E16" s="6"/>
      <c r="F16" s="6"/>
      <c r="G16" s="15"/>
    </row>
    <row r="17" spans="1:7" s="4" customFormat="1" x14ac:dyDescent="0.3">
      <c r="A17" s="142"/>
      <c r="B17" s="14" t="s">
        <v>65</v>
      </c>
      <c r="C17" s="139"/>
      <c r="D17" s="6"/>
      <c r="E17" s="6"/>
      <c r="F17" s="6"/>
      <c r="G17" s="15"/>
    </row>
    <row r="18" spans="1:7" s="4" customFormat="1" ht="18.75" customHeight="1" x14ac:dyDescent="0.3">
      <c r="A18" s="142"/>
      <c r="B18" s="66" t="s">
        <v>19</v>
      </c>
      <c r="C18" s="139"/>
      <c r="D18" s="6"/>
      <c r="E18" s="6"/>
      <c r="F18" s="6"/>
      <c r="G18" s="15"/>
    </row>
    <row r="19" spans="1:7" s="4" customFormat="1" ht="18.75" customHeight="1" x14ac:dyDescent="0.3">
      <c r="A19" s="142"/>
      <c r="B19" s="65" t="s">
        <v>63</v>
      </c>
      <c r="C19" s="139"/>
      <c r="D19" s="6"/>
      <c r="E19" s="6"/>
      <c r="F19" s="6"/>
      <c r="G19" s="15"/>
    </row>
    <row r="20" spans="1:7" s="4" customFormat="1" ht="18.75" customHeight="1" x14ac:dyDescent="0.3">
      <c r="A20" s="142"/>
      <c r="B20" s="65" t="s">
        <v>66</v>
      </c>
      <c r="C20" s="139"/>
      <c r="D20" s="6">
        <v>13</v>
      </c>
      <c r="E20" s="6"/>
      <c r="F20" s="6"/>
      <c r="G20" s="15"/>
    </row>
    <row r="21" spans="1:7" s="4" customFormat="1" x14ac:dyDescent="0.3">
      <c r="A21" s="142"/>
      <c r="B21" s="14" t="s">
        <v>67</v>
      </c>
      <c r="C21" s="139"/>
      <c r="D21" s="6">
        <v>318</v>
      </c>
      <c r="E21" s="6"/>
      <c r="F21" s="6"/>
      <c r="G21" s="15"/>
    </row>
    <row r="22" spans="1:7" s="4" customFormat="1" ht="17.25" customHeight="1" x14ac:dyDescent="0.3">
      <c r="A22" s="142"/>
      <c r="B22" s="16" t="s">
        <v>25</v>
      </c>
      <c r="C22" s="139"/>
      <c r="D22" s="6"/>
      <c r="E22" s="6"/>
      <c r="F22" s="6"/>
      <c r="G22" s="15"/>
    </row>
    <row r="23" spans="1:7" s="4" customFormat="1" ht="14.5" thickBot="1" x14ac:dyDescent="0.35">
      <c r="A23" s="142"/>
      <c r="B23" s="17" t="s">
        <v>14</v>
      </c>
      <c r="C23" s="140"/>
      <c r="D23" s="18"/>
      <c r="E23" s="18"/>
      <c r="F23" s="18"/>
      <c r="G23" s="19"/>
    </row>
    <row r="24" spans="1:7" s="4" customFormat="1" ht="28" x14ac:dyDescent="0.3">
      <c r="A24" s="142"/>
      <c r="B24" s="11" t="s">
        <v>48</v>
      </c>
      <c r="C24" s="138" t="s">
        <v>34</v>
      </c>
      <c r="D24" s="12"/>
      <c r="E24" s="12"/>
      <c r="F24" s="12"/>
      <c r="G24" s="13"/>
    </row>
    <row r="25" spans="1:7" s="4" customFormat="1" x14ac:dyDescent="0.3">
      <c r="A25" s="142"/>
      <c r="B25" s="14" t="s">
        <v>0</v>
      </c>
      <c r="C25" s="139"/>
      <c r="D25" s="6">
        <v>4.12</v>
      </c>
      <c r="E25" s="6"/>
      <c r="F25" s="6"/>
      <c r="G25" s="15"/>
    </row>
    <row r="26" spans="1:7" s="4" customFormat="1" x14ac:dyDescent="0.3">
      <c r="A26" s="142"/>
      <c r="B26" s="14" t="s">
        <v>13</v>
      </c>
      <c r="C26" s="139"/>
      <c r="D26" s="6">
        <v>1.25</v>
      </c>
      <c r="E26" s="6"/>
      <c r="F26" s="6"/>
      <c r="G26" s="15"/>
    </row>
    <row r="27" spans="1:7" s="4" customFormat="1" ht="15" customHeight="1" x14ac:dyDescent="0.3">
      <c r="A27" s="142"/>
      <c r="B27" s="16" t="s">
        <v>19</v>
      </c>
      <c r="C27" s="139"/>
      <c r="D27" s="6"/>
      <c r="E27" s="6"/>
      <c r="F27" s="6"/>
      <c r="G27" s="15"/>
    </row>
    <row r="28" spans="1:7" s="4" customFormat="1" ht="15" customHeight="1" x14ac:dyDescent="0.3">
      <c r="A28" s="142"/>
      <c r="B28" s="65" t="s">
        <v>32</v>
      </c>
      <c r="C28" s="139"/>
      <c r="D28" s="6"/>
      <c r="E28" s="6"/>
      <c r="F28" s="6"/>
      <c r="G28" s="15"/>
    </row>
    <row r="29" spans="1:7" s="4" customFormat="1" ht="15" customHeight="1" x14ac:dyDescent="0.3">
      <c r="A29" s="142"/>
      <c r="B29" s="65" t="s">
        <v>33</v>
      </c>
      <c r="C29" s="139"/>
      <c r="D29" s="6">
        <v>1.44</v>
      </c>
      <c r="E29" s="6"/>
      <c r="F29" s="6"/>
      <c r="G29" s="15"/>
    </row>
    <row r="30" spans="1:7" s="4" customFormat="1" ht="31.5" customHeight="1" x14ac:dyDescent="0.3">
      <c r="A30" s="142"/>
      <c r="B30" s="16" t="s">
        <v>24</v>
      </c>
      <c r="C30" s="139"/>
      <c r="D30" s="6">
        <v>1.4339999999999999</v>
      </c>
      <c r="E30" s="6"/>
      <c r="F30" s="6"/>
      <c r="G30" s="15"/>
    </row>
    <row r="31" spans="1:7" s="4" customFormat="1" ht="33" customHeight="1" x14ac:dyDescent="0.3">
      <c r="A31" s="142"/>
      <c r="B31" s="16" t="s">
        <v>26</v>
      </c>
      <c r="C31" s="139"/>
      <c r="D31" s="6"/>
      <c r="E31" s="6"/>
      <c r="F31" s="6"/>
      <c r="G31" s="15"/>
    </row>
    <row r="32" spans="1:7" ht="14.5" thickBot="1" x14ac:dyDescent="0.35">
      <c r="A32" s="143"/>
      <c r="B32" s="17" t="s">
        <v>14</v>
      </c>
      <c r="C32" s="140"/>
      <c r="D32" s="18"/>
      <c r="E32" s="18"/>
      <c r="F32" s="18"/>
      <c r="G32" s="19"/>
    </row>
    <row r="33" spans="1:8" s="2" customFormat="1" x14ac:dyDescent="0.3">
      <c r="A33" s="40" t="s">
        <v>35</v>
      </c>
      <c r="B33" s="55" t="s">
        <v>61</v>
      </c>
      <c r="C33" s="56"/>
      <c r="D33" s="57">
        <f>((D36/D37)-(D34/D35))*D35</f>
        <v>7553.3294786411307</v>
      </c>
      <c r="E33" s="57" t="e">
        <f>((E36/E37)-(E35/#REF!))*#REF!</f>
        <v>#DIV/0!</v>
      </c>
      <c r="F33" s="57" t="e">
        <f t="shared" ref="F33:G33" si="4">((F36/F37)-(F34/F35))*F35</f>
        <v>#DIV/0!</v>
      </c>
      <c r="G33" s="58" t="e">
        <f t="shared" si="4"/>
        <v>#DIV/0!</v>
      </c>
    </row>
    <row r="34" spans="1:8" ht="56" x14ac:dyDescent="0.3">
      <c r="A34" s="123" t="s">
        <v>74</v>
      </c>
      <c r="B34" s="59" t="s">
        <v>44</v>
      </c>
      <c r="C34" s="53" t="s">
        <v>38</v>
      </c>
      <c r="D34" s="9">
        <v>12195.51</v>
      </c>
      <c r="E34" s="68"/>
      <c r="F34" s="8"/>
      <c r="G34" s="60"/>
      <c r="H34" s="82" t="e">
        <f ca="1">atskaites_jedox!AG8</f>
        <v>#NAME?</v>
      </c>
    </row>
    <row r="35" spans="1:8" x14ac:dyDescent="0.3">
      <c r="A35" s="124"/>
      <c r="B35" s="59" t="s">
        <v>60</v>
      </c>
      <c r="C35" s="53" t="s">
        <v>8</v>
      </c>
      <c r="D35" s="9">
        <v>47538</v>
      </c>
      <c r="E35" s="8"/>
      <c r="F35" s="8"/>
      <c r="G35" s="60"/>
      <c r="H35" s="82" t="e">
        <f ca="1">atskaites_jedox!AH8</f>
        <v>#NAME?</v>
      </c>
    </row>
    <row r="36" spans="1:8" ht="56" x14ac:dyDescent="0.3">
      <c r="A36" s="123" t="s">
        <v>76</v>
      </c>
      <c r="B36" s="59" t="s">
        <v>45</v>
      </c>
      <c r="C36" s="53" t="s">
        <v>38</v>
      </c>
      <c r="D36" s="9">
        <v>20025.849999999999</v>
      </c>
      <c r="E36" s="8"/>
      <c r="F36" s="8"/>
      <c r="G36" s="60"/>
      <c r="H36" s="82" t="e">
        <f ca="1">atskaites_jedox!I8</f>
        <v>#NAME?</v>
      </c>
    </row>
    <row r="37" spans="1:8" ht="14.5" thickBot="1" x14ac:dyDescent="0.35">
      <c r="A37" s="124"/>
      <c r="B37" s="61" t="s">
        <v>46</v>
      </c>
      <c r="C37" s="51" t="s">
        <v>8</v>
      </c>
      <c r="D37" s="62">
        <v>48204.800000000003</v>
      </c>
      <c r="E37" s="41"/>
      <c r="F37" s="41"/>
      <c r="G37" s="42"/>
      <c r="H37" s="82" t="e">
        <f ca="1">atskaites_jedox!J8</f>
        <v>#NAME?</v>
      </c>
    </row>
    <row r="38" spans="1:8" x14ac:dyDescent="0.3">
      <c r="A38" s="1" t="s">
        <v>72</v>
      </c>
    </row>
    <row r="40" spans="1:8" ht="14.5" thickBot="1" x14ac:dyDescent="0.35">
      <c r="B40" s="64" t="s">
        <v>62</v>
      </c>
      <c r="C40" s="63"/>
      <c r="D40" s="63"/>
      <c r="E40" s="63"/>
      <c r="F40" s="63"/>
      <c r="G40" s="63"/>
    </row>
    <row r="41" spans="1:8" ht="14.5" thickTop="1" x14ac:dyDescent="0.3"/>
    <row r="43" spans="1:8" x14ac:dyDescent="0.3">
      <c r="A43" s="1" t="s">
        <v>10</v>
      </c>
    </row>
    <row r="44" spans="1:8" ht="33" customHeight="1" x14ac:dyDescent="0.3">
      <c r="A44" s="122" t="s">
        <v>31</v>
      </c>
      <c r="B44" s="122"/>
      <c r="C44" s="122"/>
      <c r="D44" s="122"/>
      <c r="E44" s="122"/>
      <c r="F44" s="122"/>
      <c r="G44" s="122"/>
    </row>
    <row r="45" spans="1:8" x14ac:dyDescent="0.3">
      <c r="A45" s="4" t="s">
        <v>30</v>
      </c>
      <c r="B45" s="4"/>
      <c r="C45" s="4"/>
      <c r="D45" s="4"/>
      <c r="E45" s="4"/>
      <c r="F45" s="4"/>
      <c r="G45" s="4"/>
    </row>
    <row r="46" spans="1:8" ht="28.5" customHeight="1" x14ac:dyDescent="0.3">
      <c r="A46" s="137" t="s">
        <v>18</v>
      </c>
      <c r="B46" s="137"/>
      <c r="C46" s="137"/>
      <c r="D46" s="137"/>
      <c r="E46" s="137"/>
      <c r="F46" s="137"/>
      <c r="G46" s="137"/>
    </row>
    <row r="47" spans="1:8" ht="33" customHeight="1" x14ac:dyDescent="0.3">
      <c r="A47" s="122" t="s">
        <v>21</v>
      </c>
      <c r="B47" s="122"/>
      <c r="C47" s="122"/>
      <c r="D47" s="122"/>
      <c r="E47" s="122"/>
      <c r="F47" s="122"/>
      <c r="G47" s="122"/>
    </row>
    <row r="48" spans="1:8" ht="33" customHeight="1" x14ac:dyDescent="0.3">
      <c r="A48" s="122" t="s">
        <v>39</v>
      </c>
      <c r="B48" s="122"/>
      <c r="C48" s="122"/>
      <c r="D48" s="122"/>
      <c r="E48" s="122"/>
      <c r="F48" s="122"/>
      <c r="G48" s="122"/>
    </row>
    <row r="49" spans="1:7" x14ac:dyDescent="0.3">
      <c r="A49" s="4"/>
      <c r="B49" s="4"/>
      <c r="C49" s="4"/>
      <c r="D49" s="4"/>
      <c r="E49" s="4"/>
      <c r="F49" s="4"/>
      <c r="G49" s="4"/>
    </row>
    <row r="50" spans="1:7" x14ac:dyDescent="0.3">
      <c r="A50" s="10" t="s">
        <v>20</v>
      </c>
      <c r="B50" s="4"/>
      <c r="C50" s="4"/>
      <c r="D50" s="4"/>
      <c r="E50" s="4"/>
      <c r="F50" s="4"/>
      <c r="G50" s="4"/>
    </row>
    <row r="51" spans="1:7" ht="30" customHeight="1" x14ac:dyDescent="0.3">
      <c r="A51" s="122" t="s">
        <v>40</v>
      </c>
      <c r="B51" s="122"/>
      <c r="C51" s="122"/>
      <c r="D51" s="122"/>
      <c r="E51" s="122"/>
      <c r="F51" s="122"/>
      <c r="G51" s="122"/>
    </row>
    <row r="52" spans="1:7" ht="33" customHeight="1" x14ac:dyDescent="0.3">
      <c r="A52" s="122" t="s">
        <v>22</v>
      </c>
      <c r="B52" s="122"/>
      <c r="C52" s="122"/>
      <c r="D52" s="122"/>
      <c r="E52" s="122"/>
      <c r="F52" s="122"/>
      <c r="G52" s="122"/>
    </row>
    <row r="53" spans="1:7" ht="34.5" customHeight="1" x14ac:dyDescent="0.3">
      <c r="A53" s="122" t="s">
        <v>27</v>
      </c>
      <c r="B53" s="122"/>
      <c r="C53" s="122"/>
      <c r="D53" s="122"/>
      <c r="E53" s="122"/>
      <c r="F53" s="122"/>
      <c r="G53" s="122"/>
    </row>
    <row r="54" spans="1:7" ht="63" customHeight="1" x14ac:dyDescent="0.3">
      <c r="A54" s="122" t="s">
        <v>41</v>
      </c>
      <c r="B54" s="122"/>
      <c r="C54" s="122"/>
      <c r="D54" s="122"/>
      <c r="E54" s="122"/>
      <c r="F54" s="122"/>
      <c r="G54" s="122"/>
    </row>
    <row r="55" spans="1:7" ht="30.75" customHeight="1" x14ac:dyDescent="0.3">
      <c r="A55" s="122" t="s">
        <v>23</v>
      </c>
      <c r="B55" s="122"/>
      <c r="C55" s="122"/>
      <c r="D55" s="122"/>
      <c r="E55" s="122"/>
      <c r="F55" s="122"/>
      <c r="G55" s="122"/>
    </row>
    <row r="56" spans="1:7" ht="43.5" customHeight="1" x14ac:dyDescent="0.3">
      <c r="A56" s="144" t="s">
        <v>28</v>
      </c>
      <c r="B56" s="144"/>
      <c r="C56" s="144"/>
      <c r="D56" s="144"/>
      <c r="E56" s="144"/>
      <c r="F56" s="144"/>
      <c r="G56" s="144"/>
    </row>
    <row r="57" spans="1:7" ht="30" customHeight="1" x14ac:dyDescent="0.3">
      <c r="A57" s="122" t="s">
        <v>42</v>
      </c>
      <c r="B57" s="122"/>
      <c r="C57" s="122"/>
      <c r="D57" s="122"/>
      <c r="E57" s="122"/>
      <c r="F57" s="122"/>
      <c r="G57" s="122"/>
    </row>
    <row r="58" spans="1:7" ht="45" customHeight="1" x14ac:dyDescent="0.3">
      <c r="A58" s="122" t="s">
        <v>43</v>
      </c>
      <c r="B58" s="122"/>
      <c r="C58" s="122"/>
      <c r="D58" s="122"/>
      <c r="E58" s="122"/>
      <c r="F58" s="122"/>
      <c r="G58" s="122"/>
    </row>
    <row r="59" spans="1:7" ht="16.5" customHeight="1" x14ac:dyDescent="0.3">
      <c r="A59" s="67"/>
      <c r="B59" s="67"/>
      <c r="C59" s="67"/>
      <c r="D59" s="67"/>
      <c r="E59" s="67"/>
      <c r="F59" s="67"/>
      <c r="G59" s="67"/>
    </row>
    <row r="60" spans="1:7" x14ac:dyDescent="0.3">
      <c r="A60" s="4"/>
      <c r="B60" s="4"/>
      <c r="C60" s="4"/>
      <c r="D60" s="4"/>
      <c r="E60" s="4"/>
      <c r="F60" s="4"/>
      <c r="G60" s="4"/>
    </row>
    <row r="61" spans="1:7" x14ac:dyDescent="0.3">
      <c r="A61" s="4"/>
      <c r="B61" s="4"/>
      <c r="C61" s="4"/>
      <c r="D61" s="4"/>
      <c r="E61" s="4"/>
      <c r="F61" s="4"/>
      <c r="G61" s="4"/>
    </row>
  </sheetData>
  <mergeCells count="21">
    <mergeCell ref="A57:G57"/>
    <mergeCell ref="A58:G58"/>
    <mergeCell ref="A51:G51"/>
    <mergeCell ref="A52:G52"/>
    <mergeCell ref="A53:G53"/>
    <mergeCell ref="A54:G54"/>
    <mergeCell ref="A55:G55"/>
    <mergeCell ref="A56:G56"/>
    <mergeCell ref="A48:G48"/>
    <mergeCell ref="A1:G1"/>
    <mergeCell ref="A4:A12"/>
    <mergeCell ref="C4:C8"/>
    <mergeCell ref="C9:C12"/>
    <mergeCell ref="A15:A32"/>
    <mergeCell ref="C15:C23"/>
    <mergeCell ref="C24:C32"/>
    <mergeCell ref="A34:A35"/>
    <mergeCell ref="A36:A37"/>
    <mergeCell ref="A44:G44"/>
    <mergeCell ref="A46:G46"/>
    <mergeCell ref="A47:G47"/>
  </mergeCells>
  <pageMargins left="0.31496062992125984" right="0.31496062992125984" top="0.15748031496062992" bottom="0.15748031496062992"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DF589-53E3-4679-8016-BB2E8C320EFE}">
  <dimension ref="A1:J61"/>
  <sheetViews>
    <sheetView workbookViewId="0">
      <selection activeCell="N12" sqref="N12"/>
    </sheetView>
  </sheetViews>
  <sheetFormatPr defaultColWidth="9.1796875" defaultRowHeight="14" x14ac:dyDescent="0.3"/>
  <cols>
    <col min="1" max="1" width="12.54296875" style="1" customWidth="1"/>
    <col min="2" max="2" width="46.1796875" style="1" customWidth="1"/>
    <col min="3" max="3" width="11.453125" style="1" customWidth="1"/>
    <col min="4" max="5" width="17" style="1" customWidth="1"/>
    <col min="6" max="6" width="14.26953125" style="1" customWidth="1"/>
    <col min="7" max="7" width="16.7265625" style="1" customWidth="1"/>
    <col min="8" max="10" width="0" style="1" hidden="1" customWidth="1"/>
    <col min="11" max="16384" width="9.1796875" style="1"/>
  </cols>
  <sheetData>
    <row r="1" spans="1:8" ht="42" customHeight="1" x14ac:dyDescent="0.35">
      <c r="A1" s="126" t="s">
        <v>77</v>
      </c>
      <c r="B1" s="126"/>
      <c r="C1" s="126"/>
      <c r="D1" s="126"/>
      <c r="E1" s="126"/>
      <c r="F1" s="126"/>
      <c r="G1" s="126"/>
    </row>
    <row r="2" spans="1:8" s="2" customFormat="1" ht="28.5" thickBot="1" x14ac:dyDescent="0.35">
      <c r="A2" s="3" t="s">
        <v>4</v>
      </c>
      <c r="B2" s="29"/>
      <c r="C2" s="30" t="s">
        <v>5</v>
      </c>
      <c r="D2" s="30" t="s">
        <v>1</v>
      </c>
      <c r="E2" s="31" t="s">
        <v>11</v>
      </c>
      <c r="F2" s="30" t="s">
        <v>2</v>
      </c>
      <c r="G2" s="30" t="s">
        <v>3</v>
      </c>
    </row>
    <row r="3" spans="1:8" s="2" customFormat="1" ht="14.5" thickBot="1" x14ac:dyDescent="0.35">
      <c r="A3" s="28" t="s">
        <v>16</v>
      </c>
      <c r="B3" s="47" t="s">
        <v>59</v>
      </c>
      <c r="C3" s="48"/>
      <c r="D3" s="49">
        <f>(D10-D9)*D13</f>
        <v>0</v>
      </c>
      <c r="E3" s="49">
        <f t="shared" ref="E3:G3" si="0">(E10-E9)*E13</f>
        <v>0</v>
      </c>
      <c r="F3" s="49">
        <f t="shared" si="0"/>
        <v>0</v>
      </c>
      <c r="G3" s="50">
        <f t="shared" si="0"/>
        <v>0</v>
      </c>
    </row>
    <row r="4" spans="1:8" x14ac:dyDescent="0.3">
      <c r="A4" s="132" t="s">
        <v>78</v>
      </c>
      <c r="B4" s="43" t="s">
        <v>12</v>
      </c>
      <c r="C4" s="130" t="s">
        <v>6</v>
      </c>
      <c r="D4" s="44">
        <v>12</v>
      </c>
      <c r="E4" s="45"/>
      <c r="F4" s="44"/>
      <c r="G4" s="46"/>
    </row>
    <row r="5" spans="1:8" ht="15" customHeight="1" x14ac:dyDescent="0.3">
      <c r="A5" s="133"/>
      <c r="B5" s="33" t="s">
        <v>56</v>
      </c>
      <c r="C5" s="130"/>
      <c r="D5" s="5">
        <v>4140</v>
      </c>
      <c r="E5" s="5"/>
      <c r="F5" s="5"/>
      <c r="G5" s="32"/>
    </row>
    <row r="6" spans="1:8" x14ac:dyDescent="0.3">
      <c r="A6" s="133"/>
      <c r="B6" s="33" t="s">
        <v>57</v>
      </c>
      <c r="C6" s="130"/>
      <c r="D6" s="5">
        <f>D5+D7-D8</f>
        <v>4140</v>
      </c>
      <c r="E6" s="5">
        <f t="shared" ref="E6:G6" si="1">E5+E7-E8</f>
        <v>0</v>
      </c>
      <c r="F6" s="5">
        <f t="shared" si="1"/>
        <v>0</v>
      </c>
      <c r="G6" s="32">
        <f t="shared" si="1"/>
        <v>0</v>
      </c>
    </row>
    <row r="7" spans="1:8" x14ac:dyDescent="0.3">
      <c r="A7" s="133"/>
      <c r="B7" s="34" t="s">
        <v>52</v>
      </c>
      <c r="C7" s="130"/>
      <c r="D7" s="5"/>
      <c r="E7" s="5"/>
      <c r="F7" s="5"/>
      <c r="G7" s="32"/>
    </row>
    <row r="8" spans="1:8" x14ac:dyDescent="0.3">
      <c r="A8" s="133"/>
      <c r="B8" s="34" t="s">
        <v>53</v>
      </c>
      <c r="C8" s="131"/>
      <c r="D8" s="5"/>
      <c r="E8" s="5"/>
      <c r="F8" s="5"/>
      <c r="G8" s="32"/>
    </row>
    <row r="9" spans="1:8" x14ac:dyDescent="0.3">
      <c r="A9" s="133"/>
      <c r="B9" s="33" t="s">
        <v>50</v>
      </c>
      <c r="C9" s="127" t="s">
        <v>8</v>
      </c>
      <c r="D9" s="5">
        <v>44979</v>
      </c>
      <c r="E9" s="5"/>
      <c r="F9" s="5"/>
      <c r="G9" s="32"/>
    </row>
    <row r="10" spans="1:8" x14ac:dyDescent="0.3">
      <c r="A10" s="133"/>
      <c r="B10" s="33" t="s">
        <v>58</v>
      </c>
      <c r="C10" s="128"/>
      <c r="D10" s="5">
        <f>D9+D11-D12</f>
        <v>44979</v>
      </c>
      <c r="E10" s="5">
        <f t="shared" ref="E10:G10" si="2">E9+E11-E12</f>
        <v>0</v>
      </c>
      <c r="F10" s="5">
        <f t="shared" si="2"/>
        <v>0</v>
      </c>
      <c r="G10" s="32">
        <f t="shared" si="2"/>
        <v>0</v>
      </c>
      <c r="H10" s="82" t="e">
        <f ca="1">atskaites_jedox!AK8</f>
        <v>#NAME?</v>
      </c>
    </row>
    <row r="11" spans="1:8" ht="16.5" customHeight="1" x14ac:dyDescent="0.3">
      <c r="A11" s="133"/>
      <c r="B11" s="35" t="s">
        <v>54</v>
      </c>
      <c r="C11" s="128"/>
      <c r="D11" s="5"/>
      <c r="E11" s="5"/>
      <c r="F11" s="5"/>
      <c r="G11" s="32"/>
    </row>
    <row r="12" spans="1:8" ht="16.5" customHeight="1" x14ac:dyDescent="0.3">
      <c r="A12" s="134"/>
      <c r="B12" s="35" t="s">
        <v>55</v>
      </c>
      <c r="C12" s="129"/>
      <c r="D12" s="5"/>
      <c r="E12" s="5"/>
      <c r="F12" s="5"/>
      <c r="G12" s="32"/>
    </row>
    <row r="13" spans="1:8" ht="28.5" thickBot="1" x14ac:dyDescent="0.35">
      <c r="A13" s="54" t="s">
        <v>78</v>
      </c>
      <c r="B13" s="36" t="s">
        <v>51</v>
      </c>
      <c r="C13" s="37" t="s">
        <v>9</v>
      </c>
      <c r="D13" s="38">
        <v>1.4311</v>
      </c>
      <c r="E13" s="38"/>
      <c r="F13" s="38"/>
      <c r="G13" s="39"/>
      <c r="H13" s="83" t="e">
        <f ca="1">atskaites_jedox!AL8</f>
        <v>#NAME?</v>
      </c>
    </row>
    <row r="14" spans="1:8" s="2" customFormat="1" ht="28.5" thickBot="1" x14ac:dyDescent="0.35">
      <c r="A14" s="20" t="s">
        <v>17</v>
      </c>
      <c r="B14" s="24" t="s">
        <v>49</v>
      </c>
      <c r="C14" s="25"/>
      <c r="D14" s="26">
        <f>SUM(D16*D25,D17*D26,D18*D27,D21*D30,D22*D31,D23*D32, D19*D28, D20*D29)</f>
        <v>508.39199999999994</v>
      </c>
      <c r="E14" s="26">
        <f t="shared" ref="E14:G14" si="3">SUM(E16*E25,E17*E26,E18*E27,E21*E30,E22*E31,E23*E32)</f>
        <v>0</v>
      </c>
      <c r="F14" s="26">
        <f t="shared" si="3"/>
        <v>0</v>
      </c>
      <c r="G14" s="27">
        <f t="shared" si="3"/>
        <v>0</v>
      </c>
    </row>
    <row r="15" spans="1:8" s="4" customFormat="1" ht="48.75" customHeight="1" x14ac:dyDescent="0.3">
      <c r="A15" s="145" t="s">
        <v>78</v>
      </c>
      <c r="B15" s="21" t="s">
        <v>47</v>
      </c>
      <c r="C15" s="138" t="s">
        <v>29</v>
      </c>
      <c r="D15" s="22"/>
      <c r="E15" s="22"/>
      <c r="F15" s="22"/>
      <c r="G15" s="23"/>
    </row>
    <row r="16" spans="1:8" s="4" customFormat="1" x14ac:dyDescent="0.3">
      <c r="A16" s="146"/>
      <c r="B16" s="14" t="s">
        <v>64</v>
      </c>
      <c r="C16" s="139"/>
      <c r="D16" s="6">
        <v>12</v>
      </c>
      <c r="E16" s="6"/>
      <c r="F16" s="6"/>
      <c r="G16" s="15"/>
    </row>
    <row r="17" spans="1:7" s="4" customFormat="1" x14ac:dyDescent="0.3">
      <c r="A17" s="146"/>
      <c r="B17" s="14" t="s">
        <v>65</v>
      </c>
      <c r="C17" s="139"/>
      <c r="D17" s="6"/>
      <c r="E17" s="6"/>
      <c r="F17" s="6"/>
      <c r="G17" s="15"/>
    </row>
    <row r="18" spans="1:7" s="4" customFormat="1" ht="18.75" customHeight="1" x14ac:dyDescent="0.3">
      <c r="A18" s="146"/>
      <c r="B18" s="66" t="s">
        <v>19</v>
      </c>
      <c r="C18" s="139"/>
      <c r="D18" s="6"/>
      <c r="E18" s="6"/>
      <c r="F18" s="6"/>
      <c r="G18" s="15"/>
    </row>
    <row r="19" spans="1:7" s="4" customFormat="1" ht="18.75" customHeight="1" x14ac:dyDescent="0.3">
      <c r="A19" s="146"/>
      <c r="B19" s="65" t="s">
        <v>63</v>
      </c>
      <c r="C19" s="139"/>
      <c r="D19" s="6"/>
      <c r="E19" s="6"/>
      <c r="F19" s="6"/>
      <c r="G19" s="15"/>
    </row>
    <row r="20" spans="1:7" s="4" customFormat="1" ht="18.75" customHeight="1" x14ac:dyDescent="0.3">
      <c r="A20" s="146"/>
      <c r="B20" s="65" t="s">
        <v>66</v>
      </c>
      <c r="C20" s="139"/>
      <c r="D20" s="6">
        <v>12</v>
      </c>
      <c r="E20" s="6"/>
      <c r="F20" s="6"/>
      <c r="G20" s="15"/>
    </row>
    <row r="21" spans="1:7" s="4" customFormat="1" x14ac:dyDescent="0.3">
      <c r="A21" s="146"/>
      <c r="B21" s="14" t="s">
        <v>67</v>
      </c>
      <c r="C21" s="139"/>
      <c r="D21" s="6">
        <v>308</v>
      </c>
      <c r="E21" s="6"/>
      <c r="F21" s="6"/>
      <c r="G21" s="15"/>
    </row>
    <row r="22" spans="1:7" s="4" customFormat="1" ht="17.25" customHeight="1" x14ac:dyDescent="0.3">
      <c r="A22" s="146"/>
      <c r="B22" s="16" t="s">
        <v>25</v>
      </c>
      <c r="C22" s="139"/>
      <c r="D22" s="6"/>
      <c r="E22" s="6"/>
      <c r="F22" s="6"/>
      <c r="G22" s="15"/>
    </row>
    <row r="23" spans="1:7" s="4" customFormat="1" ht="14.5" thickBot="1" x14ac:dyDescent="0.35">
      <c r="A23" s="146"/>
      <c r="B23" s="17" t="s">
        <v>14</v>
      </c>
      <c r="C23" s="140"/>
      <c r="D23" s="18"/>
      <c r="E23" s="18"/>
      <c r="F23" s="18"/>
      <c r="G23" s="19"/>
    </row>
    <row r="24" spans="1:7" s="4" customFormat="1" ht="28" x14ac:dyDescent="0.3">
      <c r="A24" s="146"/>
      <c r="B24" s="11" t="s">
        <v>48</v>
      </c>
      <c r="C24" s="138" t="s">
        <v>34</v>
      </c>
      <c r="D24" s="12"/>
      <c r="E24" s="12"/>
      <c r="F24" s="12"/>
      <c r="G24" s="13"/>
    </row>
    <row r="25" spans="1:7" s="4" customFormat="1" x14ac:dyDescent="0.3">
      <c r="A25" s="146"/>
      <c r="B25" s="14" t="s">
        <v>0</v>
      </c>
      <c r="C25" s="139"/>
      <c r="D25" s="6">
        <v>4.12</v>
      </c>
      <c r="E25" s="6"/>
      <c r="F25" s="6"/>
      <c r="G25" s="15"/>
    </row>
    <row r="26" spans="1:7" s="4" customFormat="1" x14ac:dyDescent="0.3">
      <c r="A26" s="146"/>
      <c r="B26" s="14" t="s">
        <v>13</v>
      </c>
      <c r="C26" s="139"/>
      <c r="D26" s="6">
        <v>1.25</v>
      </c>
      <c r="E26" s="6"/>
      <c r="F26" s="6"/>
      <c r="G26" s="15"/>
    </row>
    <row r="27" spans="1:7" s="4" customFormat="1" ht="15" customHeight="1" x14ac:dyDescent="0.3">
      <c r="A27" s="146"/>
      <c r="B27" s="16" t="s">
        <v>19</v>
      </c>
      <c r="C27" s="139"/>
      <c r="D27" s="6"/>
      <c r="E27" s="6"/>
      <c r="F27" s="6"/>
      <c r="G27" s="15"/>
    </row>
    <row r="28" spans="1:7" s="4" customFormat="1" ht="15" customHeight="1" x14ac:dyDescent="0.3">
      <c r="A28" s="146"/>
      <c r="B28" s="65" t="s">
        <v>32</v>
      </c>
      <c r="C28" s="139"/>
      <c r="D28" s="6"/>
      <c r="E28" s="6"/>
      <c r="F28" s="6"/>
      <c r="G28" s="15"/>
    </row>
    <row r="29" spans="1:7" s="4" customFormat="1" ht="15" customHeight="1" x14ac:dyDescent="0.3">
      <c r="A29" s="146"/>
      <c r="B29" s="65" t="s">
        <v>33</v>
      </c>
      <c r="C29" s="139"/>
      <c r="D29" s="6">
        <v>1.44</v>
      </c>
      <c r="E29" s="6"/>
      <c r="F29" s="6"/>
      <c r="G29" s="15"/>
    </row>
    <row r="30" spans="1:7" s="4" customFormat="1" ht="31.5" customHeight="1" x14ac:dyDescent="0.3">
      <c r="A30" s="146"/>
      <c r="B30" s="16" t="s">
        <v>24</v>
      </c>
      <c r="C30" s="139"/>
      <c r="D30" s="6">
        <v>1.4339999999999999</v>
      </c>
      <c r="E30" s="6"/>
      <c r="F30" s="6"/>
      <c r="G30" s="15"/>
    </row>
    <row r="31" spans="1:7" s="4" customFormat="1" ht="33" customHeight="1" x14ac:dyDescent="0.3">
      <c r="A31" s="146"/>
      <c r="B31" s="16" t="s">
        <v>26</v>
      </c>
      <c r="C31" s="139"/>
      <c r="D31" s="6"/>
      <c r="E31" s="6"/>
      <c r="F31" s="6"/>
      <c r="G31" s="15"/>
    </row>
    <row r="32" spans="1:7" ht="14.5" thickBot="1" x14ac:dyDescent="0.35">
      <c r="A32" s="147"/>
      <c r="B32" s="17" t="s">
        <v>14</v>
      </c>
      <c r="C32" s="140"/>
      <c r="D32" s="18"/>
      <c r="E32" s="18"/>
      <c r="F32" s="18"/>
      <c r="G32" s="19"/>
    </row>
    <row r="33" spans="1:10" s="2" customFormat="1" x14ac:dyDescent="0.3">
      <c r="A33" s="40" t="s">
        <v>35</v>
      </c>
      <c r="B33" s="55" t="s">
        <v>61</v>
      </c>
      <c r="C33" s="56"/>
      <c r="D33" s="57">
        <f>((D36/D37)-(D34/D35))*D35</f>
        <v>9210.1680068279293</v>
      </c>
      <c r="E33" s="57" t="e">
        <f>((E36/E37)-(E35/#REF!))*#REF!</f>
        <v>#DIV/0!</v>
      </c>
      <c r="F33" s="57" t="e">
        <f t="shared" ref="F33:G33" si="4">((F36/F37)-(F34/F35))*F35</f>
        <v>#DIV/0!</v>
      </c>
      <c r="G33" s="58" t="e">
        <f t="shared" si="4"/>
        <v>#DIV/0!</v>
      </c>
    </row>
    <row r="34" spans="1:10" ht="56" x14ac:dyDescent="0.3">
      <c r="A34" s="123" t="s">
        <v>78</v>
      </c>
      <c r="B34" s="59" t="s">
        <v>44</v>
      </c>
      <c r="C34" s="53" t="s">
        <v>38</v>
      </c>
      <c r="D34" s="9">
        <v>8217.68</v>
      </c>
      <c r="E34" s="68"/>
      <c r="F34" s="8"/>
      <c r="G34" s="60"/>
      <c r="H34" s="82" t="e">
        <f ca="1">atskaites_jedox!AJ8</f>
        <v>#NAME?</v>
      </c>
    </row>
    <row r="35" spans="1:10" x14ac:dyDescent="0.3">
      <c r="A35" s="124"/>
      <c r="B35" s="59" t="s">
        <v>60</v>
      </c>
      <c r="C35" s="53" t="s">
        <v>8</v>
      </c>
      <c r="D35" s="9">
        <v>44979</v>
      </c>
      <c r="E35" s="8"/>
      <c r="F35" s="8"/>
      <c r="G35" s="60"/>
      <c r="H35" s="82" t="e">
        <f ca="1">atskaites_jedox!AK8</f>
        <v>#NAME?</v>
      </c>
      <c r="J35" s="1" t="b">
        <f>D35=D10</f>
        <v>1</v>
      </c>
    </row>
    <row r="36" spans="1:10" ht="56" x14ac:dyDescent="0.3">
      <c r="A36" s="123" t="s">
        <v>79</v>
      </c>
      <c r="B36" s="59" t="s">
        <v>45</v>
      </c>
      <c r="C36" s="53" t="s">
        <v>38</v>
      </c>
      <c r="D36" s="9">
        <v>17160.38</v>
      </c>
      <c r="E36" s="8"/>
      <c r="F36" s="8"/>
      <c r="G36" s="60"/>
      <c r="H36" s="82" t="e">
        <f ca="1">atskaites_jedox!L8</f>
        <v>#NAME?</v>
      </c>
    </row>
    <row r="37" spans="1:10" ht="14.5" thickBot="1" x14ac:dyDescent="0.35">
      <c r="A37" s="124"/>
      <c r="B37" s="61" t="s">
        <v>46</v>
      </c>
      <c r="C37" s="51" t="s">
        <v>8</v>
      </c>
      <c r="D37" s="62">
        <v>44288.7</v>
      </c>
      <c r="E37" s="41"/>
      <c r="F37" s="41"/>
      <c r="G37" s="42"/>
      <c r="H37" s="82" t="e">
        <f ca="1">atskaites_jedox!M8</f>
        <v>#NAME?</v>
      </c>
    </row>
    <row r="38" spans="1:10" x14ac:dyDescent="0.3">
      <c r="A38" s="1" t="s">
        <v>72</v>
      </c>
    </row>
    <row r="40" spans="1:10" ht="14.5" thickBot="1" x14ac:dyDescent="0.35">
      <c r="B40" s="64" t="s">
        <v>62</v>
      </c>
      <c r="C40" s="63"/>
      <c r="D40" s="63"/>
      <c r="E40" s="63"/>
      <c r="F40" s="63"/>
      <c r="G40" s="63"/>
    </row>
    <row r="41" spans="1:10" ht="14.5" thickTop="1" x14ac:dyDescent="0.3"/>
    <row r="43" spans="1:10" x14ac:dyDescent="0.3">
      <c r="A43" s="1" t="s">
        <v>10</v>
      </c>
    </row>
    <row r="44" spans="1:10" ht="33" customHeight="1" x14ac:dyDescent="0.3">
      <c r="A44" s="122" t="s">
        <v>31</v>
      </c>
      <c r="B44" s="122"/>
      <c r="C44" s="122"/>
      <c r="D44" s="122"/>
      <c r="E44" s="122"/>
      <c r="F44" s="122"/>
      <c r="G44" s="122"/>
    </row>
    <row r="45" spans="1:10" x14ac:dyDescent="0.3">
      <c r="A45" s="4" t="s">
        <v>30</v>
      </c>
      <c r="B45" s="4"/>
      <c r="C45" s="4"/>
      <c r="D45" s="4"/>
      <c r="E45" s="4"/>
      <c r="F45" s="4"/>
      <c r="G45" s="4"/>
    </row>
    <row r="46" spans="1:10" ht="28.5" customHeight="1" x14ac:dyDescent="0.3">
      <c r="A46" s="137" t="s">
        <v>18</v>
      </c>
      <c r="B46" s="137"/>
      <c r="C46" s="137"/>
      <c r="D46" s="137"/>
      <c r="E46" s="137"/>
      <c r="F46" s="137"/>
      <c r="G46" s="137"/>
    </row>
    <row r="47" spans="1:10" ht="33" customHeight="1" x14ac:dyDescent="0.3">
      <c r="A47" s="122" t="s">
        <v>21</v>
      </c>
      <c r="B47" s="122"/>
      <c r="C47" s="122"/>
      <c r="D47" s="122"/>
      <c r="E47" s="122"/>
      <c r="F47" s="122"/>
      <c r="G47" s="122"/>
    </row>
    <row r="48" spans="1:10" ht="33" customHeight="1" x14ac:dyDescent="0.3">
      <c r="A48" s="122" t="s">
        <v>39</v>
      </c>
      <c r="B48" s="122"/>
      <c r="C48" s="122"/>
      <c r="D48" s="122"/>
      <c r="E48" s="122"/>
      <c r="F48" s="122"/>
      <c r="G48" s="122"/>
    </row>
    <row r="49" spans="1:7" x14ac:dyDescent="0.3">
      <c r="A49" s="4"/>
      <c r="B49" s="4"/>
      <c r="C49" s="4"/>
      <c r="D49" s="4"/>
      <c r="E49" s="4"/>
      <c r="F49" s="4"/>
      <c r="G49" s="4"/>
    </row>
    <row r="50" spans="1:7" x14ac:dyDescent="0.3">
      <c r="A50" s="10" t="s">
        <v>20</v>
      </c>
      <c r="B50" s="4"/>
      <c r="C50" s="4"/>
      <c r="D50" s="4"/>
      <c r="E50" s="4"/>
      <c r="F50" s="4"/>
      <c r="G50" s="4"/>
    </row>
    <row r="51" spans="1:7" ht="30" customHeight="1" x14ac:dyDescent="0.3">
      <c r="A51" s="122" t="s">
        <v>40</v>
      </c>
      <c r="B51" s="122"/>
      <c r="C51" s="122"/>
      <c r="D51" s="122"/>
      <c r="E51" s="122"/>
      <c r="F51" s="122"/>
      <c r="G51" s="122"/>
    </row>
    <row r="52" spans="1:7" ht="33" customHeight="1" x14ac:dyDescent="0.3">
      <c r="A52" s="122" t="s">
        <v>22</v>
      </c>
      <c r="B52" s="122"/>
      <c r="C52" s="122"/>
      <c r="D52" s="122"/>
      <c r="E52" s="122"/>
      <c r="F52" s="122"/>
      <c r="G52" s="122"/>
    </row>
    <row r="53" spans="1:7" ht="34.5" customHeight="1" x14ac:dyDescent="0.3">
      <c r="A53" s="122" t="s">
        <v>27</v>
      </c>
      <c r="B53" s="122"/>
      <c r="C53" s="122"/>
      <c r="D53" s="122"/>
      <c r="E53" s="122"/>
      <c r="F53" s="122"/>
      <c r="G53" s="122"/>
    </row>
    <row r="54" spans="1:7" ht="63" customHeight="1" x14ac:dyDescent="0.3">
      <c r="A54" s="122" t="s">
        <v>41</v>
      </c>
      <c r="B54" s="122"/>
      <c r="C54" s="122"/>
      <c r="D54" s="122"/>
      <c r="E54" s="122"/>
      <c r="F54" s="122"/>
      <c r="G54" s="122"/>
    </row>
    <row r="55" spans="1:7" ht="30.75" customHeight="1" x14ac:dyDescent="0.3">
      <c r="A55" s="122" t="s">
        <v>23</v>
      </c>
      <c r="B55" s="122"/>
      <c r="C55" s="122"/>
      <c r="D55" s="122"/>
      <c r="E55" s="122"/>
      <c r="F55" s="122"/>
      <c r="G55" s="122"/>
    </row>
    <row r="56" spans="1:7" ht="43.5" customHeight="1" x14ac:dyDescent="0.3">
      <c r="A56" s="144" t="s">
        <v>28</v>
      </c>
      <c r="B56" s="144"/>
      <c r="C56" s="144"/>
      <c r="D56" s="144"/>
      <c r="E56" s="144"/>
      <c r="F56" s="144"/>
      <c r="G56" s="144"/>
    </row>
    <row r="57" spans="1:7" ht="30" customHeight="1" x14ac:dyDescent="0.3">
      <c r="A57" s="122" t="s">
        <v>42</v>
      </c>
      <c r="B57" s="122"/>
      <c r="C57" s="122"/>
      <c r="D57" s="122"/>
      <c r="E57" s="122"/>
      <c r="F57" s="122"/>
      <c r="G57" s="122"/>
    </row>
    <row r="58" spans="1:7" ht="45" customHeight="1" x14ac:dyDescent="0.3">
      <c r="A58" s="122" t="s">
        <v>43</v>
      </c>
      <c r="B58" s="122"/>
      <c r="C58" s="122"/>
      <c r="D58" s="122"/>
      <c r="E58" s="122"/>
      <c r="F58" s="122"/>
      <c r="G58" s="122"/>
    </row>
    <row r="59" spans="1:7" ht="16.5" customHeight="1" x14ac:dyDescent="0.3">
      <c r="A59" s="67"/>
      <c r="B59" s="67"/>
      <c r="C59" s="67"/>
      <c r="D59" s="67"/>
      <c r="E59" s="67"/>
      <c r="F59" s="67"/>
      <c r="G59" s="67"/>
    </row>
    <row r="60" spans="1:7" x14ac:dyDescent="0.3">
      <c r="A60" s="4"/>
      <c r="B60" s="4"/>
      <c r="C60" s="4"/>
      <c r="D60" s="4"/>
      <c r="E60" s="4"/>
      <c r="F60" s="4"/>
      <c r="G60" s="4"/>
    </row>
    <row r="61" spans="1:7" x14ac:dyDescent="0.3">
      <c r="A61" s="4"/>
      <c r="B61" s="4"/>
      <c r="C61" s="4"/>
      <c r="D61" s="4"/>
      <c r="E61" s="4"/>
      <c r="F61" s="4"/>
      <c r="G61" s="4"/>
    </row>
  </sheetData>
  <mergeCells count="21">
    <mergeCell ref="A57:G57"/>
    <mergeCell ref="A58:G58"/>
    <mergeCell ref="A51:G51"/>
    <mergeCell ref="A52:G52"/>
    <mergeCell ref="A53:G53"/>
    <mergeCell ref="A54:G54"/>
    <mergeCell ref="A55:G55"/>
    <mergeCell ref="A56:G56"/>
    <mergeCell ref="A48:G48"/>
    <mergeCell ref="A1:G1"/>
    <mergeCell ref="A4:A12"/>
    <mergeCell ref="C4:C8"/>
    <mergeCell ref="C9:C12"/>
    <mergeCell ref="A15:A32"/>
    <mergeCell ref="C15:C23"/>
    <mergeCell ref="C24:C32"/>
    <mergeCell ref="A34:A35"/>
    <mergeCell ref="A36:A37"/>
    <mergeCell ref="A44:G44"/>
    <mergeCell ref="A46:G46"/>
    <mergeCell ref="A47:G47"/>
  </mergeCells>
  <pageMargins left="0.31496062992125984" right="0.31496062992125984" top="0.15748031496062992" bottom="0.15748031496062992"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6AF26-3101-4EE6-AE63-4FE025E8A77A}">
  <sheetPr>
    <pageSetUpPr fitToPage="1"/>
  </sheetPr>
  <dimension ref="A3:F8"/>
  <sheetViews>
    <sheetView tabSelected="1" workbookViewId="0">
      <selection activeCell="G11" sqref="G11:G12"/>
    </sheetView>
  </sheetViews>
  <sheetFormatPr defaultRowHeight="14.5" x14ac:dyDescent="0.35"/>
  <cols>
    <col min="1" max="1" width="71.453125" customWidth="1"/>
    <col min="2" max="6" width="15.1796875" customWidth="1"/>
  </cols>
  <sheetData>
    <row r="3" spans="1:6" x14ac:dyDescent="0.35">
      <c r="A3" s="101" t="s">
        <v>113</v>
      </c>
      <c r="B3" s="101" t="s">
        <v>114</v>
      </c>
    </row>
    <row r="4" spans="1:6" ht="32.25" customHeight="1" x14ac:dyDescent="0.35">
      <c r="A4" s="101" t="s">
        <v>111</v>
      </c>
      <c r="B4" s="118" t="s">
        <v>7</v>
      </c>
      <c r="C4" t="s">
        <v>95</v>
      </c>
      <c r="D4" t="s">
        <v>100</v>
      </c>
      <c r="E4" t="s">
        <v>105</v>
      </c>
      <c r="F4" t="s">
        <v>112</v>
      </c>
    </row>
    <row r="5" spans="1:6" ht="29" x14ac:dyDescent="0.35">
      <c r="A5" s="119" t="s">
        <v>87</v>
      </c>
      <c r="B5" s="120">
        <v>0</v>
      </c>
      <c r="C5" s="120">
        <v>-13.314280000003954</v>
      </c>
      <c r="D5" s="120">
        <v>0</v>
      </c>
      <c r="E5" s="120">
        <v>0</v>
      </c>
      <c r="F5" s="121">
        <v>-13.314280000003954</v>
      </c>
    </row>
    <row r="6" spans="1:6" ht="43.5" x14ac:dyDescent="0.35">
      <c r="A6" s="119" t="s">
        <v>89</v>
      </c>
      <c r="B6" s="120">
        <v>477.75400000000002</v>
      </c>
      <c r="C6" s="120">
        <v>519.51199999999994</v>
      </c>
      <c r="D6" s="120">
        <v>528.29200000000003</v>
      </c>
      <c r="E6" s="120">
        <v>508.39199999999994</v>
      </c>
      <c r="F6" s="121">
        <v>2033.9499999999998</v>
      </c>
    </row>
    <row r="7" spans="1:6" x14ac:dyDescent="0.35">
      <c r="A7" s="119" t="s">
        <v>90</v>
      </c>
      <c r="B7" s="120">
        <v>8983.5622162608324</v>
      </c>
      <c r="C7" s="120">
        <v>8234.9019049402668</v>
      </c>
      <c r="D7" s="120">
        <v>7553.3294786411307</v>
      </c>
      <c r="E7" s="120">
        <v>9210.1680068279293</v>
      </c>
      <c r="F7" s="121">
        <v>33981.961606670156</v>
      </c>
    </row>
    <row r="8" spans="1:6" x14ac:dyDescent="0.35">
      <c r="A8" s="102" t="s">
        <v>112</v>
      </c>
      <c r="B8" s="103">
        <v>9461.3162162608332</v>
      </c>
      <c r="C8" s="103">
        <v>8741.0996249402633</v>
      </c>
      <c r="D8" s="103">
        <v>8081.621478641131</v>
      </c>
      <c r="E8" s="103">
        <v>9718.5600068279291</v>
      </c>
      <c r="F8" s="103">
        <v>36002.597326670155</v>
      </c>
    </row>
  </sheetData>
  <pageMargins left="0.7" right="0.7" top="0.75" bottom="0.75" header="0.3" footer="0.3"/>
  <pageSetup paperSize="9" scale="91" orientation="landscape" horizontalDpi="300" verticalDpi="30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2201A-D6BF-4948-A510-A7E9025C16B9}">
  <dimension ref="B1:G145"/>
  <sheetViews>
    <sheetView zoomScale="80" zoomScaleNormal="80" workbookViewId="0">
      <pane ySplit="5" topLeftCell="A114" activePane="bottomLeft" state="frozen"/>
      <selection pane="bottomLeft" activeCell="R17" sqref="R17"/>
    </sheetView>
  </sheetViews>
  <sheetFormatPr defaultRowHeight="14.5" x14ac:dyDescent="0.35"/>
  <cols>
    <col min="1" max="1" width="5.453125" customWidth="1"/>
    <col min="2" max="2" width="49.26953125" customWidth="1"/>
    <col min="3" max="3" width="37.54296875" customWidth="1"/>
    <col min="4" max="4" width="13.453125" style="117" customWidth="1"/>
    <col min="5" max="5" width="18.453125" bestFit="1" customWidth="1"/>
    <col min="6" max="6" width="13.7265625" customWidth="1"/>
    <col min="7" max="7" width="23.453125" bestFit="1" customWidth="1"/>
  </cols>
  <sheetData>
    <row r="1" spans="2:7" x14ac:dyDescent="0.35">
      <c r="B1" s="148" t="s">
        <v>77</v>
      </c>
      <c r="C1" s="148"/>
      <c r="D1" s="148"/>
      <c r="E1" s="148"/>
      <c r="F1" s="148"/>
      <c r="G1" s="148"/>
    </row>
    <row r="2" spans="2:7" x14ac:dyDescent="0.35">
      <c r="B2" s="148"/>
      <c r="C2" s="148"/>
      <c r="D2" s="148"/>
      <c r="E2" s="148"/>
      <c r="F2" s="148"/>
      <c r="G2" s="148"/>
    </row>
    <row r="5" spans="2:7" ht="15.5" x14ac:dyDescent="0.35">
      <c r="B5" s="104" t="s">
        <v>83</v>
      </c>
      <c r="C5" s="104" t="s">
        <v>5</v>
      </c>
      <c r="D5" s="109" t="s">
        <v>84</v>
      </c>
      <c r="E5" s="104" t="s">
        <v>85</v>
      </c>
      <c r="F5" s="104" t="s">
        <v>86</v>
      </c>
      <c r="G5" s="104" t="s">
        <v>4</v>
      </c>
    </row>
    <row r="6" spans="2:7" ht="42" x14ac:dyDescent="0.35">
      <c r="B6" s="105" t="s">
        <v>87</v>
      </c>
      <c r="C6" s="106"/>
      <c r="D6" s="110">
        <v>0</v>
      </c>
      <c r="E6" s="85" t="s">
        <v>88</v>
      </c>
      <c r="F6" s="85" t="s">
        <v>110</v>
      </c>
      <c r="G6" s="85" t="s">
        <v>7</v>
      </c>
    </row>
    <row r="7" spans="2:7" x14ac:dyDescent="0.35">
      <c r="B7" s="107" t="s">
        <v>12</v>
      </c>
      <c r="C7" s="84" t="s">
        <v>6</v>
      </c>
      <c r="D7" s="111">
        <v>13</v>
      </c>
      <c r="E7" s="85" t="s">
        <v>88</v>
      </c>
      <c r="F7" s="85" t="s">
        <v>110</v>
      </c>
      <c r="G7" s="85" t="s">
        <v>7</v>
      </c>
    </row>
    <row r="8" spans="2:7" x14ac:dyDescent="0.35">
      <c r="B8" s="88" t="s">
        <v>56</v>
      </c>
      <c r="C8" s="84" t="s">
        <v>6</v>
      </c>
      <c r="D8" s="111">
        <v>3390</v>
      </c>
      <c r="E8" s="85" t="s">
        <v>88</v>
      </c>
      <c r="F8" s="85" t="s">
        <v>110</v>
      </c>
      <c r="G8" s="85" t="s">
        <v>7</v>
      </c>
    </row>
    <row r="9" spans="2:7" x14ac:dyDescent="0.35">
      <c r="B9" s="88" t="s">
        <v>57</v>
      </c>
      <c r="C9" s="84" t="s">
        <v>6</v>
      </c>
      <c r="D9" s="111">
        <v>3390</v>
      </c>
      <c r="E9" s="85" t="s">
        <v>88</v>
      </c>
      <c r="F9" s="85" t="s">
        <v>110</v>
      </c>
      <c r="G9" s="85" t="s">
        <v>7</v>
      </c>
    </row>
    <row r="10" spans="2:7" x14ac:dyDescent="0.35">
      <c r="B10" s="89" t="s">
        <v>52</v>
      </c>
      <c r="C10" s="84" t="s">
        <v>6</v>
      </c>
      <c r="D10" s="111"/>
      <c r="E10" s="85" t="s">
        <v>88</v>
      </c>
      <c r="F10" s="85" t="s">
        <v>110</v>
      </c>
      <c r="G10" s="85" t="s">
        <v>7</v>
      </c>
    </row>
    <row r="11" spans="2:7" x14ac:dyDescent="0.35">
      <c r="B11" s="89" t="s">
        <v>53</v>
      </c>
      <c r="C11" s="84" t="s">
        <v>6</v>
      </c>
      <c r="D11" s="111"/>
      <c r="E11" s="85" t="s">
        <v>88</v>
      </c>
      <c r="F11" s="85" t="s">
        <v>110</v>
      </c>
      <c r="G11" s="85" t="s">
        <v>7</v>
      </c>
    </row>
    <row r="12" spans="2:7" x14ac:dyDescent="0.35">
      <c r="B12" s="88" t="s">
        <v>50</v>
      </c>
      <c r="C12" s="86" t="s">
        <v>8</v>
      </c>
      <c r="D12" s="111">
        <v>36749</v>
      </c>
      <c r="E12" s="85" t="s">
        <v>88</v>
      </c>
      <c r="F12" s="85" t="s">
        <v>110</v>
      </c>
      <c r="G12" s="85" t="s">
        <v>7</v>
      </c>
    </row>
    <row r="13" spans="2:7" x14ac:dyDescent="0.35">
      <c r="B13" s="88" t="s">
        <v>58</v>
      </c>
      <c r="C13" s="86" t="s">
        <v>8</v>
      </c>
      <c r="D13" s="111">
        <v>36749</v>
      </c>
      <c r="E13" s="85" t="s">
        <v>88</v>
      </c>
      <c r="F13" s="85" t="s">
        <v>110</v>
      </c>
      <c r="G13" s="85" t="s">
        <v>7</v>
      </c>
    </row>
    <row r="14" spans="2:7" x14ac:dyDescent="0.35">
      <c r="B14" s="90" t="s">
        <v>54</v>
      </c>
      <c r="C14" s="86" t="s">
        <v>8</v>
      </c>
      <c r="D14" s="111"/>
      <c r="E14" s="85" t="s">
        <v>88</v>
      </c>
      <c r="F14" s="85" t="s">
        <v>110</v>
      </c>
      <c r="G14" s="85" t="s">
        <v>7</v>
      </c>
    </row>
    <row r="15" spans="2:7" x14ac:dyDescent="0.35">
      <c r="B15" s="90" t="s">
        <v>55</v>
      </c>
      <c r="C15" s="86" t="s">
        <v>8</v>
      </c>
      <c r="D15" s="111"/>
      <c r="E15" s="85" t="s">
        <v>88</v>
      </c>
      <c r="F15" s="85" t="s">
        <v>110</v>
      </c>
      <c r="G15" s="85" t="s">
        <v>7</v>
      </c>
    </row>
    <row r="16" spans="2:7" x14ac:dyDescent="0.35">
      <c r="B16" s="88" t="s">
        <v>51</v>
      </c>
      <c r="C16" s="108" t="s">
        <v>9</v>
      </c>
      <c r="D16" s="111">
        <v>1.3302</v>
      </c>
      <c r="E16" s="85" t="s">
        <v>88</v>
      </c>
      <c r="F16" s="85" t="s">
        <v>110</v>
      </c>
      <c r="G16" s="85" t="s">
        <v>7</v>
      </c>
    </row>
    <row r="17" spans="2:7" ht="56.5" x14ac:dyDescent="0.35">
      <c r="B17" s="94" t="s">
        <v>89</v>
      </c>
      <c r="C17" s="95"/>
      <c r="D17" s="112">
        <v>477.75400000000002</v>
      </c>
      <c r="E17" s="85" t="s">
        <v>88</v>
      </c>
      <c r="F17" s="85" t="s">
        <v>110</v>
      </c>
      <c r="G17" s="85" t="s">
        <v>7</v>
      </c>
    </row>
    <row r="18" spans="2:7" ht="28.5" x14ac:dyDescent="0.35">
      <c r="B18" s="93" t="s">
        <v>47</v>
      </c>
      <c r="C18" s="87" t="s">
        <v>29</v>
      </c>
      <c r="D18" s="111"/>
      <c r="E18" s="85" t="s">
        <v>88</v>
      </c>
      <c r="F18" s="85" t="s">
        <v>110</v>
      </c>
      <c r="G18" s="85" t="s">
        <v>7</v>
      </c>
    </row>
    <row r="19" spans="2:7" ht="15.75" customHeight="1" x14ac:dyDescent="0.35">
      <c r="B19" s="91" t="s">
        <v>64</v>
      </c>
      <c r="C19" s="87" t="s">
        <v>29</v>
      </c>
      <c r="D19" s="111">
        <v>13</v>
      </c>
      <c r="E19" s="85" t="s">
        <v>88</v>
      </c>
      <c r="F19" s="85" t="s">
        <v>110</v>
      </c>
      <c r="G19" s="85" t="s">
        <v>7</v>
      </c>
    </row>
    <row r="20" spans="2:7" ht="28" x14ac:dyDescent="0.35">
      <c r="B20" s="91" t="s">
        <v>65</v>
      </c>
      <c r="C20" s="87" t="s">
        <v>29</v>
      </c>
      <c r="D20" s="111">
        <v>40</v>
      </c>
      <c r="E20" s="85" t="s">
        <v>88</v>
      </c>
      <c r="F20" s="85" t="s">
        <v>110</v>
      </c>
      <c r="G20" s="85" t="s">
        <v>7</v>
      </c>
    </row>
    <row r="21" spans="2:7" ht="28" x14ac:dyDescent="0.35">
      <c r="B21" s="96" t="s">
        <v>19</v>
      </c>
      <c r="C21" s="87" t="s">
        <v>29</v>
      </c>
      <c r="D21" s="111"/>
      <c r="E21" s="85" t="s">
        <v>88</v>
      </c>
      <c r="F21" s="85" t="s">
        <v>110</v>
      </c>
      <c r="G21" s="85" t="s">
        <v>7</v>
      </c>
    </row>
    <row r="22" spans="2:7" ht="28" x14ac:dyDescent="0.35">
      <c r="B22" s="97" t="s">
        <v>63</v>
      </c>
      <c r="C22" s="87" t="s">
        <v>29</v>
      </c>
      <c r="D22" s="111">
        <v>26</v>
      </c>
      <c r="E22" s="85" t="s">
        <v>88</v>
      </c>
      <c r="F22" s="85" t="s">
        <v>110</v>
      </c>
      <c r="G22" s="85" t="s">
        <v>7</v>
      </c>
    </row>
    <row r="23" spans="2:7" ht="28" x14ac:dyDescent="0.35">
      <c r="B23" s="97" t="s">
        <v>66</v>
      </c>
      <c r="C23" s="87" t="s">
        <v>29</v>
      </c>
      <c r="D23" s="111">
        <v>13</v>
      </c>
      <c r="E23" s="85" t="s">
        <v>88</v>
      </c>
      <c r="F23" s="85" t="s">
        <v>110</v>
      </c>
      <c r="G23" s="85" t="s">
        <v>7</v>
      </c>
    </row>
    <row r="24" spans="2:7" ht="28" x14ac:dyDescent="0.35">
      <c r="B24" s="91" t="s">
        <v>67</v>
      </c>
      <c r="C24" s="87" t="s">
        <v>29</v>
      </c>
      <c r="D24" s="111">
        <v>241</v>
      </c>
      <c r="E24" s="85" t="s">
        <v>88</v>
      </c>
      <c r="F24" s="85" t="s">
        <v>110</v>
      </c>
      <c r="G24" s="85" t="s">
        <v>7</v>
      </c>
    </row>
    <row r="25" spans="2:7" ht="28" x14ac:dyDescent="0.35">
      <c r="B25" s="92" t="s">
        <v>25</v>
      </c>
      <c r="C25" s="87" t="s">
        <v>29</v>
      </c>
      <c r="D25" s="111"/>
      <c r="E25" s="85" t="s">
        <v>88</v>
      </c>
      <c r="F25" s="85" t="s">
        <v>110</v>
      </c>
      <c r="G25" s="85" t="s">
        <v>7</v>
      </c>
    </row>
    <row r="26" spans="2:7" ht="28" x14ac:dyDescent="0.35">
      <c r="B26" s="91" t="s">
        <v>14</v>
      </c>
      <c r="C26" s="87" t="s">
        <v>29</v>
      </c>
      <c r="D26" s="111"/>
      <c r="E26" s="85" t="s">
        <v>88</v>
      </c>
      <c r="F26" s="85" t="s">
        <v>110</v>
      </c>
      <c r="G26" s="85" t="s">
        <v>7</v>
      </c>
    </row>
    <row r="27" spans="2:7" ht="28.5" x14ac:dyDescent="0.35">
      <c r="B27" s="93" t="s">
        <v>48</v>
      </c>
      <c r="C27" s="87" t="s">
        <v>34</v>
      </c>
      <c r="D27" s="111"/>
      <c r="E27" s="85" t="s">
        <v>88</v>
      </c>
      <c r="F27" s="85" t="s">
        <v>110</v>
      </c>
      <c r="G27" s="85" t="s">
        <v>7</v>
      </c>
    </row>
    <row r="28" spans="2:7" x14ac:dyDescent="0.35">
      <c r="B28" s="91" t="s">
        <v>0</v>
      </c>
      <c r="C28" s="87" t="s">
        <v>34</v>
      </c>
      <c r="D28" s="111">
        <v>4.12</v>
      </c>
      <c r="E28" s="85" t="s">
        <v>88</v>
      </c>
      <c r="F28" s="85" t="s">
        <v>110</v>
      </c>
      <c r="G28" s="85" t="s">
        <v>7</v>
      </c>
    </row>
    <row r="29" spans="2:7" x14ac:dyDescent="0.35">
      <c r="B29" s="91" t="s">
        <v>13</v>
      </c>
      <c r="C29" s="87" t="s">
        <v>34</v>
      </c>
      <c r="D29" s="111">
        <v>1.25</v>
      </c>
      <c r="E29" s="85" t="s">
        <v>88</v>
      </c>
      <c r="F29" s="85" t="s">
        <v>110</v>
      </c>
      <c r="G29" s="85" t="s">
        <v>7</v>
      </c>
    </row>
    <row r="30" spans="2:7" x14ac:dyDescent="0.35">
      <c r="B30" s="92" t="s">
        <v>19</v>
      </c>
      <c r="C30" s="87" t="s">
        <v>34</v>
      </c>
      <c r="D30" s="111"/>
      <c r="E30" s="85" t="s">
        <v>88</v>
      </c>
      <c r="F30" s="85" t="s">
        <v>110</v>
      </c>
      <c r="G30" s="85" t="s">
        <v>7</v>
      </c>
    </row>
    <row r="31" spans="2:7" x14ac:dyDescent="0.35">
      <c r="B31" s="97" t="s">
        <v>32</v>
      </c>
      <c r="C31" s="87" t="s">
        <v>34</v>
      </c>
      <c r="D31" s="111">
        <v>0.38</v>
      </c>
      <c r="E31" s="85" t="s">
        <v>88</v>
      </c>
      <c r="F31" s="85" t="s">
        <v>110</v>
      </c>
      <c r="G31" s="85" t="s">
        <v>7</v>
      </c>
    </row>
    <row r="32" spans="2:7" x14ac:dyDescent="0.35">
      <c r="B32" s="97" t="s">
        <v>33</v>
      </c>
      <c r="C32" s="87" t="s">
        <v>34</v>
      </c>
      <c r="D32" s="111">
        <v>1.44</v>
      </c>
      <c r="E32" s="85" t="s">
        <v>88</v>
      </c>
      <c r="F32" s="85" t="s">
        <v>110</v>
      </c>
      <c r="G32" s="85" t="s">
        <v>7</v>
      </c>
    </row>
    <row r="33" spans="2:7" ht="28.5" x14ac:dyDescent="0.35">
      <c r="B33" s="92" t="s">
        <v>24</v>
      </c>
      <c r="C33" s="87" t="s">
        <v>34</v>
      </c>
      <c r="D33" s="111">
        <v>1.4339999999999999</v>
      </c>
      <c r="E33" s="85" t="s">
        <v>88</v>
      </c>
      <c r="F33" s="85" t="s">
        <v>110</v>
      </c>
      <c r="G33" s="85" t="s">
        <v>7</v>
      </c>
    </row>
    <row r="34" spans="2:7" ht="28.5" x14ac:dyDescent="0.35">
      <c r="B34" s="92" t="s">
        <v>26</v>
      </c>
      <c r="C34" s="87" t="s">
        <v>34</v>
      </c>
      <c r="D34" s="111"/>
      <c r="E34" s="85" t="s">
        <v>88</v>
      </c>
      <c r="F34" s="85" t="s">
        <v>110</v>
      </c>
      <c r="G34" s="85" t="s">
        <v>7</v>
      </c>
    </row>
    <row r="35" spans="2:7" x14ac:dyDescent="0.35">
      <c r="B35" s="91" t="s">
        <v>14</v>
      </c>
      <c r="C35" s="87" t="s">
        <v>34</v>
      </c>
      <c r="D35" s="111"/>
      <c r="E35" s="85" t="s">
        <v>88</v>
      </c>
      <c r="F35" s="85" t="s">
        <v>110</v>
      </c>
      <c r="G35" s="85" t="s">
        <v>7</v>
      </c>
    </row>
    <row r="36" spans="2:7" ht="28.5" x14ac:dyDescent="0.35">
      <c r="B36" s="99" t="s">
        <v>90</v>
      </c>
      <c r="C36" s="100"/>
      <c r="D36" s="113">
        <v>8983.5622162608324</v>
      </c>
      <c r="E36" s="85" t="s">
        <v>88</v>
      </c>
      <c r="F36" s="85" t="s">
        <v>110</v>
      </c>
      <c r="G36" s="85" t="s">
        <v>7</v>
      </c>
    </row>
    <row r="37" spans="2:7" ht="56.5" x14ac:dyDescent="0.35">
      <c r="B37" s="98" t="s">
        <v>91</v>
      </c>
      <c r="C37" s="53" t="s">
        <v>38</v>
      </c>
      <c r="D37" s="114">
        <v>12084.55</v>
      </c>
      <c r="E37" s="85" t="s">
        <v>88</v>
      </c>
      <c r="F37" s="85" t="s">
        <v>110</v>
      </c>
      <c r="G37" s="85" t="s">
        <v>7</v>
      </c>
    </row>
    <row r="38" spans="2:7" x14ac:dyDescent="0.35">
      <c r="B38" s="98" t="s">
        <v>92</v>
      </c>
      <c r="C38" s="53" t="s">
        <v>8</v>
      </c>
      <c r="D38" s="114">
        <v>36749</v>
      </c>
      <c r="E38" s="85" t="s">
        <v>88</v>
      </c>
      <c r="F38" s="85" t="s">
        <v>110</v>
      </c>
      <c r="G38" s="85" t="s">
        <v>7</v>
      </c>
    </row>
    <row r="39" spans="2:7" ht="56.5" x14ac:dyDescent="0.35">
      <c r="B39" s="98" t="s">
        <v>93</v>
      </c>
      <c r="C39" s="53" t="s">
        <v>38</v>
      </c>
      <c r="D39" s="114">
        <v>20280.86</v>
      </c>
      <c r="E39" s="85" t="s">
        <v>88</v>
      </c>
      <c r="F39" s="85" t="s">
        <v>110</v>
      </c>
      <c r="G39" s="85" t="s">
        <v>7</v>
      </c>
    </row>
    <row r="40" spans="2:7" x14ac:dyDescent="0.35">
      <c r="B40" s="98" t="s">
        <v>94</v>
      </c>
      <c r="C40" s="53" t="s">
        <v>8</v>
      </c>
      <c r="D40" s="114">
        <v>35375.800000000003</v>
      </c>
      <c r="E40" s="85" t="s">
        <v>88</v>
      </c>
      <c r="F40" s="85" t="s">
        <v>110</v>
      </c>
      <c r="G40" s="85" t="s">
        <v>7</v>
      </c>
    </row>
    <row r="41" spans="2:7" ht="42" x14ac:dyDescent="0.35">
      <c r="B41" s="105" t="s">
        <v>87</v>
      </c>
      <c r="C41" s="106"/>
      <c r="D41" s="110">
        <v>-13.314280000003954</v>
      </c>
      <c r="E41" s="85" t="s">
        <v>88</v>
      </c>
      <c r="F41" s="85" t="s">
        <v>110</v>
      </c>
      <c r="G41" s="85" t="s">
        <v>95</v>
      </c>
    </row>
    <row r="42" spans="2:7" x14ac:dyDescent="0.35">
      <c r="B42" s="107" t="s">
        <v>12</v>
      </c>
      <c r="C42" s="84" t="s">
        <v>6</v>
      </c>
      <c r="D42" s="111">
        <v>14</v>
      </c>
      <c r="E42" s="85" t="s">
        <v>88</v>
      </c>
      <c r="F42" s="85" t="s">
        <v>110</v>
      </c>
      <c r="G42" s="85" t="s">
        <v>95</v>
      </c>
    </row>
    <row r="43" spans="2:7" x14ac:dyDescent="0.35">
      <c r="B43" s="88" t="s">
        <v>56</v>
      </c>
      <c r="C43" s="84" t="s">
        <v>6</v>
      </c>
      <c r="D43" s="111">
        <v>4265</v>
      </c>
      <c r="E43" s="85" t="s">
        <v>88</v>
      </c>
      <c r="F43" s="85" t="s">
        <v>110</v>
      </c>
      <c r="G43" s="85" t="s">
        <v>95</v>
      </c>
    </row>
    <row r="44" spans="2:7" x14ac:dyDescent="0.35">
      <c r="B44" s="88" t="s">
        <v>57</v>
      </c>
      <c r="C44" s="84" t="s">
        <v>6</v>
      </c>
      <c r="D44" s="111">
        <v>4264</v>
      </c>
      <c r="E44" s="85" t="s">
        <v>88</v>
      </c>
      <c r="F44" s="85" t="s">
        <v>110</v>
      </c>
      <c r="G44" s="85" t="s">
        <v>95</v>
      </c>
    </row>
    <row r="45" spans="2:7" x14ac:dyDescent="0.35">
      <c r="B45" s="89" t="s">
        <v>52</v>
      </c>
      <c r="C45" s="84" t="s">
        <v>6</v>
      </c>
      <c r="D45" s="111"/>
      <c r="E45" s="85" t="s">
        <v>88</v>
      </c>
      <c r="F45" s="85" t="s">
        <v>110</v>
      </c>
      <c r="G45" s="85" t="s">
        <v>95</v>
      </c>
    </row>
    <row r="46" spans="2:7" x14ac:dyDescent="0.35">
      <c r="B46" s="89" t="s">
        <v>53</v>
      </c>
      <c r="C46" s="84" t="s">
        <v>6</v>
      </c>
      <c r="D46" s="111">
        <v>1</v>
      </c>
      <c r="E46" s="85" t="s">
        <v>88</v>
      </c>
      <c r="F46" s="85" t="s">
        <v>110</v>
      </c>
      <c r="G46" s="85" t="s">
        <v>95</v>
      </c>
    </row>
    <row r="47" spans="2:7" x14ac:dyDescent="0.35">
      <c r="B47" s="88" t="s">
        <v>50</v>
      </c>
      <c r="C47" s="86" t="s">
        <v>8</v>
      </c>
      <c r="D47" s="111">
        <v>46285.2</v>
      </c>
      <c r="E47" s="85" t="s">
        <v>88</v>
      </c>
      <c r="F47" s="85" t="s">
        <v>110</v>
      </c>
      <c r="G47" s="85" t="s">
        <v>95</v>
      </c>
    </row>
    <row r="48" spans="2:7" x14ac:dyDescent="0.35">
      <c r="B48" s="88" t="s">
        <v>58</v>
      </c>
      <c r="C48" s="86" t="s">
        <v>8</v>
      </c>
      <c r="D48" s="111">
        <v>46275.399999999994</v>
      </c>
      <c r="E48" s="85" t="s">
        <v>88</v>
      </c>
      <c r="F48" s="85" t="s">
        <v>110</v>
      </c>
      <c r="G48" s="85" t="s">
        <v>95</v>
      </c>
    </row>
    <row r="49" spans="2:7" x14ac:dyDescent="0.35">
      <c r="B49" s="90" t="s">
        <v>54</v>
      </c>
      <c r="C49" s="86" t="s">
        <v>8</v>
      </c>
      <c r="D49" s="111"/>
      <c r="E49" s="85" t="s">
        <v>88</v>
      </c>
      <c r="F49" s="85" t="s">
        <v>110</v>
      </c>
      <c r="G49" s="85" t="s">
        <v>95</v>
      </c>
    </row>
    <row r="50" spans="2:7" x14ac:dyDescent="0.35">
      <c r="B50" s="90" t="s">
        <v>55</v>
      </c>
      <c r="C50" s="86" t="s">
        <v>8</v>
      </c>
      <c r="D50" s="111">
        <v>9.8000000000000007</v>
      </c>
      <c r="E50" s="85" t="s">
        <v>88</v>
      </c>
      <c r="F50" s="85" t="s">
        <v>110</v>
      </c>
      <c r="G50" s="85" t="s">
        <v>95</v>
      </c>
    </row>
    <row r="51" spans="2:7" x14ac:dyDescent="0.35">
      <c r="B51" s="88" t="s">
        <v>51</v>
      </c>
      <c r="C51" s="108" t="s">
        <v>9</v>
      </c>
      <c r="D51" s="111">
        <v>1.3586</v>
      </c>
      <c r="E51" s="85" t="s">
        <v>88</v>
      </c>
      <c r="F51" s="85" t="s">
        <v>110</v>
      </c>
      <c r="G51" s="85" t="s">
        <v>95</v>
      </c>
    </row>
    <row r="52" spans="2:7" ht="56.5" x14ac:dyDescent="0.35">
      <c r="B52" s="94" t="s">
        <v>89</v>
      </c>
      <c r="C52" s="95"/>
      <c r="D52" s="115">
        <v>519.51199999999994</v>
      </c>
      <c r="E52" s="85" t="s">
        <v>88</v>
      </c>
      <c r="F52" s="85" t="s">
        <v>110</v>
      </c>
      <c r="G52" s="85" t="s">
        <v>95</v>
      </c>
    </row>
    <row r="53" spans="2:7" ht="28.5" x14ac:dyDescent="0.35">
      <c r="B53" s="93" t="s">
        <v>47</v>
      </c>
      <c r="C53" s="87" t="s">
        <v>29</v>
      </c>
      <c r="D53" s="111"/>
      <c r="E53" s="85" t="s">
        <v>88</v>
      </c>
      <c r="F53" s="85" t="s">
        <v>110</v>
      </c>
      <c r="G53" s="85" t="s">
        <v>95</v>
      </c>
    </row>
    <row r="54" spans="2:7" ht="28" x14ac:dyDescent="0.35">
      <c r="B54" s="91" t="s">
        <v>64</v>
      </c>
      <c r="C54" s="87" t="s">
        <v>29</v>
      </c>
      <c r="D54" s="111">
        <v>14</v>
      </c>
      <c r="E54" s="85" t="s">
        <v>88</v>
      </c>
      <c r="F54" s="85" t="s">
        <v>110</v>
      </c>
      <c r="G54" s="85" t="s">
        <v>95</v>
      </c>
    </row>
    <row r="55" spans="2:7" ht="28" x14ac:dyDescent="0.35">
      <c r="B55" s="91" t="s">
        <v>65</v>
      </c>
      <c r="C55" s="87" t="s">
        <v>29</v>
      </c>
      <c r="D55" s="111"/>
      <c r="E55" s="85" t="s">
        <v>88</v>
      </c>
      <c r="F55" s="85" t="s">
        <v>110</v>
      </c>
      <c r="G55" s="85" t="s">
        <v>95</v>
      </c>
    </row>
    <row r="56" spans="2:7" ht="28" x14ac:dyDescent="0.35">
      <c r="B56" s="96" t="s">
        <v>19</v>
      </c>
      <c r="C56" s="87" t="s">
        <v>29</v>
      </c>
      <c r="D56" s="111"/>
      <c r="E56" s="85" t="s">
        <v>88</v>
      </c>
      <c r="F56" s="85" t="s">
        <v>110</v>
      </c>
      <c r="G56" s="85" t="s">
        <v>95</v>
      </c>
    </row>
    <row r="57" spans="2:7" ht="28" x14ac:dyDescent="0.35">
      <c r="B57" s="97" t="s">
        <v>63</v>
      </c>
      <c r="C57" s="87" t="s">
        <v>29</v>
      </c>
      <c r="D57" s="111"/>
      <c r="E57" s="85" t="s">
        <v>88</v>
      </c>
      <c r="F57" s="85" t="s">
        <v>110</v>
      </c>
      <c r="G57" s="85" t="s">
        <v>95</v>
      </c>
    </row>
    <row r="58" spans="2:7" ht="28" x14ac:dyDescent="0.35">
      <c r="B58" s="97" t="s">
        <v>66</v>
      </c>
      <c r="C58" s="87" t="s">
        <v>29</v>
      </c>
      <c r="D58" s="111">
        <v>14</v>
      </c>
      <c r="E58" s="85" t="s">
        <v>88</v>
      </c>
      <c r="F58" s="85" t="s">
        <v>110</v>
      </c>
      <c r="G58" s="85" t="s">
        <v>95</v>
      </c>
    </row>
    <row r="59" spans="2:7" ht="28" x14ac:dyDescent="0.35">
      <c r="B59" s="91" t="s">
        <v>67</v>
      </c>
      <c r="C59" s="87" t="s">
        <v>29</v>
      </c>
      <c r="D59" s="111">
        <v>308</v>
      </c>
      <c r="E59" s="85" t="s">
        <v>88</v>
      </c>
      <c r="F59" s="85" t="s">
        <v>110</v>
      </c>
      <c r="G59" s="85" t="s">
        <v>95</v>
      </c>
    </row>
    <row r="60" spans="2:7" ht="28" x14ac:dyDescent="0.35">
      <c r="B60" s="92" t="s">
        <v>25</v>
      </c>
      <c r="C60" s="87" t="s">
        <v>29</v>
      </c>
      <c r="D60" s="111"/>
      <c r="E60" s="85" t="s">
        <v>88</v>
      </c>
      <c r="F60" s="85" t="s">
        <v>110</v>
      </c>
      <c r="G60" s="85" t="s">
        <v>95</v>
      </c>
    </row>
    <row r="61" spans="2:7" ht="28" x14ac:dyDescent="0.35">
      <c r="B61" s="91" t="s">
        <v>14</v>
      </c>
      <c r="C61" s="87" t="s">
        <v>29</v>
      </c>
      <c r="D61" s="111"/>
      <c r="E61" s="85" t="s">
        <v>88</v>
      </c>
      <c r="F61" s="85" t="s">
        <v>110</v>
      </c>
      <c r="G61" s="85" t="s">
        <v>95</v>
      </c>
    </row>
    <row r="62" spans="2:7" ht="28.5" x14ac:dyDescent="0.35">
      <c r="B62" s="93" t="s">
        <v>48</v>
      </c>
      <c r="C62" s="87" t="s">
        <v>34</v>
      </c>
      <c r="D62" s="111"/>
      <c r="E62" s="85" t="s">
        <v>88</v>
      </c>
      <c r="F62" s="85" t="s">
        <v>110</v>
      </c>
      <c r="G62" s="85" t="s">
        <v>95</v>
      </c>
    </row>
    <row r="63" spans="2:7" x14ac:dyDescent="0.35">
      <c r="B63" s="91" t="s">
        <v>0</v>
      </c>
      <c r="C63" s="87" t="s">
        <v>34</v>
      </c>
      <c r="D63" s="111">
        <v>4.12</v>
      </c>
      <c r="E63" s="85" t="s">
        <v>88</v>
      </c>
      <c r="F63" s="85" t="s">
        <v>110</v>
      </c>
      <c r="G63" s="85" t="s">
        <v>95</v>
      </c>
    </row>
    <row r="64" spans="2:7" x14ac:dyDescent="0.35">
      <c r="B64" s="91" t="s">
        <v>13</v>
      </c>
      <c r="C64" s="87" t="s">
        <v>34</v>
      </c>
      <c r="D64" s="111">
        <v>1.25</v>
      </c>
      <c r="E64" s="85" t="s">
        <v>88</v>
      </c>
      <c r="F64" s="85" t="s">
        <v>110</v>
      </c>
      <c r="G64" s="85" t="s">
        <v>95</v>
      </c>
    </row>
    <row r="65" spans="2:7" x14ac:dyDescent="0.35">
      <c r="B65" s="92" t="s">
        <v>19</v>
      </c>
      <c r="C65" s="87" t="s">
        <v>34</v>
      </c>
      <c r="D65" s="111"/>
      <c r="E65" s="85" t="s">
        <v>88</v>
      </c>
      <c r="F65" s="85" t="s">
        <v>110</v>
      </c>
      <c r="G65" s="85" t="s">
        <v>95</v>
      </c>
    </row>
    <row r="66" spans="2:7" x14ac:dyDescent="0.35">
      <c r="B66" s="97" t="s">
        <v>32</v>
      </c>
      <c r="C66" s="87" t="s">
        <v>34</v>
      </c>
      <c r="D66" s="111">
        <v>0.38</v>
      </c>
      <c r="E66" s="85" t="s">
        <v>88</v>
      </c>
      <c r="F66" s="85" t="s">
        <v>110</v>
      </c>
      <c r="G66" s="85" t="s">
        <v>95</v>
      </c>
    </row>
    <row r="67" spans="2:7" x14ac:dyDescent="0.35">
      <c r="B67" s="97" t="s">
        <v>33</v>
      </c>
      <c r="C67" s="87" t="s">
        <v>34</v>
      </c>
      <c r="D67" s="111">
        <v>1.44</v>
      </c>
      <c r="E67" s="85" t="s">
        <v>88</v>
      </c>
      <c r="F67" s="85" t="s">
        <v>110</v>
      </c>
      <c r="G67" s="85" t="s">
        <v>95</v>
      </c>
    </row>
    <row r="68" spans="2:7" ht="28.5" x14ac:dyDescent="0.35">
      <c r="B68" s="92" t="s">
        <v>24</v>
      </c>
      <c r="C68" s="87" t="s">
        <v>34</v>
      </c>
      <c r="D68" s="111">
        <v>1.4339999999999999</v>
      </c>
      <c r="E68" s="85" t="s">
        <v>88</v>
      </c>
      <c r="F68" s="85" t="s">
        <v>110</v>
      </c>
      <c r="G68" s="85" t="s">
        <v>95</v>
      </c>
    </row>
    <row r="69" spans="2:7" ht="28.5" x14ac:dyDescent="0.35">
      <c r="B69" s="92" t="s">
        <v>26</v>
      </c>
      <c r="C69" s="87" t="s">
        <v>34</v>
      </c>
      <c r="D69" s="111"/>
      <c r="E69" s="85" t="s">
        <v>88</v>
      </c>
      <c r="F69" s="85" t="s">
        <v>110</v>
      </c>
      <c r="G69" s="85" t="s">
        <v>95</v>
      </c>
    </row>
    <row r="70" spans="2:7" x14ac:dyDescent="0.35">
      <c r="B70" s="91" t="s">
        <v>14</v>
      </c>
      <c r="C70" s="87" t="s">
        <v>34</v>
      </c>
      <c r="D70" s="111"/>
      <c r="E70" s="85" t="s">
        <v>88</v>
      </c>
      <c r="F70" s="85" t="s">
        <v>110</v>
      </c>
      <c r="G70" s="85" t="s">
        <v>95</v>
      </c>
    </row>
    <row r="71" spans="2:7" ht="28.5" x14ac:dyDescent="0.35">
      <c r="B71" s="99" t="s">
        <v>90</v>
      </c>
      <c r="C71" s="100"/>
      <c r="D71" s="115">
        <v>8234.9019049402668</v>
      </c>
      <c r="E71" s="85" t="s">
        <v>88</v>
      </c>
      <c r="F71" s="85" t="s">
        <v>110</v>
      </c>
      <c r="G71" s="85" t="s">
        <v>95</v>
      </c>
    </row>
    <row r="72" spans="2:7" ht="56.5" x14ac:dyDescent="0.35">
      <c r="B72" s="98" t="s">
        <v>96</v>
      </c>
      <c r="C72" s="53" t="s">
        <v>38</v>
      </c>
      <c r="D72" s="116">
        <v>12405.6</v>
      </c>
      <c r="E72" s="85" t="s">
        <v>88</v>
      </c>
      <c r="F72" s="85" t="s">
        <v>110</v>
      </c>
      <c r="G72" s="85" t="s">
        <v>95</v>
      </c>
    </row>
    <row r="73" spans="2:7" x14ac:dyDescent="0.35">
      <c r="B73" s="98" t="s">
        <v>97</v>
      </c>
      <c r="C73" s="53" t="s">
        <v>8</v>
      </c>
      <c r="D73" s="116">
        <v>46275.4</v>
      </c>
      <c r="E73" s="85" t="s">
        <v>88</v>
      </c>
      <c r="F73" s="85" t="s">
        <v>110</v>
      </c>
      <c r="G73" s="85" t="s">
        <v>95</v>
      </c>
    </row>
    <row r="74" spans="2:7" ht="56.5" x14ac:dyDescent="0.35">
      <c r="B74" s="98" t="s">
        <v>98</v>
      </c>
      <c r="C74" s="53" t="s">
        <v>38</v>
      </c>
      <c r="D74" s="116">
        <v>20720.61</v>
      </c>
      <c r="E74" s="85" t="s">
        <v>88</v>
      </c>
      <c r="F74" s="85" t="s">
        <v>110</v>
      </c>
      <c r="G74" s="85" t="s">
        <v>95</v>
      </c>
    </row>
    <row r="75" spans="2:7" x14ac:dyDescent="0.35">
      <c r="B75" s="98" t="s">
        <v>99</v>
      </c>
      <c r="C75" s="53" t="s">
        <v>8</v>
      </c>
      <c r="D75" s="116">
        <v>46455</v>
      </c>
      <c r="E75" s="85" t="s">
        <v>88</v>
      </c>
      <c r="F75" s="85" t="s">
        <v>110</v>
      </c>
      <c r="G75" s="85" t="s">
        <v>95</v>
      </c>
    </row>
    <row r="76" spans="2:7" ht="42" x14ac:dyDescent="0.35">
      <c r="B76" s="105" t="s">
        <v>87</v>
      </c>
      <c r="C76" s="106"/>
      <c r="D76" s="115">
        <v>0</v>
      </c>
      <c r="E76" s="85" t="s">
        <v>88</v>
      </c>
      <c r="F76" s="85" t="s">
        <v>110</v>
      </c>
      <c r="G76" s="85" t="s">
        <v>100</v>
      </c>
    </row>
    <row r="77" spans="2:7" x14ac:dyDescent="0.35">
      <c r="B77" s="107" t="s">
        <v>12</v>
      </c>
      <c r="C77" s="84" t="s">
        <v>6</v>
      </c>
      <c r="D77" s="116">
        <v>13</v>
      </c>
      <c r="E77" s="85" t="s">
        <v>88</v>
      </c>
      <c r="F77" s="85" t="s">
        <v>110</v>
      </c>
      <c r="G77" s="85" t="s">
        <v>100</v>
      </c>
    </row>
    <row r="78" spans="2:7" x14ac:dyDescent="0.35">
      <c r="B78" s="88" t="s">
        <v>56</v>
      </c>
      <c r="C78" s="84" t="s">
        <v>6</v>
      </c>
      <c r="D78" s="116">
        <v>4478</v>
      </c>
      <c r="E78" s="85" t="s">
        <v>88</v>
      </c>
      <c r="F78" s="85" t="s">
        <v>110</v>
      </c>
      <c r="G78" s="85" t="s">
        <v>100</v>
      </c>
    </row>
    <row r="79" spans="2:7" x14ac:dyDescent="0.35">
      <c r="B79" s="88" t="s">
        <v>57</v>
      </c>
      <c r="C79" s="84" t="s">
        <v>6</v>
      </c>
      <c r="D79" s="116">
        <v>4478</v>
      </c>
      <c r="E79" s="85" t="s">
        <v>88</v>
      </c>
      <c r="F79" s="85" t="s">
        <v>110</v>
      </c>
      <c r="G79" s="85" t="s">
        <v>100</v>
      </c>
    </row>
    <row r="80" spans="2:7" x14ac:dyDescent="0.35">
      <c r="B80" s="89" t="s">
        <v>52</v>
      </c>
      <c r="C80" s="84" t="s">
        <v>6</v>
      </c>
      <c r="D80" s="116"/>
      <c r="E80" s="85" t="s">
        <v>88</v>
      </c>
      <c r="F80" s="85" t="s">
        <v>110</v>
      </c>
      <c r="G80" s="85" t="s">
        <v>100</v>
      </c>
    </row>
    <row r="81" spans="2:7" x14ac:dyDescent="0.35">
      <c r="B81" s="89" t="s">
        <v>53</v>
      </c>
      <c r="C81" s="84" t="s">
        <v>6</v>
      </c>
      <c r="D81" s="116"/>
      <c r="E81" s="85" t="s">
        <v>88</v>
      </c>
      <c r="F81" s="85" t="s">
        <v>110</v>
      </c>
      <c r="G81" s="85" t="s">
        <v>100</v>
      </c>
    </row>
    <row r="82" spans="2:7" x14ac:dyDescent="0.35">
      <c r="B82" s="88" t="s">
        <v>50</v>
      </c>
      <c r="C82" s="86" t="s">
        <v>8</v>
      </c>
      <c r="D82" s="116">
        <v>47538</v>
      </c>
      <c r="E82" s="85" t="s">
        <v>88</v>
      </c>
      <c r="F82" s="85" t="s">
        <v>110</v>
      </c>
      <c r="G82" s="85" t="s">
        <v>100</v>
      </c>
    </row>
    <row r="83" spans="2:7" x14ac:dyDescent="0.35">
      <c r="B83" s="88" t="s">
        <v>58</v>
      </c>
      <c r="C83" s="86" t="s">
        <v>8</v>
      </c>
      <c r="D83" s="116">
        <v>47538</v>
      </c>
      <c r="E83" s="85" t="s">
        <v>88</v>
      </c>
      <c r="F83" s="85" t="s">
        <v>110</v>
      </c>
      <c r="G83" s="85" t="s">
        <v>100</v>
      </c>
    </row>
    <row r="84" spans="2:7" x14ac:dyDescent="0.35">
      <c r="B84" s="90" t="s">
        <v>54</v>
      </c>
      <c r="C84" s="86" t="s">
        <v>8</v>
      </c>
      <c r="D84" s="116"/>
      <c r="E84" s="85" t="s">
        <v>88</v>
      </c>
      <c r="F84" s="85" t="s">
        <v>110</v>
      </c>
      <c r="G84" s="85" t="s">
        <v>100</v>
      </c>
    </row>
    <row r="85" spans="2:7" x14ac:dyDescent="0.35">
      <c r="B85" s="90" t="s">
        <v>55</v>
      </c>
      <c r="C85" s="86" t="s">
        <v>8</v>
      </c>
      <c r="D85" s="116"/>
      <c r="E85" s="85" t="s">
        <v>88</v>
      </c>
      <c r="F85" s="85" t="s">
        <v>110</v>
      </c>
      <c r="G85" s="85" t="s">
        <v>100</v>
      </c>
    </row>
    <row r="86" spans="2:7" x14ac:dyDescent="0.35">
      <c r="B86" s="88" t="s">
        <v>51</v>
      </c>
      <c r="C86" s="108" t="s">
        <v>9</v>
      </c>
      <c r="D86" s="116">
        <v>1.393</v>
      </c>
      <c r="E86" s="85" t="s">
        <v>88</v>
      </c>
      <c r="F86" s="85" t="s">
        <v>110</v>
      </c>
      <c r="G86" s="85" t="s">
        <v>100</v>
      </c>
    </row>
    <row r="87" spans="2:7" ht="56.5" x14ac:dyDescent="0.35">
      <c r="B87" s="94" t="s">
        <v>89</v>
      </c>
      <c r="C87" s="95"/>
      <c r="D87" s="115">
        <v>528.29200000000003</v>
      </c>
      <c r="E87" s="85" t="s">
        <v>88</v>
      </c>
      <c r="F87" s="85" t="s">
        <v>110</v>
      </c>
      <c r="G87" s="85" t="s">
        <v>100</v>
      </c>
    </row>
    <row r="88" spans="2:7" ht="28.5" x14ac:dyDescent="0.35">
      <c r="B88" s="93" t="s">
        <v>47</v>
      </c>
      <c r="C88" s="87" t="s">
        <v>29</v>
      </c>
      <c r="D88" s="116"/>
      <c r="E88" s="85" t="s">
        <v>88</v>
      </c>
      <c r="F88" s="85" t="s">
        <v>110</v>
      </c>
      <c r="G88" s="85" t="s">
        <v>100</v>
      </c>
    </row>
    <row r="89" spans="2:7" ht="28" x14ac:dyDescent="0.35">
      <c r="B89" s="91" t="s">
        <v>64</v>
      </c>
      <c r="C89" s="87" t="s">
        <v>29</v>
      </c>
      <c r="D89" s="116">
        <v>13</v>
      </c>
      <c r="E89" s="85" t="s">
        <v>88</v>
      </c>
      <c r="F89" s="85" t="s">
        <v>110</v>
      </c>
      <c r="G89" s="85" t="s">
        <v>100</v>
      </c>
    </row>
    <row r="90" spans="2:7" ht="28" x14ac:dyDescent="0.35">
      <c r="B90" s="91" t="s">
        <v>65</v>
      </c>
      <c r="C90" s="87" t="s">
        <v>29</v>
      </c>
      <c r="D90" s="116"/>
      <c r="E90" s="85" t="s">
        <v>88</v>
      </c>
      <c r="F90" s="85" t="s">
        <v>110</v>
      </c>
      <c r="G90" s="85" t="s">
        <v>100</v>
      </c>
    </row>
    <row r="91" spans="2:7" ht="28" x14ac:dyDescent="0.35">
      <c r="B91" s="96" t="s">
        <v>19</v>
      </c>
      <c r="C91" s="87" t="s">
        <v>29</v>
      </c>
      <c r="D91" s="116"/>
      <c r="E91" s="85" t="s">
        <v>88</v>
      </c>
      <c r="F91" s="85" t="s">
        <v>110</v>
      </c>
      <c r="G91" s="85" t="s">
        <v>100</v>
      </c>
    </row>
    <row r="92" spans="2:7" ht="28" x14ac:dyDescent="0.35">
      <c r="B92" s="97" t="s">
        <v>63</v>
      </c>
      <c r="C92" s="87" t="s">
        <v>29</v>
      </c>
      <c r="D92" s="116"/>
      <c r="E92" s="85" t="s">
        <v>88</v>
      </c>
      <c r="F92" s="85" t="s">
        <v>110</v>
      </c>
      <c r="G92" s="85" t="s">
        <v>100</v>
      </c>
    </row>
    <row r="93" spans="2:7" ht="28" x14ac:dyDescent="0.35">
      <c r="B93" s="97" t="s">
        <v>66</v>
      </c>
      <c r="C93" s="87" t="s">
        <v>29</v>
      </c>
      <c r="D93" s="116">
        <v>13</v>
      </c>
      <c r="E93" s="85" t="s">
        <v>88</v>
      </c>
      <c r="F93" s="85" t="s">
        <v>110</v>
      </c>
      <c r="G93" s="85" t="s">
        <v>100</v>
      </c>
    </row>
    <row r="94" spans="2:7" ht="28" x14ac:dyDescent="0.35">
      <c r="B94" s="91" t="s">
        <v>67</v>
      </c>
      <c r="C94" s="87" t="s">
        <v>29</v>
      </c>
      <c r="D94" s="116">
        <v>318</v>
      </c>
      <c r="E94" s="85" t="s">
        <v>88</v>
      </c>
      <c r="F94" s="85" t="s">
        <v>110</v>
      </c>
      <c r="G94" s="85" t="s">
        <v>100</v>
      </c>
    </row>
    <row r="95" spans="2:7" ht="28" x14ac:dyDescent="0.35">
      <c r="B95" s="92" t="s">
        <v>25</v>
      </c>
      <c r="C95" s="87" t="s">
        <v>29</v>
      </c>
      <c r="D95" s="116"/>
      <c r="E95" s="85" t="s">
        <v>88</v>
      </c>
      <c r="F95" s="85" t="s">
        <v>110</v>
      </c>
      <c r="G95" s="85" t="s">
        <v>100</v>
      </c>
    </row>
    <row r="96" spans="2:7" ht="28" x14ac:dyDescent="0.35">
      <c r="B96" s="91" t="s">
        <v>14</v>
      </c>
      <c r="C96" s="87" t="s">
        <v>29</v>
      </c>
      <c r="D96" s="116"/>
      <c r="E96" s="85" t="s">
        <v>88</v>
      </c>
      <c r="F96" s="85" t="s">
        <v>110</v>
      </c>
      <c r="G96" s="85" t="s">
        <v>100</v>
      </c>
    </row>
    <row r="97" spans="2:7" ht="28.5" x14ac:dyDescent="0.35">
      <c r="B97" s="93" t="s">
        <v>48</v>
      </c>
      <c r="C97" s="87" t="s">
        <v>34</v>
      </c>
      <c r="D97" s="116"/>
      <c r="E97" s="85" t="s">
        <v>88</v>
      </c>
      <c r="F97" s="85" t="s">
        <v>110</v>
      </c>
      <c r="G97" s="85" t="s">
        <v>100</v>
      </c>
    </row>
    <row r="98" spans="2:7" x14ac:dyDescent="0.35">
      <c r="B98" s="91" t="s">
        <v>0</v>
      </c>
      <c r="C98" s="87" t="s">
        <v>34</v>
      </c>
      <c r="D98" s="116">
        <v>4.12</v>
      </c>
      <c r="E98" s="85" t="s">
        <v>88</v>
      </c>
      <c r="F98" s="85" t="s">
        <v>110</v>
      </c>
      <c r="G98" s="85" t="s">
        <v>100</v>
      </c>
    </row>
    <row r="99" spans="2:7" x14ac:dyDescent="0.35">
      <c r="B99" s="91" t="s">
        <v>13</v>
      </c>
      <c r="C99" s="87" t="s">
        <v>34</v>
      </c>
      <c r="D99" s="116">
        <v>1.25</v>
      </c>
      <c r="E99" s="85" t="s">
        <v>88</v>
      </c>
      <c r="F99" s="85" t="s">
        <v>110</v>
      </c>
      <c r="G99" s="85" t="s">
        <v>100</v>
      </c>
    </row>
    <row r="100" spans="2:7" x14ac:dyDescent="0.35">
      <c r="B100" s="92" t="s">
        <v>19</v>
      </c>
      <c r="C100" s="87" t="s">
        <v>34</v>
      </c>
      <c r="D100" s="116"/>
      <c r="E100" s="85" t="s">
        <v>88</v>
      </c>
      <c r="F100" s="85" t="s">
        <v>110</v>
      </c>
      <c r="G100" s="85" t="s">
        <v>100</v>
      </c>
    </row>
    <row r="101" spans="2:7" x14ac:dyDescent="0.35">
      <c r="B101" s="97" t="s">
        <v>32</v>
      </c>
      <c r="C101" s="87" t="s">
        <v>34</v>
      </c>
      <c r="D101" s="116"/>
      <c r="E101" s="85" t="s">
        <v>88</v>
      </c>
      <c r="F101" s="85" t="s">
        <v>110</v>
      </c>
      <c r="G101" s="85" t="s">
        <v>100</v>
      </c>
    </row>
    <row r="102" spans="2:7" x14ac:dyDescent="0.35">
      <c r="B102" s="97" t="s">
        <v>33</v>
      </c>
      <c r="C102" s="87" t="s">
        <v>34</v>
      </c>
      <c r="D102" s="116">
        <v>1.44</v>
      </c>
      <c r="E102" s="85" t="s">
        <v>88</v>
      </c>
      <c r="F102" s="85" t="s">
        <v>110</v>
      </c>
      <c r="G102" s="85" t="s">
        <v>100</v>
      </c>
    </row>
    <row r="103" spans="2:7" ht="28.5" x14ac:dyDescent="0.35">
      <c r="B103" s="92" t="s">
        <v>24</v>
      </c>
      <c r="C103" s="87" t="s">
        <v>34</v>
      </c>
      <c r="D103" s="116">
        <v>1.4339999999999999</v>
      </c>
      <c r="E103" s="85" t="s">
        <v>88</v>
      </c>
      <c r="F103" s="85" t="s">
        <v>110</v>
      </c>
      <c r="G103" s="85" t="s">
        <v>100</v>
      </c>
    </row>
    <row r="104" spans="2:7" ht="28.5" x14ac:dyDescent="0.35">
      <c r="B104" s="92" t="s">
        <v>26</v>
      </c>
      <c r="C104" s="87" t="s">
        <v>34</v>
      </c>
      <c r="D104" s="116"/>
      <c r="E104" s="85" t="s">
        <v>88</v>
      </c>
      <c r="F104" s="85" t="s">
        <v>110</v>
      </c>
      <c r="G104" s="85" t="s">
        <v>100</v>
      </c>
    </row>
    <row r="105" spans="2:7" x14ac:dyDescent="0.35">
      <c r="B105" s="91" t="s">
        <v>14</v>
      </c>
      <c r="C105" s="87" t="s">
        <v>34</v>
      </c>
      <c r="D105" s="116"/>
      <c r="E105" s="85" t="s">
        <v>88</v>
      </c>
      <c r="F105" s="85" t="s">
        <v>110</v>
      </c>
      <c r="G105" s="85" t="s">
        <v>100</v>
      </c>
    </row>
    <row r="106" spans="2:7" ht="28.5" x14ac:dyDescent="0.35">
      <c r="B106" s="99" t="s">
        <v>90</v>
      </c>
      <c r="C106" s="100"/>
      <c r="D106" s="115">
        <v>7553.3294786411307</v>
      </c>
      <c r="E106" s="85" t="s">
        <v>88</v>
      </c>
      <c r="F106" s="85" t="s">
        <v>110</v>
      </c>
      <c r="G106" s="85" t="s">
        <v>100</v>
      </c>
    </row>
    <row r="107" spans="2:7" ht="56.5" x14ac:dyDescent="0.35">
      <c r="B107" s="98" t="s">
        <v>101</v>
      </c>
      <c r="C107" s="53" t="s">
        <v>38</v>
      </c>
      <c r="D107" s="116">
        <v>12195.51</v>
      </c>
      <c r="E107" s="85" t="s">
        <v>88</v>
      </c>
      <c r="F107" s="85" t="s">
        <v>110</v>
      </c>
      <c r="G107" s="85" t="s">
        <v>100</v>
      </c>
    </row>
    <row r="108" spans="2:7" x14ac:dyDescent="0.35">
      <c r="B108" s="98" t="s">
        <v>102</v>
      </c>
      <c r="C108" s="53" t="s">
        <v>8</v>
      </c>
      <c r="D108" s="116">
        <v>47538</v>
      </c>
      <c r="E108" s="85" t="s">
        <v>88</v>
      </c>
      <c r="F108" s="85" t="s">
        <v>110</v>
      </c>
      <c r="G108" s="85" t="s">
        <v>100</v>
      </c>
    </row>
    <row r="109" spans="2:7" ht="56.5" x14ac:dyDescent="0.35">
      <c r="B109" s="98" t="s">
        <v>103</v>
      </c>
      <c r="C109" s="53" t="s">
        <v>38</v>
      </c>
      <c r="D109" s="116">
        <v>20025.849999999999</v>
      </c>
      <c r="E109" s="85" t="s">
        <v>88</v>
      </c>
      <c r="F109" s="85" t="s">
        <v>110</v>
      </c>
      <c r="G109" s="85" t="s">
        <v>100</v>
      </c>
    </row>
    <row r="110" spans="2:7" x14ac:dyDescent="0.35">
      <c r="B110" s="98" t="s">
        <v>104</v>
      </c>
      <c r="C110" s="53" t="s">
        <v>8</v>
      </c>
      <c r="D110" s="116">
        <v>48204.800000000003</v>
      </c>
      <c r="E110" s="85" t="s">
        <v>88</v>
      </c>
      <c r="F110" s="85" t="s">
        <v>110</v>
      </c>
      <c r="G110" s="85" t="s">
        <v>100</v>
      </c>
    </row>
    <row r="111" spans="2:7" ht="42" x14ac:dyDescent="0.35">
      <c r="B111" s="105" t="s">
        <v>87</v>
      </c>
      <c r="C111" s="106"/>
      <c r="D111" s="115">
        <v>0</v>
      </c>
      <c r="E111" s="85" t="s">
        <v>88</v>
      </c>
      <c r="F111" s="85" t="s">
        <v>110</v>
      </c>
      <c r="G111" s="85" t="s">
        <v>105</v>
      </c>
    </row>
    <row r="112" spans="2:7" x14ac:dyDescent="0.35">
      <c r="B112" s="107" t="s">
        <v>12</v>
      </c>
      <c r="C112" s="84" t="s">
        <v>6</v>
      </c>
      <c r="D112" s="116">
        <v>12</v>
      </c>
      <c r="E112" s="85" t="s">
        <v>88</v>
      </c>
      <c r="F112" s="85" t="s">
        <v>110</v>
      </c>
      <c r="G112" s="85" t="s">
        <v>105</v>
      </c>
    </row>
    <row r="113" spans="2:7" x14ac:dyDescent="0.35">
      <c r="B113" s="88" t="s">
        <v>56</v>
      </c>
      <c r="C113" s="84" t="s">
        <v>6</v>
      </c>
      <c r="D113" s="116">
        <v>4140</v>
      </c>
      <c r="E113" s="85" t="s">
        <v>88</v>
      </c>
      <c r="F113" s="85" t="s">
        <v>110</v>
      </c>
      <c r="G113" s="85" t="s">
        <v>105</v>
      </c>
    </row>
    <row r="114" spans="2:7" x14ac:dyDescent="0.35">
      <c r="B114" s="88" t="s">
        <v>57</v>
      </c>
      <c r="C114" s="84" t="s">
        <v>6</v>
      </c>
      <c r="D114" s="116">
        <v>4140</v>
      </c>
      <c r="E114" s="85" t="s">
        <v>88</v>
      </c>
      <c r="F114" s="85" t="s">
        <v>110</v>
      </c>
      <c r="G114" s="85" t="s">
        <v>105</v>
      </c>
    </row>
    <row r="115" spans="2:7" x14ac:dyDescent="0.35">
      <c r="B115" s="89" t="s">
        <v>52</v>
      </c>
      <c r="C115" s="84" t="s">
        <v>6</v>
      </c>
      <c r="D115" s="116"/>
      <c r="E115" s="85" t="s">
        <v>88</v>
      </c>
      <c r="F115" s="85" t="s">
        <v>110</v>
      </c>
      <c r="G115" s="85" t="s">
        <v>105</v>
      </c>
    </row>
    <row r="116" spans="2:7" x14ac:dyDescent="0.35">
      <c r="B116" s="89" t="s">
        <v>53</v>
      </c>
      <c r="C116" s="84" t="s">
        <v>6</v>
      </c>
      <c r="D116" s="116"/>
      <c r="E116" s="85" t="s">
        <v>88</v>
      </c>
      <c r="F116" s="85" t="s">
        <v>110</v>
      </c>
      <c r="G116" s="85" t="s">
        <v>105</v>
      </c>
    </row>
    <row r="117" spans="2:7" x14ac:dyDescent="0.35">
      <c r="B117" s="88" t="s">
        <v>50</v>
      </c>
      <c r="C117" s="86" t="s">
        <v>8</v>
      </c>
      <c r="D117" s="116">
        <v>44979</v>
      </c>
      <c r="E117" s="85" t="s">
        <v>88</v>
      </c>
      <c r="F117" s="85" t="s">
        <v>110</v>
      </c>
      <c r="G117" s="85" t="s">
        <v>105</v>
      </c>
    </row>
    <row r="118" spans="2:7" x14ac:dyDescent="0.35">
      <c r="B118" s="88" t="s">
        <v>58</v>
      </c>
      <c r="C118" s="86" t="s">
        <v>8</v>
      </c>
      <c r="D118" s="116">
        <v>44979</v>
      </c>
      <c r="E118" s="85" t="s">
        <v>88</v>
      </c>
      <c r="F118" s="85" t="s">
        <v>110</v>
      </c>
      <c r="G118" s="85" t="s">
        <v>105</v>
      </c>
    </row>
    <row r="119" spans="2:7" x14ac:dyDescent="0.35">
      <c r="B119" s="90" t="s">
        <v>54</v>
      </c>
      <c r="C119" s="86" t="s">
        <v>8</v>
      </c>
      <c r="D119" s="116"/>
      <c r="E119" s="85" t="s">
        <v>88</v>
      </c>
      <c r="F119" s="85" t="s">
        <v>110</v>
      </c>
      <c r="G119" s="85" t="s">
        <v>105</v>
      </c>
    </row>
    <row r="120" spans="2:7" x14ac:dyDescent="0.35">
      <c r="B120" s="90" t="s">
        <v>55</v>
      </c>
      <c r="C120" s="86" t="s">
        <v>8</v>
      </c>
      <c r="D120" s="116"/>
      <c r="E120" s="85" t="s">
        <v>88</v>
      </c>
      <c r="F120" s="85" t="s">
        <v>110</v>
      </c>
      <c r="G120" s="85" t="s">
        <v>105</v>
      </c>
    </row>
    <row r="121" spans="2:7" x14ac:dyDescent="0.35">
      <c r="B121" s="88" t="s">
        <v>51</v>
      </c>
      <c r="C121" s="108" t="s">
        <v>9</v>
      </c>
      <c r="D121" s="116">
        <v>1.4311</v>
      </c>
      <c r="E121" s="85" t="s">
        <v>88</v>
      </c>
      <c r="F121" s="85" t="s">
        <v>110</v>
      </c>
      <c r="G121" s="85" t="s">
        <v>105</v>
      </c>
    </row>
    <row r="122" spans="2:7" ht="56.5" x14ac:dyDescent="0.35">
      <c r="B122" s="94" t="s">
        <v>89</v>
      </c>
      <c r="C122" s="95"/>
      <c r="D122" s="115">
        <v>508.39199999999994</v>
      </c>
      <c r="E122" s="85" t="s">
        <v>88</v>
      </c>
      <c r="F122" s="85" t="s">
        <v>110</v>
      </c>
      <c r="G122" s="85" t="s">
        <v>105</v>
      </c>
    </row>
    <row r="123" spans="2:7" ht="28.5" x14ac:dyDescent="0.35">
      <c r="B123" s="93" t="s">
        <v>47</v>
      </c>
      <c r="C123" s="87" t="s">
        <v>29</v>
      </c>
      <c r="D123" s="116"/>
      <c r="E123" s="85" t="s">
        <v>88</v>
      </c>
      <c r="F123" s="85" t="s">
        <v>110</v>
      </c>
      <c r="G123" s="85" t="s">
        <v>105</v>
      </c>
    </row>
    <row r="124" spans="2:7" ht="28" x14ac:dyDescent="0.35">
      <c r="B124" s="91" t="s">
        <v>64</v>
      </c>
      <c r="C124" s="87" t="s">
        <v>29</v>
      </c>
      <c r="D124" s="116">
        <v>12</v>
      </c>
      <c r="E124" s="85" t="s">
        <v>88</v>
      </c>
      <c r="F124" s="85" t="s">
        <v>110</v>
      </c>
      <c r="G124" s="85" t="s">
        <v>105</v>
      </c>
    </row>
    <row r="125" spans="2:7" ht="28" x14ac:dyDescent="0.35">
      <c r="B125" s="91" t="s">
        <v>65</v>
      </c>
      <c r="C125" s="87" t="s">
        <v>29</v>
      </c>
      <c r="D125" s="116"/>
      <c r="E125" s="85" t="s">
        <v>88</v>
      </c>
      <c r="F125" s="85" t="s">
        <v>110</v>
      </c>
      <c r="G125" s="85" t="s">
        <v>105</v>
      </c>
    </row>
    <row r="126" spans="2:7" ht="28" x14ac:dyDescent="0.35">
      <c r="B126" s="96" t="s">
        <v>19</v>
      </c>
      <c r="C126" s="87" t="s">
        <v>29</v>
      </c>
      <c r="D126" s="116"/>
      <c r="E126" s="85" t="s">
        <v>88</v>
      </c>
      <c r="F126" s="85" t="s">
        <v>110</v>
      </c>
      <c r="G126" s="85" t="s">
        <v>105</v>
      </c>
    </row>
    <row r="127" spans="2:7" ht="28" x14ac:dyDescent="0.35">
      <c r="B127" s="97" t="s">
        <v>63</v>
      </c>
      <c r="C127" s="87" t="s">
        <v>29</v>
      </c>
      <c r="D127" s="116"/>
      <c r="E127" s="85" t="s">
        <v>88</v>
      </c>
      <c r="F127" s="85" t="s">
        <v>110</v>
      </c>
      <c r="G127" s="85" t="s">
        <v>105</v>
      </c>
    </row>
    <row r="128" spans="2:7" ht="28" x14ac:dyDescent="0.35">
      <c r="B128" s="97" t="s">
        <v>66</v>
      </c>
      <c r="C128" s="87" t="s">
        <v>29</v>
      </c>
      <c r="D128" s="116">
        <v>12</v>
      </c>
      <c r="E128" s="85" t="s">
        <v>88</v>
      </c>
      <c r="F128" s="85" t="s">
        <v>110</v>
      </c>
      <c r="G128" s="85" t="s">
        <v>105</v>
      </c>
    </row>
    <row r="129" spans="2:7" ht="28" x14ac:dyDescent="0.35">
      <c r="B129" s="91" t="s">
        <v>67</v>
      </c>
      <c r="C129" s="87" t="s">
        <v>29</v>
      </c>
      <c r="D129" s="116">
        <v>308</v>
      </c>
      <c r="E129" s="85" t="s">
        <v>88</v>
      </c>
      <c r="F129" s="85" t="s">
        <v>110</v>
      </c>
      <c r="G129" s="85" t="s">
        <v>105</v>
      </c>
    </row>
    <row r="130" spans="2:7" ht="28" x14ac:dyDescent="0.35">
      <c r="B130" s="92" t="s">
        <v>25</v>
      </c>
      <c r="C130" s="87" t="s">
        <v>29</v>
      </c>
      <c r="D130" s="116"/>
      <c r="E130" s="85" t="s">
        <v>88</v>
      </c>
      <c r="F130" s="85" t="s">
        <v>110</v>
      </c>
      <c r="G130" s="85" t="s">
        <v>105</v>
      </c>
    </row>
    <row r="131" spans="2:7" ht="28" x14ac:dyDescent="0.35">
      <c r="B131" s="91" t="s">
        <v>14</v>
      </c>
      <c r="C131" s="87" t="s">
        <v>29</v>
      </c>
      <c r="D131" s="116"/>
      <c r="E131" s="85" t="s">
        <v>88</v>
      </c>
      <c r="F131" s="85" t="s">
        <v>110</v>
      </c>
      <c r="G131" s="85" t="s">
        <v>105</v>
      </c>
    </row>
    <row r="132" spans="2:7" ht="28.5" x14ac:dyDescent="0.35">
      <c r="B132" s="93" t="s">
        <v>48</v>
      </c>
      <c r="C132" s="87" t="s">
        <v>34</v>
      </c>
      <c r="D132" s="116"/>
      <c r="E132" s="85" t="s">
        <v>88</v>
      </c>
      <c r="F132" s="85" t="s">
        <v>110</v>
      </c>
      <c r="G132" s="85" t="s">
        <v>105</v>
      </c>
    </row>
    <row r="133" spans="2:7" x14ac:dyDescent="0.35">
      <c r="B133" s="91" t="s">
        <v>0</v>
      </c>
      <c r="C133" s="87" t="s">
        <v>34</v>
      </c>
      <c r="D133" s="116">
        <v>4.12</v>
      </c>
      <c r="E133" s="85" t="s">
        <v>88</v>
      </c>
      <c r="F133" s="85" t="s">
        <v>110</v>
      </c>
      <c r="G133" s="85" t="s">
        <v>105</v>
      </c>
    </row>
    <row r="134" spans="2:7" x14ac:dyDescent="0.35">
      <c r="B134" s="91" t="s">
        <v>13</v>
      </c>
      <c r="C134" s="87" t="s">
        <v>34</v>
      </c>
      <c r="D134" s="116">
        <v>1.25</v>
      </c>
      <c r="E134" s="85" t="s">
        <v>88</v>
      </c>
      <c r="F134" s="85" t="s">
        <v>110</v>
      </c>
      <c r="G134" s="85" t="s">
        <v>105</v>
      </c>
    </row>
    <row r="135" spans="2:7" x14ac:dyDescent="0.35">
      <c r="B135" s="92" t="s">
        <v>19</v>
      </c>
      <c r="C135" s="87" t="s">
        <v>34</v>
      </c>
      <c r="D135" s="116"/>
      <c r="E135" s="85" t="s">
        <v>88</v>
      </c>
      <c r="F135" s="85" t="s">
        <v>110</v>
      </c>
      <c r="G135" s="85" t="s">
        <v>105</v>
      </c>
    </row>
    <row r="136" spans="2:7" x14ac:dyDescent="0.35">
      <c r="B136" s="97" t="s">
        <v>32</v>
      </c>
      <c r="C136" s="87" t="s">
        <v>34</v>
      </c>
      <c r="D136" s="116"/>
      <c r="E136" s="85" t="s">
        <v>88</v>
      </c>
      <c r="F136" s="85" t="s">
        <v>110</v>
      </c>
      <c r="G136" s="85" t="s">
        <v>105</v>
      </c>
    </row>
    <row r="137" spans="2:7" x14ac:dyDescent="0.35">
      <c r="B137" s="97" t="s">
        <v>33</v>
      </c>
      <c r="C137" s="87" t="s">
        <v>34</v>
      </c>
      <c r="D137" s="116">
        <v>1.44</v>
      </c>
      <c r="E137" s="85" t="s">
        <v>88</v>
      </c>
      <c r="F137" s="85" t="s">
        <v>110</v>
      </c>
      <c r="G137" s="85" t="s">
        <v>105</v>
      </c>
    </row>
    <row r="138" spans="2:7" ht="28.5" x14ac:dyDescent="0.35">
      <c r="B138" s="92" t="s">
        <v>24</v>
      </c>
      <c r="C138" s="87" t="s">
        <v>34</v>
      </c>
      <c r="D138" s="116">
        <v>1.4339999999999999</v>
      </c>
      <c r="E138" s="85" t="s">
        <v>88</v>
      </c>
      <c r="F138" s="85" t="s">
        <v>110</v>
      </c>
      <c r="G138" s="85" t="s">
        <v>105</v>
      </c>
    </row>
    <row r="139" spans="2:7" ht="28.5" x14ac:dyDescent="0.35">
      <c r="B139" s="92" t="s">
        <v>26</v>
      </c>
      <c r="C139" s="87" t="s">
        <v>34</v>
      </c>
      <c r="D139" s="116"/>
      <c r="E139" s="85" t="s">
        <v>88</v>
      </c>
      <c r="F139" s="85" t="s">
        <v>110</v>
      </c>
      <c r="G139" s="85" t="s">
        <v>105</v>
      </c>
    </row>
    <row r="140" spans="2:7" x14ac:dyDescent="0.35">
      <c r="B140" s="91" t="s">
        <v>14</v>
      </c>
      <c r="C140" s="87" t="s">
        <v>34</v>
      </c>
      <c r="D140" s="116"/>
      <c r="E140" s="85" t="s">
        <v>88</v>
      </c>
      <c r="F140" s="85" t="s">
        <v>110</v>
      </c>
      <c r="G140" s="85" t="s">
        <v>105</v>
      </c>
    </row>
    <row r="141" spans="2:7" ht="28.5" x14ac:dyDescent="0.35">
      <c r="B141" s="99" t="s">
        <v>90</v>
      </c>
      <c r="C141" s="100"/>
      <c r="D141" s="115">
        <v>9210.1680068279293</v>
      </c>
      <c r="E141" s="85" t="s">
        <v>88</v>
      </c>
      <c r="F141" s="85" t="s">
        <v>110</v>
      </c>
      <c r="G141" s="85" t="s">
        <v>105</v>
      </c>
    </row>
    <row r="142" spans="2:7" ht="56.5" x14ac:dyDescent="0.35">
      <c r="B142" s="98" t="s">
        <v>106</v>
      </c>
      <c r="C142" s="53" t="s">
        <v>38</v>
      </c>
      <c r="D142" s="116">
        <v>8217.68</v>
      </c>
      <c r="E142" s="85" t="s">
        <v>88</v>
      </c>
      <c r="F142" s="85" t="s">
        <v>110</v>
      </c>
      <c r="G142" s="85" t="s">
        <v>105</v>
      </c>
    </row>
    <row r="143" spans="2:7" x14ac:dyDescent="0.35">
      <c r="B143" s="98" t="s">
        <v>107</v>
      </c>
      <c r="C143" s="53" t="s">
        <v>8</v>
      </c>
      <c r="D143" s="116">
        <v>44979</v>
      </c>
      <c r="E143" s="85" t="s">
        <v>88</v>
      </c>
      <c r="F143" s="85" t="s">
        <v>110</v>
      </c>
      <c r="G143" s="85" t="s">
        <v>105</v>
      </c>
    </row>
    <row r="144" spans="2:7" ht="56.5" x14ac:dyDescent="0.35">
      <c r="B144" s="98" t="s">
        <v>108</v>
      </c>
      <c r="C144" s="53" t="s">
        <v>38</v>
      </c>
      <c r="D144" s="116">
        <v>17160.38</v>
      </c>
      <c r="E144" s="85" t="s">
        <v>88</v>
      </c>
      <c r="F144" s="85" t="s">
        <v>110</v>
      </c>
      <c r="G144" s="85" t="s">
        <v>105</v>
      </c>
    </row>
    <row r="145" spans="2:7" x14ac:dyDescent="0.35">
      <c r="B145" s="98" t="s">
        <v>109</v>
      </c>
      <c r="C145" s="53" t="s">
        <v>8</v>
      </c>
      <c r="D145" s="116">
        <v>44288.7</v>
      </c>
      <c r="E145" s="85" t="s">
        <v>88</v>
      </c>
      <c r="F145" s="85" t="s">
        <v>110</v>
      </c>
      <c r="G145" s="85" t="s">
        <v>105</v>
      </c>
    </row>
  </sheetData>
  <mergeCells count="1">
    <mergeCell ref="B1:G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0B084-7A70-4F5E-944E-A882D1C38C22}">
  <dimension ref="B2:AL8"/>
  <sheetViews>
    <sheetView workbookViewId="0">
      <selection activeCell="D6" sqref="D6:E6 G6:H6 J6:K6 M6:N6 P6:Q6 S6:T6 V6:W6 Y6:Z6 AB6:AC6 AE6:AF6 AH6:AI6 AK6:AL6"/>
    </sheetView>
  </sheetViews>
  <sheetFormatPr defaultColWidth="8.7265625" defaultRowHeight="14.5" x14ac:dyDescent="0.35"/>
  <cols>
    <col min="1" max="1" width="3.7265625" style="70" customWidth="1"/>
    <col min="2" max="2" width="24.453125" style="70" bestFit="1" customWidth="1"/>
    <col min="3" max="38" width="14.7265625" style="70" customWidth="1"/>
    <col min="39" max="16384" width="8.7265625" style="70"/>
  </cols>
  <sheetData>
    <row r="2" spans="2:38" ht="15" x14ac:dyDescent="0.4">
      <c r="B2" s="69" t="s">
        <v>80</v>
      </c>
      <c r="D2" s="71" t="e">
        <f ca="1">_xll.PALO.VIEW.DIMNAME($B$2,$B$3,0,0)</f>
        <v>#NAME?</v>
      </c>
      <c r="E2" s="71" t="e">
        <f ca="1">_xll.PALO.VIEW.DIMNAME($B$2,$B$3,0,1)</f>
        <v>#NAME?</v>
      </c>
      <c r="F2" s="71" t="e">
        <f ca="1">_xll.PALO.VIEW.DIMNAME($B$2,$B$3,0,2)</f>
        <v>#NAME?</v>
      </c>
      <c r="G2" s="71" t="e">
        <f ca="1">_xll.PALO.VIEW.DIMNAME($B$2,$B$3,0,3)</f>
        <v>#NAME?</v>
      </c>
      <c r="H2" s="71" t="e">
        <f ca="1">_xll.PALO.VIEW.DIMNAME($B$2,$B$3,0,4)</f>
        <v>#NAME?</v>
      </c>
      <c r="I2" s="71" t="e">
        <f ca="1">_xll.PALO.VIEW.DIMNAME($B$2,$B$3,0,5)</f>
        <v>#NAME?</v>
      </c>
      <c r="J2" s="71" t="e">
        <f ca="1">_xll.PALO.VIEW.DIMNAME($B$2,$B$3,0,6)</f>
        <v>#NAME?</v>
      </c>
    </row>
    <row r="3" spans="2:38" ht="15" x14ac:dyDescent="0.4">
      <c r="B3" s="72" t="e">
        <f ca="1">_xll.PALO.CUBE($B$2,"PnL_")</f>
        <v>#NAME?</v>
      </c>
      <c r="D3" s="73" t="e">
        <f ca="1">_xll.PALO.ENAME($B$2,$B$3,0,0,0)</f>
        <v>#NAME?</v>
      </c>
      <c r="E3" s="73" t="e">
        <f ca="1">_xll.PALO.ENAME($B$2,$B$3,0,1,0)</f>
        <v>#NAME?</v>
      </c>
      <c r="F3" s="73" t="e">
        <f ca="1">_xll.PALO.ENAME($B$2,$B$3,0,2,0)</f>
        <v>#NAME?</v>
      </c>
      <c r="G3" s="74" t="e">
        <f ca="1">_xll.PALO.ENAME($B$2,$B$3,0,3,0)</f>
        <v>#NAME?</v>
      </c>
      <c r="H3" s="74" t="e">
        <f ca="1">_xll.PALO.ENAME($B$2,$B$3,0,4,0)</f>
        <v>#NAME?</v>
      </c>
      <c r="I3" s="73" t="e">
        <f ca="1">_xll.PALO.ENAME($B$2,$B$3,0,5,0)</f>
        <v>#NAME?</v>
      </c>
      <c r="J3" s="73" t="e">
        <f ca="1">_xll.PALO.ENAME($B$2,$B$3,0,6,0)</f>
        <v>#NAME?</v>
      </c>
    </row>
    <row r="4" spans="2:38" x14ac:dyDescent="0.35">
      <c r="B4" s="75" t="s">
        <v>81</v>
      </c>
    </row>
    <row r="5" spans="2:38" ht="15" x14ac:dyDescent="0.4">
      <c r="B5" s="76" t="s">
        <v>82</v>
      </c>
    </row>
    <row r="6" spans="2:38" ht="15" x14ac:dyDescent="0.4">
      <c r="C6" s="77" t="e">
        <f ca="1">_xll.PALO.ENAME($B$2,$B$3,2,0,0)</f>
        <v>#NAME?</v>
      </c>
      <c r="D6" s="78" t="e">
        <f ca="1">_xll.PALO.ENAME($B$2,$B$3,2,0,1)</f>
        <v>#NAME?</v>
      </c>
      <c r="E6" s="78" t="e">
        <f ca="1">_xll.PALO.ENAME($B$2,$B$3,2,0,2)</f>
        <v>#NAME?</v>
      </c>
      <c r="F6" s="77" t="e">
        <f ca="1">_xll.PALO.ENAME($B$2,$B$3,2,0,3)</f>
        <v>#NAME?</v>
      </c>
      <c r="G6" s="78" t="e">
        <f ca="1">_xll.PALO.ENAME($B$2,$B$3,2,0,4)</f>
        <v>#NAME?</v>
      </c>
      <c r="H6" s="78" t="e">
        <f ca="1">_xll.PALO.ENAME($B$2,$B$3,2,0,5)</f>
        <v>#NAME?</v>
      </c>
      <c r="I6" s="77" t="e">
        <f ca="1">_xll.PALO.ENAME($B$2,$B$3,2,0,6)</f>
        <v>#NAME?</v>
      </c>
      <c r="J6" s="78" t="e">
        <f ca="1">_xll.PALO.ENAME($B$2,$B$3,2,0,7)</f>
        <v>#NAME?</v>
      </c>
      <c r="K6" s="78" t="e">
        <f ca="1">_xll.PALO.ENAME($B$2,$B$3,2,0,8)</f>
        <v>#NAME?</v>
      </c>
      <c r="L6" s="77" t="e">
        <f ca="1">_xll.PALO.ENAME($B$2,$B$3,2,0,9)</f>
        <v>#NAME?</v>
      </c>
      <c r="M6" s="78" t="e">
        <f ca="1">_xll.PALO.ENAME($B$2,$B$3,2,0,10)</f>
        <v>#NAME?</v>
      </c>
      <c r="N6" s="78" t="e">
        <f ca="1">_xll.PALO.ENAME($B$2,$B$3,2,0,11)</f>
        <v>#NAME?</v>
      </c>
      <c r="O6" s="77" t="e">
        <f ca="1">_xll.PALO.ENAME($B$2,$B$3,2,0,12)</f>
        <v>#NAME?</v>
      </c>
      <c r="P6" s="78" t="e">
        <f ca="1">_xll.PALO.ENAME($B$2,$B$3,2,0,13)</f>
        <v>#NAME?</v>
      </c>
      <c r="Q6" s="78" t="e">
        <f ca="1">_xll.PALO.ENAME($B$2,$B$3,2,0,14)</f>
        <v>#NAME?</v>
      </c>
      <c r="R6" s="77" t="e">
        <f ca="1">_xll.PALO.ENAME($B$2,$B$3,2,0,15)</f>
        <v>#NAME?</v>
      </c>
      <c r="S6" s="78" t="e">
        <f ca="1">_xll.PALO.ENAME($B$2,$B$3,2,0,16)</f>
        <v>#NAME?</v>
      </c>
      <c r="T6" s="78" t="e">
        <f ca="1">_xll.PALO.ENAME($B$2,$B$3,2,0,17)</f>
        <v>#NAME?</v>
      </c>
      <c r="U6" s="77" t="e">
        <f ca="1">_xll.PALO.ENAME($B$2,$B$3,2,0,18)</f>
        <v>#NAME?</v>
      </c>
      <c r="V6" s="78" t="e">
        <f ca="1">_xll.PALO.ENAME($B$2,$B$3,2,0,19)</f>
        <v>#NAME?</v>
      </c>
      <c r="W6" s="78" t="e">
        <f ca="1">_xll.PALO.ENAME($B$2,$B$3,2,0,20)</f>
        <v>#NAME?</v>
      </c>
      <c r="X6" s="77" t="e">
        <f ca="1">_xll.PALO.ENAME($B$2,$B$3,2,0,21)</f>
        <v>#NAME?</v>
      </c>
      <c r="Y6" s="78" t="e">
        <f ca="1">_xll.PALO.ENAME($B$2,$B$3,2,0,22)</f>
        <v>#NAME?</v>
      </c>
      <c r="Z6" s="78" t="e">
        <f ca="1">_xll.PALO.ENAME($B$2,$B$3,2,0,23)</f>
        <v>#NAME?</v>
      </c>
      <c r="AA6" s="77" t="e">
        <f ca="1">_xll.PALO.ENAME($B$2,$B$3,2,0,24)</f>
        <v>#NAME?</v>
      </c>
      <c r="AB6" s="78" t="e">
        <f ca="1">_xll.PALO.ENAME($B$2,$B$3,2,0,25)</f>
        <v>#NAME?</v>
      </c>
      <c r="AC6" s="78" t="e">
        <f ca="1">_xll.PALO.ENAME($B$2,$B$3,2,0,26)</f>
        <v>#NAME?</v>
      </c>
      <c r="AD6" s="77" t="e">
        <f ca="1">_xll.PALO.ENAME($B$2,$B$3,2,0,27)</f>
        <v>#NAME?</v>
      </c>
      <c r="AE6" s="78" t="e">
        <f ca="1">_xll.PALO.ENAME($B$2,$B$3,2,0,28)</f>
        <v>#NAME?</v>
      </c>
      <c r="AF6" s="78" t="e">
        <f ca="1">_xll.PALO.ENAME($B$2,$B$3,2,0,29)</f>
        <v>#NAME?</v>
      </c>
      <c r="AG6" s="77" t="e">
        <f ca="1">_xll.PALO.ENAME($B$2,$B$3,2,0,30)</f>
        <v>#NAME?</v>
      </c>
      <c r="AH6" s="78" t="e">
        <f ca="1">_xll.PALO.ENAME($B$2,$B$3,2,0,31)</f>
        <v>#NAME?</v>
      </c>
      <c r="AI6" s="78" t="e">
        <f ca="1">_xll.PALO.ENAME($B$2,$B$3,2,0,32)</f>
        <v>#NAME?</v>
      </c>
      <c r="AJ6" s="77" t="e">
        <f ca="1">_xll.PALO.ENAME($B$2,$B$3,2,0,33)</f>
        <v>#NAME?</v>
      </c>
      <c r="AK6" s="78" t="e">
        <f ca="1">_xll.PALO.ENAME($B$2,$B$3,2,0,34)</f>
        <v>#NAME?</v>
      </c>
      <c r="AL6" s="78" t="e">
        <f ca="1">_xll.PALO.ENAME($B$2,$B$3,2,0,35)</f>
        <v>#NAME?</v>
      </c>
    </row>
    <row r="7" spans="2:38" ht="28" x14ac:dyDescent="0.4">
      <c r="C7" s="79" t="e">
        <f ca="1">_xll.PALO.ENAME($B$2,$B$3,2,1,0)</f>
        <v>#NAME?</v>
      </c>
      <c r="D7" s="79" t="e">
        <f ca="1">_xll.PALO.ENAME($B$2,$B$3,2,1,1)</f>
        <v>#NAME?</v>
      </c>
      <c r="E7" s="79" t="e">
        <f ca="1">_xll.PALO.ENAME($B$2,$B$3,2,1,2)</f>
        <v>#NAME?</v>
      </c>
      <c r="F7" s="79" t="e">
        <f ca="1">_xll.PALO.ENAME($B$2,$B$3,2,1,3)</f>
        <v>#NAME?</v>
      </c>
      <c r="G7" s="79" t="e">
        <f ca="1">_xll.PALO.ENAME($B$2,$B$3,2,1,4)</f>
        <v>#NAME?</v>
      </c>
      <c r="H7" s="79" t="e">
        <f ca="1">_xll.PALO.ENAME($B$2,$B$3,2,1,5)</f>
        <v>#NAME?</v>
      </c>
      <c r="I7" s="79" t="e">
        <f ca="1">_xll.PALO.ENAME($B$2,$B$3,2,1,6)</f>
        <v>#NAME?</v>
      </c>
      <c r="J7" s="79" t="e">
        <f ca="1">_xll.PALO.ENAME($B$2,$B$3,2,1,7)</f>
        <v>#NAME?</v>
      </c>
      <c r="K7" s="79" t="e">
        <f ca="1">_xll.PALO.ENAME($B$2,$B$3,2,1,8)</f>
        <v>#NAME?</v>
      </c>
      <c r="L7" s="79" t="e">
        <f ca="1">_xll.PALO.ENAME($B$2,$B$3,2,1,9)</f>
        <v>#NAME?</v>
      </c>
      <c r="M7" s="79" t="e">
        <f ca="1">_xll.PALO.ENAME($B$2,$B$3,2,1,10)</f>
        <v>#NAME?</v>
      </c>
      <c r="N7" s="79" t="e">
        <f ca="1">_xll.PALO.ENAME($B$2,$B$3,2,1,11)</f>
        <v>#NAME?</v>
      </c>
      <c r="O7" s="79" t="e">
        <f ca="1">_xll.PALO.ENAME($B$2,$B$3,2,1,12)</f>
        <v>#NAME?</v>
      </c>
      <c r="P7" s="79" t="e">
        <f ca="1">_xll.PALO.ENAME($B$2,$B$3,2,1,13)</f>
        <v>#NAME?</v>
      </c>
      <c r="Q7" s="79" t="e">
        <f ca="1">_xll.PALO.ENAME($B$2,$B$3,2,1,14)</f>
        <v>#NAME?</v>
      </c>
      <c r="R7" s="79" t="e">
        <f ca="1">_xll.PALO.ENAME($B$2,$B$3,2,1,15)</f>
        <v>#NAME?</v>
      </c>
      <c r="S7" s="79" t="e">
        <f ca="1">_xll.PALO.ENAME($B$2,$B$3,2,1,16)</f>
        <v>#NAME?</v>
      </c>
      <c r="T7" s="79" t="e">
        <f ca="1">_xll.PALO.ENAME($B$2,$B$3,2,1,17)</f>
        <v>#NAME?</v>
      </c>
      <c r="U7" s="79" t="e">
        <f ca="1">_xll.PALO.ENAME($B$2,$B$3,2,1,18)</f>
        <v>#NAME?</v>
      </c>
      <c r="V7" s="79" t="e">
        <f ca="1">_xll.PALO.ENAME($B$2,$B$3,2,1,19)</f>
        <v>#NAME?</v>
      </c>
      <c r="W7" s="79" t="e">
        <f ca="1">_xll.PALO.ENAME($B$2,$B$3,2,1,20)</f>
        <v>#NAME?</v>
      </c>
      <c r="X7" s="79" t="e">
        <f ca="1">_xll.PALO.ENAME($B$2,$B$3,2,1,21)</f>
        <v>#NAME?</v>
      </c>
      <c r="Y7" s="79" t="e">
        <f ca="1">_xll.PALO.ENAME($B$2,$B$3,2,1,22)</f>
        <v>#NAME?</v>
      </c>
      <c r="Z7" s="79" t="e">
        <f ca="1">_xll.PALO.ENAME($B$2,$B$3,2,1,23)</f>
        <v>#NAME?</v>
      </c>
      <c r="AA7" s="79" t="e">
        <f ca="1">_xll.PALO.ENAME($B$2,$B$3,2,1,24)</f>
        <v>#NAME?</v>
      </c>
      <c r="AB7" s="79" t="e">
        <f ca="1">_xll.PALO.ENAME($B$2,$B$3,2,1,25)</f>
        <v>#NAME?</v>
      </c>
      <c r="AC7" s="79" t="e">
        <f ca="1">_xll.PALO.ENAME($B$2,$B$3,2,1,26)</f>
        <v>#NAME?</v>
      </c>
      <c r="AD7" s="79" t="e">
        <f ca="1">_xll.PALO.ENAME($B$2,$B$3,2,1,27)</f>
        <v>#NAME?</v>
      </c>
      <c r="AE7" s="79" t="e">
        <f ca="1">_xll.PALO.ENAME($B$2,$B$3,2,1,28)</f>
        <v>#NAME?</v>
      </c>
      <c r="AF7" s="79" t="e">
        <f ca="1">_xll.PALO.ENAME($B$2,$B$3,2,1,29)</f>
        <v>#NAME?</v>
      </c>
      <c r="AG7" s="79" t="e">
        <f ca="1">_xll.PALO.ENAME($B$2,$B$3,2,1,30)</f>
        <v>#NAME?</v>
      </c>
      <c r="AH7" s="79" t="e">
        <f ca="1">_xll.PALO.ENAME($B$2,$B$3,2,1,31)</f>
        <v>#NAME?</v>
      </c>
      <c r="AI7" s="79" t="e">
        <f ca="1">_xll.PALO.ENAME($B$2,$B$3,2,1,32)</f>
        <v>#NAME?</v>
      </c>
      <c r="AJ7" s="79" t="e">
        <f ca="1">_xll.PALO.ENAME($B$2,$B$3,2,1,33)</f>
        <v>#NAME?</v>
      </c>
      <c r="AK7" s="79" t="e">
        <f ca="1">_xll.PALO.ENAME($B$2,$B$3,2,1,34)</f>
        <v>#NAME?</v>
      </c>
      <c r="AL7" s="79" t="e">
        <f ca="1">_xll.PALO.ENAME($B$2,$B$3,2,1,35)</f>
        <v>#NAME?</v>
      </c>
    </row>
    <row r="8" spans="2:38" ht="15" x14ac:dyDescent="0.4">
      <c r="B8" s="80" t="e">
        <f ca="1">_xll.PALO.ENAME($B$2,$B$3,1,0,0)</f>
        <v>#NAME?</v>
      </c>
      <c r="C8" s="81" t="e">
        <f ca="1">_xll.PALO.DATA($B$2,$B$3,_xll.PALO.EL("Time",C$6),_xll.PALO.EL("Partner",$B8),_xll.PALO.EL($D$2,$D$3),_xll.PALO.EL($E$2,$E$3),_xll.PALO.EL($F$2,$F$3),_xll.PALO.EL($G$2,$G$3),_xll.PALO.EL($H$2,$H$3),_xll.PALO.EL($I$2,$I$3),_xll.PALO.EL($J$2,$J$3),_xll.PALO.EL("Position",C$7))</f>
        <v>#NAME?</v>
      </c>
      <c r="D8" s="81" t="e">
        <f ca="1">_xll.PALO.DATA($B$2,$B$3,_xll.PALO.EL("Time",D$6),_xll.PALO.EL("Partner",$B8),_xll.PALO.EL($D$2,$D$3),_xll.PALO.EL($E$2,$E$3),_xll.PALO.EL($F$2,$F$3),_xll.PALO.EL($G$2,$G$3),_xll.PALO.EL($H$2,$H$3),_xll.PALO.EL($I$2,$I$3),_xll.PALO.EL($J$2,$J$3),_xll.PALO.EL("Position",D$7))</f>
        <v>#NAME?</v>
      </c>
      <c r="E8" s="81" t="e">
        <f ca="1">_xll.PALO.DATA($B$2,$B$3,_xll.PALO.EL("Time",E$6),_xll.PALO.EL("Partner",$B8),_xll.PALO.EL($D$2,$D$3),_xll.PALO.EL($E$2,$E$3),_xll.PALO.EL($F$2,$F$3),_xll.PALO.EL($G$2,$G$3),_xll.PALO.EL($H$2,$H$3),_xll.PALO.EL($I$2,$I$3),_xll.PALO.EL($J$2,$J$3),_xll.PALO.EL("Position",E$7))</f>
        <v>#NAME?</v>
      </c>
      <c r="F8" s="81" t="e">
        <f ca="1">_xll.PALO.DATA($B$2,$B$3,_xll.PALO.EL("Time",F$6),_xll.PALO.EL("Partner",$B8),_xll.PALO.EL($D$2,$D$3),_xll.PALO.EL($E$2,$E$3),_xll.PALO.EL($F$2,$F$3),_xll.PALO.EL($G$2,$G$3),_xll.PALO.EL($H$2,$H$3),_xll.PALO.EL($I$2,$I$3),_xll.PALO.EL($J$2,$J$3),_xll.PALO.EL("Position",F$7))</f>
        <v>#NAME?</v>
      </c>
      <c r="G8" s="81" t="e">
        <f ca="1">_xll.PALO.DATA($B$2,$B$3,_xll.PALO.EL("Time",G$6),_xll.PALO.EL("Partner",$B8),_xll.PALO.EL($D$2,$D$3),_xll.PALO.EL($E$2,$E$3),_xll.PALO.EL($F$2,$F$3),_xll.PALO.EL($G$2,$G$3),_xll.PALO.EL($H$2,$H$3),_xll.PALO.EL($I$2,$I$3),_xll.PALO.EL($J$2,$J$3),_xll.PALO.EL("Position",G$7))</f>
        <v>#NAME?</v>
      </c>
      <c r="H8" s="81" t="e">
        <f ca="1">_xll.PALO.DATA($B$2,$B$3,_xll.PALO.EL("Time",H$6),_xll.PALO.EL("Partner",$B8),_xll.PALO.EL($D$2,$D$3),_xll.PALO.EL($E$2,$E$3),_xll.PALO.EL($F$2,$F$3),_xll.PALO.EL($G$2,$G$3),_xll.PALO.EL($H$2,$H$3),_xll.PALO.EL($I$2,$I$3),_xll.PALO.EL($J$2,$J$3),_xll.PALO.EL("Position",H$7))</f>
        <v>#NAME?</v>
      </c>
      <c r="I8" s="81" t="e">
        <f ca="1">_xll.PALO.DATA($B$2,$B$3,_xll.PALO.EL("Time",I$6),_xll.PALO.EL("Partner",$B8),_xll.PALO.EL($D$2,$D$3),_xll.PALO.EL($E$2,$E$3),_xll.PALO.EL($F$2,$F$3),_xll.PALO.EL($G$2,$G$3),_xll.PALO.EL($H$2,$H$3),_xll.PALO.EL($I$2,$I$3),_xll.PALO.EL($J$2,$J$3),_xll.PALO.EL("Position",I$7))</f>
        <v>#NAME?</v>
      </c>
      <c r="J8" s="81" t="e">
        <f ca="1">_xll.PALO.DATA($B$2,$B$3,_xll.PALO.EL("Time",J$6),_xll.PALO.EL("Partner",$B8),_xll.PALO.EL($D$2,$D$3),_xll.PALO.EL($E$2,$E$3),_xll.PALO.EL($F$2,$F$3),_xll.PALO.EL($G$2,$G$3),_xll.PALO.EL($H$2,$H$3),_xll.PALO.EL($I$2,$I$3),_xll.PALO.EL($J$2,$J$3),_xll.PALO.EL("Position",J$7))</f>
        <v>#NAME?</v>
      </c>
      <c r="K8" s="81" t="e">
        <f ca="1">_xll.PALO.DATA($B$2,$B$3,_xll.PALO.EL("Time",K$6),_xll.PALO.EL("Partner",$B8),_xll.PALO.EL($D$2,$D$3),_xll.PALO.EL($E$2,$E$3),_xll.PALO.EL($F$2,$F$3),_xll.PALO.EL($G$2,$G$3),_xll.PALO.EL($H$2,$H$3),_xll.PALO.EL($I$2,$I$3),_xll.PALO.EL($J$2,$J$3),_xll.PALO.EL("Position",K$7))</f>
        <v>#NAME?</v>
      </c>
      <c r="L8" s="81" t="e">
        <f ca="1">_xll.PALO.DATA($B$2,$B$3,_xll.PALO.EL("Time",L$6),_xll.PALO.EL("Partner",$B8),_xll.PALO.EL($D$2,$D$3),_xll.PALO.EL($E$2,$E$3),_xll.PALO.EL($F$2,$F$3),_xll.PALO.EL($G$2,$G$3),_xll.PALO.EL($H$2,$H$3),_xll.PALO.EL($I$2,$I$3),_xll.PALO.EL($J$2,$J$3),_xll.PALO.EL("Position",L$7))</f>
        <v>#NAME?</v>
      </c>
      <c r="M8" s="81" t="e">
        <f ca="1">_xll.PALO.DATA($B$2,$B$3,_xll.PALO.EL("Time",M$6),_xll.PALO.EL("Partner",$B8),_xll.PALO.EL($D$2,$D$3),_xll.PALO.EL($E$2,$E$3),_xll.PALO.EL($F$2,$F$3),_xll.PALO.EL($G$2,$G$3),_xll.PALO.EL($H$2,$H$3),_xll.PALO.EL($I$2,$I$3),_xll.PALO.EL($J$2,$J$3),_xll.PALO.EL("Position",M$7))</f>
        <v>#NAME?</v>
      </c>
      <c r="N8" s="81" t="e">
        <f ca="1">_xll.PALO.DATA($B$2,$B$3,_xll.PALO.EL("Time",N$6),_xll.PALO.EL("Partner",$B8),_xll.PALO.EL($D$2,$D$3),_xll.PALO.EL($E$2,$E$3),_xll.PALO.EL($F$2,$F$3),_xll.PALO.EL($G$2,$G$3),_xll.PALO.EL($H$2,$H$3),_xll.PALO.EL($I$2,$I$3),_xll.PALO.EL($J$2,$J$3),_xll.PALO.EL("Position",N$7))</f>
        <v>#NAME?</v>
      </c>
      <c r="O8" s="81" t="e">
        <f ca="1">_xll.PALO.DATA($B$2,$B$3,_xll.PALO.EL("Time",O$6),_xll.PALO.EL("Partner",$B8),_xll.PALO.EL($D$2,$D$3),_xll.PALO.EL($E$2,$E$3),_xll.PALO.EL($F$2,$F$3),_xll.PALO.EL($G$2,$G$3),_xll.PALO.EL($H$2,$H$3),_xll.PALO.EL($I$2,$I$3),_xll.PALO.EL($J$2,$J$3),_xll.PALO.EL("Position",O$7))</f>
        <v>#NAME?</v>
      </c>
      <c r="P8" s="81" t="e">
        <f ca="1">_xll.PALO.DATA($B$2,$B$3,_xll.PALO.EL("Time",P$6),_xll.PALO.EL("Partner",$B8),_xll.PALO.EL($D$2,$D$3),_xll.PALO.EL($E$2,$E$3),_xll.PALO.EL($F$2,$F$3),_xll.PALO.EL($G$2,$G$3),_xll.PALO.EL($H$2,$H$3),_xll.PALO.EL($I$2,$I$3),_xll.PALO.EL($J$2,$J$3),_xll.PALO.EL("Position",P$7))</f>
        <v>#NAME?</v>
      </c>
      <c r="Q8" s="81" t="e">
        <f ca="1">_xll.PALO.DATA($B$2,$B$3,_xll.PALO.EL("Time",Q$6),_xll.PALO.EL("Partner",$B8),_xll.PALO.EL($D$2,$D$3),_xll.PALO.EL($E$2,$E$3),_xll.PALO.EL($F$2,$F$3),_xll.PALO.EL($G$2,$G$3),_xll.PALO.EL($H$2,$H$3),_xll.PALO.EL($I$2,$I$3),_xll.PALO.EL($J$2,$J$3),_xll.PALO.EL("Position",Q$7))</f>
        <v>#NAME?</v>
      </c>
      <c r="R8" s="81" t="e">
        <f ca="1">_xll.PALO.DATA($B$2,$B$3,_xll.PALO.EL("Time",R$6),_xll.PALO.EL("Partner",$B8),_xll.PALO.EL($D$2,$D$3),_xll.PALO.EL($E$2,$E$3),_xll.PALO.EL($F$2,$F$3),_xll.PALO.EL($G$2,$G$3),_xll.PALO.EL($H$2,$H$3),_xll.PALO.EL($I$2,$I$3),_xll.PALO.EL($J$2,$J$3),_xll.PALO.EL("Position",R$7))</f>
        <v>#NAME?</v>
      </c>
      <c r="S8" s="81" t="e">
        <f ca="1">_xll.PALO.DATA($B$2,$B$3,_xll.PALO.EL("Time",S$6),_xll.PALO.EL("Partner",$B8),_xll.PALO.EL($D$2,$D$3),_xll.PALO.EL($E$2,$E$3),_xll.PALO.EL($F$2,$F$3),_xll.PALO.EL($G$2,$G$3),_xll.PALO.EL($H$2,$H$3),_xll.PALO.EL($I$2,$I$3),_xll.PALO.EL($J$2,$J$3),_xll.PALO.EL("Position",S$7))</f>
        <v>#NAME?</v>
      </c>
      <c r="T8" s="81" t="e">
        <f ca="1">_xll.PALO.DATA($B$2,$B$3,_xll.PALO.EL("Time",T$6),_xll.PALO.EL("Partner",$B8),_xll.PALO.EL($D$2,$D$3),_xll.PALO.EL($E$2,$E$3),_xll.PALO.EL($F$2,$F$3),_xll.PALO.EL($G$2,$G$3),_xll.PALO.EL($H$2,$H$3),_xll.PALO.EL($I$2,$I$3),_xll.PALO.EL($J$2,$J$3),_xll.PALO.EL("Position",T$7))</f>
        <v>#NAME?</v>
      </c>
      <c r="U8" s="81" t="e">
        <f ca="1">_xll.PALO.DATA($B$2,$B$3,_xll.PALO.EL("Time",U$6),_xll.PALO.EL("Partner",$B8),_xll.PALO.EL($D$2,$D$3),_xll.PALO.EL($E$2,$E$3),_xll.PALO.EL($F$2,$F$3),_xll.PALO.EL($G$2,$G$3),_xll.PALO.EL($H$2,$H$3),_xll.PALO.EL($I$2,$I$3),_xll.PALO.EL($J$2,$J$3),_xll.PALO.EL("Position",U$7))</f>
        <v>#NAME?</v>
      </c>
      <c r="V8" s="81" t="e">
        <f ca="1">_xll.PALO.DATA($B$2,$B$3,_xll.PALO.EL("Time",V$6),_xll.PALO.EL("Partner",$B8),_xll.PALO.EL($D$2,$D$3),_xll.PALO.EL($E$2,$E$3),_xll.PALO.EL($F$2,$F$3),_xll.PALO.EL($G$2,$G$3),_xll.PALO.EL($H$2,$H$3),_xll.PALO.EL($I$2,$I$3),_xll.PALO.EL($J$2,$J$3),_xll.PALO.EL("Position",V$7))</f>
        <v>#NAME?</v>
      </c>
      <c r="W8" s="81" t="e">
        <f ca="1">_xll.PALO.DATA($B$2,$B$3,_xll.PALO.EL("Time",W$6),_xll.PALO.EL("Partner",$B8),_xll.PALO.EL($D$2,$D$3),_xll.PALO.EL($E$2,$E$3),_xll.PALO.EL($F$2,$F$3),_xll.PALO.EL($G$2,$G$3),_xll.PALO.EL($H$2,$H$3),_xll.PALO.EL($I$2,$I$3),_xll.PALO.EL($J$2,$J$3),_xll.PALO.EL("Position",W$7))</f>
        <v>#NAME?</v>
      </c>
      <c r="X8" s="81" t="e">
        <f ca="1">_xll.PALO.DATA($B$2,$B$3,_xll.PALO.EL("Time",X$6),_xll.PALO.EL("Partner",$B8),_xll.PALO.EL($D$2,$D$3),_xll.PALO.EL($E$2,$E$3),_xll.PALO.EL($F$2,$F$3),_xll.PALO.EL($G$2,$G$3),_xll.PALO.EL($H$2,$H$3),_xll.PALO.EL($I$2,$I$3),_xll.PALO.EL($J$2,$J$3),_xll.PALO.EL("Position",X$7))</f>
        <v>#NAME?</v>
      </c>
      <c r="Y8" s="81" t="e">
        <f ca="1">_xll.PALO.DATA($B$2,$B$3,_xll.PALO.EL("Time",Y$6),_xll.PALO.EL("Partner",$B8),_xll.PALO.EL($D$2,$D$3),_xll.PALO.EL($E$2,$E$3),_xll.PALO.EL($F$2,$F$3),_xll.PALO.EL($G$2,$G$3),_xll.PALO.EL($H$2,$H$3),_xll.PALO.EL($I$2,$I$3),_xll.PALO.EL($J$2,$J$3),_xll.PALO.EL("Position",Y$7))</f>
        <v>#NAME?</v>
      </c>
      <c r="Z8" s="81" t="e">
        <f ca="1">_xll.PALO.DATA($B$2,$B$3,_xll.PALO.EL("Time",Z$6),_xll.PALO.EL("Partner",$B8),_xll.PALO.EL($D$2,$D$3),_xll.PALO.EL($E$2,$E$3),_xll.PALO.EL($F$2,$F$3),_xll.PALO.EL($G$2,$G$3),_xll.PALO.EL($H$2,$H$3),_xll.PALO.EL($I$2,$I$3),_xll.PALO.EL($J$2,$J$3),_xll.PALO.EL("Position",Z$7))</f>
        <v>#NAME?</v>
      </c>
      <c r="AA8" s="81" t="e">
        <f ca="1">_xll.PALO.DATA($B$2,$B$3,_xll.PALO.EL("Time",AA$6),_xll.PALO.EL("Partner",$B8),_xll.PALO.EL($D$2,$D$3),_xll.PALO.EL($E$2,$E$3),_xll.PALO.EL($F$2,$F$3),_xll.PALO.EL($G$2,$G$3),_xll.PALO.EL($H$2,$H$3),_xll.PALO.EL($I$2,$I$3),_xll.PALO.EL($J$2,$J$3),_xll.PALO.EL("Position",AA$7))</f>
        <v>#NAME?</v>
      </c>
      <c r="AB8" s="81" t="e">
        <f ca="1">_xll.PALO.DATA($B$2,$B$3,_xll.PALO.EL("Time",AB$6),_xll.PALO.EL("Partner",$B8),_xll.PALO.EL($D$2,$D$3),_xll.PALO.EL($E$2,$E$3),_xll.PALO.EL($F$2,$F$3),_xll.PALO.EL($G$2,$G$3),_xll.PALO.EL($H$2,$H$3),_xll.PALO.EL($I$2,$I$3),_xll.PALO.EL($J$2,$J$3),_xll.PALO.EL("Position",AB$7))</f>
        <v>#NAME?</v>
      </c>
      <c r="AC8" s="81" t="e">
        <f ca="1">_xll.PALO.DATA($B$2,$B$3,_xll.PALO.EL("Time",AC$6),_xll.PALO.EL("Partner",$B8),_xll.PALO.EL($D$2,$D$3),_xll.PALO.EL($E$2,$E$3),_xll.PALO.EL($F$2,$F$3),_xll.PALO.EL($G$2,$G$3),_xll.PALO.EL($H$2,$H$3),_xll.PALO.EL($I$2,$I$3),_xll.PALO.EL($J$2,$J$3),_xll.PALO.EL("Position",AC$7))</f>
        <v>#NAME?</v>
      </c>
      <c r="AD8" s="81" t="e">
        <f ca="1">_xll.PALO.DATA($B$2,$B$3,_xll.PALO.EL("Time",AD$6),_xll.PALO.EL("Partner",$B8),_xll.PALO.EL($D$2,$D$3),_xll.PALO.EL($E$2,$E$3),_xll.PALO.EL($F$2,$F$3),_xll.PALO.EL($G$2,$G$3),_xll.PALO.EL($H$2,$H$3),_xll.PALO.EL($I$2,$I$3),_xll.PALO.EL($J$2,$J$3),_xll.PALO.EL("Position",AD$7))</f>
        <v>#NAME?</v>
      </c>
      <c r="AE8" s="81" t="e">
        <f ca="1">_xll.PALO.DATA($B$2,$B$3,_xll.PALO.EL("Time",AE$6),_xll.PALO.EL("Partner",$B8),_xll.PALO.EL($D$2,$D$3),_xll.PALO.EL($E$2,$E$3),_xll.PALO.EL($F$2,$F$3),_xll.PALO.EL($G$2,$G$3),_xll.PALO.EL($H$2,$H$3),_xll.PALO.EL($I$2,$I$3),_xll.PALO.EL($J$2,$J$3),_xll.PALO.EL("Position",AE$7))</f>
        <v>#NAME?</v>
      </c>
      <c r="AF8" s="81" t="e">
        <f ca="1">_xll.PALO.DATA($B$2,$B$3,_xll.PALO.EL("Time",AF$6),_xll.PALO.EL("Partner",$B8),_xll.PALO.EL($D$2,$D$3),_xll.PALO.EL($E$2,$E$3),_xll.PALO.EL($F$2,$F$3),_xll.PALO.EL($G$2,$G$3),_xll.PALO.EL($H$2,$H$3),_xll.PALO.EL($I$2,$I$3),_xll.PALO.EL($J$2,$J$3),_xll.PALO.EL("Position",AF$7))</f>
        <v>#NAME?</v>
      </c>
      <c r="AG8" s="81" t="e">
        <f ca="1">_xll.PALO.DATA($B$2,$B$3,_xll.PALO.EL("Time",AG$6),_xll.PALO.EL("Partner",$B8),_xll.PALO.EL($D$2,$D$3),_xll.PALO.EL($E$2,$E$3),_xll.PALO.EL($F$2,$F$3),_xll.PALO.EL($G$2,$G$3),_xll.PALO.EL($H$2,$H$3),_xll.PALO.EL($I$2,$I$3),_xll.PALO.EL($J$2,$J$3),_xll.PALO.EL("Position",AG$7))</f>
        <v>#NAME?</v>
      </c>
      <c r="AH8" s="81" t="e">
        <f ca="1">_xll.PALO.DATA($B$2,$B$3,_xll.PALO.EL("Time",AH$6),_xll.PALO.EL("Partner",$B8),_xll.PALO.EL($D$2,$D$3),_xll.PALO.EL($E$2,$E$3),_xll.PALO.EL($F$2,$F$3),_xll.PALO.EL($G$2,$G$3),_xll.PALO.EL($H$2,$H$3),_xll.PALO.EL($I$2,$I$3),_xll.PALO.EL($J$2,$J$3),_xll.PALO.EL("Position",AH$7))</f>
        <v>#NAME?</v>
      </c>
      <c r="AI8" s="81" t="e">
        <f ca="1">_xll.PALO.DATA($B$2,$B$3,_xll.PALO.EL("Time",AI$6),_xll.PALO.EL("Partner",$B8),_xll.PALO.EL($D$2,$D$3),_xll.PALO.EL($E$2,$E$3),_xll.PALO.EL($F$2,$F$3),_xll.PALO.EL($G$2,$G$3),_xll.PALO.EL($H$2,$H$3),_xll.PALO.EL($I$2,$I$3),_xll.PALO.EL($J$2,$J$3),_xll.PALO.EL("Position",AI$7))</f>
        <v>#NAME?</v>
      </c>
      <c r="AJ8" s="81" t="e">
        <f ca="1">_xll.PALO.DATA($B$2,$B$3,_xll.PALO.EL("Time",AJ$6),_xll.PALO.EL("Partner",$B8),_xll.PALO.EL($D$2,$D$3),_xll.PALO.EL($E$2,$E$3),_xll.PALO.EL($F$2,$F$3),_xll.PALO.EL($G$2,$G$3),_xll.PALO.EL($H$2,$H$3),_xll.PALO.EL($I$2,$I$3),_xll.PALO.EL($J$2,$J$3),_xll.PALO.EL("Position",AJ$7))</f>
        <v>#NAME?</v>
      </c>
      <c r="AK8" s="81" t="e">
        <f ca="1">_xll.PALO.DATA($B$2,$B$3,_xll.PALO.EL("Time",AK$6),_xll.PALO.EL("Partner",$B8),_xll.PALO.EL($D$2,$D$3),_xll.PALO.EL($E$2,$E$3),_xll.PALO.EL($F$2,$F$3),_xll.PALO.EL($G$2,$G$3),_xll.PALO.EL($H$2,$H$3),_xll.PALO.EL($I$2,$I$3),_xll.PALO.EL($J$2,$J$3),_xll.PALO.EL("Position",AK$7))</f>
        <v>#NAME?</v>
      </c>
      <c r="AL8" s="81" t="e">
        <f ca="1">_xll.PALO.DATA($B$2,$B$3,_xll.PALO.EL("Time",AL$6),_xll.PALO.EL("Partner",$B8),_xll.PALO.EL($D$2,$D$3),_xll.PALO.EL($E$2,$E$3),_xll.PALO.EL($F$2,$F$3),_xll.PALO.EL($G$2,$G$3),_xll.PALO.EL($H$2,$H$3),_xll.PALO.EL($I$2,$I$3),_xll.PALO.EL($J$2,$J$3),_xll.PALO.EL("Position",AL$7))</f>
        <v>#NAME?</v>
      </c>
    </row>
  </sheetData>
  <dataValidations count="1">
    <dataValidation type="custom" allowBlank="1" showInputMessage="1" error="047be305f9b14420903009053f3d9927" sqref="B3" xr:uid="{C02790E0-4C42-4960-9426-2C5AF9506915}">
      <formula1>TRUE</formula1>
    </dataValidation>
  </dataValidations>
  <pageMargins left="0.7" right="0.7" top="0.75" bottom="0.75" header="0.3" footer="0.3"/>
  <pageSetup orientation="portrait" r:id="rId1"/>
  <customProperties>
    <customPr name="jedoxview_047be305f9b14420903009053f3d9927"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marts</vt:lpstr>
      <vt:lpstr>aprīlis</vt:lpstr>
      <vt:lpstr>maijs</vt:lpstr>
      <vt:lpstr>jūnijs</vt:lpstr>
      <vt:lpstr>Pivot_apkopojums</vt:lpstr>
      <vt:lpstr>PIVOT</vt:lpstr>
      <vt:lpstr>atskaites_jedox</vt:lpstr>
      <vt:lpstr>aprīlis!Print_Area</vt:lpstr>
      <vt:lpstr>jūnijs!Print_Area</vt:lpstr>
      <vt:lpstr>maijs!Print_Area</vt:lpstr>
      <vt:lpstr>marts!Print_Area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Grīviņa</dc:creator>
  <cp:lastModifiedBy>Solvita Vaivode</cp:lastModifiedBy>
  <cp:lastPrinted>2021-08-06T10:14:02Z</cp:lastPrinted>
  <dcterms:created xsi:type="dcterms:W3CDTF">2021-03-26T09:43:50Z</dcterms:created>
  <dcterms:modified xsi:type="dcterms:W3CDTF">2021-08-25T09:06:21Z</dcterms:modified>
</cp:coreProperties>
</file>