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2021_gads_zaud.komp\Pilsētas_MK_protokollēmums_Covid_19\MK Protokollēmuma izpilde 2021_atskaites\VARAM_apkopojumi\"/>
    </mc:Choice>
  </mc:AlternateContent>
  <xr:revisionPtr revIDLastSave="0" documentId="13_ncr:1_{D1EC72E8-2954-4211-936D-C7C850C78EFC}" xr6:coauthVersionLast="47" xr6:coauthVersionMax="47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piemērs" sheetId="5" state="hidden" r:id="rId1"/>
    <sheet name="marts" sheetId="2" r:id="rId2"/>
    <sheet name="aprīlis" sheetId="6" r:id="rId3"/>
    <sheet name="maijs" sheetId="8" r:id="rId4"/>
    <sheet name="jūnijs" sheetId="11" r:id="rId5"/>
    <sheet name="PIVOT_atskaite" sheetId="10" r:id="rId6"/>
    <sheet name="PIVOT" sheetId="9" r:id="rId7"/>
    <sheet name="atskaites_jedox" sheetId="7" state="hidden" r:id="rId8"/>
  </sheets>
  <definedNames>
    <definedName name="_palopasteviewstyle" hidden="1">"White"</definedName>
  </definedNames>
  <calcPr calcId="181029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4" i="11" l="1"/>
  <c r="N32" i="11"/>
  <c r="M32" i="11"/>
  <c r="L32" i="11"/>
  <c r="K32" i="11"/>
  <c r="J32" i="11"/>
  <c r="I32" i="11"/>
  <c r="H32" i="11"/>
  <c r="G32" i="11"/>
  <c r="F32" i="11"/>
  <c r="E32" i="11"/>
  <c r="D32" i="11"/>
  <c r="N15" i="11"/>
  <c r="M15" i="11"/>
  <c r="L15" i="11"/>
  <c r="I15" i="11"/>
  <c r="H15" i="11"/>
  <c r="D15" i="11"/>
  <c r="D13" i="11"/>
  <c r="D12" i="11"/>
  <c r="L10" i="11"/>
  <c r="L3" i="11" s="1"/>
  <c r="K10" i="11"/>
  <c r="I10" i="11"/>
  <c r="H10" i="11"/>
  <c r="G10" i="11"/>
  <c r="G3" i="11" s="1"/>
  <c r="D10" i="11"/>
  <c r="D8" i="11"/>
  <c r="L6" i="11"/>
  <c r="K6" i="11"/>
  <c r="J6" i="11"/>
  <c r="I6" i="11"/>
  <c r="H6" i="11"/>
  <c r="G6" i="11"/>
  <c r="F6" i="11"/>
  <c r="E6" i="11"/>
  <c r="D6" i="11"/>
  <c r="N3" i="11"/>
  <c r="M3" i="11"/>
  <c r="K3" i="11"/>
  <c r="J3" i="11"/>
  <c r="I3" i="11"/>
  <c r="H3" i="11"/>
  <c r="F3" i="11"/>
  <c r="E3" i="11"/>
  <c r="D3" i="11"/>
  <c r="W33" i="8"/>
  <c r="V33" i="8"/>
  <c r="U33" i="8"/>
  <c r="S33" i="6" l="1"/>
  <c r="R33" i="6"/>
  <c r="T33" i="2"/>
  <c r="S33" i="2"/>
  <c r="R33" i="2"/>
  <c r="N31" i="8"/>
  <c r="M31" i="8"/>
  <c r="D31" i="8"/>
  <c r="O14" i="8"/>
  <c r="N14" i="8"/>
  <c r="M14" i="8"/>
  <c r="L14" i="8"/>
  <c r="K14" i="8"/>
  <c r="J14" i="8"/>
  <c r="I14" i="8"/>
  <c r="H14" i="8"/>
  <c r="G14" i="8"/>
  <c r="F14" i="8"/>
  <c r="D14" i="8"/>
  <c r="D12" i="8"/>
  <c r="M10" i="8"/>
  <c r="M3" i="8" s="1"/>
  <c r="L10" i="8"/>
  <c r="J10" i="8"/>
  <c r="I10" i="8"/>
  <c r="I3" i="8" s="1"/>
  <c r="H10" i="8"/>
  <c r="H3" i="8" s="1"/>
  <c r="G10" i="8"/>
  <c r="E10" i="8"/>
  <c r="D10" i="8"/>
  <c r="D8" i="8"/>
  <c r="D6" i="8" s="1"/>
  <c r="M6" i="8"/>
  <c r="J6" i="8"/>
  <c r="I6" i="8"/>
  <c r="H6" i="8"/>
  <c r="G6" i="8"/>
  <c r="E6" i="8"/>
  <c r="O3" i="8"/>
  <c r="N3" i="8"/>
  <c r="L3" i="8"/>
  <c r="K3" i="8"/>
  <c r="J3" i="8"/>
  <c r="G3" i="8"/>
  <c r="F3" i="8"/>
  <c r="E3" i="8"/>
  <c r="D3" i="8"/>
  <c r="N34" i="6"/>
  <c r="D34" i="6"/>
  <c r="D32" i="6"/>
  <c r="D31" i="6" s="1"/>
  <c r="N31" i="6"/>
  <c r="M31" i="6"/>
  <c r="O14" i="6"/>
  <c r="N14" i="6"/>
  <c r="M14" i="6"/>
  <c r="L14" i="6"/>
  <c r="K14" i="6"/>
  <c r="J14" i="6"/>
  <c r="I14" i="6"/>
  <c r="H14" i="6"/>
  <c r="G14" i="6"/>
  <c r="F14" i="6"/>
  <c r="D14" i="6"/>
  <c r="D12" i="6"/>
  <c r="M10" i="6"/>
  <c r="M3" i="6" s="1"/>
  <c r="L10" i="6"/>
  <c r="L3" i="6" s="1"/>
  <c r="K10" i="6"/>
  <c r="J10" i="6"/>
  <c r="I10" i="6"/>
  <c r="I3" i="6" s="1"/>
  <c r="H10" i="6"/>
  <c r="H3" i="6" s="1"/>
  <c r="G10" i="6"/>
  <c r="F10" i="6"/>
  <c r="E10" i="6"/>
  <c r="E3" i="6" s="1"/>
  <c r="D10" i="6"/>
  <c r="D3" i="6" s="1"/>
  <c r="D8" i="6"/>
  <c r="M6" i="6"/>
  <c r="L6" i="6"/>
  <c r="K6" i="6"/>
  <c r="J6" i="6"/>
  <c r="I6" i="6"/>
  <c r="H6" i="6"/>
  <c r="G6" i="6"/>
  <c r="F6" i="6"/>
  <c r="E6" i="6"/>
  <c r="D6" i="6"/>
  <c r="O3" i="6"/>
  <c r="N3" i="6"/>
  <c r="K3" i="6"/>
  <c r="J3" i="6"/>
  <c r="G3" i="6"/>
  <c r="F3" i="6"/>
  <c r="D32" i="2" l="1"/>
  <c r="N32" i="2" l="1"/>
  <c r="N34" i="2" l="1"/>
  <c r="D34" i="2"/>
  <c r="D8" i="2" l="1"/>
  <c r="D6" i="2" s="1"/>
  <c r="D12" i="2"/>
  <c r="D10" i="2" s="1"/>
  <c r="E10" i="2"/>
  <c r="E3" i="2" s="1"/>
  <c r="F10" i="2"/>
  <c r="D14" i="2"/>
  <c r="F14" i="2"/>
  <c r="G14" i="2"/>
  <c r="H14" i="2"/>
  <c r="I14" i="2"/>
  <c r="J14" i="2"/>
  <c r="K14" i="2"/>
  <c r="L14" i="2"/>
  <c r="M14" i="2"/>
  <c r="N14" i="2"/>
  <c r="K10" i="2"/>
  <c r="K3" i="2" s="1"/>
  <c r="K6" i="2"/>
  <c r="I6" i="2"/>
  <c r="I10" i="2"/>
  <c r="I3" i="2" s="1"/>
  <c r="J6" i="2"/>
  <c r="G6" i="2"/>
  <c r="G10" i="2"/>
  <c r="G3" i="2" s="1"/>
  <c r="J10" i="2"/>
  <c r="J3" i="2" s="1"/>
  <c r="H10" i="2"/>
  <c r="L10" i="2"/>
  <c r="F6" i="2"/>
  <c r="H6" i="2"/>
  <c r="L6" i="2"/>
  <c r="D31" i="2" l="1"/>
  <c r="N31" i="2"/>
  <c r="F3" i="2"/>
  <c r="H3" i="2"/>
  <c r="L3" i="2"/>
  <c r="B3" i="7"/>
  <c r="AY8" i="7"/>
  <c r="AG6" i="7"/>
  <c r="BG7" i="7"/>
  <c r="AC7" i="7"/>
  <c r="AT6" i="7"/>
  <c r="BD7" i="7"/>
  <c r="BU7" i="7"/>
  <c r="G8" i="7"/>
  <c r="AN6" i="7"/>
  <c r="BN7" i="7"/>
  <c r="AS7" i="7"/>
  <c r="AT7" i="7"/>
  <c r="AQ7" i="7"/>
  <c r="N6" i="7"/>
  <c r="BT7" i="7"/>
  <c r="AA6" i="7"/>
  <c r="G2" i="7"/>
  <c r="T6" i="7"/>
  <c r="BL8" i="7"/>
  <c r="BJ8" i="7"/>
  <c r="I6" i="7"/>
  <c r="BG6" i="7"/>
  <c r="S6" i="7"/>
  <c r="AE8" i="7"/>
  <c r="P7" i="7"/>
  <c r="T8" i="7"/>
  <c r="BD6" i="7"/>
  <c r="AN7" i="7"/>
  <c r="AF7" i="7"/>
  <c r="L8" i="7"/>
  <c r="M8" i="7"/>
  <c r="H8" i="7"/>
  <c r="Z8" i="7"/>
  <c r="AJ6" i="7"/>
  <c r="AR8" i="7"/>
  <c r="E7" i="7"/>
  <c r="E2" i="7"/>
  <c r="BB6" i="7"/>
  <c r="BJ6" i="7"/>
  <c r="BL6" i="7"/>
  <c r="AC6" i="7"/>
  <c r="BG8" i="7"/>
  <c r="AP6" i="7"/>
  <c r="AQ8" i="7"/>
  <c r="BH7" i="7"/>
  <c r="AP8" i="7"/>
  <c r="AE6" i="7"/>
  <c r="BV7" i="7"/>
  <c r="BN6" i="7"/>
  <c r="C7" i="7"/>
  <c r="J8" i="7"/>
  <c r="E8" i="7"/>
  <c r="AD8" i="7"/>
  <c r="T7" i="7"/>
  <c r="W7" i="7"/>
  <c r="O8" i="7"/>
  <c r="AY7" i="7"/>
  <c r="BE7" i="7"/>
  <c r="V8" i="7"/>
  <c r="AN8" i="7"/>
  <c r="AL7" i="7"/>
  <c r="BC8" i="7"/>
  <c r="I3" i="7"/>
  <c r="AY6" i="7"/>
  <c r="W8" i="7"/>
  <c r="BP7" i="7"/>
  <c r="BR7" i="7"/>
  <c r="J7" i="7"/>
  <c r="Q7" i="7"/>
  <c r="E6" i="7"/>
  <c r="AM8" i="7"/>
  <c r="BH6" i="7"/>
  <c r="BS8" i="7"/>
  <c r="BO8" i="7"/>
  <c r="F6" i="7"/>
  <c r="AK7" i="7"/>
  <c r="AC8" i="7"/>
  <c r="D2" i="7"/>
  <c r="BD8" i="7"/>
  <c r="BC6" i="7"/>
  <c r="K6" i="7"/>
  <c r="BF7" i="7"/>
  <c r="AZ6" i="7"/>
  <c r="U8" i="7"/>
  <c r="AH6" i="7"/>
  <c r="AX7" i="7"/>
  <c r="BM7" i="7"/>
  <c r="BC7" i="7"/>
  <c r="BU8" i="7"/>
  <c r="G3" i="7"/>
  <c r="F7" i="7"/>
  <c r="B9" i="7"/>
  <c r="G7" i="7"/>
  <c r="H3" i="7"/>
  <c r="F3" i="7"/>
  <c r="AV7" i="7"/>
  <c r="BF6" i="7"/>
  <c r="F2" i="7"/>
  <c r="AS8" i="7"/>
  <c r="AE7" i="7"/>
  <c r="AL6" i="7"/>
  <c r="AG7" i="7"/>
  <c r="BV8" i="7"/>
  <c r="O7" i="7"/>
  <c r="AO8" i="7"/>
  <c r="AQ6" i="7"/>
  <c r="AI7" i="7"/>
  <c r="AP7" i="7"/>
  <c r="AL8" i="7"/>
  <c r="AM6" i="7"/>
  <c r="F8" i="7"/>
  <c r="AF8" i="7"/>
  <c r="BP6" i="7"/>
  <c r="Q8" i="7"/>
  <c r="I7" i="7"/>
  <c r="H2" i="7"/>
  <c r="BT6" i="7"/>
  <c r="BK7" i="7"/>
  <c r="AI6" i="7"/>
  <c r="BM6" i="7"/>
  <c r="BO6" i="7"/>
  <c r="AD7" i="7"/>
  <c r="BP8" i="7"/>
  <c r="BM8" i="7"/>
  <c r="U7" i="7"/>
  <c r="AZ7" i="7"/>
  <c r="V6" i="7"/>
  <c r="BT8" i="7"/>
  <c r="BI8" i="7"/>
  <c r="BA6" i="7"/>
  <c r="BQ8" i="7"/>
  <c r="AB7" i="7"/>
  <c r="G6" i="7"/>
  <c r="BK8" i="7"/>
  <c r="S7" i="7"/>
  <c r="N7" i="7"/>
  <c r="AF6" i="7"/>
  <c r="AW8" i="7"/>
  <c r="X7" i="7"/>
  <c r="AI8" i="7"/>
  <c r="Q6" i="7"/>
  <c r="AJ7" i="7"/>
  <c r="AU6" i="7"/>
  <c r="Z6" i="7"/>
  <c r="AA8" i="7"/>
  <c r="BN8" i="7"/>
  <c r="AH8" i="7"/>
  <c r="BI7" i="7"/>
  <c r="E3" i="7"/>
  <c r="AT8" i="7"/>
  <c r="Y6" i="7"/>
  <c r="S8" i="7"/>
  <c r="AX6" i="7"/>
  <c r="AD6" i="7"/>
  <c r="D6" i="7"/>
  <c r="P8" i="7"/>
  <c r="AR7" i="7"/>
  <c r="AZ8" i="7"/>
  <c r="BU6" i="7"/>
  <c r="AX8" i="7"/>
  <c r="AU8" i="7"/>
  <c r="N8" i="7"/>
  <c r="AV8" i="7"/>
  <c r="BB7" i="7"/>
  <c r="AU7" i="7"/>
  <c r="AH7" i="7"/>
  <c r="AB6" i="7"/>
  <c r="Z7" i="7"/>
  <c r="AO6" i="7"/>
  <c r="R7" i="7"/>
  <c r="I8" i="7"/>
  <c r="BH8" i="7"/>
  <c r="R6" i="7"/>
  <c r="M6" i="7"/>
  <c r="AA7" i="7"/>
  <c r="AM7" i="7"/>
  <c r="BV6" i="7"/>
  <c r="H7" i="7"/>
  <c r="BS7" i="7"/>
  <c r="J6" i="7"/>
  <c r="BO7" i="7"/>
  <c r="L7" i="7"/>
  <c r="AW7" i="7"/>
  <c r="X6" i="7"/>
  <c r="R8" i="7"/>
  <c r="K7" i="7"/>
  <c r="BS6" i="7"/>
  <c r="AS6" i="7"/>
  <c r="X8" i="7"/>
  <c r="BL7" i="7"/>
  <c r="O6" i="7"/>
  <c r="AB8" i="7"/>
  <c r="L6" i="7"/>
  <c r="AG8" i="7"/>
  <c r="BB8" i="7"/>
  <c r="BQ6" i="7"/>
  <c r="P6" i="7"/>
  <c r="BK6" i="7"/>
  <c r="BF8" i="7"/>
  <c r="U6" i="7"/>
  <c r="D7" i="7"/>
  <c r="AR6" i="7"/>
  <c r="AW6" i="7"/>
  <c r="BA8" i="7"/>
  <c r="C6" i="7"/>
  <c r="AK8" i="7"/>
  <c r="M7" i="7"/>
  <c r="AO7" i="7"/>
  <c r="C8" i="7"/>
  <c r="BJ7" i="7"/>
  <c r="D3" i="7"/>
  <c r="AV6" i="7"/>
  <c r="AJ8" i="7"/>
  <c r="D8" i="7"/>
  <c r="K8" i="7"/>
  <c r="AK6" i="7"/>
  <c r="I2" i="7"/>
  <c r="H6" i="7"/>
  <c r="H9" i="7" s="1"/>
  <c r="Y8" i="7"/>
  <c r="BE8" i="7"/>
  <c r="BA7" i="7"/>
  <c r="BR8" i="7"/>
  <c r="BE6" i="7"/>
  <c r="BE9" i="7" s="1"/>
  <c r="BR6" i="7"/>
  <c r="BR9" i="7" s="1"/>
  <c r="V7" i="7"/>
  <c r="BI6" i="7"/>
  <c r="BI9" i="7" s="1"/>
  <c r="BQ7" i="7"/>
  <c r="Y7" i="7"/>
  <c r="W6" i="7"/>
  <c r="W9" i="7" s="1"/>
  <c r="AH9" i="7"/>
  <c r="AZ9" i="7"/>
  <c r="K9" i="7"/>
  <c r="BC9" i="7"/>
  <c r="F9" i="7"/>
  <c r="BH9" i="7"/>
  <c r="E9" i="7"/>
  <c r="AP9" i="7"/>
  <c r="BG9" i="7"/>
  <c r="BN9" i="7"/>
  <c r="BJ9" i="7"/>
  <c r="AT9" i="7"/>
  <c r="N9" i="7"/>
  <c r="S9" i="7"/>
  <c r="BD9" i="7"/>
  <c r="I9" i="7"/>
  <c r="AE9" i="7"/>
  <c r="BB9" i="7"/>
  <c r="T9" i="7"/>
  <c r="AC9" i="7"/>
  <c r="BL9" i="7"/>
  <c r="AJ9" i="7"/>
  <c r="AA9" i="7"/>
  <c r="AN9" i="7"/>
  <c r="AG9" i="7"/>
  <c r="C9" i="7"/>
  <c r="AW9" i="7"/>
  <c r="AR9" i="7"/>
  <c r="U9" i="7"/>
  <c r="BK9" i="7"/>
  <c r="P9" i="7"/>
  <c r="BQ9" i="7"/>
  <c r="L9" i="7"/>
  <c r="O9" i="7"/>
  <c r="AS9" i="7"/>
  <c r="BS9" i="7"/>
  <c r="X9" i="7"/>
  <c r="J9" i="7"/>
  <c r="BV9" i="7"/>
  <c r="M9" i="7"/>
  <c r="AO9" i="7"/>
  <c r="AB9" i="7"/>
  <c r="BU9" i="7"/>
  <c r="D9" i="7"/>
  <c r="AD9" i="7"/>
  <c r="AX9" i="7"/>
  <c r="Y9" i="7"/>
  <c r="Z9" i="7"/>
  <c r="AU9" i="7"/>
  <c r="Q9" i="7"/>
  <c r="AF9" i="7"/>
  <c r="G9" i="7"/>
  <c r="BA9" i="7"/>
  <c r="V9" i="7"/>
  <c r="BO9" i="7"/>
  <c r="BM9" i="7"/>
  <c r="AI9" i="7"/>
  <c r="BT9" i="7"/>
  <c r="BP9" i="7"/>
  <c r="AM9" i="7"/>
  <c r="AQ9" i="7"/>
  <c r="AL9" i="7"/>
  <c r="BF9" i="7"/>
  <c r="AK9" i="7"/>
  <c r="AV9" i="7"/>
  <c r="Q32" i="6" l="1"/>
  <c r="P32" i="2"/>
  <c r="P34" i="11"/>
  <c r="P10" i="11"/>
  <c r="R10" i="11" s="1"/>
  <c r="S10" i="8"/>
  <c r="S33" i="8"/>
  <c r="S13" i="8"/>
  <c r="P35" i="11"/>
  <c r="S35" i="8"/>
  <c r="Q34" i="2"/>
  <c r="O14" i="11"/>
  <c r="P10" i="2"/>
  <c r="P33" i="2"/>
  <c r="P14" i="11"/>
  <c r="Q34" i="6"/>
  <c r="P36" i="11"/>
  <c r="O34" i="11"/>
  <c r="O10" i="11"/>
  <c r="Q10" i="11" s="1"/>
  <c r="S34" i="8"/>
  <c r="Q35" i="6"/>
  <c r="O33" i="11"/>
  <c r="T34" i="8"/>
  <c r="S32" i="8"/>
  <c r="P34" i="2"/>
  <c r="Q32" i="2"/>
  <c r="T32" i="8"/>
  <c r="P34" i="6"/>
  <c r="Q13" i="2"/>
  <c r="Q13" i="6"/>
  <c r="T10" i="8"/>
  <c r="T33" i="8"/>
  <c r="P35" i="2"/>
  <c r="Q33" i="6"/>
  <c r="Q10" i="6"/>
  <c r="Q35" i="2"/>
  <c r="P13" i="2"/>
  <c r="P35" i="6"/>
  <c r="O36" i="11"/>
  <c r="P13" i="6"/>
  <c r="P33" i="11"/>
  <c r="P32" i="6"/>
  <c r="O35" i="11"/>
  <c r="T13" i="8"/>
  <c r="Q10" i="2"/>
  <c r="Q33" i="2"/>
  <c r="P10" i="6"/>
  <c r="P33" i="6"/>
  <c r="S10" i="11"/>
  <c r="O31" i="2"/>
  <c r="M31" i="2"/>
  <c r="E37" i="5"/>
  <c r="F37" i="5"/>
  <c r="G37" i="5"/>
  <c r="D37" i="5"/>
  <c r="O14" i="2"/>
  <c r="E14" i="5"/>
  <c r="F14" i="5"/>
  <c r="G14" i="5"/>
  <c r="D14" i="5"/>
  <c r="M10" i="2"/>
  <c r="M3" i="2" s="1"/>
  <c r="N3" i="2"/>
  <c r="O10" i="2"/>
  <c r="O3" i="2" s="1"/>
  <c r="M6" i="2"/>
  <c r="O6" i="2"/>
  <c r="G10" i="5"/>
  <c r="G3" i="5" s="1"/>
  <c r="F10" i="5"/>
  <c r="F3" i="5" s="1"/>
  <c r="E10" i="5"/>
  <c r="E3" i="5" s="1"/>
  <c r="D10" i="5"/>
  <c r="D3" i="5" s="1"/>
  <c r="G6" i="5"/>
  <c r="F6" i="5"/>
  <c r="E6" i="5"/>
  <c r="D6" i="5"/>
  <c r="D3" i="2"/>
  <c r="AY9" i="7"/>
  <c r="R9" i="7"/>
  <c r="T35" i="8" l="1"/>
</calcChain>
</file>

<file path=xl/sharedStrings.xml><?xml version="1.0" encoding="utf-8"?>
<sst xmlns="http://schemas.openxmlformats.org/spreadsheetml/2006/main" count="1673" uniqueCount="134">
  <si>
    <t>Dezinfekcijas līdzekļi</t>
  </si>
  <si>
    <t>Autobusi</t>
  </si>
  <si>
    <t>Tramvaji</t>
  </si>
  <si>
    <t>Trolejbusi</t>
  </si>
  <si>
    <t xml:space="preserve">Periods </t>
  </si>
  <si>
    <t xml:space="preserve">Vienības </t>
  </si>
  <si>
    <t>skaits</t>
  </si>
  <si>
    <t>09.03.2021.- 31.03.2021.</t>
  </si>
  <si>
    <t>km</t>
  </si>
  <si>
    <t>EUR/km</t>
  </si>
  <si>
    <t>Minibusi (ekspresbusi)</t>
  </si>
  <si>
    <t>Transportlīdzekļu dezinfekcija</t>
  </si>
  <si>
    <t xml:space="preserve">Iesaistīto transportlīdzekļu vienības </t>
  </si>
  <si>
    <t>Sejas maskas</t>
  </si>
  <si>
    <t>01.03.2021.-31.03.2021.</t>
  </si>
  <si>
    <t>1.SADAĻA</t>
  </si>
  <si>
    <t>2.SADAĻA</t>
  </si>
  <si>
    <t xml:space="preserve">Sociālā distancēšanās sabiedriskā transportā </t>
  </si>
  <si>
    <t>Paskaidrojumi</t>
  </si>
  <si>
    <t>Transportlīdzekļu dezinfekcija, to starpā darba spēka izmaksas</t>
  </si>
  <si>
    <t>Transportlīdzekļu papildu mazgāšana</t>
  </si>
  <si>
    <t>Transportlīdzekļu papildu mazgāšana, to starpā darba spēka izmaksas</t>
  </si>
  <si>
    <t xml:space="preserve">skaits (jānorāda atbilstoša mērvienība gab., litri, reižu skaits, darba stundas u.c.) </t>
  </si>
  <si>
    <t>reizes</t>
  </si>
  <si>
    <t>Informācijas atskaņošana reisos</t>
  </si>
  <si>
    <t>gab</t>
  </si>
  <si>
    <t>litri</t>
  </si>
  <si>
    <t>to starpā uzlīmes</t>
  </si>
  <si>
    <t>metri</t>
  </si>
  <si>
    <t>to starpā norobežojošā lenta</t>
  </si>
  <si>
    <t>to starpā ozonēšanas pakalpojumi</t>
  </si>
  <si>
    <t>to starpā apstrāde ar dezinfekcijas līdzekļiem</t>
  </si>
  <si>
    <t>audiāls ieraksts</t>
  </si>
  <si>
    <t>EUR/vien bez PVN</t>
  </si>
  <si>
    <t>3.SADAĻA</t>
  </si>
  <si>
    <t>09.03.2021.-31.03.2021.</t>
  </si>
  <si>
    <t>09.03.2019.-31.03.2019.</t>
  </si>
  <si>
    <t>EUR bez PVN</t>
  </si>
  <si>
    <t xml:space="preserve">(A) No pasažieriem, t.sk., personām, kurām noteikti pašvaldības noteiktie braukšanas maksas atvieglojumi, saņemtie ieņēmumi par sniegto sabiedriskā transporta pakalpojumu </t>
  </si>
  <si>
    <t xml:space="preserve">(C) No pasažieriem, t.sk., personām, kurām noteikti pašvaldības noteiktie braukšanas maksas atvieglojumi, saņemtie ieņēmumi par sniegto sabiedriskā transporta pakalpojumu </t>
  </si>
  <si>
    <t xml:space="preserve">(D) Faktiskais nobraukums </t>
  </si>
  <si>
    <t xml:space="preserve">(Z) Pakalpojumi, pasākumi un materiāli Covid-19 pandēmijas ierobežošanai </t>
  </si>
  <si>
    <t xml:space="preserve">(K) Faktiskās izmaksas Covid-19 pandēmijas ierobežošanai, t.sk. </t>
  </si>
  <si>
    <t>KOPSUMMA (1 vienības cenas reizinājums ar preču/pakalpojumu skaitu; summa ( K x Z))</t>
  </si>
  <si>
    <t xml:space="preserve">(P) Plānotais nobraukums </t>
  </si>
  <si>
    <t xml:space="preserve">(Izm) 1 km pašizmaksa </t>
  </si>
  <si>
    <t>to starpā papildu reisi (RP)</t>
  </si>
  <si>
    <t>to starpā atceltie reisi (RA)</t>
  </si>
  <si>
    <t>to starpā papildu reisos veiktais nobraukums (NP)</t>
  </si>
  <si>
    <t>to starpā atcelto reisu nobraukums (NA)</t>
  </si>
  <si>
    <t>(S) Plānotais reisu skaits</t>
  </si>
  <si>
    <t xml:space="preserve">(R) Faktiskais reisu skaits (S + RP-RA) </t>
  </si>
  <si>
    <t>(N) Faktiskais nobraukums (P + NP-NA)</t>
  </si>
  <si>
    <t>KOPSUMMA ((N - P) x Izm)</t>
  </si>
  <si>
    <t xml:space="preserve">(N) Faktiskais nobraukums </t>
  </si>
  <si>
    <t>KOPSUMMA ((C/D-A/N) x N)</t>
  </si>
  <si>
    <t xml:space="preserve">Pārskats par sabiedriskā transporta pakalpojumos radītajiem izdevumiem un zaudējumiem
sakarā ar noteiktajiem ierobežojumiem </t>
  </si>
  <si>
    <r>
      <t xml:space="preserve">Pašvaldības atbildīgās personas vārds, uzvārds, kontaktinformācija un paraksts </t>
    </r>
    <r>
      <rPr>
        <sz val="11"/>
        <color theme="0" tint="-0.499984740745262"/>
        <rFont val="Times New Roman"/>
        <family val="1"/>
        <charset val="186"/>
      </rPr>
      <t>(ja dokuments nav parakstīts ar elektroniski)</t>
    </r>
  </si>
  <si>
    <r>
      <t xml:space="preserve">Autobusi (12 MARŠRUTS) </t>
    </r>
    <r>
      <rPr>
        <b/>
        <sz val="8"/>
        <color rgb="FFFF0000"/>
        <rFont val="Times New Roman"/>
        <family val="1"/>
      </rPr>
      <t>12* maršrutā skolēnu brīvlaikā nekurse 2 reisi.</t>
    </r>
  </si>
  <si>
    <r>
      <t>Autobusi (15 maršrutā samazinātie km JUDOVKA mikrorajona ceļu remonta dēļ).</t>
    </r>
    <r>
      <rPr>
        <b/>
        <sz val="8"/>
        <color rgb="FFFF0000"/>
        <rFont val="Times New Roman"/>
        <family val="1"/>
      </rPr>
      <t xml:space="preserve"> </t>
    </r>
  </si>
  <si>
    <r>
      <t xml:space="preserve">Autobusi (15 maršrutā samazinātie km COVID-19 dēļ). </t>
    </r>
    <r>
      <rPr>
        <b/>
        <sz val="8"/>
        <color rgb="FFFF0000"/>
        <rFont val="Times New Roman"/>
        <family val="1"/>
      </rPr>
      <t>15* maršrutā skolēnu brīvlaikā reisu skaits paliek nemainīgs, bet mainās maršruta kustības shēma. Sakarā ar COVID-19, 4 reisi virzas pēc brīvdienu sarakta.</t>
    </r>
  </si>
  <si>
    <r>
      <t xml:space="preserve">Autobusi (15 maršrutā samazinātie km COVID-19 DEĻ + JUDOVKA mikrorajona ceļu remonta dēļ). </t>
    </r>
    <r>
      <rPr>
        <b/>
        <sz val="8"/>
        <color rgb="FFFF0000"/>
        <rFont val="Times New Roman"/>
        <family val="1"/>
      </rPr>
      <t>15* maršrutā skolēnu brīvlaikā reisu skaits paliek nemainīgs, bet mainās maršruta kustības shēma. Sakarā ar COVID-19, 4 reisi virzas pēc brīvdienu sarakta.</t>
    </r>
  </si>
  <si>
    <r>
      <t xml:space="preserve">Autobusi (17 MARŠRUTS) </t>
    </r>
    <r>
      <rPr>
        <b/>
        <sz val="11"/>
        <color rgb="FFFF0000"/>
        <rFont val="Times New Roman"/>
        <family val="1"/>
      </rPr>
      <t>Reisi tiek atcelti vairāku autobusu vadītāju saslimšanas dēļ.</t>
    </r>
  </si>
  <si>
    <r>
      <t xml:space="preserve">Autobusi (17A MARŠRUTS) </t>
    </r>
    <r>
      <rPr>
        <b/>
        <sz val="11"/>
        <color rgb="FFFF0000"/>
        <rFont val="Times New Roman"/>
        <family val="1"/>
      </rPr>
      <t>Reisi tiek atcelti vairāku autobusu vadītāju saslimšanas dēļ.</t>
    </r>
  </si>
  <si>
    <r>
      <t xml:space="preserve">Autobusi (10A MARŠRUTS) </t>
    </r>
    <r>
      <rPr>
        <b/>
        <sz val="11"/>
        <color rgb="FFFF0000"/>
        <rFont val="Times New Roman"/>
        <family val="1"/>
      </rPr>
      <t>Reisi tiek atcelti vairāku autobusu vadītāju saslimšanas dēļ.</t>
    </r>
  </si>
  <si>
    <t>Sejas maskas (gab.)</t>
  </si>
  <si>
    <t>Citi izdevumi cimdi</t>
  </si>
  <si>
    <t>Citi izdevumi  cimdi ( gab.)</t>
  </si>
  <si>
    <r>
      <t>Autobusi (8 maršrutā samazinātie km JUDOVKA mikrorajona ceļu remonta dēļ).</t>
    </r>
    <r>
      <rPr>
        <b/>
        <sz val="8"/>
        <color rgb="FFFF0000"/>
        <rFont val="Times New Roman"/>
        <family val="1"/>
      </rPr>
      <t xml:space="preserve"> </t>
    </r>
  </si>
  <si>
    <t>Citi izdevumi fiziska apsardze(diennakts)</t>
  </si>
  <si>
    <t>Citi izdevumi  (fiziska apsardze distancēšanas nodroš.)</t>
  </si>
  <si>
    <t>1.SADAĻĀ  tiek  norādīti visi atceltie reisi  neatkarīgi no reisa atcelšanas iemesliem.</t>
  </si>
  <si>
    <t>Transportlīdzekļu dezinfekcija ( m2)</t>
  </si>
  <si>
    <t>Pašvaldības atbildīgā persona  Kapitālsabiedrību pārraudzības nodaļas ekonomiste Tatjana Volkova</t>
  </si>
  <si>
    <t>01.04.2021.- 30.04.2021.</t>
  </si>
  <si>
    <r>
      <t>Transportlīdzekļu dezinfekcija ( m</t>
    </r>
    <r>
      <rPr>
        <vertAlign val="superscript"/>
        <sz val="11"/>
        <rFont val="Times New Roman"/>
        <family val="1"/>
        <charset val="186"/>
      </rPr>
      <t xml:space="preserve"> 2</t>
    </r>
    <r>
      <rPr>
        <sz val="11"/>
        <rFont val="Times New Roman"/>
        <family val="1"/>
        <charset val="186"/>
      </rPr>
      <t>.)</t>
    </r>
  </si>
  <si>
    <t>Citi izdevumi  fiziska apsardze</t>
  </si>
  <si>
    <t>01.04.2019.- 30.04.2019.</t>
  </si>
  <si>
    <r>
      <t xml:space="preserve">Pašvaldības atbildīgās personas vārds, uzvārds, kontaktinformācija un paraksts  </t>
    </r>
    <r>
      <rPr>
        <sz val="11"/>
        <color theme="0" tint="-0.499984740745262"/>
        <rFont val="Times New Roman"/>
        <family val="1"/>
        <charset val="186"/>
      </rPr>
      <t>T.Volkova</t>
    </r>
  </si>
  <si>
    <t>servers_ATD/STIFSS</t>
  </si>
  <si>
    <t>[Edit View]</t>
  </si>
  <si>
    <t>[Swap]</t>
  </si>
  <si>
    <t>01.05.2021.- 31.05.2021.</t>
  </si>
  <si>
    <t>01.05.2019.- 31.05.2019.</t>
  </si>
  <si>
    <t xml:space="preserve">Pašvaldības atbildīgās personas vārds, uzvārds, kontaktinformācija </t>
  </si>
  <si>
    <t>T.Volkova , 65404392</t>
  </si>
  <si>
    <t>Rādītājs</t>
  </si>
  <si>
    <t>Vērtība</t>
  </si>
  <si>
    <t>Pārvadājumu veids</t>
  </si>
  <si>
    <t>Pilsēta</t>
  </si>
  <si>
    <t>1. Faktiskie izdevumi, kas radušies saistībā ar reisu atcelšanu vai papild reisu nodrošināšanu - KOPSUMMA ((N - P) x Izm)</t>
  </si>
  <si>
    <t>Autobuss</t>
  </si>
  <si>
    <t>2. Kopējie izdevumi par Covid-19 infekcijas ierobežošanas pasākumiem - KOPSUMMA (1 vienības cenas reizinājums ar preču/pakalpojumu skaitu; summa ( K x Z))</t>
  </si>
  <si>
    <t>3. Kopējā ietekme uz ieņēmumu apgrozījumu - KOPSUMMA ((C/D-A/N) x N)</t>
  </si>
  <si>
    <t>(A) No pasažieriem, t.sk., personām, kurām noteikti pašvaldības noteiktie braukšanas maksas atvieglojumi, saņemtie ieņēmumi par sniegto sabiedriskā transporta pakalpojumu - 09.03.2021.-31.03.2021.</t>
  </si>
  <si>
    <t>(N) Faktiskais nobraukums - 09.03.2021.-31.03.2021.</t>
  </si>
  <si>
    <t>(C) No pasažieriem, t.sk., personām, kurām noteikti pašvaldības noteiktie braukšanas maksas atvieglojumi, saņemtie ieņēmumi par sniegto sabiedriskā transporta pakalpojumu - 09.03.2019.-31.03.2019.</t>
  </si>
  <si>
    <t>(D) Faktiskais nobraukums - 09.03.2019.-31.03.2019.</t>
  </si>
  <si>
    <t>Aprīlis</t>
  </si>
  <si>
    <t>(A) No pasažieriem, t.sk., personām, kurām noteikti pašvaldības noteiktie braukšanas maksas atvieglojumi, saņemtie ieņēmumi par sniegto sabiedriskā transporta pakalpojumu - 01.04.2021.-30.04.2021.</t>
  </si>
  <si>
    <t>(N) Faktiskais nobraukums - 01.04.2021.-30.04.2021.</t>
  </si>
  <si>
    <t>(C) No pasažieriem, t.sk., personām, kurām noteikti pašvaldības noteiktie braukšanas maksas atvieglojumi, saņemtie ieņēmumi par sniegto sabiedriskā transporta pakalpojumu - 01.04.2019.-30.04.2019.</t>
  </si>
  <si>
    <t>(D) Faktiskais nobraukums - 01.04.2019.-30.04.2019.</t>
  </si>
  <si>
    <t>Maijs</t>
  </si>
  <si>
    <t>(A) No pasažieriem, t.sk., personām, kurām noteikti pašvaldības noteiktie braukšanas maksas atvieglojumi, saņemtie ieņēmumi par sniegto sabiedriskā transporta pakalpojumu - 01.05.2021.-31.05.2021.</t>
  </si>
  <si>
    <t>(N) Faktiskais nobraukums - 01.05.2021.-31.05.2021.</t>
  </si>
  <si>
    <t>(C) No pasažieriem, t.sk., personām, kurām noteikti pašvaldības noteiktie braukšanas maksas atvieglojumi, saņemtie ieņēmumi par sniegto sabiedriskā transporta pakalpojumu - 01.05.2019.-31.05.2019.</t>
  </si>
  <si>
    <t>(D) Faktiskais nobraukums - 01.05.2019.-31.05.2019.</t>
  </si>
  <si>
    <t>Jūnijs</t>
  </si>
  <si>
    <t>(A) No pasažieriem, t.sk., personām, kurām noteikti pašvaldības noteiktie braukšanas maksas atvieglojumi, saņemtie ieņēmumi par sniegto sabiedriskā transporta pakalpojumu - 01.06.2021.-30.06.2021.</t>
  </si>
  <si>
    <t>(N) Faktiskais nobraukums - 01.06.2021.-30.06.2021.</t>
  </si>
  <si>
    <t>(C) No pasažieriem, t.sk., personām, kurām noteikti pašvaldības noteiktie braukšanas maksas atvieglojumi, saņemtie ieņēmumi par sniegto sabiedriskā transporta pakalpojumu - 01.06.2019.-30.06.2019.</t>
  </si>
  <si>
    <t>(D) Faktiskais nobraukums - 01.06.2019.-30.06.2019.</t>
  </si>
  <si>
    <t>Daugavpils</t>
  </si>
  <si>
    <t>Tramvajs</t>
  </si>
  <si>
    <t>Row Labels</t>
  </si>
  <si>
    <t>Grand Total</t>
  </si>
  <si>
    <t>Column Labels</t>
  </si>
  <si>
    <t>Aprīlis Total</t>
  </si>
  <si>
    <t>Maijs Total</t>
  </si>
  <si>
    <t>09.03.2021.- 31.03.2021. Total</t>
  </si>
  <si>
    <t>Sum of Vērtība</t>
  </si>
  <si>
    <r>
      <t xml:space="preserve">Autobusi (3 maršrutā </t>
    </r>
    <r>
      <rPr>
        <b/>
        <sz val="11"/>
        <color rgb="FFFF0000"/>
        <rFont val="Times New Roman"/>
        <family val="1"/>
      </rPr>
      <t>papielinātie</t>
    </r>
    <r>
      <rPr>
        <b/>
        <sz val="11"/>
        <color theme="1"/>
        <rFont val="Times New Roman"/>
        <family val="1"/>
        <charset val="186"/>
      </rPr>
      <t xml:space="preserve"> km Arodu ielas slēgšanas dēļ).</t>
    </r>
    <r>
      <rPr>
        <b/>
        <sz val="8"/>
        <color rgb="FFFF0000"/>
        <rFont val="Times New Roman"/>
        <family val="1"/>
      </rPr>
      <t xml:space="preserve"> </t>
    </r>
  </si>
  <si>
    <r>
      <t xml:space="preserve">Autobusi (3C maršrutā </t>
    </r>
    <r>
      <rPr>
        <b/>
        <sz val="11"/>
        <color rgb="FFFF0000"/>
        <rFont val="Times New Roman"/>
        <family val="1"/>
      </rPr>
      <t>papielinātie</t>
    </r>
    <r>
      <rPr>
        <b/>
        <sz val="11"/>
        <color theme="1"/>
        <rFont val="Times New Roman"/>
        <family val="1"/>
        <charset val="186"/>
      </rPr>
      <t xml:space="preserve"> km Arodu ielas slēgšanas dēļ).</t>
    </r>
    <r>
      <rPr>
        <b/>
        <sz val="8"/>
        <color rgb="FFFF0000"/>
        <rFont val="Times New Roman"/>
        <family val="1"/>
      </rPr>
      <t xml:space="preserve"> </t>
    </r>
  </si>
  <si>
    <t>Autobusi (17A MARŠRUTS) 2 Reisi tiek atcelti, jo noiešanas dēļ nebija brīva autobusa.</t>
  </si>
  <si>
    <r>
      <t xml:space="preserve">Autobusi (20B maršrutā </t>
    </r>
    <r>
      <rPr>
        <b/>
        <sz val="11"/>
        <color rgb="FFFF0000"/>
        <rFont val="Times New Roman"/>
        <family val="1"/>
      </rPr>
      <t>papielinātie</t>
    </r>
    <r>
      <rPr>
        <b/>
        <sz val="11"/>
        <color theme="1"/>
        <rFont val="Times New Roman"/>
        <family val="1"/>
        <charset val="186"/>
      </rPr>
      <t xml:space="preserve"> km Arodu ielas slēgšanas dēļ).</t>
    </r>
    <r>
      <rPr>
        <b/>
        <sz val="8"/>
        <color rgb="FFFF0000"/>
        <rFont val="Times New Roman"/>
        <family val="1"/>
      </rPr>
      <t xml:space="preserve"> </t>
    </r>
  </si>
  <si>
    <r>
      <t>Autobusi (22 maršrutā samazinātie km JUDOVKA mikrorajona ceļu remonta dēļ).</t>
    </r>
    <r>
      <rPr>
        <b/>
        <sz val="8"/>
        <color rgb="FFFF0000"/>
        <rFont val="Times New Roman"/>
        <family val="1"/>
      </rPr>
      <t xml:space="preserve"> </t>
    </r>
  </si>
  <si>
    <t>01.06.2021.- 30.06.2021.</t>
  </si>
  <si>
    <t>to starpā papilnobraukums (apbraucamā ceļa izmantošana) KM</t>
  </si>
  <si>
    <r>
      <t>Transportlīdzekļu dezinfekcija ( m</t>
    </r>
    <r>
      <rPr>
        <vertAlign val="superscript"/>
        <sz val="11"/>
        <rFont val="Times New Roman"/>
        <family val="1"/>
        <charset val="186"/>
      </rPr>
      <t xml:space="preserve"> 2</t>
    </r>
    <r>
      <rPr>
        <sz val="11"/>
        <rFont val="Times New Roman"/>
        <family val="1"/>
        <charset val="186"/>
      </rPr>
      <t>)</t>
    </r>
  </si>
  <si>
    <t>01.06.2021.- 30.06.2021..</t>
  </si>
  <si>
    <t>01.06.2019.- 30.06.2019.</t>
  </si>
  <si>
    <r>
      <t xml:space="preserve">Pašvaldības atbildīgās personas vārds, uzvārds, kontaktinformācija un paraksts    </t>
    </r>
    <r>
      <rPr>
        <sz val="11"/>
        <color theme="0" tint="-0.499984740745262"/>
        <rFont val="Times New Roman"/>
        <family val="1"/>
        <charset val="186"/>
      </rPr>
      <t>T.Volkova, 65404392</t>
    </r>
  </si>
  <si>
    <t>Jūnijs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</si>
</sst>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&quot;;;;&quot;DB: &quot;@"/>
    <numFmt numFmtId="165" formatCode="&quot;&quot;;;;&quot;Cube: PnL_&quot;"/>
    <numFmt numFmtId="166" formatCode=";;;"/>
    <numFmt numFmtId="167" formatCode="#,##0.0"/>
  </numFmts>
  <fonts count="27" x14ac:knownFonts="1">
    <font>
      <sz val="11"/>
      <name val="Calibri"/>
      <family val="2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theme="0" tint="-0.499984740745262"/>
      <name val="Times New Roman"/>
      <family val="1"/>
      <charset val="186"/>
    </font>
    <font>
      <b/>
      <sz val="11"/>
      <color rgb="FFFF0000"/>
      <name val="Times New Roman"/>
      <family val="1"/>
    </font>
    <font>
      <b/>
      <sz val="8"/>
      <color rgb="FFFF0000"/>
      <name val="Times New Roman"/>
      <family val="1"/>
    </font>
    <font>
      <vertAlign val="superscript"/>
      <sz val="11"/>
      <name val="Times New Roman"/>
      <family val="1"/>
      <charset val="186"/>
    </font>
    <font>
      <sz val="9"/>
      <color rgb="FF004C93"/>
      <name val="Segoe UI"/>
      <family val="2"/>
    </font>
    <font>
      <sz val="11"/>
      <name val="Calibri"/>
      <family val="2"/>
    </font>
    <font>
      <b/>
      <sz val="9"/>
      <color rgb="FF004C93"/>
      <name val="Segoe UI"/>
      <family val="2"/>
      <charset val="186"/>
    </font>
    <font>
      <sz val="9"/>
      <color rgb="FF004C93"/>
      <name val="Segoe UI"/>
      <family val="2"/>
      <charset val="186"/>
    </font>
    <font>
      <sz val="9"/>
      <color theme="0"/>
      <name val="Segoe UI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  <charset val="186"/>
    </font>
    <font>
      <sz val="9"/>
      <name val="Segoe UI"/>
      <family val="2"/>
    </font>
    <font>
      <i/>
      <sz val="9"/>
      <name val="Segoe UI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2A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2D2D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E8F7FE"/>
      </bottom>
      <diagonal/>
    </border>
    <border>
      <left/>
      <right/>
      <top style="thin">
        <color rgb="FFE8F7FE"/>
      </top>
      <bottom/>
      <diagonal/>
    </border>
    <border>
      <left style="thin">
        <color rgb="FFE8F7FE"/>
      </left>
      <right style="thin">
        <color rgb="FFE8F7FE"/>
      </right>
      <top style="thin">
        <color rgb="FFE8F7FE"/>
      </top>
      <bottom style="thin">
        <color rgb="FFE8F7FE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hair">
        <color rgb="FF004C93"/>
      </bottom>
      <diagonal/>
    </border>
    <border>
      <left/>
      <right/>
      <top style="hair">
        <color rgb="FF004C93"/>
      </top>
      <bottom style="hair">
        <color rgb="FFE8F7FE"/>
      </bottom>
      <diagonal/>
    </border>
    <border>
      <left/>
      <right/>
      <top style="hair">
        <color rgb="FFD7F1FD"/>
      </top>
      <bottom/>
      <diagonal/>
    </border>
    <border>
      <left/>
      <right style="thin">
        <color theme="0"/>
      </right>
      <top style="hair">
        <color rgb="FFD7F1FD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8">
    <xf numFmtId="0" fontId="0" fillId="0" borderId="0"/>
    <xf numFmtId="0" fontId="12" fillId="0" borderId="0">
      <alignment horizontal="center"/>
    </xf>
    <xf numFmtId="0" fontId="13" fillId="0" borderId="0"/>
    <xf numFmtId="0" fontId="12" fillId="0" borderId="27">
      <alignment horizontal="center"/>
    </xf>
    <xf numFmtId="0" fontId="12" fillId="0" borderId="28">
      <alignment horizontal="center"/>
    </xf>
    <xf numFmtId="0" fontId="16" fillId="8" borderId="29">
      <alignment horizontal="center" vertical="center"/>
    </xf>
    <xf numFmtId="0" fontId="12" fillId="0" borderId="0">
      <alignment horizontal="right"/>
    </xf>
    <xf numFmtId="166" fontId="17" fillId="0" borderId="30">
      <alignment horizontal="left"/>
    </xf>
    <xf numFmtId="0" fontId="12" fillId="0" borderId="0">
      <alignment horizontal="right"/>
    </xf>
    <xf numFmtId="166" fontId="12" fillId="0" borderId="30">
      <alignment horizontal="left"/>
    </xf>
    <xf numFmtId="0" fontId="12" fillId="0" borderId="31">
      <alignment horizontal="right"/>
    </xf>
    <xf numFmtId="0" fontId="12" fillId="0" borderId="32">
      <alignment horizontal="left"/>
    </xf>
    <xf numFmtId="3" fontId="19" fillId="9" borderId="33"/>
    <xf numFmtId="0" fontId="12" fillId="0" borderId="0">
      <alignment horizontal="right"/>
    </xf>
    <xf numFmtId="0" fontId="12" fillId="0" borderId="27">
      <alignment horizontal="left"/>
    </xf>
    <xf numFmtId="0" fontId="12" fillId="0" borderId="34">
      <alignment horizontal="left"/>
    </xf>
    <xf numFmtId="0" fontId="12" fillId="0" borderId="34">
      <alignment horizontal="left"/>
    </xf>
    <xf numFmtId="166" fontId="12" fillId="0" borderId="30">
      <alignment horizontal="left"/>
    </xf>
    <xf numFmtId="166" fontId="12" fillId="0" borderId="35"/>
    <xf numFmtId="166" fontId="12" fillId="0" borderId="36"/>
    <xf numFmtId="166" fontId="12" fillId="0" borderId="36"/>
    <xf numFmtId="0" fontId="12" fillId="0" borderId="0">
      <alignment horizontal="right"/>
    </xf>
    <xf numFmtId="0" fontId="12" fillId="0" borderId="0">
      <alignment horizontal="right"/>
    </xf>
    <xf numFmtId="3" fontId="20" fillId="10" borderId="0"/>
    <xf numFmtId="0" fontId="12" fillId="0" borderId="32">
      <alignment horizontal="left"/>
    </xf>
    <xf numFmtId="0" fontId="12" fillId="0" borderId="32">
      <alignment horizontal="left"/>
    </xf>
    <xf numFmtId="0" fontId="21" fillId="0" borderId="0"/>
    <xf numFmtId="0" fontId="1" fillId="0" borderId="0"/>
  </cellStyleXfs>
  <cellXfs count="389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 wrapText="1"/>
    </xf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0" fontId="3" fillId="2" borderId="1" xfId="0" applyFont="1" applyFill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 wrapText="1"/>
    </xf>
    <xf numFmtId="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/>
    </xf>
    <xf numFmtId="0" fontId="6" fillId="3" borderId="1" xfId="0" applyFont="1" applyFill="1" applyBorder="1" applyAlignment="1">
      <alignment horizontal="right" wrapText="1"/>
    </xf>
    <xf numFmtId="0" fontId="5" fillId="3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wrapText="1"/>
    </xf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wrapText="1"/>
    </xf>
    <xf numFmtId="0" fontId="3" fillId="4" borderId="1" xfId="0" applyFont="1" applyFill="1" applyBorder="1"/>
    <xf numFmtId="3" fontId="2" fillId="4" borderId="1" xfId="0" applyNumberFormat="1" applyFont="1" applyFill="1" applyBorder="1" applyAlignment="1">
      <alignment horizontal="center"/>
    </xf>
    <xf numFmtId="0" fontId="4" fillId="0" borderId="0" xfId="0" applyFont="1"/>
    <xf numFmtId="0" fontId="4" fillId="3" borderId="1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2" fontId="5" fillId="3" borderId="10" xfId="0" applyNumberFormat="1" applyFont="1" applyFill="1" applyBorder="1" applyAlignment="1">
      <alignment horizontal="center"/>
    </xf>
    <xf numFmtId="0" fontId="5" fillId="3" borderId="11" xfId="0" applyFont="1" applyFill="1" applyBorder="1" applyAlignment="1">
      <alignment horizontal="right"/>
    </xf>
    <xf numFmtId="2" fontId="5" fillId="3" borderId="12" xfId="0" applyNumberFormat="1" applyFont="1" applyFill="1" applyBorder="1" applyAlignment="1">
      <alignment horizontal="center"/>
    </xf>
    <xf numFmtId="0" fontId="5" fillId="3" borderId="11" xfId="0" applyFont="1" applyFill="1" applyBorder="1" applyAlignment="1">
      <alignment horizontal="right" wrapText="1"/>
    </xf>
    <xf numFmtId="0" fontId="5" fillId="3" borderId="13" xfId="0" applyFont="1" applyFill="1" applyBorder="1" applyAlignment="1">
      <alignment horizontal="right"/>
    </xf>
    <xf numFmtId="2" fontId="5" fillId="3" borderId="16" xfId="0" applyNumberFormat="1" applyFont="1" applyFill="1" applyBorder="1" applyAlignment="1">
      <alignment horizontal="center"/>
    </xf>
    <xf numFmtId="0" fontId="4" fillId="3" borderId="17" xfId="0" applyFont="1" applyFill="1" applyBorder="1"/>
    <xf numFmtId="0" fontId="5" fillId="3" borderId="18" xfId="0" applyFont="1" applyFill="1" applyBorder="1" applyAlignment="1">
      <alignment wrapText="1"/>
    </xf>
    <xf numFmtId="2" fontId="5" fillId="3" borderId="19" xfId="0" applyNumberFormat="1" applyFont="1" applyFill="1" applyBorder="1" applyAlignment="1">
      <alignment horizontal="center"/>
    </xf>
    <xf numFmtId="0" fontId="4" fillId="3" borderId="20" xfId="0" applyFont="1" applyFill="1" applyBorder="1" applyAlignment="1">
      <alignment wrapText="1"/>
    </xf>
    <xf numFmtId="0" fontId="4" fillId="3" borderId="21" xfId="0" applyFont="1" applyFill="1" applyBorder="1" applyAlignment="1">
      <alignment horizontal="center"/>
    </xf>
    <xf numFmtId="2" fontId="4" fillId="3" borderId="22" xfId="0" applyNumberFormat="1" applyFont="1" applyFill="1" applyBorder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4" borderId="23" xfId="0" applyFont="1" applyFill="1" applyBorder="1"/>
    <xf numFmtId="0" fontId="2" fillId="4" borderId="15" xfId="0" applyFont="1" applyFill="1" applyBorder="1"/>
    <xf numFmtId="0" fontId="2" fillId="4" borderId="16" xfId="0" applyFont="1" applyFill="1" applyBorder="1"/>
    <xf numFmtId="0" fontId="2" fillId="4" borderId="15" xfId="0" applyFont="1" applyFill="1" applyBorder="1" applyAlignment="1">
      <alignment horizontal="center" vertical="center" wrapText="1"/>
    </xf>
    <xf numFmtId="0" fontId="2" fillId="4" borderId="0" xfId="0" applyFont="1" applyFill="1" applyBorder="1"/>
    <xf numFmtId="4" fontId="3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9" xfId="0" applyFont="1" applyFill="1" applyBorder="1"/>
    <xf numFmtId="4" fontId="3" fillId="4" borderId="9" xfId="0" applyNumberFormat="1" applyFont="1" applyFill="1" applyBorder="1" applyAlignment="1">
      <alignment horizontal="center"/>
    </xf>
    <xf numFmtId="4" fontId="3" fillId="4" borderId="10" xfId="0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wrapText="1"/>
    </xf>
    <xf numFmtId="0" fontId="2" fillId="4" borderId="12" xfId="0" applyFont="1" applyFill="1" applyBorder="1"/>
    <xf numFmtId="0" fontId="2" fillId="4" borderId="13" xfId="0" applyFont="1" applyFill="1" applyBorder="1" applyAlignment="1">
      <alignment wrapText="1"/>
    </xf>
    <xf numFmtId="3" fontId="2" fillId="4" borderId="15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/>
    <xf numFmtId="0" fontId="2" fillId="0" borderId="25" xfId="0" applyFont="1" applyBorder="1"/>
    <xf numFmtId="0" fontId="3" fillId="0" borderId="25" xfId="0" applyFont="1" applyBorder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3" fontId="2" fillId="4" borderId="0" xfId="0" applyNumberFormat="1" applyFont="1" applyFill="1" applyBorder="1" applyAlignment="1">
      <alignment horizontal="center"/>
    </xf>
    <xf numFmtId="2" fontId="2" fillId="0" borderId="0" xfId="0" applyNumberFormat="1" applyFont="1"/>
    <xf numFmtId="2" fontId="5" fillId="3" borderId="26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wrapText="1"/>
    </xf>
    <xf numFmtId="4" fontId="2" fillId="4" borderId="15" xfId="0" applyNumberFormat="1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horizontal="center" vertical="center"/>
    </xf>
    <xf numFmtId="2" fontId="3" fillId="5" borderId="21" xfId="0" applyNumberFormat="1" applyFont="1" applyFill="1" applyBorder="1" applyAlignment="1">
      <alignment horizontal="center" vertical="center"/>
    </xf>
    <xf numFmtId="2" fontId="3" fillId="5" borderId="22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wrapText="1"/>
    </xf>
    <xf numFmtId="2" fontId="2" fillId="5" borderId="19" xfId="0" applyNumberFormat="1" applyFont="1" applyFill="1" applyBorder="1" applyAlignment="1">
      <alignment horizontal="center"/>
    </xf>
    <xf numFmtId="0" fontId="2" fillId="5" borderId="11" xfId="0" applyFont="1" applyFill="1" applyBorder="1"/>
    <xf numFmtId="2" fontId="2" fillId="5" borderId="12" xfId="0" applyNumberFormat="1" applyFont="1" applyFill="1" applyBorder="1" applyAlignment="1">
      <alignment horizontal="center"/>
    </xf>
    <xf numFmtId="0" fontId="2" fillId="5" borderId="11" xfId="0" applyFont="1" applyFill="1" applyBorder="1" applyAlignment="1">
      <alignment horizontal="right"/>
    </xf>
    <xf numFmtId="0" fontId="2" fillId="5" borderId="11" xfId="0" applyFont="1" applyFill="1" applyBorder="1" applyAlignment="1">
      <alignment horizontal="right" wrapText="1"/>
    </xf>
    <xf numFmtId="0" fontId="2" fillId="5" borderId="23" xfId="0" applyFont="1" applyFill="1" applyBorder="1" applyAlignment="1">
      <alignment horizontal="center" wrapText="1"/>
    </xf>
    <xf numFmtId="0" fontId="2" fillId="5" borderId="13" xfId="0" applyFont="1" applyFill="1" applyBorder="1"/>
    <xf numFmtId="0" fontId="2" fillId="5" borderId="15" xfId="0" applyFont="1" applyFill="1" applyBorder="1" applyAlignment="1">
      <alignment horizontal="center"/>
    </xf>
    <xf numFmtId="2" fontId="2" fillId="5" borderId="16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" fontId="2" fillId="5" borderId="4" xfId="0" applyNumberFormat="1" applyFont="1" applyFill="1" applyBorder="1" applyAlignment="1">
      <alignment horizontal="center"/>
    </xf>
    <xf numFmtId="4" fontId="2" fillId="5" borderId="4" xfId="0" applyNumberFormat="1" applyFont="1" applyFill="1" applyBorder="1" applyAlignment="1">
      <alignment horizontal="center" wrapText="1"/>
    </xf>
    <xf numFmtId="4" fontId="2" fillId="5" borderId="1" xfId="0" applyNumberFormat="1" applyFont="1" applyFill="1" applyBorder="1" applyAlignment="1">
      <alignment horizontal="center"/>
    </xf>
    <xf numFmtId="4" fontId="2" fillId="5" borderId="15" xfId="0" applyNumberFormat="1" applyFont="1" applyFill="1" applyBorder="1" applyAlignment="1">
      <alignment horizontal="center"/>
    </xf>
    <xf numFmtId="4" fontId="4" fillId="3" borderId="21" xfId="0" applyNumberFormat="1" applyFont="1" applyFill="1" applyBorder="1" applyAlignment="1">
      <alignment horizontal="center"/>
    </xf>
    <xf numFmtId="4" fontId="5" fillId="3" borderId="4" xfId="0" applyNumberFormat="1" applyFont="1" applyFill="1" applyBorder="1" applyAlignment="1">
      <alignment horizontal="center"/>
    </xf>
    <xf numFmtId="4" fontId="5" fillId="3" borderId="15" xfId="0" applyNumberFormat="1" applyFont="1" applyFill="1" applyBorder="1" applyAlignment="1">
      <alignment horizontal="center"/>
    </xf>
    <xf numFmtId="4" fontId="5" fillId="3" borderId="3" xfId="0" applyNumberFormat="1" applyFont="1" applyFill="1" applyBorder="1" applyAlignment="1">
      <alignment horizontal="center"/>
    </xf>
    <xf numFmtId="4" fontId="5" fillId="3" borderId="9" xfId="0" applyNumberFormat="1" applyFont="1" applyFill="1" applyBorder="1" applyAlignment="1">
      <alignment horizontal="center"/>
    </xf>
    <xf numFmtId="4" fontId="2" fillId="4" borderId="1" xfId="0" applyNumberFormat="1" applyFont="1" applyFill="1" applyBorder="1"/>
    <xf numFmtId="4" fontId="2" fillId="4" borderId="12" xfId="0" applyNumberFormat="1" applyFont="1" applyFill="1" applyBorder="1" applyAlignment="1">
      <alignment horizontal="center"/>
    </xf>
    <xf numFmtId="4" fontId="2" fillId="4" borderId="12" xfId="0" applyNumberFormat="1" applyFont="1" applyFill="1" applyBorder="1"/>
    <xf numFmtId="4" fontId="2" fillId="4" borderId="15" xfId="0" applyNumberFormat="1" applyFont="1" applyFill="1" applyBorder="1"/>
    <xf numFmtId="164" fontId="12" fillId="0" borderId="0" xfId="1" applyNumberFormat="1">
      <alignment horizontal="center"/>
    </xf>
    <xf numFmtId="0" fontId="13" fillId="0" borderId="0" xfId="2"/>
    <xf numFmtId="0" fontId="12" fillId="0" borderId="27" xfId="3">
      <alignment horizontal="center"/>
    </xf>
    <xf numFmtId="165" fontId="12" fillId="0" borderId="0" xfId="1" applyNumberFormat="1">
      <alignment horizontal="center"/>
    </xf>
    <xf numFmtId="0" fontId="14" fillId="0" borderId="28" xfId="4" applyFont="1" applyAlignment="1">
      <alignment horizontal="center" wrapText="1" shrinkToFit="1"/>
    </xf>
    <xf numFmtId="0" fontId="15" fillId="0" borderId="28" xfId="4" applyFont="1" applyAlignment="1">
      <alignment horizontal="center" wrapText="1" shrinkToFit="1"/>
    </xf>
    <xf numFmtId="0" fontId="16" fillId="8" borderId="29" xfId="5">
      <alignment horizontal="center" vertical="center"/>
    </xf>
    <xf numFmtId="0" fontId="12" fillId="0" borderId="0" xfId="1">
      <alignment horizontal="center"/>
    </xf>
    <xf numFmtId="0" fontId="15" fillId="0" borderId="0" xfId="6" applyFont="1" applyAlignment="1">
      <alignment horizontal="right" wrapText="1" shrinkToFit="1"/>
    </xf>
    <xf numFmtId="166" fontId="18" fillId="0" borderId="30" xfId="7" applyFont="1" applyAlignment="1">
      <alignment horizontal="left" wrapText="1" shrinkToFit="1"/>
    </xf>
    <xf numFmtId="0" fontId="15" fillId="0" borderId="0" xfId="8" applyFont="1" applyAlignment="1">
      <alignment horizontal="right" wrapText="1" shrinkToFit="1"/>
    </xf>
    <xf numFmtId="166" fontId="15" fillId="0" borderId="30" xfId="9" applyFont="1" applyAlignment="1">
      <alignment horizontal="left" wrapText="1" shrinkToFit="1"/>
    </xf>
    <xf numFmtId="0" fontId="15" fillId="0" borderId="31" xfId="10" applyFont="1" applyAlignment="1">
      <alignment horizontal="right" wrapText="1" shrinkToFit="1"/>
    </xf>
    <xf numFmtId="0" fontId="15" fillId="0" borderId="32" xfId="11" applyFont="1" applyAlignment="1">
      <alignment horizontal="left" indent="1"/>
    </xf>
    <xf numFmtId="3" fontId="19" fillId="9" borderId="33" xfId="12"/>
    <xf numFmtId="0" fontId="21" fillId="0" borderId="0" xfId="26"/>
    <xf numFmtId="0" fontId="3" fillId="0" borderId="1" xfId="26" applyFont="1" applyBorder="1" applyAlignment="1">
      <alignment vertical="center"/>
    </xf>
    <xf numFmtId="0" fontId="3" fillId="0" borderId="2" xfId="26" applyFont="1" applyBorder="1" applyAlignment="1">
      <alignment vertical="center"/>
    </xf>
    <xf numFmtId="0" fontId="3" fillId="0" borderId="2" xfId="26" applyFont="1" applyBorder="1" applyAlignment="1">
      <alignment horizontal="center" vertical="center"/>
    </xf>
    <xf numFmtId="0" fontId="3" fillId="0" borderId="2" xfId="26" applyFont="1" applyBorder="1" applyAlignment="1">
      <alignment horizontal="center" vertical="center" wrapText="1"/>
    </xf>
    <xf numFmtId="0" fontId="3" fillId="5" borderId="17" xfId="26" applyFont="1" applyFill="1" applyBorder="1" applyAlignment="1">
      <alignment vertical="center"/>
    </xf>
    <xf numFmtId="0" fontId="3" fillId="5" borderId="20" xfId="26" applyFont="1" applyFill="1" applyBorder="1" applyAlignment="1">
      <alignment vertical="center"/>
    </xf>
    <xf numFmtId="0" fontId="3" fillId="5" borderId="21" xfId="26" applyFont="1" applyFill="1" applyBorder="1" applyAlignment="1">
      <alignment horizontal="center" vertical="center"/>
    </xf>
    <xf numFmtId="2" fontId="3" fillId="5" borderId="21" xfId="26" applyNumberFormat="1" applyFont="1" applyFill="1" applyBorder="1" applyAlignment="1">
      <alignment horizontal="center" vertical="center"/>
    </xf>
    <xf numFmtId="2" fontId="3" fillId="5" borderId="22" xfId="26" applyNumberFormat="1" applyFont="1" applyFill="1" applyBorder="1" applyAlignment="1">
      <alignment horizontal="center" vertical="center"/>
    </xf>
    <xf numFmtId="0" fontId="2" fillId="5" borderId="18" xfId="26" applyFont="1" applyFill="1" applyBorder="1" applyAlignment="1">
      <alignment wrapText="1"/>
    </xf>
    <xf numFmtId="4" fontId="2" fillId="5" borderId="4" xfId="26" applyNumberFormat="1" applyFont="1" applyFill="1" applyBorder="1" applyAlignment="1">
      <alignment horizontal="center"/>
    </xf>
    <xf numFmtId="4" fontId="2" fillId="5" borderId="4" xfId="26" applyNumberFormat="1" applyFont="1" applyFill="1" applyBorder="1" applyAlignment="1">
      <alignment horizontal="center" wrapText="1"/>
    </xf>
    <xf numFmtId="2" fontId="2" fillId="5" borderId="19" xfId="26" applyNumberFormat="1" applyFont="1" applyFill="1" applyBorder="1" applyAlignment="1">
      <alignment horizontal="center"/>
    </xf>
    <xf numFmtId="0" fontId="2" fillId="5" borderId="11" xfId="26" applyFont="1" applyFill="1" applyBorder="1"/>
    <xf numFmtId="4" fontId="2" fillId="5" borderId="1" xfId="26" applyNumberFormat="1" applyFont="1" applyFill="1" applyBorder="1" applyAlignment="1">
      <alignment horizontal="center"/>
    </xf>
    <xf numFmtId="2" fontId="2" fillId="5" borderId="12" xfId="26" applyNumberFormat="1" applyFont="1" applyFill="1" applyBorder="1" applyAlignment="1">
      <alignment horizontal="center"/>
    </xf>
    <xf numFmtId="0" fontId="2" fillId="5" borderId="11" xfId="26" applyFont="1" applyFill="1" applyBorder="1" applyAlignment="1">
      <alignment horizontal="right"/>
    </xf>
    <xf numFmtId="0" fontId="2" fillId="5" borderId="11" xfId="26" applyFont="1" applyFill="1" applyBorder="1" applyAlignment="1">
      <alignment horizontal="right" wrapText="1"/>
    </xf>
    <xf numFmtId="0" fontId="2" fillId="5" borderId="13" xfId="26" applyFont="1" applyFill="1" applyBorder="1"/>
    <xf numFmtId="0" fontId="2" fillId="5" borderId="15" xfId="26" applyFont="1" applyFill="1" applyBorder="1" applyAlignment="1">
      <alignment horizontal="center"/>
    </xf>
    <xf numFmtId="4" fontId="2" fillId="5" borderId="15" xfId="26" applyNumberFormat="1" applyFont="1" applyFill="1" applyBorder="1" applyAlignment="1">
      <alignment horizontal="center"/>
    </xf>
    <xf numFmtId="2" fontId="2" fillId="5" borderId="16" xfId="26" applyNumberFormat="1" applyFont="1" applyFill="1" applyBorder="1" applyAlignment="1">
      <alignment horizontal="center"/>
    </xf>
    <xf numFmtId="0" fontId="4" fillId="3" borderId="20" xfId="26" applyFont="1" applyFill="1" applyBorder="1" applyAlignment="1">
      <alignment wrapText="1"/>
    </xf>
    <xf numFmtId="0" fontId="4" fillId="3" borderId="21" xfId="26" applyFont="1" applyFill="1" applyBorder="1" applyAlignment="1">
      <alignment horizontal="center"/>
    </xf>
    <xf numFmtId="4" fontId="4" fillId="3" borderId="21" xfId="26" applyNumberFormat="1" applyFont="1" applyFill="1" applyBorder="1" applyAlignment="1">
      <alignment horizontal="center"/>
    </xf>
    <xf numFmtId="2" fontId="4" fillId="3" borderId="22" xfId="26" applyNumberFormat="1" applyFont="1" applyFill="1" applyBorder="1" applyAlignment="1">
      <alignment horizontal="center"/>
    </xf>
    <xf numFmtId="0" fontId="5" fillId="3" borderId="18" xfId="26" applyFont="1" applyFill="1" applyBorder="1" applyAlignment="1">
      <alignment wrapText="1"/>
    </xf>
    <xf numFmtId="4" fontId="5" fillId="3" borderId="4" xfId="26" applyNumberFormat="1" applyFont="1" applyFill="1" applyBorder="1" applyAlignment="1">
      <alignment horizontal="center"/>
    </xf>
    <xf numFmtId="2" fontId="5" fillId="3" borderId="19" xfId="26" applyNumberFormat="1" applyFont="1" applyFill="1" applyBorder="1" applyAlignment="1">
      <alignment horizontal="center"/>
    </xf>
    <xf numFmtId="0" fontId="5" fillId="3" borderId="11" xfId="26" applyFont="1" applyFill="1" applyBorder="1" applyAlignment="1">
      <alignment horizontal="right"/>
    </xf>
    <xf numFmtId="4" fontId="5" fillId="3" borderId="1" xfId="26" applyNumberFormat="1" applyFont="1" applyFill="1" applyBorder="1" applyAlignment="1">
      <alignment horizontal="center"/>
    </xf>
    <xf numFmtId="2" fontId="5" fillId="3" borderId="12" xfId="26" applyNumberFormat="1" applyFont="1" applyFill="1" applyBorder="1" applyAlignment="1">
      <alignment horizontal="center"/>
    </xf>
    <xf numFmtId="0" fontId="5" fillId="3" borderId="11" xfId="26" applyFont="1" applyFill="1" applyBorder="1" applyAlignment="1">
      <alignment horizontal="right" wrapText="1"/>
    </xf>
    <xf numFmtId="0" fontId="5" fillId="3" borderId="13" xfId="26" applyFont="1" applyFill="1" applyBorder="1" applyAlignment="1">
      <alignment horizontal="right"/>
    </xf>
    <xf numFmtId="4" fontId="5" fillId="3" borderId="15" xfId="26" applyNumberFormat="1" applyFont="1" applyFill="1" applyBorder="1" applyAlignment="1">
      <alignment horizontal="center"/>
    </xf>
    <xf numFmtId="2" fontId="5" fillId="3" borderId="16" xfId="26" applyNumberFormat="1" applyFont="1" applyFill="1" applyBorder="1" applyAlignment="1">
      <alignment horizontal="center"/>
    </xf>
    <xf numFmtId="0" fontId="5" fillId="3" borderId="3" xfId="26" applyFont="1" applyFill="1" applyBorder="1" applyAlignment="1">
      <alignment horizontal="center" vertical="center" wrapText="1"/>
    </xf>
    <xf numFmtId="4" fontId="5" fillId="3" borderId="3" xfId="26" applyNumberFormat="1" applyFont="1" applyFill="1" applyBorder="1" applyAlignment="1">
      <alignment horizontal="center"/>
    </xf>
    <xf numFmtId="2" fontId="5" fillId="3" borderId="26" xfId="26" applyNumberFormat="1" applyFont="1" applyFill="1" applyBorder="1" applyAlignment="1">
      <alignment horizontal="center"/>
    </xf>
    <xf numFmtId="0" fontId="5" fillId="3" borderId="7" xfId="26" applyFont="1" applyFill="1" applyBorder="1" applyAlignment="1">
      <alignment wrapText="1"/>
    </xf>
    <xf numFmtId="4" fontId="5" fillId="3" borderId="9" xfId="26" applyNumberFormat="1" applyFont="1" applyFill="1" applyBorder="1" applyAlignment="1">
      <alignment horizontal="center"/>
    </xf>
    <xf numFmtId="2" fontId="5" fillId="3" borderId="10" xfId="26" applyNumberFormat="1" applyFont="1" applyFill="1" applyBorder="1" applyAlignment="1">
      <alignment horizontal="center"/>
    </xf>
    <xf numFmtId="0" fontId="5" fillId="3" borderId="6" xfId="26" applyFont="1" applyFill="1" applyBorder="1" applyAlignment="1">
      <alignment horizontal="center" vertical="center" wrapText="1"/>
    </xf>
    <xf numFmtId="0" fontId="3" fillId="4" borderId="23" xfId="26" applyFont="1" applyFill="1" applyBorder="1"/>
    <xf numFmtId="0" fontId="3" fillId="4" borderId="7" xfId="26" applyFont="1" applyFill="1" applyBorder="1"/>
    <xf numFmtId="0" fontId="3" fillId="4" borderId="9" xfId="26" applyFont="1" applyFill="1" applyBorder="1"/>
    <xf numFmtId="4" fontId="3" fillId="4" borderId="9" xfId="26" applyNumberFormat="1" applyFont="1" applyFill="1" applyBorder="1" applyAlignment="1">
      <alignment horizontal="center"/>
    </xf>
    <xf numFmtId="4" fontId="3" fillId="4" borderId="10" xfId="26" applyNumberFormat="1" applyFont="1" applyFill="1" applyBorder="1" applyAlignment="1">
      <alignment horizontal="center"/>
    </xf>
    <xf numFmtId="0" fontId="2" fillId="4" borderId="11" xfId="26" applyFont="1" applyFill="1" applyBorder="1" applyAlignment="1">
      <alignment wrapText="1"/>
    </xf>
    <xf numFmtId="0" fontId="2" fillId="4" borderId="1" xfId="26" applyFont="1" applyFill="1" applyBorder="1" applyAlignment="1">
      <alignment horizontal="center" vertical="center" wrapText="1"/>
    </xf>
    <xf numFmtId="4" fontId="2" fillId="4" borderId="1" xfId="26" applyNumberFormat="1" applyFont="1" applyFill="1" applyBorder="1" applyAlignment="1">
      <alignment horizontal="center"/>
    </xf>
    <xf numFmtId="4" fontId="2" fillId="4" borderId="1" xfId="26" applyNumberFormat="1" applyFont="1" applyFill="1" applyBorder="1"/>
    <xf numFmtId="0" fontId="2" fillId="4" borderId="12" xfId="26" applyFont="1" applyFill="1" applyBorder="1"/>
    <xf numFmtId="4" fontId="2" fillId="4" borderId="12" xfId="26" applyNumberFormat="1" applyFont="1" applyFill="1" applyBorder="1" applyAlignment="1">
      <alignment horizontal="center"/>
    </xf>
    <xf numFmtId="4" fontId="2" fillId="4" borderId="12" xfId="26" applyNumberFormat="1" applyFont="1" applyFill="1" applyBorder="1"/>
    <xf numFmtId="0" fontId="2" fillId="4" borderId="13" xfId="26" applyFont="1" applyFill="1" applyBorder="1" applyAlignment="1">
      <alignment wrapText="1"/>
    </xf>
    <xf numFmtId="0" fontId="2" fillId="4" borderId="15" xfId="26" applyFont="1" applyFill="1" applyBorder="1" applyAlignment="1">
      <alignment horizontal="center" vertical="center" wrapText="1"/>
    </xf>
    <xf numFmtId="4" fontId="2" fillId="4" borderId="15" xfId="26" applyNumberFormat="1" applyFont="1" applyFill="1" applyBorder="1" applyAlignment="1">
      <alignment horizontal="center"/>
    </xf>
    <xf numFmtId="4" fontId="2" fillId="4" borderId="15" xfId="26" applyNumberFormat="1" applyFont="1" applyFill="1" applyBorder="1"/>
    <xf numFmtId="0" fontId="2" fillId="4" borderId="16" xfId="26" applyFont="1" applyFill="1" applyBorder="1"/>
    <xf numFmtId="0" fontId="2" fillId="0" borderId="0" xfId="26" applyFont="1"/>
    <xf numFmtId="0" fontId="3" fillId="0" borderId="25" xfId="26" applyFont="1" applyBorder="1"/>
    <xf numFmtId="0" fontId="2" fillId="0" borderId="25" xfId="26" applyFont="1" applyBorder="1"/>
    <xf numFmtId="3" fontId="2" fillId="0" borderId="0" xfId="0" applyNumberFormat="1" applyFont="1"/>
    <xf numFmtId="4" fontId="3" fillId="5" borderId="21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3" fontId="21" fillId="0" borderId="0" xfId="26" applyNumberFormat="1"/>
    <xf numFmtId="167" fontId="21" fillId="0" borderId="0" xfId="26" applyNumberFormat="1"/>
    <xf numFmtId="4" fontId="21" fillId="0" borderId="0" xfId="26" applyNumberFormat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4" fontId="3" fillId="0" borderId="0" xfId="0" applyNumberFormat="1" applyFont="1"/>
    <xf numFmtId="0" fontId="5" fillId="3" borderId="1" xfId="26" applyFont="1" applyFill="1" applyBorder="1" applyAlignment="1">
      <alignment wrapText="1"/>
    </xf>
    <xf numFmtId="0" fontId="5" fillId="3" borderId="1" xfId="26" applyFont="1" applyFill="1" applyBorder="1" applyAlignment="1">
      <alignment vertical="center" wrapText="1"/>
    </xf>
    <xf numFmtId="0" fontId="5" fillId="3" borderId="1" xfId="26" applyFont="1" applyFill="1" applyBorder="1" applyAlignment="1">
      <alignment horizontal="right"/>
    </xf>
    <xf numFmtId="0" fontId="5" fillId="3" borderId="1" xfId="26" applyFont="1" applyFill="1" applyBorder="1" applyAlignment="1">
      <alignment horizontal="right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4" fontId="0" fillId="0" borderId="0" xfId="0" applyNumberFormat="1"/>
    <xf numFmtId="0" fontId="2" fillId="0" borderId="0" xfId="27" applyFont="1"/>
    <xf numFmtId="0" fontId="3" fillId="0" borderId="1" xfId="27" applyFont="1" applyBorder="1" applyAlignment="1">
      <alignment vertical="center"/>
    </xf>
    <xf numFmtId="0" fontId="3" fillId="0" borderId="2" xfId="27" applyFont="1" applyBorder="1" applyAlignment="1">
      <alignment vertical="center"/>
    </xf>
    <xf numFmtId="0" fontId="3" fillId="0" borderId="2" xfId="27" applyFont="1" applyBorder="1" applyAlignment="1">
      <alignment horizontal="center" vertical="center"/>
    </xf>
    <xf numFmtId="0" fontId="3" fillId="7" borderId="2" xfId="27" applyFont="1" applyFill="1" applyBorder="1" applyAlignment="1">
      <alignment horizontal="center" vertical="center" wrapText="1"/>
    </xf>
    <xf numFmtId="0" fontId="3" fillId="0" borderId="2" xfId="27" applyFont="1" applyBorder="1" applyAlignment="1">
      <alignment horizontal="center" vertical="center" wrapText="1"/>
    </xf>
    <xf numFmtId="0" fontId="24" fillId="0" borderId="2" xfId="27" applyFont="1" applyBorder="1" applyAlignment="1">
      <alignment horizontal="center" vertical="center" wrapText="1"/>
    </xf>
    <xf numFmtId="0" fontId="3" fillId="0" borderId="0" xfId="27" applyFont="1"/>
    <xf numFmtId="0" fontId="3" fillId="5" borderId="17" xfId="27" applyFont="1" applyFill="1" applyBorder="1" applyAlignment="1">
      <alignment vertical="center"/>
    </xf>
    <xf numFmtId="0" fontId="3" fillId="5" borderId="20" xfId="27" applyFont="1" applyFill="1" applyBorder="1" applyAlignment="1">
      <alignment vertical="center"/>
    </xf>
    <xf numFmtId="0" fontId="3" fillId="5" borderId="21" xfId="27" applyFont="1" applyFill="1" applyBorder="1" applyAlignment="1">
      <alignment horizontal="center" vertical="center"/>
    </xf>
    <xf numFmtId="2" fontId="3" fillId="5" borderId="21" xfId="27" applyNumberFormat="1" applyFont="1" applyFill="1" applyBorder="1" applyAlignment="1">
      <alignment horizontal="center" vertical="center"/>
    </xf>
    <xf numFmtId="2" fontId="3" fillId="7" borderId="21" xfId="27" applyNumberFormat="1" applyFont="1" applyFill="1" applyBorder="1" applyAlignment="1">
      <alignment horizontal="center" vertical="center"/>
    </xf>
    <xf numFmtId="2" fontId="3" fillId="5" borderId="22" xfId="27" applyNumberFormat="1" applyFont="1" applyFill="1" applyBorder="1" applyAlignment="1">
      <alignment horizontal="center" vertical="center"/>
    </xf>
    <xf numFmtId="0" fontId="2" fillId="5" borderId="18" xfId="27" applyFont="1" applyFill="1" applyBorder="1" applyAlignment="1">
      <alignment wrapText="1"/>
    </xf>
    <xf numFmtId="2" fontId="2" fillId="5" borderId="4" xfId="27" applyNumberFormat="1" applyFont="1" applyFill="1" applyBorder="1" applyAlignment="1">
      <alignment horizontal="center"/>
    </xf>
    <xf numFmtId="2" fontId="2" fillId="7" borderId="4" xfId="27" applyNumberFormat="1" applyFont="1" applyFill="1" applyBorder="1" applyAlignment="1">
      <alignment horizontal="center"/>
    </xf>
    <xf numFmtId="2" fontId="2" fillId="5" borderId="4" xfId="27" applyNumberFormat="1" applyFont="1" applyFill="1" applyBorder="1" applyAlignment="1">
      <alignment horizontal="center" wrapText="1"/>
    </xf>
    <xf numFmtId="2" fontId="2" fillId="5" borderId="19" xfId="27" applyNumberFormat="1" applyFont="1" applyFill="1" applyBorder="1" applyAlignment="1">
      <alignment horizontal="center"/>
    </xf>
    <xf numFmtId="0" fontId="2" fillId="5" borderId="11" xfId="27" applyFont="1" applyFill="1" applyBorder="1"/>
    <xf numFmtId="2" fontId="5" fillId="5" borderId="1" xfId="27" applyNumberFormat="1" applyFont="1" applyFill="1" applyBorder="1" applyAlignment="1">
      <alignment horizontal="center"/>
    </xf>
    <xf numFmtId="2" fontId="2" fillId="7" borderId="1" xfId="27" applyNumberFormat="1" applyFont="1" applyFill="1" applyBorder="1" applyAlignment="1">
      <alignment horizontal="center"/>
    </xf>
    <xf numFmtId="2" fontId="2" fillId="5" borderId="1" xfId="27" applyNumberFormat="1" applyFont="1" applyFill="1" applyBorder="1" applyAlignment="1">
      <alignment horizontal="center"/>
    </xf>
    <xf numFmtId="2" fontId="2" fillId="5" borderId="12" xfId="27" applyNumberFormat="1" applyFont="1" applyFill="1" applyBorder="1" applyAlignment="1">
      <alignment horizontal="center"/>
    </xf>
    <xf numFmtId="0" fontId="2" fillId="5" borderId="11" xfId="27" applyFont="1" applyFill="1" applyBorder="1" applyAlignment="1">
      <alignment horizontal="right"/>
    </xf>
    <xf numFmtId="2" fontId="2" fillId="0" borderId="0" xfId="27" applyNumberFormat="1" applyFont="1"/>
    <xf numFmtId="2" fontId="25" fillId="5" borderId="1" xfId="27" applyNumberFormat="1" applyFont="1" applyFill="1" applyBorder="1" applyAlignment="1">
      <alignment horizontal="center"/>
    </xf>
    <xf numFmtId="0" fontId="2" fillId="5" borderId="11" xfId="27" applyFont="1" applyFill="1" applyBorder="1" applyAlignment="1">
      <alignment horizontal="right" wrapText="1"/>
    </xf>
    <xf numFmtId="0" fontId="2" fillId="5" borderId="6" xfId="27" applyFont="1" applyFill="1" applyBorder="1" applyAlignment="1">
      <alignment horizontal="center" vertical="center" wrapText="1"/>
    </xf>
    <xf numFmtId="0" fontId="2" fillId="5" borderId="3" xfId="27" applyFont="1" applyFill="1" applyBorder="1" applyAlignment="1">
      <alignment horizontal="center" vertical="center"/>
    </xf>
    <xf numFmtId="2" fontId="2" fillId="7" borderId="2" xfId="27" applyNumberFormat="1" applyFont="1" applyFill="1" applyBorder="1" applyAlignment="1">
      <alignment horizontal="center"/>
    </xf>
    <xf numFmtId="2" fontId="2" fillId="5" borderId="2" xfId="27" applyNumberFormat="1" applyFont="1" applyFill="1" applyBorder="1" applyAlignment="1">
      <alignment horizontal="center"/>
    </xf>
    <xf numFmtId="2" fontId="2" fillId="5" borderId="37" xfId="27" applyNumberFormat="1" applyFont="1" applyFill="1" applyBorder="1" applyAlignment="1">
      <alignment horizontal="center"/>
    </xf>
    <xf numFmtId="0" fontId="2" fillId="5" borderId="23" xfId="27" applyFont="1" applyFill="1" applyBorder="1" applyAlignment="1">
      <alignment horizontal="center" wrapText="1"/>
    </xf>
    <xf numFmtId="0" fontId="2" fillId="5" borderId="13" xfId="27" applyFont="1" applyFill="1" applyBorder="1"/>
    <xf numFmtId="0" fontId="2" fillId="5" borderId="15" xfId="27" applyFont="1" applyFill="1" applyBorder="1" applyAlignment="1">
      <alignment horizontal="center"/>
    </xf>
    <xf numFmtId="2" fontId="2" fillId="5" borderId="15" xfId="27" applyNumberFormat="1" applyFont="1" applyFill="1" applyBorder="1" applyAlignment="1">
      <alignment horizontal="center"/>
    </xf>
    <xf numFmtId="2" fontId="2" fillId="7" borderId="15" xfId="27" applyNumberFormat="1" applyFont="1" applyFill="1" applyBorder="1" applyAlignment="1">
      <alignment horizontal="center"/>
    </xf>
    <xf numFmtId="2" fontId="2" fillId="5" borderId="16" xfId="27" applyNumberFormat="1" applyFont="1" applyFill="1" applyBorder="1" applyAlignment="1">
      <alignment horizontal="center"/>
    </xf>
    <xf numFmtId="0" fontId="4" fillId="3" borderId="17" xfId="27" applyFont="1" applyFill="1" applyBorder="1"/>
    <xf numFmtId="0" fontId="4" fillId="3" borderId="20" xfId="27" applyFont="1" applyFill="1" applyBorder="1" applyAlignment="1">
      <alignment wrapText="1"/>
    </xf>
    <xf numFmtId="0" fontId="4" fillId="3" borderId="21" xfId="27" applyFont="1" applyFill="1" applyBorder="1" applyAlignment="1">
      <alignment horizontal="center"/>
    </xf>
    <xf numFmtId="2" fontId="4" fillId="3" borderId="21" xfId="27" applyNumberFormat="1" applyFont="1" applyFill="1" applyBorder="1" applyAlignment="1">
      <alignment horizontal="center"/>
    </xf>
    <xf numFmtId="2" fontId="4" fillId="3" borderId="22" xfId="27" applyNumberFormat="1" applyFont="1" applyFill="1" applyBorder="1" applyAlignment="1">
      <alignment horizontal="center"/>
    </xf>
    <xf numFmtId="0" fontId="5" fillId="3" borderId="18" xfId="27" applyFont="1" applyFill="1" applyBorder="1" applyAlignment="1">
      <alignment wrapText="1"/>
    </xf>
    <xf numFmtId="4" fontId="5" fillId="3" borderId="4" xfId="27" applyNumberFormat="1" applyFont="1" applyFill="1" applyBorder="1" applyAlignment="1">
      <alignment horizontal="center"/>
    </xf>
    <xf numFmtId="2" fontId="5" fillId="3" borderId="4" xfId="27" applyNumberFormat="1" applyFont="1" applyFill="1" applyBorder="1" applyAlignment="1">
      <alignment horizontal="center"/>
    </xf>
    <xf numFmtId="2" fontId="5" fillId="3" borderId="19" xfId="27" applyNumberFormat="1" applyFont="1" applyFill="1" applyBorder="1" applyAlignment="1">
      <alignment horizontal="center"/>
    </xf>
    <xf numFmtId="0" fontId="5" fillId="0" borderId="0" xfId="27" applyFont="1"/>
    <xf numFmtId="0" fontId="5" fillId="3" borderId="11" xfId="27" applyFont="1" applyFill="1" applyBorder="1" applyAlignment="1">
      <alignment horizontal="right"/>
    </xf>
    <xf numFmtId="4" fontId="5" fillId="3" borderId="1" xfId="27" applyNumberFormat="1" applyFont="1" applyFill="1" applyBorder="1" applyAlignment="1">
      <alignment horizontal="center"/>
    </xf>
    <xf numFmtId="2" fontId="5" fillId="3" borderId="1" xfId="27" applyNumberFormat="1" applyFont="1" applyFill="1" applyBorder="1" applyAlignment="1">
      <alignment horizontal="center"/>
    </xf>
    <xf numFmtId="2" fontId="5" fillId="3" borderId="12" xfId="27" applyNumberFormat="1" applyFont="1" applyFill="1" applyBorder="1" applyAlignment="1">
      <alignment horizontal="center"/>
    </xf>
    <xf numFmtId="0" fontId="5" fillId="3" borderId="11" xfId="27" applyFont="1" applyFill="1" applyBorder="1" applyAlignment="1">
      <alignment horizontal="right" wrapText="1"/>
    </xf>
    <xf numFmtId="0" fontId="5" fillId="3" borderId="13" xfId="27" applyFont="1" applyFill="1" applyBorder="1" applyAlignment="1">
      <alignment horizontal="right"/>
    </xf>
    <xf numFmtId="4" fontId="5" fillId="3" borderId="15" xfId="27" applyNumberFormat="1" applyFont="1" applyFill="1" applyBorder="1" applyAlignment="1">
      <alignment horizontal="center"/>
    </xf>
    <xf numFmtId="2" fontId="5" fillId="3" borderId="15" xfId="27" applyNumberFormat="1" applyFont="1" applyFill="1" applyBorder="1" applyAlignment="1">
      <alignment horizontal="center"/>
    </xf>
    <xf numFmtId="2" fontId="5" fillId="3" borderId="16" xfId="27" applyNumberFormat="1" applyFont="1" applyFill="1" applyBorder="1" applyAlignment="1">
      <alignment horizontal="center"/>
    </xf>
    <xf numFmtId="0" fontId="5" fillId="3" borderId="3" xfId="27" applyFont="1" applyFill="1" applyBorder="1" applyAlignment="1">
      <alignment horizontal="center" vertical="center" wrapText="1"/>
    </xf>
    <xf numFmtId="4" fontId="5" fillId="3" borderId="3" xfId="27" applyNumberFormat="1" applyFont="1" applyFill="1" applyBorder="1" applyAlignment="1">
      <alignment horizontal="center"/>
    </xf>
    <xf numFmtId="2" fontId="5" fillId="3" borderId="3" xfId="27" applyNumberFormat="1" applyFont="1" applyFill="1" applyBorder="1" applyAlignment="1">
      <alignment horizontal="center"/>
    </xf>
    <xf numFmtId="2" fontId="5" fillId="3" borderId="26" xfId="27" applyNumberFormat="1" applyFont="1" applyFill="1" applyBorder="1" applyAlignment="1">
      <alignment horizontal="center"/>
    </xf>
    <xf numFmtId="0" fontId="5" fillId="3" borderId="7" xfId="27" applyFont="1" applyFill="1" applyBorder="1" applyAlignment="1">
      <alignment wrapText="1"/>
    </xf>
    <xf numFmtId="4" fontId="5" fillId="3" borderId="9" xfId="27" applyNumberFormat="1" applyFont="1" applyFill="1" applyBorder="1" applyAlignment="1">
      <alignment horizontal="center"/>
    </xf>
    <xf numFmtId="2" fontId="5" fillId="3" borderId="9" xfId="27" applyNumberFormat="1" applyFont="1" applyFill="1" applyBorder="1" applyAlignment="1">
      <alignment horizontal="center"/>
    </xf>
    <xf numFmtId="2" fontId="5" fillId="3" borderId="10" xfId="27" applyNumberFormat="1" applyFont="1" applyFill="1" applyBorder="1" applyAlignment="1">
      <alignment horizontal="center"/>
    </xf>
    <xf numFmtId="0" fontId="5" fillId="3" borderId="6" xfId="27" applyFont="1" applyFill="1" applyBorder="1" applyAlignment="1">
      <alignment horizontal="center" vertical="center" wrapText="1"/>
    </xf>
    <xf numFmtId="0" fontId="3" fillId="4" borderId="23" xfId="27" applyFont="1" applyFill="1" applyBorder="1"/>
    <xf numFmtId="0" fontId="3" fillId="4" borderId="7" xfId="27" applyFont="1" applyFill="1" applyBorder="1"/>
    <xf numFmtId="0" fontId="3" fillId="4" borderId="9" xfId="27" applyFont="1" applyFill="1" applyBorder="1"/>
    <xf numFmtId="4" fontId="3" fillId="4" borderId="9" xfId="27" applyNumberFormat="1" applyFont="1" applyFill="1" applyBorder="1" applyAlignment="1">
      <alignment horizontal="center"/>
    </xf>
    <xf numFmtId="0" fontId="2" fillId="4" borderId="11" xfId="27" applyFont="1" applyFill="1" applyBorder="1" applyAlignment="1">
      <alignment wrapText="1"/>
    </xf>
    <xf numFmtId="0" fontId="2" fillId="4" borderId="1" xfId="27" applyFont="1" applyFill="1" applyBorder="1" applyAlignment="1">
      <alignment horizontal="center" vertical="center" wrapText="1"/>
    </xf>
    <xf numFmtId="4" fontId="2" fillId="4" borderId="1" xfId="27" applyNumberFormat="1" applyFont="1" applyFill="1" applyBorder="1" applyAlignment="1">
      <alignment horizontal="center"/>
    </xf>
    <xf numFmtId="4" fontId="2" fillId="4" borderId="0" xfId="27" applyNumberFormat="1" applyFont="1" applyFill="1" applyAlignment="1">
      <alignment horizontal="center"/>
    </xf>
    <xf numFmtId="3" fontId="2" fillId="4" borderId="0" xfId="27" applyNumberFormat="1" applyFont="1" applyFill="1" applyAlignment="1">
      <alignment horizontal="center"/>
    </xf>
    <xf numFmtId="0" fontId="2" fillId="4" borderId="0" xfId="27" applyFont="1" applyFill="1"/>
    <xf numFmtId="0" fontId="2" fillId="4" borderId="12" xfId="27" applyFont="1" applyFill="1" applyBorder="1"/>
    <xf numFmtId="3" fontId="2" fillId="4" borderId="1" xfId="27" applyNumberFormat="1" applyFont="1" applyFill="1" applyBorder="1" applyAlignment="1">
      <alignment horizontal="center"/>
    </xf>
    <xf numFmtId="0" fontId="2" fillId="4" borderId="1" xfId="27" applyFont="1" applyFill="1" applyBorder="1"/>
    <xf numFmtId="0" fontId="2" fillId="4" borderId="1" xfId="27" applyFont="1" applyFill="1" applyBorder="1" applyAlignment="1">
      <alignment horizontal="center"/>
    </xf>
    <xf numFmtId="0" fontId="2" fillId="4" borderId="13" xfId="27" applyFont="1" applyFill="1" applyBorder="1" applyAlignment="1">
      <alignment wrapText="1"/>
    </xf>
    <xf numFmtId="0" fontId="2" fillId="4" borderId="15" xfId="27" applyFont="1" applyFill="1" applyBorder="1" applyAlignment="1">
      <alignment horizontal="center" vertical="center" wrapText="1"/>
    </xf>
    <xf numFmtId="4" fontId="2" fillId="4" borderId="15" xfId="27" applyNumberFormat="1" applyFont="1" applyFill="1" applyBorder="1" applyAlignment="1">
      <alignment horizontal="center"/>
    </xf>
    <xf numFmtId="3" fontId="2" fillId="4" borderId="15" xfId="27" applyNumberFormat="1" applyFont="1" applyFill="1" applyBorder="1" applyAlignment="1">
      <alignment horizontal="center"/>
    </xf>
    <xf numFmtId="0" fontId="2" fillId="4" borderId="15" xfId="27" applyFont="1" applyFill="1" applyBorder="1"/>
    <xf numFmtId="0" fontId="2" fillId="4" borderId="16" xfId="27" applyFont="1" applyFill="1" applyBorder="1"/>
    <xf numFmtId="0" fontId="3" fillId="0" borderId="25" xfId="27" applyFont="1" applyBorder="1"/>
    <xf numFmtId="0" fontId="2" fillId="0" borderId="25" xfId="27" applyFont="1" applyBorder="1"/>
    <xf numFmtId="0" fontId="5" fillId="3" borderId="1" xfId="27" applyFont="1" applyFill="1" applyBorder="1" applyAlignment="1">
      <alignment wrapText="1"/>
    </xf>
    <xf numFmtId="0" fontId="5" fillId="3" borderId="1" xfId="27" applyFont="1" applyFill="1" applyBorder="1" applyAlignment="1">
      <alignment vertical="center" wrapText="1"/>
    </xf>
    <xf numFmtId="0" fontId="5" fillId="3" borderId="1" xfId="27" applyFont="1" applyFill="1" applyBorder="1" applyAlignment="1">
      <alignment horizontal="right"/>
    </xf>
    <xf numFmtId="0" fontId="5" fillId="3" borderId="1" xfId="27" applyFont="1" applyFill="1" applyBorder="1" applyAlignment="1">
      <alignment horizontal="right" wrapText="1"/>
    </xf>
    <xf numFmtId="0" fontId="0" fillId="0" borderId="1" xfId="0" applyFill="1" applyBorder="1"/>
    <xf numFmtId="0" fontId="2" fillId="5" borderId="1" xfId="27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4" fontId="0" fillId="0" borderId="1" xfId="0" applyNumberFormat="1" applyBorder="1"/>
    <xf numFmtId="4" fontId="26" fillId="0" borderId="1" xfId="0" applyNumberFormat="1" applyFont="1" applyBorder="1"/>
    <xf numFmtId="3" fontId="2" fillId="0" borderId="0" xfId="27" applyNumberFormat="1" applyFont="1"/>
    <xf numFmtId="4" fontId="2" fillId="0" borderId="0" xfId="27" applyNumberFormat="1" applyFont="1"/>
    <xf numFmtId="0" fontId="2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wrapText="1"/>
    </xf>
    <xf numFmtId="0" fontId="0" fillId="0" borderId="0" xfId="0" applyFill="1"/>
    <xf numFmtId="4" fontId="5" fillId="0" borderId="0" xfId="0" applyNumberFormat="1" applyFont="1" applyFill="1"/>
    <xf numFmtId="4" fontId="23" fillId="0" borderId="1" xfId="0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4" fontId="4" fillId="0" borderId="1" xfId="0" applyNumberFormat="1" applyFont="1" applyFill="1" applyBorder="1"/>
    <xf numFmtId="4" fontId="5" fillId="0" borderId="1" xfId="0" applyNumberFormat="1" applyFont="1" applyFill="1" applyBorder="1"/>
    <xf numFmtId="0" fontId="7" fillId="0" borderId="24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6" borderId="0" xfId="0" applyFont="1" applyFill="1" applyAlignment="1">
      <alignment horizont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7" borderId="0" xfId="0" applyFont="1" applyFill="1" applyAlignment="1">
      <alignment horizontal="center" wrapText="1"/>
    </xf>
    <xf numFmtId="0" fontId="2" fillId="4" borderId="17" xfId="26" applyFont="1" applyFill="1" applyBorder="1" applyAlignment="1">
      <alignment horizontal="center" vertical="center" wrapText="1"/>
    </xf>
    <xf numFmtId="0" fontId="2" fillId="4" borderId="6" xfId="26" applyFont="1" applyFill="1" applyBorder="1" applyAlignment="1">
      <alignment horizontal="center" vertical="center" wrapText="1"/>
    </xf>
    <xf numFmtId="0" fontId="7" fillId="0" borderId="24" xfId="26" applyFont="1" applyBorder="1" applyAlignment="1">
      <alignment horizontal="center" wrapText="1"/>
    </xf>
    <xf numFmtId="0" fontId="2" fillId="5" borderId="17" xfId="26" applyFont="1" applyFill="1" applyBorder="1" applyAlignment="1">
      <alignment horizontal="center" vertical="center" wrapText="1"/>
    </xf>
    <xf numFmtId="0" fontId="2" fillId="5" borderId="5" xfId="26" applyFont="1" applyFill="1" applyBorder="1" applyAlignment="1">
      <alignment horizontal="center" vertical="center" wrapText="1"/>
    </xf>
    <xf numFmtId="0" fontId="2" fillId="5" borderId="6" xfId="26" applyFont="1" applyFill="1" applyBorder="1" applyAlignment="1">
      <alignment horizontal="center" vertical="center" wrapText="1"/>
    </xf>
    <xf numFmtId="0" fontId="2" fillId="5" borderId="3" xfId="26" applyFont="1" applyFill="1" applyBorder="1" applyAlignment="1">
      <alignment horizontal="center" vertical="center" wrapText="1"/>
    </xf>
    <xf numFmtId="0" fontId="2" fillId="5" borderId="4" xfId="26" applyFont="1" applyFill="1" applyBorder="1" applyAlignment="1">
      <alignment horizontal="center" vertical="center" wrapText="1"/>
    </xf>
    <xf numFmtId="0" fontId="2" fillId="5" borderId="2" xfId="26" applyFont="1" applyFill="1" applyBorder="1" applyAlignment="1">
      <alignment horizontal="center" vertical="center"/>
    </xf>
    <xf numFmtId="0" fontId="2" fillId="5" borderId="3" xfId="26" applyFont="1" applyFill="1" applyBorder="1" applyAlignment="1">
      <alignment horizontal="center" vertical="center"/>
    </xf>
    <xf numFmtId="0" fontId="2" fillId="5" borderId="4" xfId="26" applyFont="1" applyFill="1" applyBorder="1" applyAlignment="1">
      <alignment horizontal="center" vertical="center"/>
    </xf>
    <xf numFmtId="0" fontId="5" fillId="3" borderId="17" xfId="26" applyFont="1" applyFill="1" applyBorder="1" applyAlignment="1">
      <alignment horizontal="center" vertical="center" wrapText="1"/>
    </xf>
    <xf numFmtId="0" fontId="5" fillId="3" borderId="5" xfId="26" applyFont="1" applyFill="1" applyBorder="1" applyAlignment="1">
      <alignment horizontal="center" vertical="center" wrapText="1"/>
    </xf>
    <xf numFmtId="0" fontId="5" fillId="3" borderId="6" xfId="26" applyFont="1" applyFill="1" applyBorder="1" applyAlignment="1">
      <alignment horizontal="center" vertical="center" wrapText="1"/>
    </xf>
    <xf numFmtId="0" fontId="5" fillId="3" borderId="3" xfId="26" applyFont="1" applyFill="1" applyBorder="1" applyAlignment="1">
      <alignment horizontal="center" vertical="center" wrapText="1"/>
    </xf>
    <xf numFmtId="0" fontId="5" fillId="3" borderId="14" xfId="26" applyFont="1" applyFill="1" applyBorder="1" applyAlignment="1">
      <alignment horizontal="center" vertical="center" wrapText="1"/>
    </xf>
    <xf numFmtId="0" fontId="5" fillId="3" borderId="8" xfId="26" applyFont="1" applyFill="1" applyBorder="1" applyAlignment="1">
      <alignment horizontal="center" vertical="center" wrapText="1"/>
    </xf>
    <xf numFmtId="0" fontId="2" fillId="4" borderId="17" xfId="27" applyFont="1" applyFill="1" applyBorder="1" applyAlignment="1">
      <alignment horizontal="center" vertical="center" wrapText="1"/>
    </xf>
    <xf numFmtId="0" fontId="2" fillId="4" borderId="6" xfId="27" applyFont="1" applyFill="1" applyBorder="1" applyAlignment="1">
      <alignment horizontal="center" vertical="center" wrapText="1"/>
    </xf>
    <xf numFmtId="0" fontId="7" fillId="0" borderId="24" xfId="27" applyFont="1" applyBorder="1" applyAlignment="1">
      <alignment horizontal="center" wrapText="1"/>
    </xf>
    <xf numFmtId="0" fontId="2" fillId="5" borderId="17" xfId="27" applyFont="1" applyFill="1" applyBorder="1" applyAlignment="1">
      <alignment horizontal="center" vertical="center" wrapText="1"/>
    </xf>
    <xf numFmtId="0" fontId="2" fillId="5" borderId="5" xfId="27" applyFont="1" applyFill="1" applyBorder="1" applyAlignment="1">
      <alignment horizontal="center" vertical="center" wrapText="1"/>
    </xf>
    <xf numFmtId="0" fontId="2" fillId="5" borderId="6" xfId="27" applyFont="1" applyFill="1" applyBorder="1" applyAlignment="1">
      <alignment horizontal="center" vertical="center" wrapText="1"/>
    </xf>
    <xf numFmtId="0" fontId="2" fillId="5" borderId="3" xfId="27" applyFont="1" applyFill="1" applyBorder="1" applyAlignment="1">
      <alignment horizontal="center" vertical="center" wrapText="1"/>
    </xf>
    <xf numFmtId="0" fontId="2" fillId="5" borderId="4" xfId="27" applyFont="1" applyFill="1" applyBorder="1" applyAlignment="1">
      <alignment horizontal="center" vertical="center" wrapText="1"/>
    </xf>
    <xf numFmtId="0" fontId="2" fillId="5" borderId="2" xfId="27" applyFont="1" applyFill="1" applyBorder="1" applyAlignment="1">
      <alignment horizontal="center" vertical="center"/>
    </xf>
    <xf numFmtId="0" fontId="2" fillId="5" borderId="3" xfId="27" applyFont="1" applyFill="1" applyBorder="1" applyAlignment="1">
      <alignment horizontal="center" vertical="center"/>
    </xf>
    <xf numFmtId="0" fontId="2" fillId="5" borderId="4" xfId="27" applyFont="1" applyFill="1" applyBorder="1" applyAlignment="1">
      <alignment horizontal="center" vertical="center"/>
    </xf>
    <xf numFmtId="0" fontId="5" fillId="3" borderId="17" xfId="27" applyFont="1" applyFill="1" applyBorder="1" applyAlignment="1">
      <alignment horizontal="center" vertical="center" wrapText="1"/>
    </xf>
    <xf numFmtId="0" fontId="5" fillId="3" borderId="5" xfId="27" applyFont="1" applyFill="1" applyBorder="1" applyAlignment="1">
      <alignment horizontal="center" vertical="center" wrapText="1"/>
    </xf>
    <xf numFmtId="0" fontId="5" fillId="3" borderId="6" xfId="27" applyFont="1" applyFill="1" applyBorder="1" applyAlignment="1">
      <alignment horizontal="center" vertical="center" wrapText="1"/>
    </xf>
    <xf numFmtId="0" fontId="5" fillId="3" borderId="3" xfId="27" applyFont="1" applyFill="1" applyBorder="1" applyAlignment="1">
      <alignment horizontal="center" vertical="center" wrapText="1"/>
    </xf>
    <xf numFmtId="0" fontId="5" fillId="3" borderId="14" xfId="27" applyFont="1" applyFill="1" applyBorder="1" applyAlignment="1">
      <alignment horizontal="center" vertical="center" wrapText="1"/>
    </xf>
    <xf numFmtId="0" fontId="5" fillId="3" borderId="8" xfId="27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</cellXfs>
  <cellStyles count="28">
    <cellStyle name="____page" xfId="5" xr:uid="{CB684302-1B6E-4BF0-8803-BB0138A642BB}"/>
    <cellStyle name="___col1" xfId="13" xr:uid="{08FA53BA-198F-4719-ACF3-FC1D8ECA5541}"/>
    <cellStyle name="___col2" xfId="8" xr:uid="{AB77FC53-85B1-49B1-8626-1A01FD2E6319}"/>
    <cellStyle name="___col3" xfId="6" xr:uid="{90CF462D-59D7-4086-AC52-1EB8CF90BF18}"/>
    <cellStyle name="___page" xfId="3" xr:uid="{376C5180-437B-4622-A3E4-0EB27140917D}"/>
    <cellStyle name="___row1" xfId="14" xr:uid="{6E6325C2-87BA-40E3-B166-FF13F28BDC1C}"/>
    <cellStyle name="___row2" xfId="15" xr:uid="{15938043-4478-48B2-8F13-EEEB139DA6AA}"/>
    <cellStyle name="___row3" xfId="16" xr:uid="{469A17D5-493B-4179-8460-072E686729FD}"/>
    <cellStyle name="__col1" xfId="17" xr:uid="{EDDF26C9-45ED-42B6-8130-50E2897828E8}"/>
    <cellStyle name="__col2" xfId="9" xr:uid="{288AA512-D083-4C22-9F57-5C116783FBEC}"/>
    <cellStyle name="__col3" xfId="7" xr:uid="{0525F2A3-021D-4483-AF81-EB8BAC015802}"/>
    <cellStyle name="__page" xfId="1" xr:uid="{A1B17086-B911-4BE9-9347-A7DAA2E175E1}"/>
    <cellStyle name="__row1" xfId="18" xr:uid="{BC412F19-04C0-44AB-8784-A21E7C207E26}"/>
    <cellStyle name="__row2" xfId="19" xr:uid="{9BA92C79-EB06-4121-80AE-A6937D873F5B}"/>
    <cellStyle name="__row3" xfId="20" xr:uid="{1F128DD7-26BE-4775-8C73-E1C2DD7EC552}"/>
    <cellStyle name="_col1" xfId="10" xr:uid="{459C653D-A516-4579-B0D2-F356FF970E17}"/>
    <cellStyle name="_col2" xfId="21" xr:uid="{9CAE25E9-4799-48EA-BD83-3A46B5B85801}"/>
    <cellStyle name="_col3" xfId="22" xr:uid="{D6574B71-863A-4391-9704-CF2015B520C1}"/>
    <cellStyle name="_data" xfId="12" xr:uid="{3736E61E-F4CB-4FD3-B352-E439D77F61F9}"/>
    <cellStyle name="_freeze" xfId="23" xr:uid="{1B7C6617-3C2E-4BD7-A6D7-4FE4E9753E66}"/>
    <cellStyle name="_page" xfId="4" xr:uid="{985B431B-C641-4C57-9FAD-A0FEC2C18C89}"/>
    <cellStyle name="_row1" xfId="11" xr:uid="{D568CAF0-7844-4CA2-900B-3C6DABACBAFC}"/>
    <cellStyle name="_row2" xfId="24" xr:uid="{C5CE2824-65F7-4C9D-8838-C3E1EDF7531D}"/>
    <cellStyle name="_row3" xfId="25" xr:uid="{6EC36287-DA9F-4759-A61B-E1BD6944EC5A}"/>
    <cellStyle name="Normal" xfId="0" builtinId="0" customBuiltin="1"/>
    <cellStyle name="Normal 2" xfId="2" xr:uid="{AC82A355-F6C4-4A63-B17E-FA0701321B0E}"/>
    <cellStyle name="Normal 3" xfId="26" xr:uid="{F5EC3378-2219-40F9-9FF5-31DA4823645A}"/>
    <cellStyle name="Normal 4" xfId="27" xr:uid="{C001F367-8CD9-47E4-8085-3E35E96D2432}"/>
  </cellStyles>
  <dxfs count="15">
    <dxf>
      <font>
        <b/>
        <charset val="186"/>
      </font>
    </dxf>
    <dxf>
      <font>
        <b/>
        <charset val="186"/>
      </font>
    </dxf>
    <dxf>
      <font>
        <b/>
        <charset val="186"/>
      </font>
    </dxf>
    <dxf>
      <font>
        <b/>
        <charset val="186"/>
      </font>
    </dxf>
    <dxf>
      <font>
        <b/>
        <charset val="18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lze Pence" refreshedDate="44407.424635416668" createdVersion="7" refreshedVersion="7" minRefreshableVersion="3" recordCount="266" xr:uid="{A5271C58-AC88-4A03-B3F1-35A176CE6BD2}">
  <cacheSource type="worksheet">
    <worksheetSource ref="B5:G271" sheet="PIVOT"/>
  </cacheSource>
  <cacheFields count="6">
    <cacheField name="Rādītājs" numFmtId="0">
      <sharedItems count="47">
        <s v="1. Faktiskie izdevumi, kas radušies saistībā ar reisu atcelšanu vai papild reisu nodrošināšanu - KOPSUMMA ((N - P) x Izm)"/>
        <s v="Iesaistīto transportlīdzekļu vienības "/>
        <s v="(S) Plānotais reisu skaits"/>
        <s v="(R) Faktiskais reisu skaits (S + RP-RA) "/>
        <s v="to starpā papildu reisi (RP)"/>
        <s v="to starpā atceltie reisi (RA)"/>
        <s v="(P) Plānotais nobraukums "/>
        <s v="(N) Faktiskais nobraukums (P + NP-NA)"/>
        <s v="to starpā papildu reisos veiktais nobraukums (NP)"/>
        <s v="to starpā atcelto reisu nobraukums (NA)"/>
        <s v="(Izm) 1 km pašizmaksa "/>
        <s v="2. Kopējie izdevumi par Covid-19 infekcijas ierobežošanas pasākumiem - KOPSUMMA (1 vienības cenas reizinājums ar preču/pakalpojumu skaitu; summa ( K x Z))"/>
        <s v="(Z) Pakalpojumi, pasākumi un materiāli Covid-19 pandēmijas ierobežošanai "/>
        <s v="Dezinfekcijas līdzekļi"/>
        <s v="Sejas maskas (gab.)"/>
        <s v="Sociālā distancēšanās sabiedriskā transportā "/>
        <s v="Transportlīdzekļu dezinfekcija ( m2)"/>
        <s v="Transportlīdzekļu papildu mazgāšana"/>
        <s v="Citi izdevumi  cimdi ( gab.)"/>
        <s v="Citi izdevumi fiziska apsardze(diennakts)"/>
        <s v="(K) Faktiskās izmaksas Covid-19 pandēmijas ierobežošanai, t.sk. "/>
        <s v="Sejas maskas"/>
        <s v="Transportlīdzekļu dezinfekcija, to starpā darba spēka izmaksas"/>
        <s v="Transportlīdzekļu papildu mazgāšana, to starpā darba spēka izmaksas"/>
        <s v="Citi izdevumi cimdi"/>
        <s v="Citi izdevumi  (fiziska apsardze distancēšanas nodroš.)"/>
        <s v="3. Kopējā ietekme uz ieņēmumu apgrozījumu - KOPSUMMA ((C/D-A/N) x N)"/>
        <s v="(A) No pasažieriem, t.sk., personām, kurām noteikti pašvaldības noteiktie braukšanas maksas atvieglojumi, saņemtie ieņēmumi par sniegto sabiedriskā transporta pakalpojumu - 09.03.2021.-31.03.2021."/>
        <s v="(N) Faktiskais nobraukums - 09.03.2021.-31.03.2021."/>
        <s v="(C) No pasažieriem, t.sk., personām, kurām noteikti pašvaldības noteiktie braukšanas maksas atvieglojumi, saņemtie ieņēmumi par sniegto sabiedriskā transporta pakalpojumu - 09.03.2019.-31.03.2019."/>
        <s v="(D) Faktiskais nobraukums - 09.03.2019.-31.03.2019."/>
        <s v="Transportlīdzekļu dezinfekcija ( m 2.)"/>
        <s v="Citi izdevumi  fiziska apsardze"/>
        <s v="(A) No pasažieriem, t.sk., personām, kurām noteikti pašvaldības noteiktie braukšanas maksas atvieglojumi, saņemtie ieņēmumi par sniegto sabiedriskā transporta pakalpojumu - 01.04.2021.-30.04.2021."/>
        <s v="(N) Faktiskais nobraukums - 01.04.2021.-30.04.2021."/>
        <s v="(C) No pasažieriem, t.sk., personām, kurām noteikti pašvaldības noteiktie braukšanas maksas atvieglojumi, saņemtie ieņēmumi par sniegto sabiedriskā transporta pakalpojumu - 01.04.2019.-30.04.2019."/>
        <s v="(D) Faktiskais nobraukums - 01.04.2019.-30.04.2019."/>
        <s v="(A) No pasažieriem, t.sk., personām, kurām noteikti pašvaldības noteiktie braukšanas maksas atvieglojumi, saņemtie ieņēmumi par sniegto sabiedriskā transporta pakalpojumu - 01.05.2021.-31.05.2021."/>
        <s v="(N) Faktiskais nobraukums - 01.05.2021.-31.05.2021."/>
        <s v="(C) No pasažieriem, t.sk., personām, kurām noteikti pašvaldības noteiktie braukšanas maksas atvieglojumi, saņemtie ieņēmumi par sniegto sabiedriskā transporta pakalpojumu - 01.05.2019.-31.05.2019."/>
        <s v="(D) Faktiskais nobraukums - 01.05.2019.-31.05.2019."/>
        <s v="to starpā papilnobraukums (apbraucamā ceļa izmantošana) KM"/>
        <s v="Transportlīdzekļu dezinfekcija ( m 2)"/>
        <s v="(A) No pasažieriem, t.sk., personām, kurām noteikti pašvaldības noteiktie braukšanas maksas atvieglojumi, saņemtie ieņēmumi par sniegto sabiedriskā transporta pakalpojumu - 01.06.2021.-30.06.2021."/>
        <s v="(N) Faktiskais nobraukums - 01.06.2021.-30.06.2021."/>
        <s v="(C) No pasažieriem, t.sk., personām, kurām noteikti pašvaldības noteiktie braukšanas maksas atvieglojumi, saņemtie ieņēmumi par sniegto sabiedriskā transporta pakalpojumu - 01.06.2019.-30.06.2019."/>
        <s v="(D) Faktiskais nobraukums - 01.06.2019.-30.06.2019."/>
      </sharedItems>
    </cacheField>
    <cacheField name="Vienības " numFmtId="0">
      <sharedItems containsBlank="1"/>
    </cacheField>
    <cacheField name="Vērtība" numFmtId="4">
      <sharedItems containsString="0" containsBlank="1" containsNumber="1" minValue="-13822.82" maxValue="237182.2"/>
    </cacheField>
    <cacheField name="Pārvadājumu veids" numFmtId="0">
      <sharedItems containsBlank="1" count="3">
        <s v="Autobuss"/>
        <s v="Tramvajs"/>
        <m/>
      </sharedItems>
    </cacheField>
    <cacheField name="Pilsēta" numFmtId="0">
      <sharedItems/>
    </cacheField>
    <cacheField name="Periods " numFmtId="0">
      <sharedItems count="4">
        <s v="09.03.2021.- 31.03.2021."/>
        <s v="Aprīlis"/>
        <s v="Maijs"/>
        <s v="Jūnij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6">
  <r>
    <x v="0"/>
    <m/>
    <n v="-11096.023840000018"/>
    <x v="0"/>
    <s v="Daugavpils"/>
    <x v="0"/>
  </r>
  <r>
    <x v="1"/>
    <s v="skaits"/>
    <n v="54"/>
    <x v="0"/>
    <s v="Daugavpils"/>
    <x v="0"/>
  </r>
  <r>
    <x v="2"/>
    <s v="skaits"/>
    <n v="20717"/>
    <x v="0"/>
    <s v="Daugavpils"/>
    <x v="0"/>
  </r>
  <r>
    <x v="3"/>
    <s v="skaits"/>
    <n v="19697"/>
    <x v="0"/>
    <s v="Daugavpils"/>
    <x v="0"/>
  </r>
  <r>
    <x v="4"/>
    <s v="skaits"/>
    <m/>
    <x v="0"/>
    <s v="Daugavpils"/>
    <x v="0"/>
  </r>
  <r>
    <x v="5"/>
    <s v="skaits"/>
    <n v="1020"/>
    <x v="0"/>
    <s v="Daugavpils"/>
    <x v="0"/>
  </r>
  <r>
    <x v="6"/>
    <s v="km"/>
    <n v="175440.7"/>
    <x v="0"/>
    <s v="Daugavpils"/>
    <x v="0"/>
  </r>
  <r>
    <x v="7"/>
    <s v="km"/>
    <n v="168396.5"/>
    <x v="0"/>
    <s v="Daugavpils"/>
    <x v="0"/>
  </r>
  <r>
    <x v="8"/>
    <s v="km"/>
    <m/>
    <x v="0"/>
    <s v="Daugavpils"/>
    <x v="0"/>
  </r>
  <r>
    <x v="9"/>
    <s v="km"/>
    <n v="7044.2"/>
    <x v="0"/>
    <s v="Daugavpils"/>
    <x v="0"/>
  </r>
  <r>
    <x v="10"/>
    <s v="EUR/km"/>
    <n v="1.5751999999999999"/>
    <x v="0"/>
    <s v="Daugavpils"/>
    <x v="0"/>
  </r>
  <r>
    <x v="11"/>
    <m/>
    <n v="2272.1435000000001"/>
    <x v="0"/>
    <s v="Daugavpils"/>
    <x v="0"/>
  </r>
  <r>
    <x v="12"/>
    <s v="skaits (jānorāda atbilstoša mērvienība gab., litri, reižu skaits, darba stundas u.c.) "/>
    <m/>
    <x v="0"/>
    <s v="Daugavpils"/>
    <x v="0"/>
  </r>
  <r>
    <x v="13"/>
    <s v="skaits (jānorāda atbilstoša mērvienība gab., litri, reižu skaits, darba stundas u.c.) "/>
    <m/>
    <x v="0"/>
    <s v="Daugavpils"/>
    <x v="0"/>
  </r>
  <r>
    <x v="14"/>
    <s v="skaits (jānorāda atbilstoša mērvienība gab., litri, reižu skaits, darba stundas u.c.) "/>
    <n v="13161"/>
    <x v="0"/>
    <s v="Daugavpils"/>
    <x v="0"/>
  </r>
  <r>
    <x v="15"/>
    <s v="skaits (jānorāda atbilstoša mērvienība gab., litri, reižu skaits, darba stundas u.c.) "/>
    <m/>
    <x v="0"/>
    <s v="Daugavpils"/>
    <x v="0"/>
  </r>
  <r>
    <x v="16"/>
    <s v="skaits (jānorāda atbilstoša mērvienība gab., litri, reižu skaits, darba stundas u.c.) "/>
    <n v="9548.7099999999991"/>
    <x v="0"/>
    <s v="Daugavpils"/>
    <x v="0"/>
  </r>
  <r>
    <x v="17"/>
    <s v="skaits (jānorāda atbilstoša mērvienība gab., litri, reižu skaits, darba stundas u.c.) "/>
    <m/>
    <x v="0"/>
    <s v="Daugavpils"/>
    <x v="0"/>
  </r>
  <r>
    <x v="18"/>
    <s v="skaits (jānorāda atbilstoša mērvienība gab., litri, reižu skaits, darba stundas u.c.) "/>
    <n v="2844"/>
    <x v="0"/>
    <s v="Daugavpils"/>
    <x v="0"/>
  </r>
  <r>
    <x v="19"/>
    <s v="skaits (jānorāda atbilstoša mērvienība gab., litri, reižu skaits, darba stundas u.c.) "/>
    <n v="23"/>
    <x v="0"/>
    <s v="Daugavpils"/>
    <x v="0"/>
  </r>
  <r>
    <x v="20"/>
    <s v="EUR/vien bez PVN"/>
    <m/>
    <x v="0"/>
    <s v="Daugavpils"/>
    <x v="0"/>
  </r>
  <r>
    <x v="13"/>
    <s v="EUR/vien bez PVN"/>
    <m/>
    <x v="0"/>
    <s v="Daugavpils"/>
    <x v="0"/>
  </r>
  <r>
    <x v="21"/>
    <s v="EUR/vien bez PVN"/>
    <n v="2.8000000000000001E-2"/>
    <x v="0"/>
    <s v="Daugavpils"/>
    <x v="0"/>
  </r>
  <r>
    <x v="15"/>
    <s v="EUR/vien bez PVN"/>
    <m/>
    <x v="0"/>
    <s v="Daugavpils"/>
    <x v="0"/>
  </r>
  <r>
    <x v="22"/>
    <s v="EUR/vien bez PVN"/>
    <n v="0.05"/>
    <x v="0"/>
    <s v="Daugavpils"/>
    <x v="0"/>
  </r>
  <r>
    <x v="23"/>
    <s v="EUR/vien bez PVN"/>
    <m/>
    <x v="0"/>
    <s v="Daugavpils"/>
    <x v="0"/>
  </r>
  <r>
    <x v="24"/>
    <s v="EUR/vien bez PVN"/>
    <n v="0.09"/>
    <x v="0"/>
    <s v="Daugavpils"/>
    <x v="0"/>
  </r>
  <r>
    <x v="25"/>
    <s v="EUR/vien bez PVN"/>
    <n v="50.88"/>
    <x v="0"/>
    <s v="Daugavpils"/>
    <x v="0"/>
  </r>
  <r>
    <x v="26"/>
    <m/>
    <n v="9198.6757630675147"/>
    <x v="0"/>
    <s v="Daugavpils"/>
    <x v="0"/>
  </r>
  <r>
    <x v="27"/>
    <s v="EUR bez PVN"/>
    <n v="65274.65"/>
    <x v="0"/>
    <s v="Daugavpils"/>
    <x v="0"/>
  </r>
  <r>
    <x v="28"/>
    <s v="km"/>
    <n v="168396.5"/>
    <x v="0"/>
    <s v="Daugavpils"/>
    <x v="0"/>
  </r>
  <r>
    <x v="29"/>
    <s v="EUR bez PVN"/>
    <n v="76064.009999999995"/>
    <x v="0"/>
    <s v="Daugavpils"/>
    <x v="0"/>
  </r>
  <r>
    <x v="30"/>
    <s v="km"/>
    <n v="171993.3"/>
    <x v="0"/>
    <s v="Daugavpils"/>
    <x v="0"/>
  </r>
  <r>
    <x v="0"/>
    <m/>
    <n v="-13822.82"/>
    <x v="0"/>
    <s v="Daugavpils"/>
    <x v="1"/>
  </r>
  <r>
    <x v="1"/>
    <s v="skaits"/>
    <n v="56"/>
    <x v="0"/>
    <s v="Daugavpils"/>
    <x v="1"/>
  </r>
  <r>
    <x v="2"/>
    <s v="skaits"/>
    <n v="26770"/>
    <x v="0"/>
    <s v="Daugavpils"/>
    <x v="1"/>
  </r>
  <r>
    <x v="3"/>
    <s v="skaits"/>
    <n v="25570"/>
    <x v="0"/>
    <s v="Daugavpils"/>
    <x v="1"/>
  </r>
  <r>
    <x v="4"/>
    <s v="skaits"/>
    <m/>
    <x v="0"/>
    <s v="Daugavpils"/>
    <x v="1"/>
  </r>
  <r>
    <x v="5"/>
    <s v="skaits"/>
    <n v="1200"/>
    <x v="0"/>
    <s v="Daugavpils"/>
    <x v="1"/>
  </r>
  <r>
    <x v="6"/>
    <s v="km"/>
    <n v="226386.8"/>
    <x v="0"/>
    <s v="Daugavpils"/>
    <x v="1"/>
  </r>
  <r>
    <x v="7"/>
    <s v="km"/>
    <n v="218059.8"/>
    <x v="0"/>
    <s v="Daugavpils"/>
    <x v="1"/>
  </r>
  <r>
    <x v="8"/>
    <s v="km"/>
    <m/>
    <x v="0"/>
    <s v="Daugavpils"/>
    <x v="1"/>
  </r>
  <r>
    <x v="9"/>
    <s v="km"/>
    <n v="8327"/>
    <x v="0"/>
    <s v="Daugavpils"/>
    <x v="1"/>
  </r>
  <r>
    <x v="10"/>
    <s v="EUR/km"/>
    <n v="1.66"/>
    <x v="0"/>
    <s v="Daugavpils"/>
    <x v="1"/>
  </r>
  <r>
    <x v="11"/>
    <m/>
    <n v="2912.5299999999997"/>
    <x v="0"/>
    <s v="Daugavpils"/>
    <x v="1"/>
  </r>
  <r>
    <x v="12"/>
    <s v="skaits (jānorāda atbilstoša mērvienība gab., litri, reižu skaits, darba stundas u.c.) "/>
    <m/>
    <x v="0"/>
    <s v="Daugavpils"/>
    <x v="1"/>
  </r>
  <r>
    <x v="13"/>
    <s v="skaits (jānorāda atbilstoša mērvienība gab., litri, reižu skaits, darba stundas u.c.) "/>
    <m/>
    <x v="0"/>
    <s v="Daugavpils"/>
    <x v="1"/>
  </r>
  <r>
    <x v="14"/>
    <s v="skaits (jānorāda atbilstoša mērvienība gab., litri, reižu skaits, darba stundas u.c.) "/>
    <n v="16557"/>
    <x v="0"/>
    <s v="Daugavpils"/>
    <x v="1"/>
  </r>
  <r>
    <x v="15"/>
    <s v="skaits (jānorāda atbilstoša mērvienība gab., litri, reižu skaits, darba stundas u.c.) "/>
    <m/>
    <x v="0"/>
    <s v="Daugavpils"/>
    <x v="1"/>
  </r>
  <r>
    <x v="31"/>
    <s v="skaits (jānorāda atbilstoša mērvienība gab., litri, reižu skaits, darba stundas u.c.) "/>
    <n v="10850"/>
    <x v="0"/>
    <s v="Daugavpils"/>
    <x v="1"/>
  </r>
  <r>
    <x v="17"/>
    <s v="skaits (jānorāda atbilstoša mērvienība gab., litri, reižu skaits, darba stundas u.c.) "/>
    <m/>
    <x v="0"/>
    <s v="Daugavpils"/>
    <x v="1"/>
  </r>
  <r>
    <x v="18"/>
    <s v="skaits (jānorāda atbilstoša mērvienība gab., litri, reižu skaits, darba stundas u.c.) "/>
    <n v="3833"/>
    <x v="0"/>
    <s v="Daugavpils"/>
    <x v="1"/>
  </r>
  <r>
    <x v="19"/>
    <s v="skaits (jānorāda atbilstoša mērvienība gab., litri, reižu skaits, darba stundas u.c.) "/>
    <n v="30"/>
    <x v="0"/>
    <s v="Daugavpils"/>
    <x v="1"/>
  </r>
  <r>
    <x v="20"/>
    <s v="EUR/vien bez PVN"/>
    <m/>
    <x v="0"/>
    <s v="Daugavpils"/>
    <x v="1"/>
  </r>
  <r>
    <x v="13"/>
    <s v="EUR/vien bez PVN"/>
    <m/>
    <x v="0"/>
    <s v="Daugavpils"/>
    <x v="1"/>
  </r>
  <r>
    <x v="21"/>
    <s v="EUR/vien bez PVN"/>
    <n v="0.03"/>
    <x v="0"/>
    <s v="Daugavpils"/>
    <x v="1"/>
  </r>
  <r>
    <x v="15"/>
    <s v="EUR/vien bez PVN"/>
    <m/>
    <x v="0"/>
    <s v="Daugavpils"/>
    <x v="1"/>
  </r>
  <r>
    <x v="22"/>
    <s v="EUR/vien bez PVN"/>
    <n v="0.05"/>
    <x v="0"/>
    <s v="Daugavpils"/>
    <x v="1"/>
  </r>
  <r>
    <x v="23"/>
    <s v="EUR/vien bez PVN"/>
    <m/>
    <x v="0"/>
    <s v="Daugavpils"/>
    <x v="1"/>
  </r>
  <r>
    <x v="24"/>
    <s v="EUR/vien bez PVN"/>
    <n v="0.09"/>
    <x v="0"/>
    <s v="Daugavpils"/>
    <x v="1"/>
  </r>
  <r>
    <x v="32"/>
    <s v="EUR/vien bez PVN"/>
    <n v="50.945"/>
    <x v="0"/>
    <s v="Daugavpils"/>
    <x v="1"/>
  </r>
  <r>
    <x v="26"/>
    <m/>
    <n v="23661.231624121428"/>
    <x v="0"/>
    <s v="Daugavpils"/>
    <x v="1"/>
  </r>
  <r>
    <x v="33"/>
    <s v="EUR bez PVN"/>
    <n v="73191.240000000005"/>
    <x v="0"/>
    <s v="Daugavpils"/>
    <x v="1"/>
  </r>
  <r>
    <x v="34"/>
    <s v="km"/>
    <n v="218059.8"/>
    <x v="0"/>
    <s v="Daugavpils"/>
    <x v="1"/>
  </r>
  <r>
    <x v="35"/>
    <s v="EUR bez PVN"/>
    <n v="99752.23"/>
    <x v="0"/>
    <s v="Daugavpils"/>
    <x v="1"/>
  </r>
  <r>
    <x v="36"/>
    <s v="km"/>
    <n v="224588.5"/>
    <x v="0"/>
    <s v="Daugavpils"/>
    <x v="1"/>
  </r>
  <r>
    <x v="0"/>
    <m/>
    <n v="-2094.897210000011"/>
    <x v="0"/>
    <s v="Daugavpils"/>
    <x v="2"/>
  </r>
  <r>
    <x v="1"/>
    <s v="skaits"/>
    <n v="58"/>
    <x v="0"/>
    <s v="Daugavpils"/>
    <x v="2"/>
  </r>
  <r>
    <x v="2"/>
    <s v="skaits"/>
    <n v="27647"/>
    <x v="0"/>
    <s v="Daugavpils"/>
    <x v="2"/>
  </r>
  <r>
    <x v="3"/>
    <s v="skaits"/>
    <n v="27605"/>
    <x v="0"/>
    <s v="Daugavpils"/>
    <x v="2"/>
  </r>
  <r>
    <x v="4"/>
    <s v="skaits"/>
    <m/>
    <x v="0"/>
    <s v="Daugavpils"/>
    <x v="2"/>
  </r>
  <r>
    <x v="5"/>
    <s v="skaits"/>
    <n v="42"/>
    <x v="0"/>
    <s v="Daugavpils"/>
    <x v="2"/>
  </r>
  <r>
    <x v="6"/>
    <s v="km"/>
    <n v="234233.1"/>
    <x v="0"/>
    <s v="Daugavpils"/>
    <x v="2"/>
  </r>
  <r>
    <x v="7"/>
    <s v="km"/>
    <n v="233130"/>
    <x v="0"/>
    <s v="Daugavpils"/>
    <x v="2"/>
  </r>
  <r>
    <x v="8"/>
    <s v="km"/>
    <m/>
    <x v="0"/>
    <s v="Daugavpils"/>
    <x v="2"/>
  </r>
  <r>
    <x v="9"/>
    <s v="km"/>
    <n v="1103.0999999999999"/>
    <x v="0"/>
    <s v="Daugavpils"/>
    <x v="2"/>
  </r>
  <r>
    <x v="10"/>
    <s v="EUR/km"/>
    <n v="1.8991"/>
    <x v="0"/>
    <s v="Daugavpils"/>
    <x v="2"/>
  </r>
  <r>
    <x v="11"/>
    <m/>
    <n v="3052.2259999999997"/>
    <x v="0"/>
    <s v="Daugavpils"/>
    <x v="2"/>
  </r>
  <r>
    <x v="12"/>
    <s v="skaits (jānorāda atbilstoša mērvienība gab., litri, reižu skaits, darba stundas u.c.) "/>
    <m/>
    <x v="0"/>
    <s v="Daugavpils"/>
    <x v="2"/>
  </r>
  <r>
    <x v="13"/>
    <s v="skaits (jānorāda atbilstoša mērvienība gab., litri, reižu skaits, darba stundas u.c.) "/>
    <m/>
    <x v="0"/>
    <s v="Daugavpils"/>
    <x v="2"/>
  </r>
  <r>
    <x v="14"/>
    <s v="skaits (jānorāda atbilstoša mērvienība gab., litri, reižu skaits, darba stundas u.c.) "/>
    <n v="16556"/>
    <x v="0"/>
    <s v="Daugavpils"/>
    <x v="2"/>
  </r>
  <r>
    <x v="15"/>
    <s v="skaits (jānorāda atbilstoša mērvienība gab., litri, reižu skaits, darba stundas u.c.) "/>
    <m/>
    <x v="0"/>
    <s v="Daugavpils"/>
    <x v="2"/>
  </r>
  <r>
    <x v="31"/>
    <s v="skaits (jānorāda atbilstoša mērvienība gab., litri, reižu skaits, darba stundas u.c.) "/>
    <n v="12625"/>
    <x v="0"/>
    <s v="Daugavpils"/>
    <x v="2"/>
  </r>
  <r>
    <x v="17"/>
    <s v="skaits (jānorāda atbilstoša mērvienība gab., litri, reižu skaits, darba stundas u.c.) "/>
    <m/>
    <x v="0"/>
    <s v="Daugavpils"/>
    <x v="2"/>
  </r>
  <r>
    <x v="18"/>
    <s v="skaits (jānorāda atbilstoša mērvienība gab., litri, reižu skaits, darba stundas u.c.) "/>
    <n v="3833"/>
    <x v="0"/>
    <s v="Daugavpils"/>
    <x v="2"/>
  </r>
  <r>
    <x v="19"/>
    <s v="skaits (jānorāda atbilstoša mērvienība gab., litri, reižu skaits, darba stundas u.c.) "/>
    <n v="31"/>
    <x v="0"/>
    <s v="Daugavpils"/>
    <x v="2"/>
  </r>
  <r>
    <x v="20"/>
    <s v="EUR/vien bez PVN"/>
    <m/>
    <x v="0"/>
    <s v="Daugavpils"/>
    <x v="2"/>
  </r>
  <r>
    <x v="13"/>
    <s v="EUR/vien bez PVN"/>
    <m/>
    <x v="0"/>
    <s v="Daugavpils"/>
    <x v="2"/>
  </r>
  <r>
    <x v="21"/>
    <s v="EUR/vien bez PVN"/>
    <n v="0.03"/>
    <x v="0"/>
    <s v="Daugavpils"/>
    <x v="2"/>
  </r>
  <r>
    <x v="15"/>
    <s v="EUR/vien bez PVN"/>
    <m/>
    <x v="0"/>
    <s v="Daugavpils"/>
    <x v="2"/>
  </r>
  <r>
    <x v="22"/>
    <s v="EUR/vien bez PVN"/>
    <n v="0.05"/>
    <x v="0"/>
    <s v="Daugavpils"/>
    <x v="2"/>
  </r>
  <r>
    <x v="23"/>
    <s v="EUR/vien bez PVN"/>
    <m/>
    <x v="0"/>
    <s v="Daugavpils"/>
    <x v="2"/>
  </r>
  <r>
    <x v="24"/>
    <s v="EUR/vien bez PVN"/>
    <n v="0.09"/>
    <x v="0"/>
    <s v="Daugavpils"/>
    <x v="2"/>
  </r>
  <r>
    <x v="32"/>
    <s v="EUR/vien bez PVN"/>
    <n v="50.945999999999998"/>
    <x v="0"/>
    <s v="Daugavpils"/>
    <x v="2"/>
  </r>
  <r>
    <x v="26"/>
    <m/>
    <n v="29693.302461609685"/>
    <x v="0"/>
    <s v="Daugavpils"/>
    <x v="2"/>
  </r>
  <r>
    <x v="37"/>
    <s v="EUR bez PVN"/>
    <n v="72800.45"/>
    <x v="0"/>
    <s v="Daugavpils"/>
    <x v="2"/>
  </r>
  <r>
    <x v="38"/>
    <s v="km"/>
    <n v="233130"/>
    <x v="0"/>
    <s v="Daugavpils"/>
    <x v="2"/>
  </r>
  <r>
    <x v="39"/>
    <s v="EUR bez PVN"/>
    <n v="104275.27"/>
    <x v="0"/>
    <s v="Daugavpils"/>
    <x v="2"/>
  </r>
  <r>
    <x v="40"/>
    <s v="km"/>
    <n v="237182.2"/>
    <x v="0"/>
    <s v="Daugavpils"/>
    <x v="2"/>
  </r>
  <r>
    <x v="0"/>
    <m/>
    <n v="0"/>
    <x v="1"/>
    <s v="Daugavpils"/>
    <x v="0"/>
  </r>
  <r>
    <x v="1"/>
    <s v="skaits"/>
    <n v="42"/>
    <x v="1"/>
    <s v="Daugavpils"/>
    <x v="0"/>
  </r>
  <r>
    <x v="2"/>
    <s v="skaits"/>
    <n v="7874"/>
    <x v="1"/>
    <s v="Daugavpils"/>
    <x v="0"/>
  </r>
  <r>
    <x v="3"/>
    <s v="skaits"/>
    <n v="7874"/>
    <x v="1"/>
    <s v="Daugavpils"/>
    <x v="0"/>
  </r>
  <r>
    <x v="4"/>
    <s v="skaits"/>
    <m/>
    <x v="1"/>
    <s v="Daugavpils"/>
    <x v="0"/>
  </r>
  <r>
    <x v="5"/>
    <s v="skaits"/>
    <m/>
    <x v="1"/>
    <s v="Daugavpils"/>
    <x v="0"/>
  </r>
  <r>
    <x v="6"/>
    <s v="km"/>
    <n v="61787.2575"/>
    <x v="1"/>
    <s v="Daugavpils"/>
    <x v="0"/>
  </r>
  <r>
    <x v="7"/>
    <s v="km"/>
    <n v="61787.2575"/>
    <x v="1"/>
    <s v="Daugavpils"/>
    <x v="0"/>
  </r>
  <r>
    <x v="8"/>
    <s v="km"/>
    <m/>
    <x v="1"/>
    <s v="Daugavpils"/>
    <x v="0"/>
  </r>
  <r>
    <x v="9"/>
    <s v="km"/>
    <m/>
    <x v="1"/>
    <s v="Daugavpils"/>
    <x v="0"/>
  </r>
  <r>
    <x v="10"/>
    <s v="EUR/km"/>
    <n v="3.6694"/>
    <x v="1"/>
    <s v="Daugavpils"/>
    <x v="0"/>
  </r>
  <r>
    <x v="11"/>
    <m/>
    <n v="978.73299999999995"/>
    <x v="1"/>
    <s v="Daugavpils"/>
    <x v="0"/>
  </r>
  <r>
    <x v="12"/>
    <s v="skaits (jānorāda atbilstoša mērvienība gab., litri, reižu skaits, darba stundas u.c.) "/>
    <m/>
    <x v="1"/>
    <s v="Daugavpils"/>
    <x v="0"/>
  </r>
  <r>
    <x v="13"/>
    <s v="skaits (jānorāda atbilstoša mērvienība gab., litri, reižu skaits, darba stundas u.c.) "/>
    <m/>
    <x v="1"/>
    <s v="Daugavpils"/>
    <x v="0"/>
  </r>
  <r>
    <x v="14"/>
    <s v="skaits (jānorāda atbilstoša mērvienība gab., litri, reižu skaits, darba stundas u.c.) "/>
    <n v="13161"/>
    <x v="1"/>
    <s v="Daugavpils"/>
    <x v="0"/>
  </r>
  <r>
    <x v="15"/>
    <s v="skaits (jānorāda atbilstoša mērvienība gab., litri, reižu skaits, darba stundas u.c.) "/>
    <m/>
    <x v="1"/>
    <s v="Daugavpils"/>
    <x v="0"/>
  </r>
  <r>
    <x v="16"/>
    <s v="skaits (jānorāda atbilstoša mērvienība gab., litri, reižu skaits, darba stundas u.c.) "/>
    <n v="8420.9"/>
    <x v="1"/>
    <s v="Daugavpils"/>
    <x v="0"/>
  </r>
  <r>
    <x v="17"/>
    <s v="skaits (jānorāda atbilstoša mērvienība gab., litri, reižu skaits, darba stundas u.c.) "/>
    <m/>
    <x v="1"/>
    <s v="Daugavpils"/>
    <x v="0"/>
  </r>
  <r>
    <x v="18"/>
    <s v="skaits (jānorāda atbilstoša mērvienība gab., litri, reižu skaits, darba stundas u.c.) "/>
    <n v="2102"/>
    <x v="1"/>
    <s v="Daugavpils"/>
    <x v="0"/>
  </r>
  <r>
    <x v="19"/>
    <s v="skaits (jānorāda atbilstoša mērvienība gab., litri, reižu skaits, darba stundas u.c.) "/>
    <m/>
    <x v="1"/>
    <s v="Daugavpils"/>
    <x v="0"/>
  </r>
  <r>
    <x v="20"/>
    <s v="EUR/vien bez PVN"/>
    <m/>
    <x v="1"/>
    <s v="Daugavpils"/>
    <x v="0"/>
  </r>
  <r>
    <x v="13"/>
    <s v="EUR/vien bez PVN"/>
    <m/>
    <x v="1"/>
    <s v="Daugavpils"/>
    <x v="0"/>
  </r>
  <r>
    <x v="21"/>
    <s v="EUR/vien bez PVN"/>
    <n v="2.8000000000000001E-2"/>
    <x v="1"/>
    <s v="Daugavpils"/>
    <x v="0"/>
  </r>
  <r>
    <x v="15"/>
    <s v="EUR/vien bez PVN"/>
    <m/>
    <x v="1"/>
    <s v="Daugavpils"/>
    <x v="0"/>
  </r>
  <r>
    <x v="22"/>
    <s v="EUR/vien bez PVN"/>
    <n v="0.05"/>
    <x v="1"/>
    <s v="Daugavpils"/>
    <x v="0"/>
  </r>
  <r>
    <x v="23"/>
    <s v="EUR/vien bez PVN"/>
    <m/>
    <x v="1"/>
    <s v="Daugavpils"/>
    <x v="0"/>
  </r>
  <r>
    <x v="24"/>
    <s v="EUR/vien bez PVN"/>
    <n v="0.09"/>
    <x v="1"/>
    <s v="Daugavpils"/>
    <x v="0"/>
  </r>
  <r>
    <x v="25"/>
    <s v="EUR/vien bez PVN"/>
    <m/>
    <x v="1"/>
    <s v="Daugavpils"/>
    <x v="0"/>
  </r>
  <r>
    <x v="26"/>
    <m/>
    <n v="12539.301545147393"/>
    <x v="1"/>
    <s v="Daugavpils"/>
    <x v="0"/>
  </r>
  <r>
    <x v="27"/>
    <s v="EUR bez PVN"/>
    <n v="43382.15"/>
    <x v="1"/>
    <s v="Daugavpils"/>
    <x v="0"/>
  </r>
  <r>
    <x v="28"/>
    <s v="km"/>
    <n v="61787.26"/>
    <x v="1"/>
    <s v="Daugavpils"/>
    <x v="0"/>
  </r>
  <r>
    <x v="29"/>
    <s v="EUR bez PVN"/>
    <n v="56301.47"/>
    <x v="1"/>
    <s v="Daugavpils"/>
    <x v="0"/>
  </r>
  <r>
    <x v="30"/>
    <s v="km"/>
    <n v="62207.14"/>
    <x v="1"/>
    <s v="Daugavpils"/>
    <x v="0"/>
  </r>
  <r>
    <x v="0"/>
    <m/>
    <n v="0"/>
    <x v="1"/>
    <s v="Daugavpils"/>
    <x v="1"/>
  </r>
  <r>
    <x v="1"/>
    <s v="skaits"/>
    <n v="42"/>
    <x v="1"/>
    <s v="Daugavpils"/>
    <x v="1"/>
  </r>
  <r>
    <x v="2"/>
    <s v="skaits"/>
    <n v="10234"/>
    <x v="1"/>
    <s v="Daugavpils"/>
    <x v="1"/>
  </r>
  <r>
    <x v="3"/>
    <s v="skaits"/>
    <n v="10234"/>
    <x v="1"/>
    <s v="Daugavpils"/>
    <x v="1"/>
  </r>
  <r>
    <x v="4"/>
    <s v="skaits"/>
    <m/>
    <x v="1"/>
    <s v="Daugavpils"/>
    <x v="1"/>
  </r>
  <r>
    <x v="5"/>
    <s v="skaits"/>
    <m/>
    <x v="1"/>
    <s v="Daugavpils"/>
    <x v="1"/>
  </r>
  <r>
    <x v="6"/>
    <s v="km"/>
    <n v="79477.694000000003"/>
    <x v="1"/>
    <s v="Daugavpils"/>
    <x v="1"/>
  </r>
  <r>
    <x v="7"/>
    <s v="km"/>
    <n v="79477.694000000003"/>
    <x v="1"/>
    <s v="Daugavpils"/>
    <x v="1"/>
  </r>
  <r>
    <x v="8"/>
    <s v="km"/>
    <m/>
    <x v="1"/>
    <s v="Daugavpils"/>
    <x v="1"/>
  </r>
  <r>
    <x v="9"/>
    <s v="km"/>
    <n v="0"/>
    <x v="1"/>
    <s v="Daugavpils"/>
    <x v="1"/>
  </r>
  <r>
    <x v="10"/>
    <s v="EUR/km"/>
    <n v="3.81"/>
    <x v="1"/>
    <s v="Daugavpils"/>
    <x v="1"/>
  </r>
  <r>
    <x v="11"/>
    <m/>
    <n v="1174.0899999999999"/>
    <x v="1"/>
    <s v="Daugavpils"/>
    <x v="1"/>
  </r>
  <r>
    <x v="12"/>
    <s v="skaits (jānorāda atbilstoša mērvienība gab., litri, reižu skaits, darba stundas u.c.) "/>
    <m/>
    <x v="1"/>
    <s v="Daugavpils"/>
    <x v="1"/>
  </r>
  <r>
    <x v="13"/>
    <s v="skaits (jānorāda atbilstoša mērvienība gab., litri, reižu skaits, darba stundas u.c.) "/>
    <m/>
    <x v="1"/>
    <s v="Daugavpils"/>
    <x v="1"/>
  </r>
  <r>
    <x v="14"/>
    <s v="skaits (jānorāda atbilstoša mērvienība gab., litri, reižu skaits, darba stundas u.c.) "/>
    <n v="16556"/>
    <x v="1"/>
    <s v="Daugavpils"/>
    <x v="1"/>
  </r>
  <r>
    <x v="15"/>
    <s v="skaits (jānorāda atbilstoša mērvienība gab., litri, reižu skaits, darba stundas u.c.) "/>
    <m/>
    <x v="1"/>
    <s v="Daugavpils"/>
    <x v="1"/>
  </r>
  <r>
    <x v="31"/>
    <s v="skaits (jānorāda atbilstoša mērvienība gab., litri, reižu skaits, darba stundas u.c.) "/>
    <n v="8448.7999999999993"/>
    <x v="1"/>
    <s v="Daugavpils"/>
    <x v="1"/>
  </r>
  <r>
    <x v="17"/>
    <s v="skaits (jānorāda atbilstoša mērvienība gab., litri, reižu skaits, darba stundas u.c.) "/>
    <m/>
    <x v="1"/>
    <s v="Daugavpils"/>
    <x v="1"/>
  </r>
  <r>
    <x v="18"/>
    <s v="skaits (jānorāda atbilstoša mērvienība gab., litri, reižu skaits, darba stundas u.c.) "/>
    <n v="2833"/>
    <x v="1"/>
    <s v="Daugavpils"/>
    <x v="1"/>
  </r>
  <r>
    <x v="19"/>
    <s v="skaits (jānorāda atbilstoša mērvienība gab., litri, reižu skaits, darba stundas u.c.) "/>
    <m/>
    <x v="1"/>
    <s v="Daugavpils"/>
    <x v="1"/>
  </r>
  <r>
    <x v="20"/>
    <s v="EUR/vien bez PVN"/>
    <m/>
    <x v="1"/>
    <s v="Daugavpils"/>
    <x v="1"/>
  </r>
  <r>
    <x v="13"/>
    <s v="EUR/vien bez PVN"/>
    <m/>
    <x v="1"/>
    <s v="Daugavpils"/>
    <x v="1"/>
  </r>
  <r>
    <x v="21"/>
    <s v="EUR/vien bez PVN"/>
    <n v="0.03"/>
    <x v="1"/>
    <s v="Daugavpils"/>
    <x v="1"/>
  </r>
  <r>
    <x v="15"/>
    <s v="EUR/vien bez PVN"/>
    <m/>
    <x v="1"/>
    <s v="Daugavpils"/>
    <x v="1"/>
  </r>
  <r>
    <x v="22"/>
    <s v="EUR/vien bez PVN"/>
    <n v="0.05"/>
    <x v="1"/>
    <s v="Daugavpils"/>
    <x v="1"/>
  </r>
  <r>
    <x v="23"/>
    <s v="EUR/vien bez PVN"/>
    <m/>
    <x v="1"/>
    <s v="Daugavpils"/>
    <x v="1"/>
  </r>
  <r>
    <x v="24"/>
    <s v="EUR/vien bez PVN"/>
    <n v="0.09"/>
    <x v="1"/>
    <s v="Daugavpils"/>
    <x v="1"/>
  </r>
  <r>
    <x v="32"/>
    <s v="EUR/vien bez PVN"/>
    <m/>
    <x v="1"/>
    <s v="Daugavpils"/>
    <x v="1"/>
  </r>
  <r>
    <x v="26"/>
    <m/>
    <n v="24835.952095809793"/>
    <x v="1"/>
    <s v="Daugavpils"/>
    <x v="1"/>
  </r>
  <r>
    <x v="33"/>
    <s v="EUR bez PVN"/>
    <n v="47525.88"/>
    <x v="1"/>
    <s v="Daugavpils"/>
    <x v="1"/>
  </r>
  <r>
    <x v="34"/>
    <s v="km"/>
    <n v="79477.694000000003"/>
    <x v="1"/>
    <s v="Daugavpils"/>
    <x v="1"/>
  </r>
  <r>
    <x v="35"/>
    <s v="EUR bez PVN"/>
    <n v="72285.27"/>
    <x v="1"/>
    <s v="Daugavpils"/>
    <x v="1"/>
  </r>
  <r>
    <x v="36"/>
    <s v="km"/>
    <n v="79393.603000000003"/>
    <x v="1"/>
    <s v="Daugavpils"/>
    <x v="1"/>
  </r>
  <r>
    <x v="0"/>
    <m/>
    <n v="0"/>
    <x v="1"/>
    <s v="Daugavpils"/>
    <x v="2"/>
  </r>
  <r>
    <x v="1"/>
    <s v="skaits"/>
    <n v="42"/>
    <x v="1"/>
    <s v="Daugavpils"/>
    <x v="2"/>
  </r>
  <r>
    <x v="2"/>
    <s v="skaits"/>
    <n v="10480"/>
    <x v="1"/>
    <s v="Daugavpils"/>
    <x v="2"/>
  </r>
  <r>
    <x v="3"/>
    <s v="skaits"/>
    <n v="10480"/>
    <x v="1"/>
    <s v="Daugavpils"/>
    <x v="2"/>
  </r>
  <r>
    <x v="4"/>
    <s v="skaits"/>
    <m/>
    <x v="1"/>
    <s v="Daugavpils"/>
    <x v="2"/>
  </r>
  <r>
    <x v="5"/>
    <s v="skaits"/>
    <m/>
    <x v="1"/>
    <s v="Daugavpils"/>
    <x v="2"/>
  </r>
  <r>
    <x v="6"/>
    <s v="km"/>
    <n v="80725.786500000002"/>
    <x v="1"/>
    <s v="Daugavpils"/>
    <x v="2"/>
  </r>
  <r>
    <x v="7"/>
    <s v="km"/>
    <n v="80725.786500000002"/>
    <x v="1"/>
    <s v="Daugavpils"/>
    <x v="2"/>
  </r>
  <r>
    <x v="8"/>
    <s v="km"/>
    <m/>
    <x v="1"/>
    <s v="Daugavpils"/>
    <x v="2"/>
  </r>
  <r>
    <x v="9"/>
    <s v="km"/>
    <m/>
    <x v="1"/>
    <s v="Daugavpils"/>
    <x v="2"/>
  </r>
  <r>
    <x v="10"/>
    <s v="EUR/km"/>
    <n v="3.8363999999999998"/>
    <x v="1"/>
    <s v="Daugavpils"/>
    <x v="2"/>
  </r>
  <r>
    <x v="11"/>
    <m/>
    <n v="1204.52"/>
    <x v="1"/>
    <s v="Daugavpils"/>
    <x v="2"/>
  </r>
  <r>
    <x v="12"/>
    <s v="skaits (jānorāda atbilstoša mērvienība gab., litri, reižu skaits, darba stundas u.c.) "/>
    <m/>
    <x v="1"/>
    <s v="Daugavpils"/>
    <x v="2"/>
  </r>
  <r>
    <x v="13"/>
    <s v="skaits (jānorāda atbilstoša mērvienība gab., litri, reižu skaits, darba stundas u.c.) "/>
    <m/>
    <x v="1"/>
    <s v="Daugavpils"/>
    <x v="2"/>
  </r>
  <r>
    <x v="14"/>
    <s v="skaits (jānorāda atbilstoša mērvienība gab., litri, reižu skaits, darba stundas u.c.) "/>
    <n v="16556"/>
    <x v="1"/>
    <s v="Daugavpils"/>
    <x v="2"/>
  </r>
  <r>
    <x v="15"/>
    <s v="skaits (jānorāda atbilstoša mērvienība gab., litri, reižu skaits, darba stundas u.c.) "/>
    <m/>
    <x v="1"/>
    <s v="Daugavpils"/>
    <x v="2"/>
  </r>
  <r>
    <x v="31"/>
    <s v="skaits (jānorāda atbilstoša mērvienība gab., litri, reižu skaits, darba stundas u.c.) "/>
    <n v="9057.4"/>
    <x v="1"/>
    <s v="Daugavpils"/>
    <x v="2"/>
  </r>
  <r>
    <x v="17"/>
    <s v="skaits (jānorāda atbilstoša mērvienība gab., litri, reižu skaits, darba stundas u.c.) "/>
    <m/>
    <x v="1"/>
    <s v="Daugavpils"/>
    <x v="2"/>
  </r>
  <r>
    <x v="18"/>
    <s v="skaits (jānorāda atbilstoša mērvienība gab., litri, reižu skaits, darba stundas u.c.) "/>
    <n v="2833"/>
    <x v="1"/>
    <s v="Daugavpils"/>
    <x v="2"/>
  </r>
  <r>
    <x v="19"/>
    <s v="skaits (jānorāda atbilstoša mērvienība gab., litri, reižu skaits, darba stundas u.c.) "/>
    <m/>
    <x v="1"/>
    <s v="Daugavpils"/>
    <x v="2"/>
  </r>
  <r>
    <x v="20"/>
    <s v="EUR/vien bez PVN"/>
    <m/>
    <x v="1"/>
    <s v="Daugavpils"/>
    <x v="2"/>
  </r>
  <r>
    <x v="13"/>
    <s v="EUR/vien bez PVN"/>
    <m/>
    <x v="1"/>
    <s v="Daugavpils"/>
    <x v="2"/>
  </r>
  <r>
    <x v="21"/>
    <s v="EUR/vien bez PVN"/>
    <n v="0.03"/>
    <x v="1"/>
    <s v="Daugavpils"/>
    <x v="2"/>
  </r>
  <r>
    <x v="15"/>
    <s v="EUR/vien bez PVN"/>
    <m/>
    <x v="1"/>
    <s v="Daugavpils"/>
    <x v="2"/>
  </r>
  <r>
    <x v="22"/>
    <s v="EUR/vien bez PVN"/>
    <n v="0.05"/>
    <x v="1"/>
    <s v="Daugavpils"/>
    <x v="2"/>
  </r>
  <r>
    <x v="23"/>
    <s v="EUR/vien bez PVN"/>
    <m/>
    <x v="1"/>
    <s v="Daugavpils"/>
    <x v="2"/>
  </r>
  <r>
    <x v="24"/>
    <s v="EUR/vien bez PVN"/>
    <n v="0.09"/>
    <x v="1"/>
    <s v="Daugavpils"/>
    <x v="2"/>
  </r>
  <r>
    <x v="32"/>
    <s v="EUR/vien bez PVN"/>
    <m/>
    <x v="1"/>
    <s v="Daugavpils"/>
    <x v="2"/>
  </r>
  <r>
    <x v="26"/>
    <m/>
    <n v="25661.886190866357"/>
    <x v="1"/>
    <s v="Daugavpils"/>
    <x v="2"/>
  </r>
  <r>
    <x v="37"/>
    <s v="EUR bez PVN"/>
    <n v="46423.69"/>
    <x v="1"/>
    <s v="Daugavpils"/>
    <x v="2"/>
  </r>
  <r>
    <x v="38"/>
    <s v="km"/>
    <n v="80725.789999999994"/>
    <x v="1"/>
    <s v="Daugavpils"/>
    <x v="2"/>
  </r>
  <r>
    <x v="39"/>
    <s v="EUR bez PVN"/>
    <n v="73706.22"/>
    <x v="1"/>
    <s v="Daugavpils"/>
    <x v="2"/>
  </r>
  <r>
    <x v="40"/>
    <s v="km"/>
    <n v="82540.684999999998"/>
    <x v="1"/>
    <s v="Daugavpils"/>
    <x v="2"/>
  </r>
  <r>
    <x v="0"/>
    <m/>
    <n v="-859.19862000001035"/>
    <x v="0"/>
    <s v="Daugavpils"/>
    <x v="3"/>
  </r>
  <r>
    <x v="1"/>
    <s v="skaits"/>
    <n v="58"/>
    <x v="0"/>
    <s v="Daugavpils"/>
    <x v="3"/>
  </r>
  <r>
    <x v="2"/>
    <s v="skaits"/>
    <n v="26440"/>
    <x v="0"/>
    <s v="Daugavpils"/>
    <x v="3"/>
  </r>
  <r>
    <x v="3"/>
    <s v="skaits"/>
    <n v="26438"/>
    <x v="0"/>
    <s v="Daugavpils"/>
    <x v="3"/>
  </r>
  <r>
    <x v="4"/>
    <s v="skaits"/>
    <m/>
    <x v="0"/>
    <s v="Daugavpils"/>
    <x v="3"/>
  </r>
  <r>
    <x v="5"/>
    <s v="skaits"/>
    <n v="2"/>
    <x v="0"/>
    <s v="Daugavpils"/>
    <x v="3"/>
  </r>
  <r>
    <x v="6"/>
    <s v="km"/>
    <n v="224618.3"/>
    <x v="0"/>
    <s v="Daugavpils"/>
    <x v="3"/>
  </r>
  <r>
    <x v="7"/>
    <s v="km"/>
    <n v="224136.19999999998"/>
    <x v="0"/>
    <s v="Daugavpils"/>
    <x v="3"/>
  </r>
  <r>
    <x v="8"/>
    <s v="km"/>
    <m/>
    <x v="0"/>
    <s v="Daugavpils"/>
    <x v="3"/>
  </r>
  <r>
    <x v="9"/>
    <s v="km"/>
    <n v="489.6"/>
    <x v="0"/>
    <s v="Daugavpils"/>
    <x v="3"/>
  </r>
  <r>
    <x v="41"/>
    <m/>
    <n v="7.5"/>
    <x v="2"/>
    <s v="Daugavpils"/>
    <x v="3"/>
  </r>
  <r>
    <x v="10"/>
    <s v="EUR/km"/>
    <n v="1.7822"/>
    <x v="0"/>
    <s v="Daugavpils"/>
    <x v="3"/>
  </r>
  <r>
    <x v="11"/>
    <m/>
    <n v="2089.16"/>
    <x v="0"/>
    <s v="Daugavpils"/>
    <x v="3"/>
  </r>
  <r>
    <x v="12"/>
    <s v="skaits (jānorāda atbilstoša mērvienība gab., litri, reižu skaits, darba stundas u.c.) "/>
    <m/>
    <x v="0"/>
    <s v="Daugavpils"/>
    <x v="3"/>
  </r>
  <r>
    <x v="13"/>
    <s v="skaits (jānorāda atbilstoša mērvienība gab., litri, reižu skaits, darba stundas u.c.) "/>
    <m/>
    <x v="0"/>
    <s v="Daugavpils"/>
    <x v="3"/>
  </r>
  <r>
    <x v="14"/>
    <s v="skaits (jānorāda atbilstoša mērvienība gab., litri, reižu skaits, darba stundas u.c.) "/>
    <m/>
    <x v="0"/>
    <s v="Daugavpils"/>
    <x v="3"/>
  </r>
  <r>
    <x v="15"/>
    <s v="skaits (jānorāda atbilstoša mērvienība gab., litri, reižu skaits, darba stundas u.c.) "/>
    <m/>
    <x v="0"/>
    <s v="Daugavpils"/>
    <x v="3"/>
  </r>
  <r>
    <x v="42"/>
    <s v="skaits (jānorāda atbilstoša mērvienība gab., litri, reižu skaits, darba stundas u.c.) "/>
    <n v="11215"/>
    <x v="0"/>
    <s v="Daugavpils"/>
    <x v="3"/>
  </r>
  <r>
    <x v="17"/>
    <s v="skaits (jānorāda atbilstoša mērvienība gab., litri, reižu skaits, darba stundas u.c.) "/>
    <m/>
    <x v="0"/>
    <s v="Daugavpils"/>
    <x v="3"/>
  </r>
  <r>
    <x v="18"/>
    <s v="skaits (jānorāda atbilstoša mērvienība gab., litri, reižu skaits, darba stundas u.c.) "/>
    <m/>
    <x v="0"/>
    <s v="Daugavpils"/>
    <x v="3"/>
  </r>
  <r>
    <x v="19"/>
    <s v="skaits (jānorāda atbilstoša mērvienība gab., litri, reižu skaits, darba stundas u.c.) "/>
    <n v="30"/>
    <x v="0"/>
    <s v="Daugavpils"/>
    <x v="3"/>
  </r>
  <r>
    <x v="20"/>
    <s v="EUR/vien bez PVN"/>
    <m/>
    <x v="0"/>
    <s v="Daugavpils"/>
    <x v="3"/>
  </r>
  <r>
    <x v="13"/>
    <s v="EUR/vien bez PVN"/>
    <m/>
    <x v="0"/>
    <s v="Daugavpils"/>
    <x v="3"/>
  </r>
  <r>
    <x v="21"/>
    <s v="EUR/vien bez PVN"/>
    <m/>
    <x v="0"/>
    <s v="Daugavpils"/>
    <x v="3"/>
  </r>
  <r>
    <x v="15"/>
    <s v="EUR/vien bez PVN"/>
    <m/>
    <x v="0"/>
    <s v="Daugavpils"/>
    <x v="3"/>
  </r>
  <r>
    <x v="22"/>
    <s v="EUR/vien bez PVN"/>
    <n v="0.05"/>
    <x v="0"/>
    <s v="Daugavpils"/>
    <x v="3"/>
  </r>
  <r>
    <x v="23"/>
    <s v="EUR/vien bez PVN"/>
    <m/>
    <x v="0"/>
    <s v="Daugavpils"/>
    <x v="3"/>
  </r>
  <r>
    <x v="24"/>
    <s v="EUR/vien bez PVN"/>
    <m/>
    <x v="0"/>
    <s v="Daugavpils"/>
    <x v="3"/>
  </r>
  <r>
    <x v="32"/>
    <s v="EUR/vien bez PVN"/>
    <n v="50.947000000000003"/>
    <x v="0"/>
    <s v="Daugavpils"/>
    <x v="3"/>
  </r>
  <r>
    <x v="26"/>
    <m/>
    <n v="25402.240546255976"/>
    <x v="0"/>
    <s v="Daugavpils"/>
    <x v="3"/>
  </r>
  <r>
    <x v="43"/>
    <s v="EUR bez PVN"/>
    <n v="71941.289999999994"/>
    <x v="0"/>
    <s v="Daugavpils"/>
    <x v="3"/>
  </r>
  <r>
    <x v="44"/>
    <s v="km"/>
    <n v="224136.2"/>
    <x v="0"/>
    <s v="Daugavpils"/>
    <x v="3"/>
  </r>
  <r>
    <x v="45"/>
    <s v="EUR bez PVN"/>
    <n v="96677.48"/>
    <x v="0"/>
    <s v="Daugavpils"/>
    <x v="3"/>
  </r>
  <r>
    <x v="46"/>
    <s v="km"/>
    <n v="222602.6"/>
    <x v="0"/>
    <s v="Daugavpils"/>
    <x v="3"/>
  </r>
  <r>
    <x v="0"/>
    <m/>
    <n v="0"/>
    <x v="1"/>
    <s v="Daugavpils"/>
    <x v="3"/>
  </r>
  <r>
    <x v="1"/>
    <s v="skaits"/>
    <n v="42"/>
    <x v="1"/>
    <s v="Daugavpils"/>
    <x v="3"/>
  </r>
  <r>
    <x v="2"/>
    <s v="skaits"/>
    <n v="10204"/>
    <x v="1"/>
    <s v="Daugavpils"/>
    <x v="3"/>
  </r>
  <r>
    <x v="3"/>
    <s v="skaits"/>
    <n v="10204"/>
    <x v="1"/>
    <s v="Daugavpils"/>
    <x v="3"/>
  </r>
  <r>
    <x v="4"/>
    <s v="skaits"/>
    <m/>
    <x v="1"/>
    <s v="Daugavpils"/>
    <x v="3"/>
  </r>
  <r>
    <x v="5"/>
    <s v="skaits"/>
    <m/>
    <x v="1"/>
    <s v="Daugavpils"/>
    <x v="3"/>
  </r>
  <r>
    <x v="6"/>
    <s v="km"/>
    <n v="75075.63"/>
    <x v="1"/>
    <s v="Daugavpils"/>
    <x v="3"/>
  </r>
  <r>
    <x v="7"/>
    <s v="km"/>
    <n v="75075.63"/>
    <x v="1"/>
    <s v="Daugavpils"/>
    <x v="3"/>
  </r>
  <r>
    <x v="8"/>
    <s v="km"/>
    <m/>
    <x v="1"/>
    <s v="Daugavpils"/>
    <x v="3"/>
  </r>
  <r>
    <x v="9"/>
    <s v="km"/>
    <m/>
    <x v="1"/>
    <s v="Daugavpils"/>
    <x v="3"/>
  </r>
  <r>
    <x v="41"/>
    <m/>
    <m/>
    <x v="1"/>
    <s v="Daugavpils"/>
    <x v="3"/>
  </r>
  <r>
    <x v="10"/>
    <s v="EUR/km"/>
    <n v="3.9287999999999998"/>
    <x v="1"/>
    <s v="Daugavpils"/>
    <x v="3"/>
  </r>
  <r>
    <x v="11"/>
    <m/>
    <n v="270.29000000000002"/>
    <x v="1"/>
    <s v="Daugavpils"/>
    <x v="3"/>
  </r>
  <r>
    <x v="12"/>
    <s v="skaits (jānorāda atbilstoša mērvienība gab., litri, reižu skaits, darba stundas u.c.) "/>
    <m/>
    <x v="1"/>
    <s v="Daugavpils"/>
    <x v="3"/>
  </r>
  <r>
    <x v="13"/>
    <s v="skaits (jānorāda atbilstoša mērvienība gab., litri, reižu skaits, darba stundas u.c.) "/>
    <m/>
    <x v="1"/>
    <s v="Daugavpils"/>
    <x v="3"/>
  </r>
  <r>
    <x v="14"/>
    <s v="skaits (jānorāda atbilstoša mērvienība gab., litri, reižu skaits, darba stundas u.c.) "/>
    <m/>
    <x v="1"/>
    <s v="Daugavpils"/>
    <x v="3"/>
  </r>
  <r>
    <x v="15"/>
    <s v="skaits (jānorāda atbilstoša mērvienība gab., litri, reižu skaits, darba stundas u.c.) "/>
    <m/>
    <x v="1"/>
    <s v="Daugavpils"/>
    <x v="3"/>
  </r>
  <r>
    <x v="42"/>
    <s v="skaits (jānorāda atbilstoša mērvienība gab., litri, reižu skaits, darba stundas u.c.) "/>
    <n v="5405.8"/>
    <x v="1"/>
    <s v="Daugavpils"/>
    <x v="3"/>
  </r>
  <r>
    <x v="17"/>
    <s v="skaits (jānorāda atbilstoša mērvienība gab., litri, reižu skaits, darba stundas u.c.) "/>
    <m/>
    <x v="1"/>
    <s v="Daugavpils"/>
    <x v="3"/>
  </r>
  <r>
    <x v="18"/>
    <s v="skaits (jānorāda atbilstoša mērvienība gab., litri, reižu skaits, darba stundas u.c.) "/>
    <m/>
    <x v="1"/>
    <s v="Daugavpils"/>
    <x v="3"/>
  </r>
  <r>
    <x v="19"/>
    <s v="skaits (jānorāda atbilstoša mērvienība gab., litri, reižu skaits, darba stundas u.c.) "/>
    <m/>
    <x v="1"/>
    <s v="Daugavpils"/>
    <x v="3"/>
  </r>
  <r>
    <x v="20"/>
    <s v="EUR/vien bez PVN"/>
    <m/>
    <x v="1"/>
    <s v="Daugavpils"/>
    <x v="3"/>
  </r>
  <r>
    <x v="13"/>
    <s v="EUR/vien bez PVN"/>
    <m/>
    <x v="1"/>
    <s v="Daugavpils"/>
    <x v="3"/>
  </r>
  <r>
    <x v="21"/>
    <s v="EUR/vien bez PVN"/>
    <m/>
    <x v="1"/>
    <s v="Daugavpils"/>
    <x v="3"/>
  </r>
  <r>
    <x v="15"/>
    <s v="EUR/vien bez PVN"/>
    <m/>
    <x v="1"/>
    <s v="Daugavpils"/>
    <x v="3"/>
  </r>
  <r>
    <x v="22"/>
    <s v="EUR/vien bez PVN"/>
    <n v="0.05"/>
    <x v="1"/>
    <s v="Daugavpils"/>
    <x v="3"/>
  </r>
  <r>
    <x v="23"/>
    <s v="EUR/vien bez PVN"/>
    <m/>
    <x v="1"/>
    <s v="Daugavpils"/>
    <x v="3"/>
  </r>
  <r>
    <x v="24"/>
    <s v="EUR/vien bez PVN"/>
    <m/>
    <x v="1"/>
    <s v="Daugavpils"/>
    <x v="3"/>
  </r>
  <r>
    <x v="32"/>
    <s v="EUR/vien bez PVN"/>
    <m/>
    <x v="1"/>
    <s v="Daugavpils"/>
    <x v="3"/>
  </r>
  <r>
    <x v="26"/>
    <m/>
    <n v="21965.427399971068"/>
    <x v="1"/>
    <s v="Daugavpils"/>
    <x v="3"/>
  </r>
  <r>
    <x v="43"/>
    <s v="EUR bez PVN"/>
    <n v="44292.26"/>
    <x v="1"/>
    <s v="Daugavpils"/>
    <x v="3"/>
  </r>
  <r>
    <x v="44"/>
    <s v="km"/>
    <n v="75075.63"/>
    <x v="1"/>
    <s v="Daugavpils"/>
    <x v="3"/>
  </r>
  <r>
    <x v="45"/>
    <s v="EUR bez PVN"/>
    <n v="66356.36"/>
    <x v="1"/>
    <s v="Daugavpils"/>
    <x v="3"/>
  </r>
  <r>
    <x v="46"/>
    <s v="km"/>
    <n v="75187.434500000003"/>
    <x v="1"/>
    <s v="Daugavpils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9591C2-8AA6-4429-98E7-BE05C8B2E6EF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N9" firstHeaderRow="1" firstDataRow="3" firstDataCol="1"/>
  <pivotFields count="6">
    <pivotField axis="axisRow" showAll="0">
      <items count="48">
        <item h="1" x="33"/>
        <item h="1" x="37"/>
        <item h="1" x="27"/>
        <item h="1" x="35"/>
        <item h="1" x="39"/>
        <item h="1" x="29"/>
        <item h="1" x="36"/>
        <item h="1" x="40"/>
        <item h="1" x="30"/>
        <item h="1" x="10"/>
        <item h="1" x="20"/>
        <item h="1" x="34"/>
        <item h="1" x="38"/>
        <item h="1" x="28"/>
        <item h="1" x="7"/>
        <item h="1" x="6"/>
        <item h="1" x="3"/>
        <item h="1" x="2"/>
        <item h="1" x="12"/>
        <item x="0"/>
        <item x="11"/>
        <item x="26"/>
        <item h="1" x="25"/>
        <item h="1" x="18"/>
        <item h="1" x="32"/>
        <item h="1" x="24"/>
        <item h="1" x="19"/>
        <item h="1" x="13"/>
        <item h="1" x="1"/>
        <item h="1" x="21"/>
        <item h="1" x="14"/>
        <item h="1" x="15"/>
        <item h="1" x="5"/>
        <item h="1" x="9"/>
        <item h="1" x="4"/>
        <item h="1" x="8"/>
        <item h="1" x="31"/>
        <item h="1" x="16"/>
        <item h="1" x="22"/>
        <item h="1" x="17"/>
        <item h="1" x="23"/>
        <item h="1" x="41"/>
        <item h="1" x="42"/>
        <item h="1" x="43"/>
        <item h="1" x="44"/>
        <item h="1" x="45"/>
        <item h="1" x="46"/>
        <item t="default"/>
      </items>
    </pivotField>
    <pivotField showAll="0"/>
    <pivotField dataField="1" showAll="0"/>
    <pivotField axis="axisCol" showAll="0">
      <items count="4">
        <item x="0"/>
        <item x="1"/>
        <item x="2"/>
        <item t="default"/>
      </items>
    </pivotField>
    <pivotField showAll="0"/>
    <pivotField axis="axisCol" showAll="0">
      <items count="5">
        <item x="0"/>
        <item x="1"/>
        <item x="2"/>
        <item x="3"/>
        <item t="default"/>
      </items>
    </pivotField>
  </pivotFields>
  <rowFields count="1">
    <field x="0"/>
  </rowFields>
  <rowItems count="4">
    <i>
      <x v="19"/>
    </i>
    <i>
      <x v="20"/>
    </i>
    <i>
      <x v="21"/>
    </i>
    <i t="grand">
      <x/>
    </i>
  </rowItems>
  <colFields count="2">
    <field x="5"/>
    <field x="3"/>
  </colFields>
  <colItems count="13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Sum of Vērtība" fld="2" baseField="0" baseItem="0" numFmtId="4"/>
  </dataFields>
  <formats count="15">
    <format dxfId="14">
      <pivotArea dataOnly="0" labelOnly="1" fieldPosition="0">
        <references count="1">
          <reference field="0" count="1">
            <x v="20"/>
          </reference>
        </references>
      </pivotArea>
    </format>
    <format dxfId="13">
      <pivotArea dataOnly="0" labelOnly="1" fieldPosition="0">
        <references count="1">
          <reference field="0" count="1">
            <x v="19"/>
          </reference>
        </references>
      </pivotArea>
    </format>
    <format dxfId="12">
      <pivotArea dataOnly="0" labelOnly="1" fieldPosition="0">
        <references count="1">
          <reference field="0" count="1">
            <x v="21"/>
          </reference>
        </references>
      </pivotArea>
    </format>
    <format dxfId="11">
      <pivotArea dataOnly="0" labelOnly="1" fieldPosition="0">
        <references count="1">
          <reference field="5" count="1">
            <x v="0"/>
          </reference>
        </references>
      </pivotArea>
    </format>
    <format dxfId="10">
      <pivotArea dataOnly="0" labelOnly="1" fieldPosition="0">
        <references count="1">
          <reference field="5" count="1" defaultSubtotal="1">
            <x v="0"/>
          </reference>
        </references>
      </pivotArea>
    </format>
    <format dxfId="9">
      <pivotArea dataOnly="0" labelOnly="1" fieldPosition="0">
        <references count="1">
          <reference field="5" count="1" defaultSubtotal="1">
            <x v="1"/>
          </reference>
        </references>
      </pivotArea>
    </format>
    <format dxfId="8">
      <pivotArea dataOnly="0" labelOnly="1" fieldPosition="0">
        <references count="1">
          <reference field="5" count="1" defaultSubtotal="1">
            <x v="2"/>
          </reference>
        </references>
      </pivotArea>
    </format>
    <format dxfId="7">
      <pivotArea outline="0" collapsedLevelsAreSubtotals="1" fieldPosition="0"/>
    </format>
    <format dxfId="6">
      <pivotArea collapsedLevelsAreSubtotals="1" fieldPosition="0">
        <references count="1">
          <reference field="0" count="0"/>
        </references>
      </pivotArea>
    </format>
    <format dxfId="5">
      <pivotArea dataOnly="0" labelOnly="1" fieldPosition="0">
        <references count="1">
          <reference field="0" count="0"/>
        </references>
      </pivotArea>
    </format>
    <format dxfId="4">
      <pivotArea collapsedLevelsAreSubtotals="1" fieldPosition="0">
        <references count="2">
          <reference field="0" count="0"/>
          <reference field="5" count="1" selected="0" defaultSubtotal="1">
            <x v="0"/>
          </reference>
        </references>
      </pivotArea>
    </format>
    <format dxfId="3">
      <pivotArea collapsedLevelsAreSubtotals="1" fieldPosition="0">
        <references count="2">
          <reference field="0" count="0"/>
          <reference field="5" count="1" selected="0" defaultSubtotal="1">
            <x v="1"/>
          </reference>
        </references>
      </pivotArea>
    </format>
    <format dxfId="2">
      <pivotArea collapsedLevelsAreSubtotals="1" fieldPosition="0">
        <references count="2">
          <reference field="0" count="0"/>
          <reference field="5" count="1" selected="0" defaultSubtotal="1">
            <x v="2"/>
          </reference>
        </references>
      </pivotArea>
    </format>
    <format dxfId="1">
      <pivotArea collapsedLevelsAreSubtotals="1" fieldPosition="0">
        <references count="2">
          <reference field="0" count="0"/>
          <reference field="5" count="1" selected="0" defaultSubtotal="1">
            <x v="3"/>
          </reference>
        </references>
      </pivotArea>
    </format>
    <format dxfId="0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workbookViewId="0">
      <selection activeCell="D37" sqref="D37"/>
    </sheetView>
  </sheetViews>
  <sheetFormatPr defaultColWidth="9.140625" defaultRowHeight="15" x14ac:dyDescent="0.25"/>
  <cols>
    <col min="1" max="1" width="12.5703125" style="1" customWidth="1"/>
    <col min="2" max="2" width="46.140625" style="1" customWidth="1"/>
    <col min="3" max="3" width="11.42578125" style="1" customWidth="1"/>
    <col min="4" max="5" width="17" style="1" customWidth="1"/>
    <col min="6" max="6" width="14.28515625" style="1" customWidth="1"/>
    <col min="7" max="7" width="16.7109375" style="1" customWidth="1"/>
    <col min="8" max="16384" width="9.140625" style="1"/>
  </cols>
  <sheetData>
    <row r="1" spans="1:7" ht="36.75" customHeight="1" x14ac:dyDescent="0.3">
      <c r="A1" s="326" t="s">
        <v>56</v>
      </c>
      <c r="B1" s="326"/>
      <c r="C1" s="326"/>
      <c r="D1" s="326"/>
      <c r="E1" s="326"/>
      <c r="F1" s="326"/>
      <c r="G1" s="326"/>
    </row>
    <row r="2" spans="1:7" s="11" customFormat="1" ht="28.5" x14ac:dyDescent="0.2">
      <c r="A2" s="12" t="s">
        <v>4</v>
      </c>
      <c r="B2" s="12"/>
      <c r="C2" s="13" t="s">
        <v>5</v>
      </c>
      <c r="D2" s="13" t="s">
        <v>1</v>
      </c>
      <c r="E2" s="14" t="s">
        <v>10</v>
      </c>
      <c r="F2" s="13" t="s">
        <v>2</v>
      </c>
      <c r="G2" s="13" t="s">
        <v>3</v>
      </c>
    </row>
    <row r="3" spans="1:7" s="11" customFormat="1" ht="14.25" x14ac:dyDescent="0.2">
      <c r="A3" s="10" t="s">
        <v>15</v>
      </c>
      <c r="B3" s="10" t="s">
        <v>53</v>
      </c>
      <c r="C3" s="64"/>
      <c r="D3" s="23">
        <f>(D10-D9)*D13</f>
        <v>1884.96</v>
      </c>
      <c r="E3" s="23">
        <f t="shared" ref="E3:G3" si="0">(E9-E10)*E13</f>
        <v>0</v>
      </c>
      <c r="F3" s="23">
        <f t="shared" si="0"/>
        <v>0</v>
      </c>
      <c r="G3" s="23">
        <f t="shared" si="0"/>
        <v>0</v>
      </c>
    </row>
    <row r="4" spans="1:7" x14ac:dyDescent="0.25">
      <c r="A4" s="329" t="s">
        <v>7</v>
      </c>
      <c r="B4" s="2" t="s">
        <v>12</v>
      </c>
      <c r="C4" s="329" t="s">
        <v>6</v>
      </c>
      <c r="D4" s="16">
        <v>20</v>
      </c>
      <c r="E4" s="17"/>
      <c r="F4" s="16"/>
      <c r="G4" s="16"/>
    </row>
    <row r="5" spans="1:7" ht="15" customHeight="1" x14ac:dyDescent="0.25">
      <c r="A5" s="329"/>
      <c r="B5" s="4" t="s">
        <v>50</v>
      </c>
      <c r="C5" s="329"/>
      <c r="D5" s="16">
        <v>5479</v>
      </c>
      <c r="E5" s="16"/>
      <c r="F5" s="16"/>
      <c r="G5" s="16"/>
    </row>
    <row r="6" spans="1:7" x14ac:dyDescent="0.25">
      <c r="A6" s="329"/>
      <c r="B6" s="4" t="s">
        <v>51</v>
      </c>
      <c r="C6" s="329"/>
      <c r="D6" s="16">
        <f>D5+D7-D8</f>
        <v>5567</v>
      </c>
      <c r="E6" s="16">
        <f t="shared" ref="E6:G6" si="1">E5+E7-E8</f>
        <v>0</v>
      </c>
      <c r="F6" s="16">
        <f t="shared" si="1"/>
        <v>0</v>
      </c>
      <c r="G6" s="16">
        <f t="shared" si="1"/>
        <v>0</v>
      </c>
    </row>
    <row r="7" spans="1:7" x14ac:dyDescent="0.25">
      <c r="A7" s="329"/>
      <c r="B7" s="5" t="s">
        <v>46</v>
      </c>
      <c r="C7" s="329"/>
      <c r="D7" s="16">
        <v>830</v>
      </c>
      <c r="E7" s="16"/>
      <c r="F7" s="16"/>
      <c r="G7" s="16"/>
    </row>
    <row r="8" spans="1:7" x14ac:dyDescent="0.25">
      <c r="A8" s="329"/>
      <c r="B8" s="5" t="s">
        <v>47</v>
      </c>
      <c r="C8" s="329"/>
      <c r="D8" s="16">
        <v>742</v>
      </c>
      <c r="E8" s="16"/>
      <c r="F8" s="16"/>
      <c r="G8" s="16"/>
    </row>
    <row r="9" spans="1:7" x14ac:dyDescent="0.25">
      <c r="A9" s="329"/>
      <c r="B9" s="4" t="s">
        <v>44</v>
      </c>
      <c r="C9" s="330" t="s">
        <v>8</v>
      </c>
      <c r="D9" s="16">
        <v>57529</v>
      </c>
      <c r="E9" s="16"/>
      <c r="F9" s="16"/>
      <c r="G9" s="16"/>
    </row>
    <row r="10" spans="1:7" x14ac:dyDescent="0.25">
      <c r="A10" s="329"/>
      <c r="B10" s="4" t="s">
        <v>52</v>
      </c>
      <c r="C10" s="330"/>
      <c r="D10" s="16">
        <f>D9+D11-D12</f>
        <v>58453</v>
      </c>
      <c r="E10" s="16">
        <f t="shared" ref="E10:G10" si="2">E9+E11-E12</f>
        <v>0</v>
      </c>
      <c r="F10" s="16">
        <f t="shared" si="2"/>
        <v>0</v>
      </c>
      <c r="G10" s="16">
        <f t="shared" si="2"/>
        <v>0</v>
      </c>
    </row>
    <row r="11" spans="1:7" ht="16.5" customHeight="1" x14ac:dyDescent="0.25">
      <c r="A11" s="329"/>
      <c r="B11" s="6" t="s">
        <v>48</v>
      </c>
      <c r="C11" s="330"/>
      <c r="D11" s="16">
        <v>8715</v>
      </c>
      <c r="E11" s="16"/>
      <c r="F11" s="16"/>
      <c r="G11" s="16"/>
    </row>
    <row r="12" spans="1:7" ht="16.5" customHeight="1" x14ac:dyDescent="0.25">
      <c r="A12" s="329"/>
      <c r="B12" s="6" t="s">
        <v>49</v>
      </c>
      <c r="C12" s="330"/>
      <c r="D12" s="16">
        <v>7791</v>
      </c>
      <c r="E12" s="16"/>
      <c r="F12" s="16"/>
      <c r="G12" s="16"/>
    </row>
    <row r="13" spans="1:7" ht="30" x14ac:dyDescent="0.25">
      <c r="A13" s="2" t="s">
        <v>14</v>
      </c>
      <c r="B13" s="4" t="s">
        <v>45</v>
      </c>
      <c r="C13" s="3" t="s">
        <v>9</v>
      </c>
      <c r="D13" s="16">
        <v>2.04</v>
      </c>
      <c r="E13" s="16"/>
      <c r="F13" s="16"/>
      <c r="G13" s="16"/>
    </row>
    <row r="14" spans="1:7" s="11" customFormat="1" ht="28.5" x14ac:dyDescent="0.2">
      <c r="A14" s="65" t="s">
        <v>16</v>
      </c>
      <c r="B14" s="32" t="s">
        <v>43</v>
      </c>
      <c r="C14" s="66"/>
      <c r="D14" s="24">
        <f>SUM(D25*D36,D24*D35,D23*D34,D22*D33,D20*D31,D19*D30,D17*D28,D16*D27)</f>
        <v>16414.940000000002</v>
      </c>
      <c r="E14" s="24">
        <f t="shared" ref="E14:G14" si="3">SUM(E25*E36,E24*E35,E23*E34,E22*E33,E20*E31,E19*E30,E17*E28,E16*E27)</f>
        <v>0</v>
      </c>
      <c r="F14" s="24">
        <f t="shared" si="3"/>
        <v>0</v>
      </c>
      <c r="G14" s="24">
        <f t="shared" si="3"/>
        <v>0</v>
      </c>
    </row>
    <row r="15" spans="1:7" s="15" customFormat="1" ht="37.5" customHeight="1" x14ac:dyDescent="0.25">
      <c r="A15" s="328" t="s">
        <v>7</v>
      </c>
      <c r="B15" s="7" t="s">
        <v>41</v>
      </c>
      <c r="C15" s="19"/>
      <c r="D15" s="18"/>
      <c r="E15" s="18"/>
      <c r="F15" s="18"/>
      <c r="G15" s="18"/>
    </row>
    <row r="16" spans="1:7" s="15" customFormat="1" x14ac:dyDescent="0.25">
      <c r="A16" s="328"/>
      <c r="B16" s="8" t="s">
        <v>0</v>
      </c>
      <c r="C16" s="19" t="s">
        <v>26</v>
      </c>
      <c r="D16" s="18">
        <v>15</v>
      </c>
      <c r="E16" s="18"/>
      <c r="F16" s="18"/>
      <c r="G16" s="18"/>
    </row>
    <row r="17" spans="1:7" s="15" customFormat="1" x14ac:dyDescent="0.25">
      <c r="A17" s="328"/>
      <c r="B17" s="8" t="s">
        <v>13</v>
      </c>
      <c r="C17" s="19" t="s">
        <v>25</v>
      </c>
      <c r="D17" s="18">
        <v>200</v>
      </c>
      <c r="E17" s="18"/>
      <c r="F17" s="18"/>
      <c r="G17" s="18"/>
    </row>
    <row r="18" spans="1:7" s="15" customFormat="1" ht="18.75" customHeight="1" x14ac:dyDescent="0.25">
      <c r="A18" s="328"/>
      <c r="B18" s="9" t="s">
        <v>17</v>
      </c>
      <c r="C18" s="67"/>
      <c r="D18" s="18"/>
      <c r="E18" s="18"/>
      <c r="F18" s="18"/>
      <c r="G18" s="18"/>
    </row>
    <row r="19" spans="1:7" s="15" customFormat="1" ht="18.75" customHeight="1" x14ac:dyDescent="0.25">
      <c r="A19" s="328"/>
      <c r="B19" s="21" t="s">
        <v>27</v>
      </c>
      <c r="C19" s="22" t="s">
        <v>25</v>
      </c>
      <c r="D19" s="18">
        <v>105</v>
      </c>
      <c r="E19" s="18"/>
      <c r="F19" s="18"/>
      <c r="G19" s="18"/>
    </row>
    <row r="20" spans="1:7" s="15" customFormat="1" ht="18.75" customHeight="1" x14ac:dyDescent="0.25">
      <c r="A20" s="328"/>
      <c r="B20" s="21" t="s">
        <v>29</v>
      </c>
      <c r="C20" s="22" t="s">
        <v>28</v>
      </c>
      <c r="D20" s="18">
        <v>28</v>
      </c>
      <c r="E20" s="18"/>
      <c r="F20" s="18"/>
      <c r="G20" s="18"/>
    </row>
    <row r="21" spans="1:7" s="15" customFormat="1" x14ac:dyDescent="0.25">
      <c r="A21" s="328"/>
      <c r="B21" s="8" t="s">
        <v>11</v>
      </c>
      <c r="C21" s="328" t="s">
        <v>23</v>
      </c>
      <c r="D21" s="18"/>
      <c r="E21" s="18"/>
      <c r="F21" s="18"/>
      <c r="G21" s="18"/>
    </row>
    <row r="22" spans="1:7" s="15" customFormat="1" x14ac:dyDescent="0.25">
      <c r="A22" s="328"/>
      <c r="B22" s="20" t="s">
        <v>30</v>
      </c>
      <c r="C22" s="328"/>
      <c r="D22" s="18">
        <v>84</v>
      </c>
      <c r="E22" s="18"/>
      <c r="F22" s="18"/>
      <c r="G22" s="18"/>
    </row>
    <row r="23" spans="1:7" s="15" customFormat="1" x14ac:dyDescent="0.25">
      <c r="A23" s="328"/>
      <c r="B23" s="20" t="s">
        <v>31</v>
      </c>
      <c r="C23" s="328"/>
      <c r="D23" s="18">
        <v>3658</v>
      </c>
      <c r="E23" s="18"/>
      <c r="F23" s="18"/>
      <c r="G23" s="18"/>
    </row>
    <row r="24" spans="1:7" s="15" customFormat="1" ht="17.25" customHeight="1" x14ac:dyDescent="0.25">
      <c r="A24" s="328"/>
      <c r="B24" s="9" t="s">
        <v>20</v>
      </c>
      <c r="C24" s="19" t="s">
        <v>23</v>
      </c>
      <c r="D24" s="18">
        <v>1783</v>
      </c>
      <c r="E24" s="18"/>
      <c r="F24" s="18"/>
      <c r="G24" s="18"/>
    </row>
    <row r="25" spans="1:7" s="15" customFormat="1" ht="30" x14ac:dyDescent="0.25">
      <c r="A25" s="328"/>
      <c r="B25" s="20" t="s">
        <v>24</v>
      </c>
      <c r="C25" s="19" t="s">
        <v>32</v>
      </c>
      <c r="D25" s="18">
        <v>1</v>
      </c>
      <c r="E25" s="18"/>
      <c r="F25" s="18"/>
      <c r="G25" s="18"/>
    </row>
    <row r="26" spans="1:7" s="15" customFormat="1" ht="30" x14ac:dyDescent="0.25">
      <c r="A26" s="328"/>
      <c r="B26" s="7" t="s">
        <v>42</v>
      </c>
      <c r="C26" s="328" t="s">
        <v>33</v>
      </c>
      <c r="D26" s="68"/>
      <c r="E26" s="18"/>
      <c r="F26" s="18"/>
      <c r="G26" s="18"/>
    </row>
    <row r="27" spans="1:7" s="15" customFormat="1" x14ac:dyDescent="0.25">
      <c r="A27" s="328"/>
      <c r="B27" s="8" t="s">
        <v>0</v>
      </c>
      <c r="C27" s="328"/>
      <c r="D27" s="18">
        <v>3</v>
      </c>
      <c r="E27" s="18"/>
      <c r="F27" s="18"/>
      <c r="G27" s="18"/>
    </row>
    <row r="28" spans="1:7" s="15" customFormat="1" x14ac:dyDescent="0.25">
      <c r="A28" s="328"/>
      <c r="B28" s="8" t="s">
        <v>13</v>
      </c>
      <c r="C28" s="328"/>
      <c r="D28" s="18">
        <v>0.55000000000000004</v>
      </c>
      <c r="E28" s="18"/>
      <c r="F28" s="18"/>
      <c r="G28" s="18"/>
    </row>
    <row r="29" spans="1:7" s="15" customFormat="1" ht="18.75" customHeight="1" x14ac:dyDescent="0.25">
      <c r="A29" s="328"/>
      <c r="B29" s="9" t="s">
        <v>17</v>
      </c>
      <c r="C29" s="328"/>
      <c r="D29" s="18"/>
      <c r="E29" s="18"/>
      <c r="F29" s="18"/>
      <c r="G29" s="18"/>
    </row>
    <row r="30" spans="1:7" s="15" customFormat="1" ht="18.75" customHeight="1" x14ac:dyDescent="0.25">
      <c r="A30" s="328"/>
      <c r="B30" s="21" t="s">
        <v>27</v>
      </c>
      <c r="C30" s="328"/>
      <c r="D30" s="18">
        <v>0.53</v>
      </c>
      <c r="E30" s="18"/>
      <c r="F30" s="18"/>
      <c r="G30" s="18"/>
    </row>
    <row r="31" spans="1:7" s="15" customFormat="1" ht="15.75" customHeight="1" x14ac:dyDescent="0.25">
      <c r="A31" s="328"/>
      <c r="B31" s="21" t="s">
        <v>29</v>
      </c>
      <c r="C31" s="328"/>
      <c r="D31" s="18">
        <v>4.87</v>
      </c>
      <c r="E31" s="18"/>
      <c r="F31" s="18"/>
      <c r="G31" s="18"/>
    </row>
    <row r="32" spans="1:7" s="15" customFormat="1" x14ac:dyDescent="0.25">
      <c r="A32" s="328"/>
      <c r="B32" s="8" t="s">
        <v>11</v>
      </c>
      <c r="C32" s="328"/>
      <c r="D32" s="18"/>
      <c r="E32" s="18"/>
      <c r="F32" s="18"/>
      <c r="G32" s="18"/>
    </row>
    <row r="33" spans="1:7" s="15" customFormat="1" x14ac:dyDescent="0.25">
      <c r="A33" s="328"/>
      <c r="B33" s="20" t="s">
        <v>30</v>
      </c>
      <c r="C33" s="328"/>
      <c r="D33" s="18">
        <v>5.54</v>
      </c>
      <c r="E33" s="18"/>
      <c r="F33" s="18"/>
      <c r="G33" s="18"/>
    </row>
    <row r="34" spans="1:7" s="15" customFormat="1" x14ac:dyDescent="0.25">
      <c r="A34" s="328"/>
      <c r="B34" s="20" t="s">
        <v>31</v>
      </c>
      <c r="C34" s="328"/>
      <c r="D34" s="18">
        <v>2.2599999999999998</v>
      </c>
      <c r="E34" s="18"/>
      <c r="F34" s="18"/>
      <c r="G34" s="18"/>
    </row>
    <row r="35" spans="1:7" s="15" customFormat="1" ht="17.25" customHeight="1" x14ac:dyDescent="0.25">
      <c r="A35" s="328"/>
      <c r="B35" s="9" t="s">
        <v>20</v>
      </c>
      <c r="C35" s="328"/>
      <c r="D35" s="18">
        <v>4.03</v>
      </c>
      <c r="E35" s="18"/>
      <c r="F35" s="18"/>
      <c r="G35" s="18"/>
    </row>
    <row r="36" spans="1:7" s="15" customFormat="1" x14ac:dyDescent="0.25">
      <c r="A36" s="328"/>
      <c r="B36" s="20" t="s">
        <v>24</v>
      </c>
      <c r="C36" s="328"/>
      <c r="D36" s="18">
        <v>150</v>
      </c>
      <c r="E36" s="18"/>
      <c r="F36" s="18"/>
      <c r="G36" s="18"/>
    </row>
    <row r="37" spans="1:7" s="11" customFormat="1" ht="14.25" x14ac:dyDescent="0.2">
      <c r="A37" s="29" t="s">
        <v>34</v>
      </c>
      <c r="B37" s="29" t="s">
        <v>55</v>
      </c>
      <c r="C37" s="29"/>
      <c r="D37" s="54">
        <f>((D40/D41)-(D38/D39))*D39</f>
        <v>4716.5993557374186</v>
      </c>
      <c r="E37" s="54" t="e">
        <f t="shared" ref="E37:G37" si="4">((E40/E41)-(E38/E39))*E39</f>
        <v>#DIV/0!</v>
      </c>
      <c r="F37" s="54" t="e">
        <f t="shared" si="4"/>
        <v>#DIV/0!</v>
      </c>
      <c r="G37" s="54" t="e">
        <f t="shared" si="4"/>
        <v>#DIV/0!</v>
      </c>
    </row>
    <row r="38" spans="1:7" ht="60" x14ac:dyDescent="0.25">
      <c r="A38" s="327" t="s">
        <v>35</v>
      </c>
      <c r="B38" s="27" t="s">
        <v>38</v>
      </c>
      <c r="C38" s="28" t="s">
        <v>37</v>
      </c>
      <c r="D38" s="30">
        <v>20573</v>
      </c>
      <c r="E38" s="26"/>
      <c r="F38" s="26"/>
      <c r="G38" s="26"/>
    </row>
    <row r="39" spans="1:7" x14ac:dyDescent="0.25">
      <c r="A39" s="327"/>
      <c r="B39" s="27" t="s">
        <v>54</v>
      </c>
      <c r="C39" s="28" t="s">
        <v>8</v>
      </c>
      <c r="D39" s="30">
        <v>58453</v>
      </c>
      <c r="E39" s="26"/>
      <c r="F39" s="26"/>
      <c r="G39" s="26"/>
    </row>
    <row r="40" spans="1:7" ht="60" x14ac:dyDescent="0.25">
      <c r="A40" s="327" t="s">
        <v>36</v>
      </c>
      <c r="B40" s="27" t="s">
        <v>39</v>
      </c>
      <c r="C40" s="28" t="s">
        <v>37</v>
      </c>
      <c r="D40" s="30">
        <v>24847</v>
      </c>
      <c r="E40" s="26"/>
      <c r="F40" s="26"/>
      <c r="G40" s="26"/>
    </row>
    <row r="41" spans="1:7" x14ac:dyDescent="0.25">
      <c r="A41" s="327"/>
      <c r="B41" s="27" t="s">
        <v>40</v>
      </c>
      <c r="C41" s="28" t="s">
        <v>8</v>
      </c>
      <c r="D41" s="30">
        <v>57430</v>
      </c>
      <c r="E41" s="26"/>
      <c r="F41" s="26"/>
      <c r="G41" s="26"/>
    </row>
    <row r="44" spans="1:7" ht="15.75" thickBot="1" x14ac:dyDescent="0.3">
      <c r="B44" s="70" t="s">
        <v>57</v>
      </c>
      <c r="C44" s="69"/>
      <c r="D44" s="69"/>
      <c r="E44" s="69"/>
      <c r="F44" s="69"/>
      <c r="G44" s="69"/>
    </row>
    <row r="45" spans="1:7" ht="15.75" thickTop="1" x14ac:dyDescent="0.25"/>
  </sheetData>
  <mergeCells count="9">
    <mergeCell ref="A1:G1"/>
    <mergeCell ref="A38:A39"/>
    <mergeCell ref="A40:A41"/>
    <mergeCell ref="C21:C23"/>
    <mergeCell ref="A15:A36"/>
    <mergeCell ref="C26:C36"/>
    <mergeCell ref="A4:A12"/>
    <mergeCell ref="C4:C8"/>
    <mergeCell ref="C9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54"/>
  <sheetViews>
    <sheetView zoomScale="85" zoomScaleNormal="85" workbookViewId="0">
      <selection activeCell="P1" sqref="P1:U1048576"/>
    </sheetView>
  </sheetViews>
  <sheetFormatPr defaultColWidth="9.140625" defaultRowHeight="15" x14ac:dyDescent="0.25"/>
  <cols>
    <col min="1" max="1" width="12.5703125" style="1" customWidth="1"/>
    <col min="2" max="2" width="51.7109375" style="1" customWidth="1"/>
    <col min="3" max="3" width="11.42578125" style="1" customWidth="1"/>
    <col min="4" max="4" width="14.42578125" style="1" customWidth="1"/>
    <col min="5" max="13" width="14.42578125" style="1" hidden="1" customWidth="1"/>
    <col min="14" max="14" width="14.42578125" style="1" customWidth="1"/>
    <col min="15" max="15" width="13" style="1" hidden="1" customWidth="1"/>
    <col min="16" max="16" width="9.42578125" style="1" hidden="1" customWidth="1"/>
    <col min="17" max="21" width="0" style="1" hidden="1" customWidth="1"/>
    <col min="22" max="16384" width="9.140625" style="1"/>
  </cols>
  <sheetData>
    <row r="1" spans="1:17" ht="42" customHeight="1" x14ac:dyDescent="0.3">
      <c r="A1" s="326" t="s">
        <v>56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1:17" s="11" customFormat="1" ht="39" customHeight="1" thickBot="1" x14ac:dyDescent="0.25">
      <c r="A2" s="12" t="s">
        <v>4</v>
      </c>
      <c r="B2" s="46"/>
      <c r="C2" s="47" t="s">
        <v>5</v>
      </c>
      <c r="D2" s="47" t="s">
        <v>1</v>
      </c>
      <c r="E2" s="81" t="s">
        <v>68</v>
      </c>
      <c r="F2" s="48" t="s">
        <v>64</v>
      </c>
      <c r="G2" s="48" t="s">
        <v>58</v>
      </c>
      <c r="H2" s="48" t="s">
        <v>59</v>
      </c>
      <c r="I2" s="48" t="s">
        <v>60</v>
      </c>
      <c r="J2" s="48" t="s">
        <v>61</v>
      </c>
      <c r="K2" s="48" t="s">
        <v>62</v>
      </c>
      <c r="L2" s="48" t="s">
        <v>63</v>
      </c>
      <c r="M2" s="48" t="s">
        <v>10</v>
      </c>
      <c r="N2" s="47" t="s">
        <v>2</v>
      </c>
      <c r="O2" s="47" t="s">
        <v>3</v>
      </c>
    </row>
    <row r="3" spans="1:17" s="11" customFormat="1" thickBot="1" x14ac:dyDescent="0.25">
      <c r="A3" s="82" t="s">
        <v>15</v>
      </c>
      <c r="B3" s="83" t="s">
        <v>53</v>
      </c>
      <c r="C3" s="84"/>
      <c r="D3" s="194">
        <f>(D10-D9)*D13</f>
        <v>-11096.023840000018</v>
      </c>
      <c r="E3" s="194">
        <f t="shared" ref="E3" si="0">(E10-E9)*E13</f>
        <v>0</v>
      </c>
      <c r="F3" s="194">
        <f t="shared" ref="F3:L3" si="1">(F10-F9)*F13</f>
        <v>0</v>
      </c>
      <c r="G3" s="194">
        <f t="shared" si="1"/>
        <v>0</v>
      </c>
      <c r="H3" s="194">
        <f t="shared" si="1"/>
        <v>0</v>
      </c>
      <c r="I3" s="194">
        <f t="shared" si="1"/>
        <v>0</v>
      </c>
      <c r="J3" s="194">
        <f t="shared" ref="J3:K3" si="2">(J10-J9)*J13</f>
        <v>0</v>
      </c>
      <c r="K3" s="194">
        <f t="shared" si="2"/>
        <v>0</v>
      </c>
      <c r="L3" s="194">
        <f t="shared" si="1"/>
        <v>0</v>
      </c>
      <c r="M3" s="194">
        <f t="shared" ref="M3:O3" si="3">(M10-M9)*M13</f>
        <v>0</v>
      </c>
      <c r="N3" s="194">
        <f t="shared" si="3"/>
        <v>0</v>
      </c>
      <c r="O3" s="86">
        <f t="shared" si="3"/>
        <v>0</v>
      </c>
    </row>
    <row r="4" spans="1:17" x14ac:dyDescent="0.25">
      <c r="A4" s="345" t="s">
        <v>7</v>
      </c>
      <c r="B4" s="87" t="s">
        <v>12</v>
      </c>
      <c r="C4" s="343" t="s">
        <v>6</v>
      </c>
      <c r="D4" s="101">
        <v>54</v>
      </c>
      <c r="E4" s="101">
        <v>54</v>
      </c>
      <c r="F4" s="101">
        <v>54</v>
      </c>
      <c r="G4" s="101">
        <v>54</v>
      </c>
      <c r="H4" s="101">
        <v>54</v>
      </c>
      <c r="I4" s="101">
        <v>54</v>
      </c>
      <c r="J4" s="101">
        <v>54</v>
      </c>
      <c r="K4" s="101">
        <v>54</v>
      </c>
      <c r="L4" s="101">
        <v>54</v>
      </c>
      <c r="M4" s="102"/>
      <c r="N4" s="101">
        <v>42</v>
      </c>
      <c r="O4" s="88"/>
    </row>
    <row r="5" spans="1:17" ht="15" customHeight="1" x14ac:dyDescent="0.25">
      <c r="A5" s="346"/>
      <c r="B5" s="89" t="s">
        <v>50</v>
      </c>
      <c r="C5" s="343"/>
      <c r="D5" s="103">
        <v>20717</v>
      </c>
      <c r="E5" s="103">
        <v>1058</v>
      </c>
      <c r="F5" s="103">
        <v>1108</v>
      </c>
      <c r="G5" s="103">
        <v>1356</v>
      </c>
      <c r="H5" s="103">
        <v>368</v>
      </c>
      <c r="I5" s="103">
        <v>368</v>
      </c>
      <c r="J5" s="103">
        <v>368</v>
      </c>
      <c r="K5" s="103">
        <v>1528</v>
      </c>
      <c r="L5" s="103">
        <v>3102</v>
      </c>
      <c r="M5" s="103"/>
      <c r="N5" s="103">
        <v>7874</v>
      </c>
      <c r="O5" s="90"/>
    </row>
    <row r="6" spans="1:17" x14ac:dyDescent="0.25">
      <c r="A6" s="346"/>
      <c r="B6" s="89" t="s">
        <v>51</v>
      </c>
      <c r="C6" s="343"/>
      <c r="D6" s="103">
        <f>D5+D7-D8</f>
        <v>19697</v>
      </c>
      <c r="E6" s="103">
        <v>1058</v>
      </c>
      <c r="F6" s="103">
        <f t="shared" ref="F6:L6" si="4">F5+F7-F8</f>
        <v>870</v>
      </c>
      <c r="G6" s="103">
        <f t="shared" si="4"/>
        <v>1322</v>
      </c>
      <c r="H6" s="103">
        <f t="shared" si="4"/>
        <v>368</v>
      </c>
      <c r="I6" s="103">
        <f t="shared" si="4"/>
        <v>368</v>
      </c>
      <c r="J6" s="103">
        <f t="shared" si="4"/>
        <v>368</v>
      </c>
      <c r="K6" s="103">
        <f t="shared" si="4"/>
        <v>1392</v>
      </c>
      <c r="L6" s="103">
        <f t="shared" si="4"/>
        <v>2490</v>
      </c>
      <c r="M6" s="103">
        <f t="shared" ref="M6:O6" si="5">M5+M7-M8</f>
        <v>0</v>
      </c>
      <c r="N6" s="103">
        <v>7874</v>
      </c>
      <c r="O6" s="90">
        <f t="shared" si="5"/>
        <v>0</v>
      </c>
    </row>
    <row r="7" spans="1:17" x14ac:dyDescent="0.25">
      <c r="A7" s="346"/>
      <c r="B7" s="91" t="s">
        <v>46</v>
      </c>
      <c r="C7" s="34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90"/>
    </row>
    <row r="8" spans="1:17" x14ac:dyDescent="0.25">
      <c r="A8" s="346"/>
      <c r="B8" s="91" t="s">
        <v>47</v>
      </c>
      <c r="C8" s="344"/>
      <c r="D8" s="103">
        <f>SUM(E8+F8+G8+J8+K8+L8)</f>
        <v>1020</v>
      </c>
      <c r="E8" s="103">
        <v>0</v>
      </c>
      <c r="F8" s="103">
        <v>238</v>
      </c>
      <c r="G8" s="103">
        <v>34</v>
      </c>
      <c r="H8" s="103">
        <v>0</v>
      </c>
      <c r="I8" s="103">
        <v>0</v>
      </c>
      <c r="J8" s="103">
        <v>0</v>
      </c>
      <c r="K8" s="103">
        <v>136</v>
      </c>
      <c r="L8" s="103">
        <v>612</v>
      </c>
      <c r="M8" s="103"/>
      <c r="N8" s="103"/>
      <c r="O8" s="90"/>
      <c r="P8" s="74"/>
    </row>
    <row r="9" spans="1:17" x14ac:dyDescent="0.25">
      <c r="A9" s="346"/>
      <c r="B9" s="89" t="s">
        <v>44</v>
      </c>
      <c r="C9" s="340" t="s">
        <v>8</v>
      </c>
      <c r="D9" s="103">
        <v>175440.7</v>
      </c>
      <c r="E9" s="103">
        <v>5782.2</v>
      </c>
      <c r="F9" s="103">
        <v>7138.6</v>
      </c>
      <c r="G9" s="103">
        <v>19011.5</v>
      </c>
      <c r="H9" s="103">
        <v>3286.9</v>
      </c>
      <c r="I9" s="103">
        <v>3286.9</v>
      </c>
      <c r="J9" s="103">
        <v>3286.9</v>
      </c>
      <c r="K9" s="103">
        <v>9168</v>
      </c>
      <c r="L9" s="103">
        <v>19542.599999999999</v>
      </c>
      <c r="M9" s="103"/>
      <c r="N9" s="103">
        <v>61787.2575</v>
      </c>
      <c r="O9" s="90"/>
    </row>
    <row r="10" spans="1:17" x14ac:dyDescent="0.25">
      <c r="A10" s="346"/>
      <c r="B10" s="89" t="s">
        <v>52</v>
      </c>
      <c r="C10" s="341"/>
      <c r="D10" s="103">
        <f>D9+D11-D12</f>
        <v>168396.5</v>
      </c>
      <c r="E10" s="103">
        <f t="shared" ref="E10:L10" si="6">E9+E11-E12</f>
        <v>5517.7</v>
      </c>
      <c r="F10" s="103">
        <f>F9+F11-F12</f>
        <v>5647.7000000000007</v>
      </c>
      <c r="G10" s="103">
        <f t="shared" si="6"/>
        <v>18544</v>
      </c>
      <c r="H10" s="103">
        <f t="shared" si="6"/>
        <v>3232.4</v>
      </c>
      <c r="I10" s="103">
        <f t="shared" si="6"/>
        <v>3183.2000000000003</v>
      </c>
      <c r="J10" s="103">
        <f t="shared" si="6"/>
        <v>3137.2000000000003</v>
      </c>
      <c r="K10" s="103">
        <f t="shared" si="6"/>
        <v>8352</v>
      </c>
      <c r="L10" s="103">
        <f t="shared" si="6"/>
        <v>15686.999999999998</v>
      </c>
      <c r="M10" s="103">
        <f t="shared" ref="M10:O10" si="7">M9+M11-M12</f>
        <v>0</v>
      </c>
      <c r="N10" s="103">
        <v>61787.2575</v>
      </c>
      <c r="O10" s="90">
        <f t="shared" si="7"/>
        <v>0</v>
      </c>
      <c r="P10" s="193">
        <f ca="1">atskaites_jedox!AO9</f>
        <v>232306.9</v>
      </c>
      <c r="Q10" s="193">
        <f ca="1">atskaites_jedox!AP9</f>
        <v>71135.81</v>
      </c>
    </row>
    <row r="11" spans="1:17" ht="16.5" customHeight="1" x14ac:dyDescent="0.25">
      <c r="A11" s="346"/>
      <c r="B11" s="92" t="s">
        <v>48</v>
      </c>
      <c r="C11" s="341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90"/>
    </row>
    <row r="12" spans="1:17" ht="16.5" customHeight="1" x14ac:dyDescent="0.25">
      <c r="A12" s="347"/>
      <c r="B12" s="92" t="s">
        <v>49</v>
      </c>
      <c r="C12" s="342"/>
      <c r="D12" s="103">
        <f>SUM(E12+F12+G12+J12+K12+L12)</f>
        <v>7044.2</v>
      </c>
      <c r="E12" s="103">
        <v>264.5</v>
      </c>
      <c r="F12" s="103">
        <v>1490.9</v>
      </c>
      <c r="G12" s="103">
        <v>467.5</v>
      </c>
      <c r="H12" s="103">
        <v>54.5</v>
      </c>
      <c r="I12" s="103">
        <v>103.7</v>
      </c>
      <c r="J12" s="103">
        <v>149.69999999999999</v>
      </c>
      <c r="K12" s="103">
        <v>816</v>
      </c>
      <c r="L12" s="103">
        <v>3855.6</v>
      </c>
      <c r="M12" s="103"/>
      <c r="N12" s="103"/>
      <c r="O12" s="90"/>
      <c r="P12" s="74"/>
    </row>
    <row r="13" spans="1:17" ht="30.75" thickBot="1" x14ac:dyDescent="0.3">
      <c r="A13" s="93" t="s">
        <v>14</v>
      </c>
      <c r="B13" s="94" t="s">
        <v>45</v>
      </c>
      <c r="C13" s="95" t="s">
        <v>9</v>
      </c>
      <c r="D13" s="104">
        <v>1.5751999999999999</v>
      </c>
      <c r="E13" s="104"/>
      <c r="F13" s="104"/>
      <c r="G13" s="104"/>
      <c r="H13" s="104"/>
      <c r="I13" s="104"/>
      <c r="J13" s="104"/>
      <c r="K13" s="104"/>
      <c r="L13" s="104"/>
      <c r="M13" s="104"/>
      <c r="N13" s="104">
        <v>3.6694</v>
      </c>
      <c r="O13" s="96"/>
      <c r="P13" s="202">
        <f ca="1">atskaites_jedox!BC9</f>
        <v>1.5899999999999999</v>
      </c>
      <c r="Q13" s="195">
        <f ca="1">atskaites_jedox!BD9</f>
        <v>3.68</v>
      </c>
    </row>
    <row r="14" spans="1:17" s="11" customFormat="1" ht="29.25" thickBot="1" x14ac:dyDescent="0.25">
      <c r="A14" s="40" t="s">
        <v>16</v>
      </c>
      <c r="B14" s="43" t="s">
        <v>43</v>
      </c>
      <c r="C14" s="44"/>
      <c r="D14" s="105">
        <f>SUM(D16*D24,D22*D30,D17*D25,D18*D26,D19*D27,D20*D28,D21*D29)</f>
        <v>2272.1435000000001</v>
      </c>
      <c r="E14" s="105"/>
      <c r="F14" s="105">
        <f t="shared" ref="F14:M14" si="8">SUM(F16*F24,F17*F25,F18*F26,F19*F27,F20*F28,F21*F29)</f>
        <v>0</v>
      </c>
      <c r="G14" s="105">
        <f t="shared" si="8"/>
        <v>0</v>
      </c>
      <c r="H14" s="105">
        <f t="shared" si="8"/>
        <v>0</v>
      </c>
      <c r="I14" s="105">
        <f t="shared" si="8"/>
        <v>0</v>
      </c>
      <c r="J14" s="105">
        <f t="shared" si="8"/>
        <v>0</v>
      </c>
      <c r="K14" s="105">
        <f t="shared" si="8"/>
        <v>0</v>
      </c>
      <c r="L14" s="105">
        <f t="shared" si="8"/>
        <v>0</v>
      </c>
      <c r="M14" s="105">
        <f t="shared" si="8"/>
        <v>0</v>
      </c>
      <c r="N14" s="105">
        <f>SUM(N16*N24,N17*N25,N18*N26,N19*N27,N20*N28,N21*N29)</f>
        <v>978.73299999999995</v>
      </c>
      <c r="O14" s="45">
        <f>SUM(O16*O24,O17*O25,O18*O26,O19*O27,O20*O28,O21*O29)</f>
        <v>0</v>
      </c>
    </row>
    <row r="15" spans="1:17" s="15" customFormat="1" ht="48.75" customHeight="1" x14ac:dyDescent="0.25">
      <c r="A15" s="333" t="s">
        <v>7</v>
      </c>
      <c r="B15" s="41" t="s">
        <v>41</v>
      </c>
      <c r="C15" s="331" t="s">
        <v>22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42"/>
    </row>
    <row r="16" spans="1:17" s="15" customFormat="1" x14ac:dyDescent="0.25">
      <c r="A16" s="334"/>
      <c r="B16" s="35" t="s">
        <v>0</v>
      </c>
      <c r="C16" s="331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36"/>
    </row>
    <row r="17" spans="1:17" s="15" customFormat="1" x14ac:dyDescent="0.25">
      <c r="A17" s="334"/>
      <c r="B17" s="35" t="s">
        <v>65</v>
      </c>
      <c r="C17" s="331"/>
      <c r="D17" s="18">
        <v>13161</v>
      </c>
      <c r="E17" s="18"/>
      <c r="F17" s="18"/>
      <c r="G17" s="18"/>
      <c r="H17" s="18"/>
      <c r="I17" s="18"/>
      <c r="J17" s="18"/>
      <c r="K17" s="18"/>
      <c r="L17" s="18"/>
      <c r="M17" s="18"/>
      <c r="N17" s="18">
        <v>13161</v>
      </c>
      <c r="O17" s="36"/>
    </row>
    <row r="18" spans="1:17" s="15" customFormat="1" ht="18.75" customHeight="1" x14ac:dyDescent="0.25">
      <c r="A18" s="334"/>
      <c r="B18" s="37" t="s">
        <v>17</v>
      </c>
      <c r="C18" s="331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6"/>
    </row>
    <row r="19" spans="1:17" s="15" customFormat="1" x14ac:dyDescent="0.25">
      <c r="A19" s="334"/>
      <c r="B19" s="35" t="s">
        <v>72</v>
      </c>
      <c r="C19" s="331"/>
      <c r="D19" s="18">
        <v>9548.7099999999991</v>
      </c>
      <c r="E19" s="18"/>
      <c r="F19" s="18"/>
      <c r="G19" s="18"/>
      <c r="H19" s="18"/>
      <c r="I19" s="18"/>
      <c r="J19" s="18"/>
      <c r="K19" s="18"/>
      <c r="L19" s="18"/>
      <c r="M19" s="18"/>
      <c r="N19" s="18">
        <v>8420.9</v>
      </c>
      <c r="O19" s="36"/>
    </row>
    <row r="20" spans="1:17" s="15" customFormat="1" ht="17.25" customHeight="1" x14ac:dyDescent="0.25">
      <c r="A20" s="334"/>
      <c r="B20" s="37" t="s">
        <v>20</v>
      </c>
      <c r="C20" s="331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36"/>
    </row>
    <row r="21" spans="1:17" s="15" customFormat="1" ht="15.75" thickBot="1" x14ac:dyDescent="0.3">
      <c r="A21" s="334"/>
      <c r="B21" s="38" t="s">
        <v>67</v>
      </c>
      <c r="C21" s="332"/>
      <c r="D21" s="107">
        <v>2844</v>
      </c>
      <c r="E21" s="107"/>
      <c r="F21" s="107"/>
      <c r="G21" s="107"/>
      <c r="H21" s="107"/>
      <c r="I21" s="107"/>
      <c r="J21" s="107"/>
      <c r="K21" s="107"/>
      <c r="L21" s="107"/>
      <c r="M21" s="107"/>
      <c r="N21" s="107">
        <v>2102</v>
      </c>
      <c r="O21" s="39"/>
    </row>
    <row r="22" spans="1:17" s="15" customFormat="1" ht="15.75" thickBot="1" x14ac:dyDescent="0.3">
      <c r="A22" s="334"/>
      <c r="B22" s="38" t="s">
        <v>69</v>
      </c>
      <c r="C22" s="79"/>
      <c r="D22" s="108">
        <v>23</v>
      </c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75"/>
    </row>
    <row r="23" spans="1:17" s="15" customFormat="1" ht="30" x14ac:dyDescent="0.25">
      <c r="A23" s="334"/>
      <c r="B23" s="33" t="s">
        <v>42</v>
      </c>
      <c r="C23" s="351" t="s">
        <v>33</v>
      </c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34"/>
    </row>
    <row r="24" spans="1:17" s="15" customFormat="1" x14ac:dyDescent="0.25">
      <c r="A24" s="334"/>
      <c r="B24" s="35" t="s">
        <v>0</v>
      </c>
      <c r="C24" s="331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36"/>
    </row>
    <row r="25" spans="1:17" s="15" customFormat="1" x14ac:dyDescent="0.25">
      <c r="A25" s="334"/>
      <c r="B25" s="35" t="s">
        <v>13</v>
      </c>
      <c r="C25" s="331"/>
      <c r="D25" s="18">
        <v>2.8000000000000001E-2</v>
      </c>
      <c r="E25" s="18"/>
      <c r="F25" s="18"/>
      <c r="G25" s="18"/>
      <c r="H25" s="18"/>
      <c r="I25" s="18"/>
      <c r="J25" s="18"/>
      <c r="K25" s="18"/>
      <c r="L25" s="18"/>
      <c r="M25" s="18"/>
      <c r="N25" s="18">
        <v>2.8000000000000001E-2</v>
      </c>
      <c r="O25" s="36"/>
    </row>
    <row r="26" spans="1:17" s="15" customFormat="1" ht="15" customHeight="1" x14ac:dyDescent="0.25">
      <c r="A26" s="334"/>
      <c r="B26" s="37" t="s">
        <v>17</v>
      </c>
      <c r="C26" s="331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36"/>
    </row>
    <row r="27" spans="1:17" s="15" customFormat="1" ht="31.5" customHeight="1" x14ac:dyDescent="0.25">
      <c r="A27" s="334"/>
      <c r="B27" s="37" t="s">
        <v>19</v>
      </c>
      <c r="C27" s="331"/>
      <c r="D27" s="18">
        <v>0.05</v>
      </c>
      <c r="E27" s="18"/>
      <c r="F27" s="18"/>
      <c r="G27" s="18"/>
      <c r="H27" s="18"/>
      <c r="I27" s="18"/>
      <c r="J27" s="18"/>
      <c r="K27" s="18"/>
      <c r="L27" s="18"/>
      <c r="M27" s="18"/>
      <c r="N27" s="18">
        <v>0.05</v>
      </c>
      <c r="O27" s="36"/>
    </row>
    <row r="28" spans="1:17" s="15" customFormat="1" ht="33" customHeight="1" x14ac:dyDescent="0.25">
      <c r="A28" s="334"/>
      <c r="B28" s="37" t="s">
        <v>21</v>
      </c>
      <c r="C28" s="331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36"/>
    </row>
    <row r="29" spans="1:17" ht="15.75" thickBot="1" x14ac:dyDescent="0.3">
      <c r="A29" s="335"/>
      <c r="B29" s="38" t="s">
        <v>66</v>
      </c>
      <c r="C29" s="332"/>
      <c r="D29" s="107">
        <v>0.09</v>
      </c>
      <c r="E29" s="107"/>
      <c r="F29" s="107"/>
      <c r="G29" s="107"/>
      <c r="H29" s="107"/>
      <c r="I29" s="107"/>
      <c r="J29" s="107"/>
      <c r="K29" s="107"/>
      <c r="L29" s="107"/>
      <c r="M29" s="107"/>
      <c r="N29" s="107">
        <v>0.09</v>
      </c>
      <c r="O29" s="39"/>
    </row>
    <row r="30" spans="1:17" ht="15.75" thickBot="1" x14ac:dyDescent="0.3">
      <c r="A30" s="80"/>
      <c r="B30" s="38" t="s">
        <v>70</v>
      </c>
      <c r="C30" s="79"/>
      <c r="D30" s="108">
        <v>50.88</v>
      </c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75"/>
    </row>
    <row r="31" spans="1:17" s="11" customFormat="1" ht="14.25" x14ac:dyDescent="0.2">
      <c r="A31" s="49" t="s">
        <v>34</v>
      </c>
      <c r="B31" s="56" t="s">
        <v>55</v>
      </c>
      <c r="C31" s="57"/>
      <c r="D31" s="58">
        <f>((D34/D35)-(D32/D33))*D33</f>
        <v>9198.6757630675147</v>
      </c>
      <c r="E31" s="58"/>
      <c r="F31" s="58"/>
      <c r="G31" s="58"/>
      <c r="H31" s="58"/>
      <c r="I31" s="58"/>
      <c r="J31" s="58"/>
      <c r="K31" s="58"/>
      <c r="L31" s="58"/>
      <c r="M31" s="58" t="e">
        <f>((M34/M35)-(M33/#REF!))*#REF!</f>
        <v>#DIV/0!</v>
      </c>
      <c r="N31" s="58">
        <f>((N34/N35)-(N32/N33))*N33</f>
        <v>12539.301545147393</v>
      </c>
      <c r="O31" s="59" t="e">
        <f t="shared" ref="O31" si="9">((O34/O35)-(O32/O33))*O33</f>
        <v>#DIV/0!</v>
      </c>
    </row>
    <row r="32" spans="1:17" ht="60" x14ac:dyDescent="0.25">
      <c r="A32" s="336" t="s">
        <v>35</v>
      </c>
      <c r="B32" s="60" t="s">
        <v>38</v>
      </c>
      <c r="C32" s="55" t="s">
        <v>37</v>
      </c>
      <c r="D32" s="76">
        <f>65274.65</f>
        <v>65274.65</v>
      </c>
      <c r="E32" s="73"/>
      <c r="F32" s="73"/>
      <c r="G32" s="73"/>
      <c r="H32" s="73"/>
      <c r="I32" s="73"/>
      <c r="J32" s="73"/>
      <c r="K32" s="73"/>
      <c r="L32" s="73"/>
      <c r="M32" s="53"/>
      <c r="N32" s="76">
        <f>43382.15</f>
        <v>43382.15</v>
      </c>
      <c r="O32" s="61"/>
      <c r="P32" s="193">
        <f ca="1">atskaites_jedox!AM9</f>
        <v>87187.74</v>
      </c>
      <c r="Q32" s="193">
        <f ca="1">atskaites_jedox!AN9</f>
        <v>43303.31</v>
      </c>
    </row>
    <row r="33" spans="1:20" x14ac:dyDescent="0.25">
      <c r="A33" s="337"/>
      <c r="B33" s="60" t="s">
        <v>54</v>
      </c>
      <c r="C33" s="55" t="s">
        <v>8</v>
      </c>
      <c r="D33" s="76">
        <v>168396.5</v>
      </c>
      <c r="E33" s="30"/>
      <c r="F33" s="30"/>
      <c r="G33" s="30"/>
      <c r="H33" s="30"/>
      <c r="I33" s="30"/>
      <c r="J33" s="30"/>
      <c r="K33" s="30"/>
      <c r="L33" s="30"/>
      <c r="M33" s="26"/>
      <c r="N33" s="76">
        <v>61787.26</v>
      </c>
      <c r="O33" s="61"/>
      <c r="P33" s="193">
        <f ca="1">atskaites_jedox!AO9</f>
        <v>232306.9</v>
      </c>
      <c r="Q33" s="193">
        <f ca="1">atskaites_jedox!AP9</f>
        <v>71135.81</v>
      </c>
      <c r="R33" s="1" t="b">
        <f>D33=D10</f>
        <v>1</v>
      </c>
      <c r="S33" s="1" t="b">
        <f>N33=N10</f>
        <v>0</v>
      </c>
      <c r="T33" s="74">
        <f>N33-N10</f>
        <v>2.5000000023283064E-3</v>
      </c>
    </row>
    <row r="34" spans="1:20" ht="60" x14ac:dyDescent="0.25">
      <c r="A34" s="336" t="s">
        <v>36</v>
      </c>
      <c r="B34" s="60" t="s">
        <v>39</v>
      </c>
      <c r="C34" s="55" t="s">
        <v>37</v>
      </c>
      <c r="D34" s="76">
        <f>76064.01</f>
        <v>76064.009999999995</v>
      </c>
      <c r="E34" s="30"/>
      <c r="F34" s="30"/>
      <c r="G34" s="30"/>
      <c r="H34" s="30"/>
      <c r="I34" s="30"/>
      <c r="J34" s="30"/>
      <c r="K34" s="30"/>
      <c r="L34" s="30"/>
      <c r="M34" s="26"/>
      <c r="N34" s="76">
        <f>56301.47</f>
        <v>56301.47</v>
      </c>
      <c r="O34" s="61"/>
      <c r="P34" s="193">
        <f ca="1">atskaites_jedox!C9</f>
        <v>102521.06</v>
      </c>
      <c r="Q34" s="193">
        <f ca="1">atskaites_jedox!D9</f>
        <v>75884.490000000005</v>
      </c>
    </row>
    <row r="35" spans="1:20" ht="15.75" thickBot="1" x14ac:dyDescent="0.3">
      <c r="A35" s="337"/>
      <c r="B35" s="62" t="s">
        <v>40</v>
      </c>
      <c r="C35" s="52" t="s">
        <v>8</v>
      </c>
      <c r="D35" s="78">
        <v>171993.3</v>
      </c>
      <c r="E35" s="63"/>
      <c r="F35" s="63"/>
      <c r="G35" s="63"/>
      <c r="H35" s="63"/>
      <c r="I35" s="63"/>
      <c r="J35" s="63"/>
      <c r="K35" s="63"/>
      <c r="L35" s="63"/>
      <c r="M35" s="50"/>
      <c r="N35" s="78">
        <v>62207.14</v>
      </c>
      <c r="O35" s="51"/>
      <c r="P35" s="193">
        <f ca="1">atskaites_jedox!E9</f>
        <v>232830.9</v>
      </c>
      <c r="Q35" s="193">
        <f ca="1">atskaites_jedox!F9</f>
        <v>84026.45</v>
      </c>
    </row>
    <row r="38" spans="1:20" ht="15.75" thickBot="1" x14ac:dyDescent="0.3">
      <c r="B38" s="70" t="s">
        <v>73</v>
      </c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</row>
    <row r="39" spans="1:20" ht="15.75" thickTop="1" x14ac:dyDescent="0.25"/>
    <row r="40" spans="1:20" ht="28.5" customHeight="1" x14ac:dyDescent="0.25">
      <c r="A40" s="350"/>
      <c r="B40" s="350"/>
      <c r="C40" s="350"/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0"/>
    </row>
    <row r="41" spans="1:20" x14ac:dyDescent="0.25">
      <c r="A41" s="31" t="s">
        <v>18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</row>
    <row r="42" spans="1:20" x14ac:dyDescent="0.25">
      <c r="A42" s="31" t="s">
        <v>71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spans="1:20" ht="30" customHeight="1" x14ac:dyDescent="0.25">
      <c r="A43" s="338"/>
      <c r="B43" s="338"/>
      <c r="C43" s="338"/>
      <c r="D43" s="338"/>
      <c r="E43" s="338"/>
      <c r="F43" s="338"/>
      <c r="G43" s="338"/>
      <c r="H43" s="338"/>
      <c r="I43" s="338"/>
      <c r="J43" s="338"/>
      <c r="K43" s="338"/>
      <c r="L43" s="338"/>
      <c r="M43" s="338"/>
      <c r="N43" s="338"/>
      <c r="O43" s="338"/>
    </row>
    <row r="44" spans="1:20" ht="30" customHeight="1" x14ac:dyDescent="0.25">
      <c r="A44" s="339"/>
      <c r="B44" s="339"/>
      <c r="C44" s="339"/>
      <c r="D44" s="339"/>
      <c r="E44" s="339"/>
      <c r="F44" s="339"/>
      <c r="G44" s="339"/>
      <c r="H44" s="339"/>
      <c r="I44" s="339"/>
      <c r="J44" s="339"/>
      <c r="K44" s="339"/>
      <c r="L44" s="339"/>
      <c r="M44" s="339"/>
      <c r="N44" s="339"/>
      <c r="O44" s="339"/>
    </row>
    <row r="45" spans="1:20" ht="33" customHeight="1" x14ac:dyDescent="0.25">
      <c r="A45" s="349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</row>
    <row r="46" spans="1:20" ht="34.5" customHeight="1" x14ac:dyDescent="0.25">
      <c r="A46" s="349"/>
      <c r="B46" s="349"/>
      <c r="C46" s="349"/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</row>
    <row r="47" spans="1:20" ht="63" customHeight="1" x14ac:dyDescent="0.25">
      <c r="A47" s="349"/>
      <c r="B47" s="349"/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</row>
    <row r="48" spans="1:20" ht="30.75" customHeight="1" x14ac:dyDescent="0.25">
      <c r="A48" s="349"/>
      <c r="B48" s="349"/>
      <c r="C48" s="349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</row>
    <row r="49" spans="1:15" ht="43.5" customHeight="1" x14ac:dyDescent="0.25">
      <c r="A49" s="348"/>
      <c r="B49" s="348"/>
      <c r="C49" s="348"/>
      <c r="D49" s="348"/>
      <c r="E49" s="348"/>
      <c r="F49" s="348"/>
      <c r="G49" s="348"/>
      <c r="H49" s="348"/>
      <c r="I49" s="348"/>
      <c r="J49" s="348"/>
      <c r="K49" s="348"/>
      <c r="L49" s="348"/>
      <c r="M49" s="348"/>
      <c r="N49" s="348"/>
      <c r="O49" s="348"/>
    </row>
    <row r="50" spans="1:15" ht="30" customHeight="1" x14ac:dyDescent="0.25">
      <c r="A50" s="338"/>
      <c r="B50" s="338"/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</row>
    <row r="51" spans="1:15" ht="45" customHeight="1" x14ac:dyDescent="0.25">
      <c r="A51" s="338"/>
      <c r="B51" s="338"/>
      <c r="C51" s="338"/>
      <c r="D51" s="338"/>
      <c r="E51" s="338"/>
      <c r="F51" s="338"/>
      <c r="G51" s="338"/>
      <c r="H51" s="338"/>
      <c r="I51" s="338"/>
      <c r="J51" s="338"/>
      <c r="K51" s="338"/>
      <c r="L51" s="338"/>
      <c r="M51" s="338"/>
      <c r="N51" s="338"/>
      <c r="O51" s="338"/>
    </row>
    <row r="52" spans="1:15" ht="16.5" customHeight="1" x14ac:dyDescent="0.25">
      <c r="A52" s="25"/>
      <c r="B52" s="25"/>
      <c r="C52" s="25"/>
      <c r="D52" s="25"/>
      <c r="E52" s="77"/>
      <c r="F52" s="72"/>
      <c r="G52" s="72"/>
      <c r="H52" s="71"/>
      <c r="I52" s="72"/>
      <c r="J52" s="72"/>
      <c r="K52" s="72"/>
      <c r="L52" s="71"/>
      <c r="M52" s="25"/>
      <c r="N52" s="25"/>
      <c r="O52" s="25"/>
    </row>
    <row r="53" spans="1:15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</sheetData>
  <mergeCells count="20">
    <mergeCell ref="A1:O1"/>
    <mergeCell ref="C9:C12"/>
    <mergeCell ref="C4:C8"/>
    <mergeCell ref="A4:A12"/>
    <mergeCell ref="A49:O49"/>
    <mergeCell ref="A48:O48"/>
    <mergeCell ref="A45:O45"/>
    <mergeCell ref="A40:O40"/>
    <mergeCell ref="A46:O46"/>
    <mergeCell ref="A47:O47"/>
    <mergeCell ref="A43:O43"/>
    <mergeCell ref="C23:C29"/>
    <mergeCell ref="C15:C21"/>
    <mergeCell ref="A15:A29"/>
    <mergeCell ref="A32:A33"/>
    <mergeCell ref="A34:A35"/>
    <mergeCell ref="A51:O51"/>
    <mergeCell ref="A50:O50"/>
    <mergeCell ref="A44:B44"/>
    <mergeCell ref="C44:O44"/>
  </mergeCells>
  <pageMargins left="0.70866141732283472" right="0.70866141732283472" top="0.74803149606299213" bottom="0.74803149606299213" header="0.31496062992125984" footer="0.31496062992125984"/>
  <pageSetup paperSize="9" scale="70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E6A5A-A642-4CE3-9B73-286A2DD1B52A}">
  <dimension ref="A1:S60"/>
  <sheetViews>
    <sheetView workbookViewId="0">
      <selection activeCell="V2" sqref="V2"/>
    </sheetView>
  </sheetViews>
  <sheetFormatPr defaultColWidth="9.140625" defaultRowHeight="15" x14ac:dyDescent="0.25"/>
  <cols>
    <col min="1" max="1" width="12.5703125" style="1" customWidth="1"/>
    <col min="2" max="2" width="46.140625" style="1" customWidth="1"/>
    <col min="3" max="3" width="11.42578125" style="1" customWidth="1"/>
    <col min="4" max="4" width="14.42578125" style="1" customWidth="1"/>
    <col min="5" max="13" width="14.42578125" style="1" hidden="1" customWidth="1"/>
    <col min="14" max="14" width="14.42578125" style="1" customWidth="1"/>
    <col min="15" max="15" width="13" style="1" hidden="1" customWidth="1"/>
    <col min="16" max="16" width="9.42578125" style="1" hidden="1" customWidth="1"/>
    <col min="17" max="19" width="0" style="1" hidden="1" customWidth="1"/>
    <col min="20" max="16384" width="9.140625" style="1"/>
  </cols>
  <sheetData>
    <row r="1" spans="1:18" ht="42" customHeight="1" x14ac:dyDescent="0.3">
      <c r="A1" s="326" t="s">
        <v>56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</row>
    <row r="2" spans="1:18" s="11" customFormat="1" ht="234" thickBot="1" x14ac:dyDescent="0.25">
      <c r="A2" s="12" t="s">
        <v>4</v>
      </c>
      <c r="B2" s="46"/>
      <c r="C2" s="47" t="s">
        <v>5</v>
      </c>
      <c r="D2" s="47" t="s">
        <v>1</v>
      </c>
      <c r="E2" s="48" t="s">
        <v>68</v>
      </c>
      <c r="F2" s="48" t="s">
        <v>64</v>
      </c>
      <c r="G2" s="48" t="s">
        <v>58</v>
      </c>
      <c r="H2" s="48" t="s">
        <v>59</v>
      </c>
      <c r="I2" s="48" t="s">
        <v>60</v>
      </c>
      <c r="J2" s="48" t="s">
        <v>61</v>
      </c>
      <c r="K2" s="48" t="s">
        <v>62</v>
      </c>
      <c r="L2" s="48" t="s">
        <v>63</v>
      </c>
      <c r="M2" s="48" t="s">
        <v>10</v>
      </c>
      <c r="N2" s="47" t="s">
        <v>2</v>
      </c>
      <c r="O2" s="47" t="s">
        <v>3</v>
      </c>
    </row>
    <row r="3" spans="1:18" s="11" customFormat="1" thickBot="1" x14ac:dyDescent="0.25">
      <c r="A3" s="82" t="s">
        <v>15</v>
      </c>
      <c r="B3" s="83" t="s">
        <v>53</v>
      </c>
      <c r="C3" s="84"/>
      <c r="D3" s="194">
        <f>(D10-D9)*D13</f>
        <v>-13822.82</v>
      </c>
      <c r="E3" s="85">
        <f t="shared" ref="E3:O3" si="0">(E10-E9)*E13</f>
        <v>0</v>
      </c>
      <c r="F3" s="85">
        <f t="shared" si="0"/>
        <v>0</v>
      </c>
      <c r="G3" s="85">
        <f t="shared" si="0"/>
        <v>0</v>
      </c>
      <c r="H3" s="85">
        <f t="shared" si="0"/>
        <v>0</v>
      </c>
      <c r="I3" s="85">
        <f t="shared" si="0"/>
        <v>0</v>
      </c>
      <c r="J3" s="85">
        <f t="shared" si="0"/>
        <v>0</v>
      </c>
      <c r="K3" s="85">
        <f t="shared" si="0"/>
        <v>0</v>
      </c>
      <c r="L3" s="85">
        <f t="shared" si="0"/>
        <v>0</v>
      </c>
      <c r="M3" s="85">
        <f t="shared" si="0"/>
        <v>0</v>
      </c>
      <c r="N3" s="85">
        <f t="shared" si="0"/>
        <v>0</v>
      </c>
      <c r="O3" s="86">
        <f t="shared" si="0"/>
        <v>0</v>
      </c>
    </row>
    <row r="4" spans="1:18" x14ac:dyDescent="0.25">
      <c r="A4" s="345" t="s">
        <v>74</v>
      </c>
      <c r="B4" s="87" t="s">
        <v>12</v>
      </c>
      <c r="C4" s="343" t="s">
        <v>6</v>
      </c>
      <c r="D4" s="101">
        <v>56</v>
      </c>
      <c r="E4" s="101">
        <v>56</v>
      </c>
      <c r="F4" s="101">
        <v>56</v>
      </c>
      <c r="G4" s="101">
        <v>56</v>
      </c>
      <c r="H4" s="101">
        <v>56</v>
      </c>
      <c r="I4" s="101">
        <v>56</v>
      </c>
      <c r="J4" s="101">
        <v>56</v>
      </c>
      <c r="K4" s="101">
        <v>56</v>
      </c>
      <c r="L4" s="101">
        <v>56</v>
      </c>
      <c r="M4" s="102"/>
      <c r="N4" s="101">
        <v>42</v>
      </c>
      <c r="O4" s="88"/>
    </row>
    <row r="5" spans="1:18" ht="15" customHeight="1" x14ac:dyDescent="0.25">
      <c r="A5" s="346"/>
      <c r="B5" s="89" t="s">
        <v>50</v>
      </c>
      <c r="C5" s="343"/>
      <c r="D5" s="103">
        <v>26770</v>
      </c>
      <c r="E5" s="103">
        <v>1380</v>
      </c>
      <c r="F5" s="103">
        <v>1380</v>
      </c>
      <c r="G5" s="103">
        <v>1760</v>
      </c>
      <c r="H5" s="103">
        <v>480</v>
      </c>
      <c r="I5" s="103">
        <v>480</v>
      </c>
      <c r="J5" s="103">
        <v>480</v>
      </c>
      <c r="K5" s="103">
        <v>1980</v>
      </c>
      <c r="L5" s="103">
        <v>4020</v>
      </c>
      <c r="M5" s="103"/>
      <c r="N5" s="103">
        <v>10234</v>
      </c>
      <c r="O5" s="90"/>
    </row>
    <row r="6" spans="1:18" x14ac:dyDescent="0.25">
      <c r="A6" s="346"/>
      <c r="B6" s="89" t="s">
        <v>51</v>
      </c>
      <c r="C6" s="343"/>
      <c r="D6" s="103">
        <f>D5+D7-D8</f>
        <v>25570</v>
      </c>
      <c r="E6" s="103">
        <f>E5+E7-E8</f>
        <v>1380</v>
      </c>
      <c r="F6" s="103">
        <f t="shared" ref="F6:K6" si="1">F5+F7-F8</f>
        <v>1100</v>
      </c>
      <c r="G6" s="103">
        <f t="shared" si="1"/>
        <v>1720</v>
      </c>
      <c r="H6" s="103">
        <f t="shared" si="1"/>
        <v>480</v>
      </c>
      <c r="I6" s="103">
        <f t="shared" si="1"/>
        <v>480</v>
      </c>
      <c r="J6" s="103">
        <f t="shared" si="1"/>
        <v>480</v>
      </c>
      <c r="K6" s="103">
        <f t="shared" si="1"/>
        <v>1820</v>
      </c>
      <c r="L6" s="103">
        <f>L5+L7-L8</f>
        <v>3300</v>
      </c>
      <c r="M6" s="103">
        <f t="shared" ref="M6" si="2">M5+M7-M8</f>
        <v>0</v>
      </c>
      <c r="N6" s="103">
        <v>10234</v>
      </c>
      <c r="O6" s="90"/>
    </row>
    <row r="7" spans="1:18" x14ac:dyDescent="0.25">
      <c r="A7" s="346"/>
      <c r="B7" s="91" t="s">
        <v>46</v>
      </c>
      <c r="C7" s="34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90"/>
    </row>
    <row r="8" spans="1:18" x14ac:dyDescent="0.25">
      <c r="A8" s="346"/>
      <c r="B8" s="91" t="s">
        <v>47</v>
      </c>
      <c r="C8" s="344"/>
      <c r="D8" s="103">
        <f>SUM(E8+F8+G8+J8+K8+L8)</f>
        <v>1200</v>
      </c>
      <c r="E8" s="103">
        <v>0</v>
      </c>
      <c r="F8" s="103">
        <v>280</v>
      </c>
      <c r="G8" s="103">
        <v>40</v>
      </c>
      <c r="H8" s="103">
        <v>0</v>
      </c>
      <c r="I8" s="103">
        <v>0</v>
      </c>
      <c r="J8" s="103">
        <v>0</v>
      </c>
      <c r="K8" s="103">
        <v>160</v>
      </c>
      <c r="L8" s="103">
        <v>720</v>
      </c>
      <c r="M8" s="103"/>
      <c r="N8" s="103"/>
      <c r="O8" s="90"/>
      <c r="P8" s="74"/>
    </row>
    <row r="9" spans="1:18" x14ac:dyDescent="0.25">
      <c r="A9" s="346"/>
      <c r="B9" s="89" t="s">
        <v>44</v>
      </c>
      <c r="C9" s="340" t="s">
        <v>8</v>
      </c>
      <c r="D9" s="103">
        <v>226386.8</v>
      </c>
      <c r="E9" s="103">
        <v>7542</v>
      </c>
      <c r="F9" s="103">
        <v>8901</v>
      </c>
      <c r="G9" s="103">
        <v>24675</v>
      </c>
      <c r="H9" s="103">
        <v>4274</v>
      </c>
      <c r="I9" s="103">
        <v>4274</v>
      </c>
      <c r="J9" s="103">
        <v>4274</v>
      </c>
      <c r="K9" s="103">
        <v>11880</v>
      </c>
      <c r="L9" s="103">
        <v>25326</v>
      </c>
      <c r="M9" s="103"/>
      <c r="N9" s="103">
        <v>79477.694000000003</v>
      </c>
      <c r="O9" s="90"/>
    </row>
    <row r="10" spans="1:18" x14ac:dyDescent="0.25">
      <c r="A10" s="346"/>
      <c r="B10" s="89" t="s">
        <v>52</v>
      </c>
      <c r="C10" s="341"/>
      <c r="D10" s="103">
        <f>D9+D11-D12</f>
        <v>218059.8</v>
      </c>
      <c r="E10" s="103">
        <f t="shared" ref="E10:M10" si="3">E9+E11-E12</f>
        <v>7197</v>
      </c>
      <c r="F10" s="103">
        <f>F9+F11-F12</f>
        <v>7147</v>
      </c>
      <c r="G10" s="103">
        <f t="shared" si="3"/>
        <v>24125</v>
      </c>
      <c r="H10" s="103">
        <f t="shared" si="3"/>
        <v>4214</v>
      </c>
      <c r="I10" s="103">
        <f t="shared" si="3"/>
        <v>4152</v>
      </c>
      <c r="J10" s="103">
        <f t="shared" si="3"/>
        <v>4092</v>
      </c>
      <c r="K10" s="103">
        <f t="shared" si="3"/>
        <v>10920</v>
      </c>
      <c r="L10" s="103">
        <f t="shared" si="3"/>
        <v>20790</v>
      </c>
      <c r="M10" s="103">
        <f t="shared" si="3"/>
        <v>0</v>
      </c>
      <c r="N10" s="103">
        <v>79477.694000000003</v>
      </c>
      <c r="O10" s="90"/>
      <c r="P10" s="193">
        <f ca="1">atskaites_jedox!BG9</f>
        <v>218059.8</v>
      </c>
      <c r="Q10" s="193">
        <f ca="1">atskaites_jedox!BH9</f>
        <v>79477.69</v>
      </c>
      <c r="R10" s="193"/>
    </row>
    <row r="11" spans="1:18" ht="16.5" customHeight="1" x14ac:dyDescent="0.25">
      <c r="A11" s="346"/>
      <c r="B11" s="92" t="s">
        <v>48</v>
      </c>
      <c r="C11" s="341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90"/>
    </row>
    <row r="12" spans="1:18" ht="16.5" customHeight="1" x14ac:dyDescent="0.25">
      <c r="A12" s="347"/>
      <c r="B12" s="92" t="s">
        <v>49</v>
      </c>
      <c r="C12" s="342"/>
      <c r="D12" s="103">
        <f>SUM(E12+F12+G12+J12+K12+L12)</f>
        <v>8327</v>
      </c>
      <c r="E12" s="103">
        <v>345</v>
      </c>
      <c r="F12" s="103">
        <v>1754</v>
      </c>
      <c r="G12" s="103">
        <v>550</v>
      </c>
      <c r="H12" s="103">
        <v>60</v>
      </c>
      <c r="I12" s="103">
        <v>122</v>
      </c>
      <c r="J12" s="103">
        <v>182</v>
      </c>
      <c r="K12" s="103">
        <v>960</v>
      </c>
      <c r="L12" s="103">
        <v>4536</v>
      </c>
      <c r="M12" s="103"/>
      <c r="N12" s="103">
        <v>0</v>
      </c>
      <c r="O12" s="90"/>
      <c r="P12" s="74"/>
    </row>
    <row r="13" spans="1:18" ht="30.75" thickBot="1" x14ac:dyDescent="0.3">
      <c r="A13" s="93" t="s">
        <v>74</v>
      </c>
      <c r="B13" s="94" t="s">
        <v>45</v>
      </c>
      <c r="C13" s="95" t="s">
        <v>9</v>
      </c>
      <c r="D13" s="104">
        <v>1.66</v>
      </c>
      <c r="E13" s="104"/>
      <c r="F13" s="104"/>
      <c r="G13" s="104"/>
      <c r="H13" s="104"/>
      <c r="I13" s="104"/>
      <c r="J13" s="104"/>
      <c r="K13" s="104"/>
      <c r="L13" s="104"/>
      <c r="M13" s="104"/>
      <c r="N13" s="104">
        <v>3.81</v>
      </c>
      <c r="O13" s="96"/>
      <c r="P13" s="74">
        <f ca="1">atskaites_jedox!BI9</f>
        <v>1.67</v>
      </c>
      <c r="Q13" s="195">
        <f ca="1">atskaites_jedox!BJ9</f>
        <v>3.8200000000000003</v>
      </c>
    </row>
    <row r="14" spans="1:18" s="11" customFormat="1" ht="29.25" thickBot="1" x14ac:dyDescent="0.25">
      <c r="A14" s="40" t="s">
        <v>16</v>
      </c>
      <c r="B14" s="43" t="s">
        <v>43</v>
      </c>
      <c r="C14" s="44"/>
      <c r="D14" s="105">
        <f>SUM(D16*D24,D22*D30,D17*D25,D18*D26,D19*D27,D20*D28,D21*D29)</f>
        <v>2912.5299999999997</v>
      </c>
      <c r="E14" s="105"/>
      <c r="F14" s="105">
        <f t="shared" ref="F14:M14" si="4">SUM(F16*F24,F17*F25,F18*F26,F19*F27,F20*F28,F21*F29)</f>
        <v>0</v>
      </c>
      <c r="G14" s="105">
        <f t="shared" si="4"/>
        <v>0</v>
      </c>
      <c r="H14" s="105">
        <f t="shared" si="4"/>
        <v>0</v>
      </c>
      <c r="I14" s="105">
        <f t="shared" si="4"/>
        <v>0</v>
      </c>
      <c r="J14" s="105">
        <f t="shared" si="4"/>
        <v>0</v>
      </c>
      <c r="K14" s="105">
        <f t="shared" si="4"/>
        <v>0</v>
      </c>
      <c r="L14" s="105">
        <f t="shared" si="4"/>
        <v>0</v>
      </c>
      <c r="M14" s="105">
        <f t="shared" si="4"/>
        <v>0</v>
      </c>
      <c r="N14" s="105">
        <f>SUM(N16*N24,N17*N25,N18*N26,N19*N27,N20*N28,N21*N29)</f>
        <v>1174.0899999999999</v>
      </c>
      <c r="O14" s="45">
        <f>SUM(O16*O24,O17*O25,O18*O26,O19*O27,O20*O28,O21*O29)</f>
        <v>0</v>
      </c>
    </row>
    <row r="15" spans="1:18" s="15" customFormat="1" ht="48.75" customHeight="1" x14ac:dyDescent="0.25">
      <c r="A15" s="333" t="s">
        <v>74</v>
      </c>
      <c r="B15" s="41" t="s">
        <v>41</v>
      </c>
      <c r="C15" s="331" t="s">
        <v>22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42"/>
    </row>
    <row r="16" spans="1:18" s="15" customFormat="1" x14ac:dyDescent="0.25">
      <c r="A16" s="334"/>
      <c r="B16" s="35" t="s">
        <v>0</v>
      </c>
      <c r="C16" s="331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36"/>
    </row>
    <row r="17" spans="1:17" s="15" customFormat="1" x14ac:dyDescent="0.25">
      <c r="A17" s="334"/>
      <c r="B17" s="35" t="s">
        <v>65</v>
      </c>
      <c r="C17" s="331"/>
      <c r="D17" s="18">
        <v>16557</v>
      </c>
      <c r="E17" s="18"/>
      <c r="F17" s="18"/>
      <c r="G17" s="18"/>
      <c r="H17" s="18"/>
      <c r="I17" s="18"/>
      <c r="J17" s="18"/>
      <c r="K17" s="18"/>
      <c r="L17" s="18"/>
      <c r="M17" s="18"/>
      <c r="N17" s="18">
        <v>16556</v>
      </c>
      <c r="O17" s="36"/>
    </row>
    <row r="18" spans="1:17" s="15" customFormat="1" ht="18.75" customHeight="1" x14ac:dyDescent="0.25">
      <c r="A18" s="334"/>
      <c r="B18" s="37" t="s">
        <v>17</v>
      </c>
      <c r="C18" s="331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6"/>
    </row>
    <row r="19" spans="1:17" s="15" customFormat="1" ht="18" x14ac:dyDescent="0.25">
      <c r="A19" s="334"/>
      <c r="B19" s="35" t="s">
        <v>75</v>
      </c>
      <c r="C19" s="331"/>
      <c r="D19" s="18">
        <v>10850</v>
      </c>
      <c r="E19" s="18"/>
      <c r="F19" s="18"/>
      <c r="G19" s="18"/>
      <c r="H19" s="18"/>
      <c r="I19" s="18"/>
      <c r="J19" s="18"/>
      <c r="K19" s="18"/>
      <c r="L19" s="18"/>
      <c r="M19" s="18"/>
      <c r="N19" s="18">
        <v>8448.7999999999993</v>
      </c>
      <c r="O19" s="36"/>
    </row>
    <row r="20" spans="1:17" s="15" customFormat="1" ht="17.25" customHeight="1" x14ac:dyDescent="0.25">
      <c r="A20" s="334"/>
      <c r="B20" s="37" t="s">
        <v>20</v>
      </c>
      <c r="C20" s="331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36"/>
    </row>
    <row r="21" spans="1:17" s="15" customFormat="1" ht="15.75" thickBot="1" x14ac:dyDescent="0.3">
      <c r="A21" s="334"/>
      <c r="B21" s="38" t="s">
        <v>67</v>
      </c>
      <c r="C21" s="332"/>
      <c r="D21" s="107">
        <v>3833</v>
      </c>
      <c r="E21" s="107"/>
      <c r="F21" s="107"/>
      <c r="G21" s="107"/>
      <c r="H21" s="107"/>
      <c r="I21" s="107"/>
      <c r="J21" s="107"/>
      <c r="K21" s="107"/>
      <c r="L21" s="107"/>
      <c r="M21" s="107"/>
      <c r="N21" s="107">
        <v>2833</v>
      </c>
      <c r="O21" s="39"/>
    </row>
    <row r="22" spans="1:17" s="15" customFormat="1" ht="15.75" thickBot="1" x14ac:dyDescent="0.3">
      <c r="A22" s="334"/>
      <c r="B22" s="38" t="s">
        <v>69</v>
      </c>
      <c r="C22" s="99"/>
      <c r="D22" s="108">
        <v>30</v>
      </c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75"/>
    </row>
    <row r="23" spans="1:17" s="15" customFormat="1" ht="30" x14ac:dyDescent="0.25">
      <c r="A23" s="334"/>
      <c r="B23" s="33" t="s">
        <v>42</v>
      </c>
      <c r="C23" s="351" t="s">
        <v>33</v>
      </c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34"/>
    </row>
    <row r="24" spans="1:17" s="15" customFormat="1" x14ac:dyDescent="0.25">
      <c r="A24" s="334"/>
      <c r="B24" s="35" t="s">
        <v>0</v>
      </c>
      <c r="C24" s="331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36"/>
    </row>
    <row r="25" spans="1:17" s="15" customFormat="1" x14ac:dyDescent="0.25">
      <c r="A25" s="334"/>
      <c r="B25" s="35" t="s">
        <v>13</v>
      </c>
      <c r="C25" s="331"/>
      <c r="D25" s="18">
        <v>0.03</v>
      </c>
      <c r="E25" s="18"/>
      <c r="F25" s="18"/>
      <c r="G25" s="18"/>
      <c r="H25" s="18"/>
      <c r="I25" s="18"/>
      <c r="J25" s="18"/>
      <c r="K25" s="18"/>
      <c r="L25" s="18"/>
      <c r="M25" s="18"/>
      <c r="N25" s="18">
        <v>0.03</v>
      </c>
      <c r="O25" s="36"/>
    </row>
    <row r="26" spans="1:17" s="15" customFormat="1" ht="15" customHeight="1" x14ac:dyDescent="0.25">
      <c r="A26" s="334"/>
      <c r="B26" s="37" t="s">
        <v>17</v>
      </c>
      <c r="C26" s="331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36"/>
    </row>
    <row r="27" spans="1:17" s="15" customFormat="1" ht="31.5" customHeight="1" x14ac:dyDescent="0.25">
      <c r="A27" s="334"/>
      <c r="B27" s="37" t="s">
        <v>19</v>
      </c>
      <c r="C27" s="331"/>
      <c r="D27" s="18">
        <v>0.05</v>
      </c>
      <c r="E27" s="18"/>
      <c r="F27" s="18"/>
      <c r="G27" s="18"/>
      <c r="H27" s="18"/>
      <c r="I27" s="18"/>
      <c r="J27" s="18"/>
      <c r="K27" s="18"/>
      <c r="L27" s="18"/>
      <c r="M27" s="18"/>
      <c r="N27" s="18">
        <v>0.05</v>
      </c>
      <c r="O27" s="36"/>
    </row>
    <row r="28" spans="1:17" s="15" customFormat="1" ht="33" customHeight="1" x14ac:dyDescent="0.25">
      <c r="A28" s="334"/>
      <c r="B28" s="37" t="s">
        <v>21</v>
      </c>
      <c r="C28" s="331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36"/>
    </row>
    <row r="29" spans="1:17" ht="15.75" thickBot="1" x14ac:dyDescent="0.3">
      <c r="A29" s="335"/>
      <c r="B29" s="38" t="s">
        <v>66</v>
      </c>
      <c r="C29" s="332"/>
      <c r="D29" s="107">
        <v>0.09</v>
      </c>
      <c r="E29" s="107"/>
      <c r="F29" s="107"/>
      <c r="G29" s="107"/>
      <c r="H29" s="107"/>
      <c r="I29" s="107"/>
      <c r="J29" s="107"/>
      <c r="K29" s="107"/>
      <c r="L29" s="107"/>
      <c r="M29" s="107"/>
      <c r="N29" s="107">
        <v>0.09</v>
      </c>
      <c r="O29" s="39"/>
    </row>
    <row r="30" spans="1:17" ht="15.75" thickBot="1" x14ac:dyDescent="0.3">
      <c r="A30" s="100"/>
      <c r="B30" s="38" t="s">
        <v>76</v>
      </c>
      <c r="C30" s="99"/>
      <c r="D30" s="108">
        <v>50.945</v>
      </c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75"/>
    </row>
    <row r="31" spans="1:17" s="11" customFormat="1" ht="14.25" x14ac:dyDescent="0.2">
      <c r="A31" s="49" t="s">
        <v>34</v>
      </c>
      <c r="B31" s="56" t="s">
        <v>55</v>
      </c>
      <c r="C31" s="57"/>
      <c r="D31" s="58">
        <f>((D34/D35)-(D32/D33))*D33</f>
        <v>23661.231624121428</v>
      </c>
      <c r="E31" s="58"/>
      <c r="F31" s="58"/>
      <c r="G31" s="58"/>
      <c r="H31" s="58"/>
      <c r="I31" s="58"/>
      <c r="J31" s="58"/>
      <c r="K31" s="58"/>
      <c r="L31" s="58"/>
      <c r="M31" s="58" t="e">
        <f>((M34/M35)-(M33/#REF!))*#REF!</f>
        <v>#DIV/0!</v>
      </c>
      <c r="N31" s="58">
        <f>((N34/N35)-(N32/N33))*N33</f>
        <v>24835.952095809793</v>
      </c>
      <c r="O31" s="59"/>
    </row>
    <row r="32" spans="1:17" ht="60" x14ac:dyDescent="0.25">
      <c r="A32" s="336" t="s">
        <v>74</v>
      </c>
      <c r="B32" s="60" t="s">
        <v>38</v>
      </c>
      <c r="C32" s="97" t="s">
        <v>37</v>
      </c>
      <c r="D32" s="76">
        <f>73191.24</f>
        <v>73191.240000000005</v>
      </c>
      <c r="E32" s="76"/>
      <c r="F32" s="76"/>
      <c r="G32" s="76"/>
      <c r="H32" s="76"/>
      <c r="I32" s="76"/>
      <c r="J32" s="76"/>
      <c r="K32" s="76"/>
      <c r="L32" s="76"/>
      <c r="M32" s="110"/>
      <c r="N32" s="76">
        <v>47525.88</v>
      </c>
      <c r="O32" s="61"/>
      <c r="P32" s="193">
        <f ca="1">atskaites_jedox!BE9</f>
        <v>73191.240000000005</v>
      </c>
      <c r="Q32" s="193">
        <f ca="1">atskaites_jedox!BF9</f>
        <v>47525.88</v>
      </c>
    </row>
    <row r="33" spans="1:19" x14ac:dyDescent="0.25">
      <c r="A33" s="337"/>
      <c r="B33" s="60" t="s">
        <v>54</v>
      </c>
      <c r="C33" s="97" t="s">
        <v>8</v>
      </c>
      <c r="D33" s="76">
        <v>218059.8</v>
      </c>
      <c r="E33" s="76"/>
      <c r="F33" s="76"/>
      <c r="G33" s="76"/>
      <c r="H33" s="76"/>
      <c r="I33" s="76"/>
      <c r="J33" s="76"/>
      <c r="K33" s="76"/>
      <c r="L33" s="76"/>
      <c r="M33" s="110"/>
      <c r="N33" s="76">
        <v>79477.694000000003</v>
      </c>
      <c r="O33" s="61"/>
      <c r="P33" s="193">
        <f ca="1">atskaites_jedox!BG9</f>
        <v>218059.8</v>
      </c>
      <c r="Q33" s="193">
        <f ca="1">atskaites_jedox!BH9</f>
        <v>79477.69</v>
      </c>
      <c r="R33" s="1" t="b">
        <f>D33=D10</f>
        <v>1</v>
      </c>
      <c r="S33" s="1" t="b">
        <f>N33=N10</f>
        <v>1</v>
      </c>
    </row>
    <row r="34" spans="1:19" ht="60" x14ac:dyDescent="0.25">
      <c r="A34" s="336" t="s">
        <v>77</v>
      </c>
      <c r="B34" s="60" t="s">
        <v>39</v>
      </c>
      <c r="C34" s="97" t="s">
        <v>37</v>
      </c>
      <c r="D34" s="111">
        <f>99752.23</f>
        <v>99752.23</v>
      </c>
      <c r="E34" s="112"/>
      <c r="F34" s="112"/>
      <c r="G34" s="112"/>
      <c r="H34" s="112"/>
      <c r="I34" s="112"/>
      <c r="J34" s="112"/>
      <c r="K34" s="112"/>
      <c r="L34" s="112"/>
      <c r="M34" s="112"/>
      <c r="N34" s="111">
        <f>72285.27</f>
        <v>72285.27</v>
      </c>
      <c r="O34" s="61"/>
      <c r="P34" s="193">
        <f ca="1">atskaites_jedox!I9</f>
        <v>99752.23</v>
      </c>
      <c r="Q34" s="193">
        <f ca="1">atskaites_jedox!J9</f>
        <v>72285.27</v>
      </c>
    </row>
    <row r="35" spans="1:19" ht="15.75" thickBot="1" x14ac:dyDescent="0.3">
      <c r="A35" s="337"/>
      <c r="B35" s="62" t="s">
        <v>40</v>
      </c>
      <c r="C35" s="52" t="s">
        <v>8</v>
      </c>
      <c r="D35" s="78">
        <v>224588.5</v>
      </c>
      <c r="E35" s="78"/>
      <c r="F35" s="78"/>
      <c r="G35" s="78"/>
      <c r="H35" s="78"/>
      <c r="I35" s="78"/>
      <c r="J35" s="78"/>
      <c r="K35" s="78"/>
      <c r="L35" s="78"/>
      <c r="M35" s="113"/>
      <c r="N35" s="78">
        <v>79393.603000000003</v>
      </c>
      <c r="O35" s="51"/>
      <c r="P35" s="193">
        <f ca="1">atskaites_jedox!K9</f>
        <v>224588.5</v>
      </c>
      <c r="Q35" s="193">
        <f ca="1">atskaites_jedox!L9</f>
        <v>79393.600000000006</v>
      </c>
    </row>
    <row r="38" spans="1:19" ht="15.75" thickBot="1" x14ac:dyDescent="0.3">
      <c r="B38" s="70" t="s">
        <v>78</v>
      </c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</row>
    <row r="39" spans="1:19" ht="15.75" thickTop="1" x14ac:dyDescent="0.25">
      <c r="B39" s="1">
        <v>65404392</v>
      </c>
    </row>
    <row r="42" spans="1:19" ht="33" customHeight="1" x14ac:dyDescent="0.25">
      <c r="A42" s="338"/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</row>
    <row r="43" spans="1:19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9" ht="28.5" customHeight="1" x14ac:dyDescent="0.25">
      <c r="A44" s="350"/>
      <c r="B44" s="350"/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0"/>
      <c r="N44" s="350"/>
      <c r="O44" s="350"/>
    </row>
    <row r="45" spans="1:19" ht="33" customHeight="1" x14ac:dyDescent="0.25">
      <c r="A45" s="338"/>
      <c r="B45" s="338"/>
      <c r="C45" s="338"/>
      <c r="D45" s="338"/>
      <c r="E45" s="338"/>
      <c r="F45" s="338"/>
      <c r="G45" s="338"/>
      <c r="H45" s="338"/>
      <c r="I45" s="338"/>
      <c r="J45" s="338"/>
      <c r="K45" s="338"/>
      <c r="L45" s="338"/>
      <c r="M45" s="338"/>
      <c r="N45" s="338"/>
      <c r="O45" s="338"/>
    </row>
    <row r="46" spans="1:19" ht="48.75" customHeight="1" x14ac:dyDescent="0.25">
      <c r="A46" s="338"/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</row>
    <row r="47" spans="1:19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</row>
    <row r="48" spans="1:19" x14ac:dyDescent="0.25">
      <c r="A48" s="31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spans="1:15" ht="30" customHeight="1" x14ac:dyDescent="0.25">
      <c r="A49" s="338"/>
      <c r="B49" s="338"/>
      <c r="C49" s="338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</row>
    <row r="50" spans="1:15" ht="30" customHeight="1" x14ac:dyDescent="0.25">
      <c r="A50" s="353"/>
      <c r="B50" s="353"/>
      <c r="C50" s="353"/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</row>
    <row r="51" spans="1:15" ht="33" customHeight="1" x14ac:dyDescent="0.25">
      <c r="A51" s="338"/>
      <c r="B51" s="338"/>
      <c r="C51" s="338"/>
      <c r="D51" s="338"/>
      <c r="E51" s="338"/>
      <c r="F51" s="338"/>
      <c r="G51" s="338"/>
      <c r="H51" s="338"/>
      <c r="I51" s="338"/>
      <c r="J51" s="338"/>
      <c r="K51" s="338"/>
      <c r="L51" s="338"/>
      <c r="M51" s="338"/>
      <c r="N51" s="338"/>
      <c r="O51" s="338"/>
    </row>
    <row r="52" spans="1:15" ht="34.5" customHeight="1" x14ac:dyDescent="0.25">
      <c r="A52" s="338"/>
      <c r="B52" s="338"/>
      <c r="C52" s="338"/>
      <c r="D52" s="338"/>
      <c r="E52" s="338"/>
      <c r="F52" s="338"/>
      <c r="G52" s="338"/>
      <c r="H52" s="338"/>
      <c r="I52" s="338"/>
      <c r="J52" s="338"/>
      <c r="K52" s="338"/>
      <c r="L52" s="338"/>
      <c r="M52" s="338"/>
      <c r="N52" s="338"/>
      <c r="O52" s="338"/>
    </row>
    <row r="53" spans="1:15" ht="63" customHeight="1" x14ac:dyDescent="0.25">
      <c r="A53" s="338"/>
      <c r="B53" s="338"/>
      <c r="C53" s="338"/>
      <c r="D53" s="338"/>
      <c r="E53" s="338"/>
      <c r="F53" s="338"/>
      <c r="G53" s="338"/>
      <c r="H53" s="338"/>
      <c r="I53" s="338"/>
      <c r="J53" s="338"/>
      <c r="K53" s="338"/>
      <c r="L53" s="338"/>
      <c r="M53" s="338"/>
      <c r="N53" s="338"/>
      <c r="O53" s="338"/>
    </row>
    <row r="54" spans="1:15" ht="30.75" customHeight="1" x14ac:dyDescent="0.25">
      <c r="A54" s="338"/>
      <c r="B54" s="338"/>
      <c r="C54" s="338"/>
      <c r="D54" s="338"/>
      <c r="E54" s="338"/>
      <c r="F54" s="338"/>
      <c r="G54" s="338"/>
      <c r="H54" s="338"/>
      <c r="I54" s="338"/>
      <c r="J54" s="338"/>
      <c r="K54" s="338"/>
      <c r="L54" s="338"/>
      <c r="M54" s="338"/>
      <c r="N54" s="338"/>
      <c r="O54" s="338"/>
    </row>
    <row r="55" spans="1:15" ht="43.5" customHeight="1" x14ac:dyDescent="0.25">
      <c r="A55" s="352"/>
      <c r="B55" s="352"/>
      <c r="C55" s="352"/>
      <c r="D55" s="352"/>
      <c r="E55" s="352"/>
      <c r="F55" s="352"/>
      <c r="G55" s="352"/>
      <c r="H55" s="352"/>
      <c r="I55" s="352"/>
      <c r="J55" s="352"/>
      <c r="K55" s="352"/>
      <c r="L55" s="352"/>
      <c r="M55" s="352"/>
      <c r="N55" s="352"/>
      <c r="O55" s="352"/>
    </row>
    <row r="56" spans="1:15" ht="30" customHeight="1" x14ac:dyDescent="0.25">
      <c r="A56" s="338"/>
      <c r="B56" s="338"/>
      <c r="C56" s="338"/>
      <c r="D56" s="338"/>
      <c r="E56" s="338"/>
      <c r="F56" s="338"/>
      <c r="G56" s="338"/>
      <c r="H56" s="338"/>
      <c r="I56" s="338"/>
      <c r="J56" s="338"/>
      <c r="K56" s="338"/>
      <c r="L56" s="338"/>
      <c r="M56" s="338"/>
      <c r="N56" s="338"/>
      <c r="O56" s="338"/>
    </row>
    <row r="57" spans="1:15" ht="45" customHeight="1" x14ac:dyDescent="0.25">
      <c r="A57" s="338"/>
      <c r="B57" s="338"/>
      <c r="C57" s="338"/>
      <c r="D57" s="338"/>
      <c r="E57" s="338"/>
      <c r="F57" s="338"/>
      <c r="G57" s="338"/>
      <c r="H57" s="338"/>
      <c r="I57" s="338"/>
      <c r="J57" s="338"/>
      <c r="K57" s="338"/>
      <c r="L57" s="338"/>
      <c r="M57" s="338"/>
      <c r="N57" s="338"/>
      <c r="O57" s="338"/>
    </row>
    <row r="58" spans="1:15" ht="16.5" customHeight="1" x14ac:dyDescent="0.25">
      <c r="A58" s="98"/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</row>
    <row r="59" spans="1:15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</sheetData>
  <mergeCells count="23">
    <mergeCell ref="A46:O46"/>
    <mergeCell ref="A1:O1"/>
    <mergeCell ref="A4:A12"/>
    <mergeCell ref="C4:C8"/>
    <mergeCell ref="C9:C12"/>
    <mergeCell ref="A15:A29"/>
    <mergeCell ref="C15:C21"/>
    <mergeCell ref="C23:C29"/>
    <mergeCell ref="A32:A33"/>
    <mergeCell ref="A34:A35"/>
    <mergeCell ref="A42:O42"/>
    <mergeCell ref="A44:O44"/>
    <mergeCell ref="A45:O45"/>
    <mergeCell ref="A54:O54"/>
    <mergeCell ref="A55:O55"/>
    <mergeCell ref="A56:O56"/>
    <mergeCell ref="A57:O57"/>
    <mergeCell ref="A49:O49"/>
    <mergeCell ref="A50:B50"/>
    <mergeCell ref="C50:O50"/>
    <mergeCell ref="A51:O51"/>
    <mergeCell ref="A52:O52"/>
    <mergeCell ref="A53:O5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AF45C-E510-4112-88F6-476EAEDD4B69}">
  <dimension ref="A1:W39"/>
  <sheetViews>
    <sheetView zoomScale="93" zoomScaleNormal="93" workbookViewId="0">
      <selection activeCell="V22" sqref="V1:W1048576"/>
    </sheetView>
  </sheetViews>
  <sheetFormatPr defaultColWidth="9.140625" defaultRowHeight="15" x14ac:dyDescent="0.25"/>
  <cols>
    <col min="1" max="1" width="11.28515625" style="129" customWidth="1"/>
    <col min="2" max="2" width="43.140625" style="129" customWidth="1"/>
    <col min="3" max="3" width="8.140625" style="129" customWidth="1"/>
    <col min="4" max="4" width="11.85546875" style="129" customWidth="1"/>
    <col min="5" max="13" width="9.140625" style="129" hidden="1" customWidth="1"/>
    <col min="14" max="14" width="12" style="129" customWidth="1"/>
    <col min="15" max="15" width="0.140625" style="129" hidden="1" customWidth="1"/>
    <col min="16" max="16" width="9.140625" style="129" hidden="1" customWidth="1"/>
    <col min="17" max="17" width="0.5703125" style="129" hidden="1" customWidth="1"/>
    <col min="18" max="18" width="9.140625" style="129" hidden="1" customWidth="1"/>
    <col min="19" max="23" width="0" style="129" hidden="1" customWidth="1"/>
    <col min="24" max="16384" width="9.140625" style="129"/>
  </cols>
  <sheetData>
    <row r="1" spans="1:20" ht="18.75" x14ac:dyDescent="0.3">
      <c r="A1" s="356" t="s">
        <v>56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</row>
    <row r="2" spans="1:20" ht="42" customHeight="1" thickBot="1" x14ac:dyDescent="0.3">
      <c r="A2" s="130" t="s">
        <v>4</v>
      </c>
      <c r="B2" s="131"/>
      <c r="C2" s="132" t="s">
        <v>5</v>
      </c>
      <c r="D2" s="132" t="s">
        <v>1</v>
      </c>
      <c r="E2" s="133" t="s">
        <v>68</v>
      </c>
      <c r="F2" s="133" t="s">
        <v>64</v>
      </c>
      <c r="G2" s="133" t="s">
        <v>58</v>
      </c>
      <c r="H2" s="133" t="s">
        <v>59</v>
      </c>
      <c r="I2" s="133" t="s">
        <v>60</v>
      </c>
      <c r="J2" s="133" t="s">
        <v>61</v>
      </c>
      <c r="K2" s="133" t="s">
        <v>62</v>
      </c>
      <c r="L2" s="133" t="s">
        <v>63</v>
      </c>
      <c r="M2" s="133" t="s">
        <v>10</v>
      </c>
      <c r="N2" s="132" t="s">
        <v>2</v>
      </c>
      <c r="O2" s="132" t="s">
        <v>3</v>
      </c>
    </row>
    <row r="3" spans="1:20" ht="23.25" customHeight="1" thickBot="1" x14ac:dyDescent="0.3">
      <c r="A3" s="134" t="s">
        <v>15</v>
      </c>
      <c r="B3" s="135" t="s">
        <v>53</v>
      </c>
      <c r="C3" s="136"/>
      <c r="D3" s="137">
        <f>(D10-D9)*D13</f>
        <v>-2094.897210000011</v>
      </c>
      <c r="E3" s="137">
        <f t="shared" ref="E3:O3" si="0">(E10-E9)*E13</f>
        <v>0</v>
      </c>
      <c r="F3" s="137">
        <f t="shared" si="0"/>
        <v>0</v>
      </c>
      <c r="G3" s="137">
        <f t="shared" si="0"/>
        <v>0</v>
      </c>
      <c r="H3" s="137">
        <f t="shared" si="0"/>
        <v>0</v>
      </c>
      <c r="I3" s="137">
        <f t="shared" si="0"/>
        <v>0</v>
      </c>
      <c r="J3" s="137">
        <f t="shared" si="0"/>
        <v>0</v>
      </c>
      <c r="K3" s="137">
        <f t="shared" si="0"/>
        <v>0</v>
      </c>
      <c r="L3" s="137">
        <f t="shared" si="0"/>
        <v>0</v>
      </c>
      <c r="M3" s="137">
        <f t="shared" si="0"/>
        <v>0</v>
      </c>
      <c r="N3" s="137">
        <f t="shared" si="0"/>
        <v>0</v>
      </c>
      <c r="O3" s="138">
        <f t="shared" si="0"/>
        <v>0</v>
      </c>
    </row>
    <row r="4" spans="1:20" x14ac:dyDescent="0.25">
      <c r="A4" s="357" t="s">
        <v>82</v>
      </c>
      <c r="B4" s="139" t="s">
        <v>12</v>
      </c>
      <c r="C4" s="360" t="s">
        <v>6</v>
      </c>
      <c r="D4" s="140">
        <v>58</v>
      </c>
      <c r="E4" s="140">
        <v>56</v>
      </c>
      <c r="F4" s="140"/>
      <c r="G4" s="140">
        <v>56</v>
      </c>
      <c r="H4" s="140">
        <v>56</v>
      </c>
      <c r="I4" s="140">
        <v>56</v>
      </c>
      <c r="J4" s="140">
        <v>56</v>
      </c>
      <c r="K4" s="140"/>
      <c r="L4" s="140">
        <v>56</v>
      </c>
      <c r="M4" s="141"/>
      <c r="N4" s="140">
        <v>42</v>
      </c>
      <c r="O4" s="142"/>
    </row>
    <row r="5" spans="1:20" x14ac:dyDescent="0.25">
      <c r="A5" s="358"/>
      <c r="B5" s="143" t="s">
        <v>50</v>
      </c>
      <c r="C5" s="360"/>
      <c r="D5" s="144">
        <v>27647</v>
      </c>
      <c r="E5" s="144">
        <v>1426</v>
      </c>
      <c r="F5" s="144"/>
      <c r="G5" s="144">
        <v>1816</v>
      </c>
      <c r="H5" s="144">
        <v>480</v>
      </c>
      <c r="I5" s="144">
        <v>480</v>
      </c>
      <c r="J5" s="144">
        <v>480</v>
      </c>
      <c r="K5" s="144"/>
      <c r="L5" s="144">
        <v>4146</v>
      </c>
      <c r="M5" s="144"/>
      <c r="N5" s="144">
        <v>10480</v>
      </c>
      <c r="O5" s="145"/>
    </row>
    <row r="6" spans="1:20" x14ac:dyDescent="0.25">
      <c r="A6" s="358"/>
      <c r="B6" s="143" t="s">
        <v>51</v>
      </c>
      <c r="C6" s="360"/>
      <c r="D6" s="144">
        <f>D5+D7-D8</f>
        <v>27605</v>
      </c>
      <c r="E6" s="144">
        <f>E5+E7-E8</f>
        <v>1426</v>
      </c>
      <c r="F6" s="144"/>
      <c r="G6" s="144">
        <f t="shared" ref="G6:J6" si="1">G5+G7-G8</f>
        <v>1776</v>
      </c>
      <c r="H6" s="144">
        <f t="shared" si="1"/>
        <v>480</v>
      </c>
      <c r="I6" s="144">
        <f t="shared" si="1"/>
        <v>480</v>
      </c>
      <c r="J6" s="144">
        <f t="shared" si="1"/>
        <v>480</v>
      </c>
      <c r="K6" s="144"/>
      <c r="L6" s="144">
        <v>4144</v>
      </c>
      <c r="M6" s="144">
        <f t="shared" ref="M6" si="2">M5+M7-M8</f>
        <v>0</v>
      </c>
      <c r="N6" s="144">
        <v>10480</v>
      </c>
      <c r="O6" s="145"/>
    </row>
    <row r="7" spans="1:20" x14ac:dyDescent="0.25">
      <c r="A7" s="358"/>
      <c r="B7" s="146" t="s">
        <v>46</v>
      </c>
      <c r="C7" s="360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</row>
    <row r="8" spans="1:20" x14ac:dyDescent="0.25">
      <c r="A8" s="358"/>
      <c r="B8" s="146" t="s">
        <v>47</v>
      </c>
      <c r="C8" s="361"/>
      <c r="D8" s="144">
        <f>SUM(E8+F8+G8+J8+K8+L8)</f>
        <v>42</v>
      </c>
      <c r="E8" s="144">
        <v>0</v>
      </c>
      <c r="F8" s="144"/>
      <c r="G8" s="144">
        <v>40</v>
      </c>
      <c r="H8" s="144">
        <v>0</v>
      </c>
      <c r="I8" s="144">
        <v>0</v>
      </c>
      <c r="J8" s="144">
        <v>0</v>
      </c>
      <c r="K8" s="144"/>
      <c r="L8" s="144">
        <v>2</v>
      </c>
      <c r="M8" s="144"/>
      <c r="N8" s="144"/>
      <c r="O8" s="145"/>
    </row>
    <row r="9" spans="1:20" x14ac:dyDescent="0.25">
      <c r="A9" s="358"/>
      <c r="B9" s="143" t="s">
        <v>44</v>
      </c>
      <c r="C9" s="362" t="s">
        <v>8</v>
      </c>
      <c r="D9" s="144">
        <v>234233.1</v>
      </c>
      <c r="E9" s="144">
        <v>7793.4</v>
      </c>
      <c r="F9" s="144"/>
      <c r="G9" s="144">
        <v>25636.6</v>
      </c>
      <c r="H9" s="144">
        <v>4412.3999999999996</v>
      </c>
      <c r="I9" s="144">
        <v>4412.3999999999996</v>
      </c>
      <c r="J9" s="144">
        <v>4412.3999999999996</v>
      </c>
      <c r="K9" s="144"/>
      <c r="L9" s="144">
        <v>26119.8</v>
      </c>
      <c r="M9" s="144"/>
      <c r="N9" s="144">
        <v>80725.786500000002</v>
      </c>
      <c r="O9" s="145"/>
    </row>
    <row r="10" spans="1:20" x14ac:dyDescent="0.25">
      <c r="A10" s="358"/>
      <c r="B10" s="143" t="s">
        <v>52</v>
      </c>
      <c r="C10" s="363"/>
      <c r="D10" s="144">
        <f>D9+D11-D12</f>
        <v>233130</v>
      </c>
      <c r="E10" s="144">
        <f t="shared" ref="E10:M10" si="3">E9+E11-E12</f>
        <v>7436.9</v>
      </c>
      <c r="F10" s="144"/>
      <c r="G10" s="144">
        <f t="shared" si="3"/>
        <v>25086.6</v>
      </c>
      <c r="H10" s="144">
        <f t="shared" si="3"/>
        <v>4350.3999999999996</v>
      </c>
      <c r="I10" s="144">
        <f t="shared" si="3"/>
        <v>4290.3999999999996</v>
      </c>
      <c r="J10" s="144">
        <f t="shared" si="3"/>
        <v>4228.3999999999996</v>
      </c>
      <c r="K10" s="144"/>
      <c r="L10" s="144">
        <f t="shared" si="3"/>
        <v>26107.200000000001</v>
      </c>
      <c r="M10" s="144">
        <f t="shared" si="3"/>
        <v>0</v>
      </c>
      <c r="N10" s="144">
        <v>80725.786500000002</v>
      </c>
      <c r="O10" s="145"/>
      <c r="S10" s="196">
        <f ca="1">atskaites_jedox!BM9</f>
        <v>233130</v>
      </c>
      <c r="T10" s="196">
        <f ca="1">atskaites_jedox!BN9</f>
        <v>80725.789999999994</v>
      </c>
    </row>
    <row r="11" spans="1:20" ht="25.5" customHeight="1" x14ac:dyDescent="0.25">
      <c r="A11" s="358"/>
      <c r="B11" s="147" t="s">
        <v>48</v>
      </c>
      <c r="C11" s="363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1:20" ht="15" customHeight="1" x14ac:dyDescent="0.25">
      <c r="A12" s="359"/>
      <c r="B12" s="147" t="s">
        <v>49</v>
      </c>
      <c r="C12" s="364"/>
      <c r="D12" s="144">
        <f>SUM(E12+F12+G12+J12+K12+L12)</f>
        <v>1103.0999999999999</v>
      </c>
      <c r="E12" s="144">
        <v>356.5</v>
      </c>
      <c r="F12" s="144"/>
      <c r="G12" s="144">
        <v>550</v>
      </c>
      <c r="H12" s="144">
        <v>62</v>
      </c>
      <c r="I12" s="144">
        <v>122</v>
      </c>
      <c r="J12" s="144">
        <v>184</v>
      </c>
      <c r="K12" s="144"/>
      <c r="L12" s="144">
        <v>12.6</v>
      </c>
      <c r="M12" s="144"/>
      <c r="N12" s="144"/>
      <c r="O12" s="145"/>
    </row>
    <row r="13" spans="1:20" ht="28.5" customHeight="1" thickBot="1" x14ac:dyDescent="0.3">
      <c r="A13" s="354" t="s">
        <v>82</v>
      </c>
      <c r="B13" s="148" t="s">
        <v>45</v>
      </c>
      <c r="C13" s="149" t="s">
        <v>9</v>
      </c>
      <c r="D13" s="150">
        <v>1.8991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>
        <v>3.8363999999999998</v>
      </c>
      <c r="O13" s="151"/>
      <c r="S13" s="197">
        <f ca="1">atskaites_jedox!BO9</f>
        <v>1.9100000000000001</v>
      </c>
      <c r="T13" s="198">
        <f ca="1">atskaites_jedox!BP9</f>
        <v>3.85</v>
      </c>
    </row>
    <row r="14" spans="1:20" ht="53.25" customHeight="1" thickBot="1" x14ac:dyDescent="0.3">
      <c r="A14" s="355"/>
      <c r="B14" s="152" t="s">
        <v>43</v>
      </c>
      <c r="C14" s="153"/>
      <c r="D14" s="154">
        <f>SUM(D16*D24,D22*D30,D17*D25,D18*D26,D19*D27,D20*D28,D21*D29)</f>
        <v>3052.2259999999997</v>
      </c>
      <c r="E14" s="154"/>
      <c r="F14" s="154">
        <f t="shared" ref="F14:M14" si="4">SUM(F16*F24,F17*F25,F18*F26,F19*F27,F20*F28,F21*F29)</f>
        <v>0</v>
      </c>
      <c r="G14" s="154">
        <f t="shared" si="4"/>
        <v>0</v>
      </c>
      <c r="H14" s="154">
        <f t="shared" si="4"/>
        <v>0</v>
      </c>
      <c r="I14" s="154">
        <f t="shared" si="4"/>
        <v>0</v>
      </c>
      <c r="J14" s="154">
        <f t="shared" si="4"/>
        <v>0</v>
      </c>
      <c r="K14" s="154">
        <f t="shared" si="4"/>
        <v>0</v>
      </c>
      <c r="L14" s="154">
        <f t="shared" si="4"/>
        <v>0</v>
      </c>
      <c r="M14" s="154">
        <f t="shared" si="4"/>
        <v>0</v>
      </c>
      <c r="N14" s="154">
        <f>SUM(N16*N24,N17*N25,N18*N26,N19*N27,N20*N28,N21*N29)</f>
        <v>1204.52</v>
      </c>
      <c r="O14" s="155">
        <f>SUM(O16*O24,O17*O25,O18*O26,O19*O27,O20*O28,O21*O29)</f>
        <v>0</v>
      </c>
    </row>
    <row r="15" spans="1:20" ht="37.5" customHeight="1" x14ac:dyDescent="0.25">
      <c r="A15" s="365" t="s">
        <v>82</v>
      </c>
      <c r="B15" s="156" t="s">
        <v>41</v>
      </c>
      <c r="C15" s="368" t="s">
        <v>22</v>
      </c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8"/>
    </row>
    <row r="16" spans="1:20" x14ac:dyDescent="0.25">
      <c r="A16" s="366"/>
      <c r="B16" s="159" t="s">
        <v>0</v>
      </c>
      <c r="C16" s="368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1"/>
    </row>
    <row r="17" spans="1:20" x14ac:dyDescent="0.25">
      <c r="A17" s="366"/>
      <c r="B17" s="159" t="s">
        <v>65</v>
      </c>
      <c r="C17" s="368"/>
      <c r="D17" s="160">
        <v>16556</v>
      </c>
      <c r="E17" s="160"/>
      <c r="F17" s="160"/>
      <c r="G17" s="160"/>
      <c r="H17" s="160"/>
      <c r="I17" s="160"/>
      <c r="J17" s="160"/>
      <c r="K17" s="160"/>
      <c r="L17" s="160"/>
      <c r="M17" s="160"/>
      <c r="N17" s="160">
        <v>16556</v>
      </c>
      <c r="O17" s="161"/>
    </row>
    <row r="18" spans="1:20" ht="18.75" customHeight="1" x14ac:dyDescent="0.25">
      <c r="A18" s="366"/>
      <c r="B18" s="162" t="s">
        <v>17</v>
      </c>
      <c r="C18" s="368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1"/>
    </row>
    <row r="19" spans="1:20" ht="18" x14ac:dyDescent="0.25">
      <c r="A19" s="366"/>
      <c r="B19" s="159" t="s">
        <v>75</v>
      </c>
      <c r="C19" s="368"/>
      <c r="D19" s="160">
        <v>12625</v>
      </c>
      <c r="E19" s="160"/>
      <c r="F19" s="160"/>
      <c r="G19" s="160"/>
      <c r="H19" s="160"/>
      <c r="I19" s="160"/>
      <c r="J19" s="160"/>
      <c r="K19" s="160"/>
      <c r="L19" s="160"/>
      <c r="M19" s="160"/>
      <c r="N19" s="160">
        <v>9057.4</v>
      </c>
      <c r="O19" s="161"/>
    </row>
    <row r="20" spans="1:20" ht="25.5" customHeight="1" x14ac:dyDescent="0.25">
      <c r="A20" s="366"/>
      <c r="B20" s="162" t="s">
        <v>20</v>
      </c>
      <c r="C20" s="368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1"/>
    </row>
    <row r="21" spans="1:20" ht="15.75" thickBot="1" x14ac:dyDescent="0.3">
      <c r="A21" s="366"/>
      <c r="B21" s="163" t="s">
        <v>67</v>
      </c>
      <c r="C21" s="369"/>
      <c r="D21" s="164">
        <v>3833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>
        <v>2833</v>
      </c>
      <c r="O21" s="165"/>
    </row>
    <row r="22" spans="1:20" ht="15.75" thickBot="1" x14ac:dyDescent="0.3">
      <c r="A22" s="366"/>
      <c r="B22" s="163" t="s">
        <v>69</v>
      </c>
      <c r="C22" s="166"/>
      <c r="D22" s="167">
        <v>31</v>
      </c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8"/>
    </row>
    <row r="23" spans="1:20" ht="26.25" customHeight="1" x14ac:dyDescent="0.25">
      <c r="A23" s="366"/>
      <c r="B23" s="169" t="s">
        <v>42</v>
      </c>
      <c r="C23" s="370" t="s">
        <v>33</v>
      </c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1"/>
    </row>
    <row r="24" spans="1:20" x14ac:dyDescent="0.25">
      <c r="A24" s="366"/>
      <c r="B24" s="159" t="s">
        <v>0</v>
      </c>
      <c r="C24" s="368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1"/>
    </row>
    <row r="25" spans="1:20" x14ac:dyDescent="0.25">
      <c r="A25" s="366"/>
      <c r="B25" s="159" t="s">
        <v>13</v>
      </c>
      <c r="C25" s="368"/>
      <c r="D25" s="160">
        <v>0.03</v>
      </c>
      <c r="E25" s="160"/>
      <c r="F25" s="160"/>
      <c r="G25" s="160"/>
      <c r="H25" s="160"/>
      <c r="I25" s="160"/>
      <c r="J25" s="160"/>
      <c r="K25" s="160"/>
      <c r="L25" s="160"/>
      <c r="M25" s="160"/>
      <c r="N25" s="160">
        <v>0.03</v>
      </c>
      <c r="O25" s="161"/>
    </row>
    <row r="26" spans="1:20" ht="22.5" customHeight="1" x14ac:dyDescent="0.25">
      <c r="A26" s="366"/>
      <c r="B26" s="162" t="s">
        <v>17</v>
      </c>
      <c r="C26" s="368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1"/>
    </row>
    <row r="27" spans="1:20" ht="28.5" customHeight="1" x14ac:dyDescent="0.25">
      <c r="A27" s="366"/>
      <c r="B27" s="162" t="s">
        <v>19</v>
      </c>
      <c r="C27" s="368"/>
      <c r="D27" s="160">
        <v>0.05</v>
      </c>
      <c r="E27" s="160"/>
      <c r="F27" s="160"/>
      <c r="G27" s="160"/>
      <c r="H27" s="160"/>
      <c r="I27" s="160"/>
      <c r="J27" s="160"/>
      <c r="K27" s="160"/>
      <c r="L27" s="160"/>
      <c r="M27" s="160"/>
      <c r="N27" s="160">
        <v>0.05</v>
      </c>
      <c r="O27" s="161"/>
    </row>
    <row r="28" spans="1:20" ht="31.5" customHeight="1" x14ac:dyDescent="0.25">
      <c r="A28" s="366"/>
      <c r="B28" s="162" t="s">
        <v>21</v>
      </c>
      <c r="C28" s="368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1"/>
    </row>
    <row r="29" spans="1:20" ht="15.75" thickBot="1" x14ac:dyDescent="0.3">
      <c r="A29" s="367"/>
      <c r="B29" s="163" t="s">
        <v>66</v>
      </c>
      <c r="C29" s="369"/>
      <c r="D29" s="164">
        <v>0.09</v>
      </c>
      <c r="E29" s="164"/>
      <c r="F29" s="164"/>
      <c r="G29" s="164"/>
      <c r="H29" s="164"/>
      <c r="I29" s="164"/>
      <c r="J29" s="164"/>
      <c r="K29" s="164"/>
      <c r="L29" s="164"/>
      <c r="M29" s="164"/>
      <c r="N29" s="164">
        <v>0.09</v>
      </c>
      <c r="O29" s="165"/>
    </row>
    <row r="30" spans="1:20" ht="15.75" thickBot="1" x14ac:dyDescent="0.3">
      <c r="A30" s="172"/>
      <c r="B30" s="163" t="s">
        <v>76</v>
      </c>
      <c r="C30" s="166"/>
      <c r="D30" s="167">
        <v>50.945999999999998</v>
      </c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8"/>
    </row>
    <row r="31" spans="1:20" x14ac:dyDescent="0.25">
      <c r="A31" s="173" t="s">
        <v>34</v>
      </c>
      <c r="B31" s="174" t="s">
        <v>55</v>
      </c>
      <c r="C31" s="175"/>
      <c r="D31" s="176">
        <f>((D34/D35)-(D32/D33))*D33</f>
        <v>29693.302461609685</v>
      </c>
      <c r="E31" s="176"/>
      <c r="F31" s="176"/>
      <c r="G31" s="176"/>
      <c r="H31" s="176"/>
      <c r="I31" s="176"/>
      <c r="J31" s="176"/>
      <c r="K31" s="176"/>
      <c r="L31" s="176"/>
      <c r="M31" s="176" t="e">
        <f>((M34/M35)-(M33/#REF!))*#REF!</f>
        <v>#DIV/0!</v>
      </c>
      <c r="N31" s="176">
        <f>((N34/N35)-(N32/N33))*N33</f>
        <v>25661.886190866357</v>
      </c>
      <c r="O31" s="177"/>
    </row>
    <row r="32" spans="1:20" ht="63.75" customHeight="1" x14ac:dyDescent="0.25">
      <c r="A32" s="354" t="s">
        <v>82</v>
      </c>
      <c r="B32" s="178" t="s">
        <v>38</v>
      </c>
      <c r="C32" s="179" t="s">
        <v>37</v>
      </c>
      <c r="D32" s="180">
        <v>72800.45</v>
      </c>
      <c r="E32" s="180"/>
      <c r="F32" s="180"/>
      <c r="G32" s="180"/>
      <c r="H32" s="180"/>
      <c r="I32" s="180"/>
      <c r="J32" s="180"/>
      <c r="K32" s="180"/>
      <c r="L32" s="180"/>
      <c r="M32" s="181"/>
      <c r="N32" s="180">
        <v>46423.69</v>
      </c>
      <c r="O32" s="182"/>
      <c r="S32" s="196">
        <f ca="1">atskaites_jedox!BK9</f>
        <v>72800.45</v>
      </c>
      <c r="T32" s="196">
        <f ca="1">atskaites_jedox!BL9</f>
        <v>46423.69</v>
      </c>
    </row>
    <row r="33" spans="1:23" ht="25.5" customHeight="1" x14ac:dyDescent="0.25">
      <c r="A33" s="355"/>
      <c r="B33" s="178" t="s">
        <v>54</v>
      </c>
      <c r="C33" s="179" t="s">
        <v>8</v>
      </c>
      <c r="D33" s="180">
        <v>233130</v>
      </c>
      <c r="E33" s="180"/>
      <c r="F33" s="180"/>
      <c r="G33" s="180"/>
      <c r="H33" s="180"/>
      <c r="I33" s="180"/>
      <c r="J33" s="180"/>
      <c r="K33" s="180"/>
      <c r="L33" s="180"/>
      <c r="M33" s="181"/>
      <c r="N33" s="180">
        <v>80725.789999999994</v>
      </c>
      <c r="O33" s="182"/>
      <c r="S33" s="196">
        <f ca="1">atskaites_jedox!BM9</f>
        <v>233130</v>
      </c>
      <c r="T33" s="196">
        <f ca="1">atskaites_jedox!BN9</f>
        <v>80725.789999999994</v>
      </c>
      <c r="U33" s="129" t="b">
        <f>D33=D10</f>
        <v>1</v>
      </c>
      <c r="V33" s="129" t="b">
        <f>N33=N10</f>
        <v>0</v>
      </c>
      <c r="W33" s="198">
        <f>N33-N10</f>
        <v>3.4999999916180968E-3</v>
      </c>
    </row>
    <row r="34" spans="1:23" ht="63.75" customHeight="1" x14ac:dyDescent="0.25">
      <c r="A34" s="354" t="s">
        <v>83</v>
      </c>
      <c r="B34" s="178" t="s">
        <v>39</v>
      </c>
      <c r="C34" s="179" t="s">
        <v>37</v>
      </c>
      <c r="D34" s="183">
        <v>104275.27</v>
      </c>
      <c r="E34" s="184"/>
      <c r="F34" s="184"/>
      <c r="G34" s="184"/>
      <c r="H34" s="184"/>
      <c r="I34" s="184"/>
      <c r="J34" s="184"/>
      <c r="K34" s="184"/>
      <c r="L34" s="184"/>
      <c r="M34" s="184"/>
      <c r="N34" s="183">
        <v>73706.22</v>
      </c>
      <c r="O34" s="182"/>
      <c r="S34" s="196">
        <f ca="1">atskaites_jedox!O9</f>
        <v>104275.27</v>
      </c>
      <c r="T34" s="196">
        <f ca="1">atskaites_jedox!P9</f>
        <v>73706.22</v>
      </c>
    </row>
    <row r="35" spans="1:23" ht="19.5" customHeight="1" thickBot="1" x14ac:dyDescent="0.3">
      <c r="A35" s="355"/>
      <c r="B35" s="185" t="s">
        <v>40</v>
      </c>
      <c r="C35" s="186" t="s">
        <v>8</v>
      </c>
      <c r="D35" s="187">
        <v>237182.2</v>
      </c>
      <c r="E35" s="187"/>
      <c r="F35" s="187"/>
      <c r="G35" s="187"/>
      <c r="H35" s="187"/>
      <c r="I35" s="187"/>
      <c r="J35" s="187"/>
      <c r="K35" s="187"/>
      <c r="L35" s="187"/>
      <c r="M35" s="188"/>
      <c r="N35" s="187">
        <v>82540.684999999998</v>
      </c>
      <c r="O35" s="189"/>
      <c r="S35" s="196">
        <f ca="1">atskaites_jedox!Q9</f>
        <v>237182.2</v>
      </c>
      <c r="T35" s="196">
        <f ca="1">atskaites_jedox!R9</f>
        <v>82540.69</v>
      </c>
    </row>
    <row r="36" spans="1:23" x14ac:dyDescent="0.25">
      <c r="A36" s="190"/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</row>
    <row r="37" spans="1:23" x14ac:dyDescent="0.25">
      <c r="A37" s="190"/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</row>
    <row r="38" spans="1:23" ht="15.75" thickBot="1" x14ac:dyDescent="0.3">
      <c r="A38" s="190"/>
      <c r="B38" s="191" t="s">
        <v>84</v>
      </c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</row>
    <row r="39" spans="1:23" ht="15.75" thickTop="1" x14ac:dyDescent="0.25">
      <c r="A39" s="190"/>
      <c r="B39" s="190" t="s">
        <v>85</v>
      </c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</row>
  </sheetData>
  <mergeCells count="10">
    <mergeCell ref="A32:A33"/>
    <mergeCell ref="A34:A35"/>
    <mergeCell ref="A1:O1"/>
    <mergeCell ref="A4:A12"/>
    <mergeCell ref="C4:C8"/>
    <mergeCell ref="C9:C12"/>
    <mergeCell ref="A13:A14"/>
    <mergeCell ref="A15:A29"/>
    <mergeCell ref="C15:C21"/>
    <mergeCell ref="C23:C2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8F3B0-CC3A-44E7-9FE9-68C30E09F776}">
  <sheetPr>
    <pageSetUpPr fitToPage="1"/>
  </sheetPr>
  <dimension ref="A1:S40"/>
  <sheetViews>
    <sheetView zoomScale="80" zoomScaleNormal="80" workbookViewId="0">
      <selection activeCell="V1" sqref="V1"/>
    </sheetView>
  </sheetViews>
  <sheetFormatPr defaultColWidth="9.140625" defaultRowHeight="15" x14ac:dyDescent="0.25"/>
  <cols>
    <col min="1" max="1" width="12.5703125" style="211" customWidth="1"/>
    <col min="2" max="2" width="57.7109375" style="211" customWidth="1"/>
    <col min="3" max="3" width="11.42578125" style="211" customWidth="1"/>
    <col min="4" max="4" width="20.42578125" style="211" customWidth="1"/>
    <col min="5" max="5" width="7.7109375" style="211" hidden="1" customWidth="1"/>
    <col min="6" max="6" width="0.140625" style="211" hidden="1" customWidth="1"/>
    <col min="7" max="7" width="7.7109375" style="211" hidden="1" customWidth="1"/>
    <col min="8" max="8" width="9.42578125" style="211" hidden="1" customWidth="1"/>
    <col min="9" max="9" width="6.28515625" style="211" hidden="1" customWidth="1"/>
    <col min="10" max="10" width="9.5703125" style="211" hidden="1" customWidth="1"/>
    <col min="11" max="12" width="0.28515625" style="211" hidden="1" customWidth="1"/>
    <col min="13" max="13" width="14.42578125" style="211" customWidth="1"/>
    <col min="14" max="14" width="13" style="211" hidden="1" customWidth="1"/>
    <col min="15" max="15" width="9.42578125" style="211" hidden="1" customWidth="1"/>
    <col min="16" max="20" width="0" style="211" hidden="1" customWidth="1"/>
    <col min="21" max="16384" width="9.140625" style="211"/>
  </cols>
  <sheetData>
    <row r="1" spans="1:19" ht="42" customHeight="1" x14ac:dyDescent="0.3">
      <c r="A1" s="373" t="s">
        <v>56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</row>
    <row r="2" spans="1:19" s="218" customFormat="1" ht="30" customHeight="1" thickBot="1" x14ac:dyDescent="0.25">
      <c r="A2" s="212" t="s">
        <v>4</v>
      </c>
      <c r="B2" s="213"/>
      <c r="C2" s="214" t="s">
        <v>5</v>
      </c>
      <c r="D2" s="214" t="s">
        <v>1</v>
      </c>
      <c r="E2" s="215" t="s">
        <v>122</v>
      </c>
      <c r="F2" s="215" t="s">
        <v>123</v>
      </c>
      <c r="G2" s="216" t="s">
        <v>68</v>
      </c>
      <c r="H2" s="216" t="s">
        <v>59</v>
      </c>
      <c r="I2" s="217" t="s">
        <v>124</v>
      </c>
      <c r="J2" s="215" t="s">
        <v>125</v>
      </c>
      <c r="K2" s="216" t="s">
        <v>126</v>
      </c>
      <c r="L2" s="216" t="s">
        <v>10</v>
      </c>
      <c r="M2" s="214" t="s">
        <v>2</v>
      </c>
      <c r="N2" s="214" t="s">
        <v>3</v>
      </c>
    </row>
    <row r="3" spans="1:19" s="218" customFormat="1" thickBot="1" x14ac:dyDescent="0.25">
      <c r="A3" s="219" t="s">
        <v>15</v>
      </c>
      <c r="B3" s="220" t="s">
        <v>53</v>
      </c>
      <c r="C3" s="221"/>
      <c r="D3" s="222">
        <f t="shared" ref="D3:N3" si="0">(D10-D9)*D14</f>
        <v>-859.19862000001035</v>
      </c>
      <c r="E3" s="223">
        <f t="shared" si="0"/>
        <v>0</v>
      </c>
      <c r="F3" s="223">
        <f t="shared" si="0"/>
        <v>0</v>
      </c>
      <c r="G3" s="222">
        <f t="shared" si="0"/>
        <v>0</v>
      </c>
      <c r="H3" s="222">
        <f t="shared" si="0"/>
        <v>0</v>
      </c>
      <c r="I3" s="222">
        <f t="shared" si="0"/>
        <v>0</v>
      </c>
      <c r="J3" s="223">
        <f t="shared" si="0"/>
        <v>0</v>
      </c>
      <c r="K3" s="222">
        <f t="shared" si="0"/>
        <v>0</v>
      </c>
      <c r="L3" s="222">
        <f t="shared" si="0"/>
        <v>0</v>
      </c>
      <c r="M3" s="222">
        <f t="shared" si="0"/>
        <v>0</v>
      </c>
      <c r="N3" s="224">
        <f t="shared" si="0"/>
        <v>0</v>
      </c>
    </row>
    <row r="4" spans="1:19" x14ac:dyDescent="0.25">
      <c r="A4" s="374" t="s">
        <v>127</v>
      </c>
      <c r="B4" s="225" t="s">
        <v>12</v>
      </c>
      <c r="C4" s="377" t="s">
        <v>6</v>
      </c>
      <c r="D4" s="226">
        <v>58</v>
      </c>
      <c r="E4" s="227">
        <v>58</v>
      </c>
      <c r="F4" s="227">
        <v>58</v>
      </c>
      <c r="G4" s="226">
        <v>58</v>
      </c>
      <c r="H4" s="226">
        <v>58</v>
      </c>
      <c r="I4" s="226">
        <v>58</v>
      </c>
      <c r="J4" s="227">
        <v>58</v>
      </c>
      <c r="K4" s="226">
        <v>58</v>
      </c>
      <c r="L4" s="228"/>
      <c r="M4" s="226">
        <v>42</v>
      </c>
      <c r="N4" s="229"/>
    </row>
    <row r="5" spans="1:19" ht="15" customHeight="1" x14ac:dyDescent="0.25">
      <c r="A5" s="375"/>
      <c r="B5" s="230" t="s">
        <v>50</v>
      </c>
      <c r="C5" s="377"/>
      <c r="D5" s="231">
        <v>26440</v>
      </c>
      <c r="E5" s="232">
        <v>800</v>
      </c>
      <c r="F5" s="232">
        <v>1380</v>
      </c>
      <c r="G5" s="233">
        <v>1380</v>
      </c>
      <c r="H5" s="233">
        <v>480</v>
      </c>
      <c r="I5" s="233">
        <v>3786</v>
      </c>
      <c r="J5" s="232">
        <v>900</v>
      </c>
      <c r="K5" s="233">
        <v>120</v>
      </c>
      <c r="L5" s="233"/>
      <c r="M5" s="233">
        <v>10204</v>
      </c>
      <c r="N5" s="234"/>
    </row>
    <row r="6" spans="1:19" x14ac:dyDescent="0.25">
      <c r="A6" s="375"/>
      <c r="B6" s="230" t="s">
        <v>51</v>
      </c>
      <c r="C6" s="377"/>
      <c r="D6" s="233">
        <f t="shared" ref="D6:L6" si="1">D5+D7-D8</f>
        <v>26438</v>
      </c>
      <c r="E6" s="232">
        <f t="shared" si="1"/>
        <v>800</v>
      </c>
      <c r="F6" s="232">
        <f t="shared" si="1"/>
        <v>1380</v>
      </c>
      <c r="G6" s="233">
        <f t="shared" si="1"/>
        <v>1380</v>
      </c>
      <c r="H6" s="233">
        <f t="shared" si="1"/>
        <v>480</v>
      </c>
      <c r="I6" s="233">
        <f t="shared" si="1"/>
        <v>3784</v>
      </c>
      <c r="J6" s="232">
        <f t="shared" si="1"/>
        <v>900</v>
      </c>
      <c r="K6" s="233">
        <f t="shared" si="1"/>
        <v>120</v>
      </c>
      <c r="L6" s="233">
        <f t="shared" si="1"/>
        <v>0</v>
      </c>
      <c r="M6" s="233">
        <v>10204</v>
      </c>
      <c r="N6" s="234"/>
    </row>
    <row r="7" spans="1:19" x14ac:dyDescent="0.25">
      <c r="A7" s="375"/>
      <c r="B7" s="235" t="s">
        <v>46</v>
      </c>
      <c r="C7" s="377"/>
      <c r="D7" s="233"/>
      <c r="E7" s="232"/>
      <c r="F7" s="232"/>
      <c r="G7" s="233"/>
      <c r="H7" s="233"/>
      <c r="I7" s="233"/>
      <c r="J7" s="232"/>
      <c r="K7" s="233"/>
      <c r="L7" s="233"/>
      <c r="M7" s="233"/>
      <c r="N7" s="234"/>
    </row>
    <row r="8" spans="1:19" x14ac:dyDescent="0.25">
      <c r="A8" s="375"/>
      <c r="B8" s="235" t="s">
        <v>47</v>
      </c>
      <c r="C8" s="378"/>
      <c r="D8" s="233">
        <f>SUM(G8+H8+I8+K8)</f>
        <v>2</v>
      </c>
      <c r="E8" s="232">
        <v>0</v>
      </c>
      <c r="F8" s="232">
        <v>0</v>
      </c>
      <c r="G8" s="233">
        <v>0</v>
      </c>
      <c r="H8" s="233">
        <v>0</v>
      </c>
      <c r="I8" s="233">
        <v>2</v>
      </c>
      <c r="J8" s="232">
        <v>0</v>
      </c>
      <c r="K8" s="233">
        <v>0</v>
      </c>
      <c r="L8" s="233"/>
      <c r="M8" s="233"/>
      <c r="N8" s="234"/>
      <c r="O8" s="236"/>
    </row>
    <row r="9" spans="1:19" x14ac:dyDescent="0.25">
      <c r="A9" s="375"/>
      <c r="B9" s="230" t="s">
        <v>44</v>
      </c>
      <c r="C9" s="379" t="s">
        <v>8</v>
      </c>
      <c r="D9" s="237">
        <v>224618.3</v>
      </c>
      <c r="E9" s="232">
        <v>9790</v>
      </c>
      <c r="F9" s="232">
        <v>6120</v>
      </c>
      <c r="G9" s="233">
        <v>7542</v>
      </c>
      <c r="H9" s="233">
        <v>4152</v>
      </c>
      <c r="I9" s="233">
        <v>26119.8</v>
      </c>
      <c r="J9" s="232">
        <v>11043</v>
      </c>
      <c r="K9" s="233">
        <v>3894</v>
      </c>
      <c r="L9" s="233"/>
      <c r="M9" s="233">
        <v>75075.63</v>
      </c>
      <c r="N9" s="234"/>
    </row>
    <row r="10" spans="1:19" x14ac:dyDescent="0.25">
      <c r="A10" s="375"/>
      <c r="B10" s="230" t="s">
        <v>52</v>
      </c>
      <c r="C10" s="380"/>
      <c r="D10" s="237">
        <f>D9-D12+D13</f>
        <v>224136.19999999998</v>
      </c>
      <c r="E10" s="232"/>
      <c r="F10" s="232"/>
      <c r="G10" s="233">
        <f>G9+G11-G12</f>
        <v>7197</v>
      </c>
      <c r="H10" s="233">
        <f>H9+H11-H12</f>
        <v>4092</v>
      </c>
      <c r="I10" s="233">
        <f>I9+I11-I12</f>
        <v>26107.200000000001</v>
      </c>
      <c r="J10" s="232"/>
      <c r="K10" s="233">
        <f>K9+K11-K12</f>
        <v>3822</v>
      </c>
      <c r="L10" s="233">
        <f>L9+L11-L12</f>
        <v>0</v>
      </c>
      <c r="M10" s="233">
        <v>75075.63</v>
      </c>
      <c r="N10" s="234"/>
      <c r="O10" s="310">
        <f ca="1">atskaites_jedox!BS9</f>
        <v>224136.2</v>
      </c>
      <c r="P10" s="310">
        <f ca="1">atskaites_jedox!BT9</f>
        <v>75075.63</v>
      </c>
      <c r="Q10" s="211" t="b">
        <f ca="1">D10=O10</f>
        <v>1</v>
      </c>
      <c r="R10" s="211" t="b">
        <f ca="1">E10=P10</f>
        <v>0</v>
      </c>
      <c r="S10" s="236">
        <f ca="1">M10-P10</f>
        <v>0</v>
      </c>
    </row>
    <row r="11" spans="1:19" ht="16.5" customHeight="1" x14ac:dyDescent="0.25">
      <c r="A11" s="375"/>
      <c r="B11" s="238" t="s">
        <v>48</v>
      </c>
      <c r="C11" s="380"/>
      <c r="D11" s="233"/>
      <c r="E11" s="232"/>
      <c r="F11" s="232"/>
      <c r="G11" s="233"/>
      <c r="H11" s="233"/>
      <c r="I11" s="233"/>
      <c r="J11" s="232"/>
      <c r="K11" s="233"/>
      <c r="L11" s="233"/>
      <c r="M11" s="233"/>
      <c r="N11" s="234"/>
    </row>
    <row r="12" spans="1:19" ht="16.5" customHeight="1" x14ac:dyDescent="0.25">
      <c r="A12" s="376"/>
      <c r="B12" s="238" t="s">
        <v>49</v>
      </c>
      <c r="C12" s="381"/>
      <c r="D12" s="233">
        <f>SUM(G12+H12+I12+K12)</f>
        <v>489.6</v>
      </c>
      <c r="E12" s="232"/>
      <c r="F12" s="232"/>
      <c r="G12" s="233">
        <v>345</v>
      </c>
      <c r="H12" s="233">
        <v>60</v>
      </c>
      <c r="I12" s="233">
        <v>12.6</v>
      </c>
      <c r="J12" s="232"/>
      <c r="K12" s="233">
        <v>72</v>
      </c>
      <c r="L12" s="233"/>
      <c r="M12" s="233"/>
      <c r="N12" s="234"/>
      <c r="O12" s="236"/>
    </row>
    <row r="13" spans="1:19" ht="16.5" customHeight="1" x14ac:dyDescent="0.25">
      <c r="A13" s="239"/>
      <c r="B13" s="238" t="s">
        <v>128</v>
      </c>
      <c r="C13" s="240"/>
      <c r="D13" s="241">
        <f>SUM(E13+F13+J13)</f>
        <v>7.5</v>
      </c>
      <c r="E13" s="241">
        <v>2.4</v>
      </c>
      <c r="F13" s="241">
        <v>2.7</v>
      </c>
      <c r="G13" s="242"/>
      <c r="H13" s="242"/>
      <c r="I13" s="242"/>
      <c r="J13" s="241">
        <v>2.4</v>
      </c>
      <c r="K13" s="242"/>
      <c r="L13" s="242"/>
      <c r="M13" s="242"/>
      <c r="N13" s="243"/>
      <c r="O13" s="236"/>
    </row>
    <row r="14" spans="1:19" ht="30.75" thickBot="1" x14ac:dyDescent="0.3">
      <c r="A14" s="244" t="s">
        <v>127</v>
      </c>
      <c r="B14" s="245" t="s">
        <v>45</v>
      </c>
      <c r="C14" s="246" t="s">
        <v>9</v>
      </c>
      <c r="D14" s="247">
        <v>1.7822</v>
      </c>
      <c r="E14" s="248"/>
      <c r="F14" s="248"/>
      <c r="G14" s="247"/>
      <c r="H14" s="247"/>
      <c r="I14" s="247"/>
      <c r="J14" s="248"/>
      <c r="K14" s="247"/>
      <c r="L14" s="247"/>
      <c r="M14" s="247">
        <v>3.9287999999999998</v>
      </c>
      <c r="N14" s="249"/>
      <c r="O14" s="236">
        <f ca="1">atskaites_jedox!BU9</f>
        <v>1.79</v>
      </c>
      <c r="P14" s="311">
        <f ca="1">atskaites_jedox!BV9</f>
        <v>3.93</v>
      </c>
    </row>
    <row r="15" spans="1:19" s="218" customFormat="1" ht="29.25" thickBot="1" x14ac:dyDescent="0.25">
      <c r="A15" s="250" t="s">
        <v>16</v>
      </c>
      <c r="B15" s="251" t="s">
        <v>43</v>
      </c>
      <c r="C15" s="252"/>
      <c r="D15" s="253">
        <f>SUM(D17*D25,D23*D31,D18*D26,D19*D27,D20*D28,D21*D29,D22*D30)</f>
        <v>2089.16</v>
      </c>
      <c r="E15" s="253"/>
      <c r="F15" s="253"/>
      <c r="G15" s="253"/>
      <c r="H15" s="253">
        <f t="shared" ref="H15:L15" si="2">SUM(H17*H25,H18*H26,H19*H27,H20*H28,H21*H29,H22*H30)</f>
        <v>0</v>
      </c>
      <c r="I15" s="253">
        <f t="shared" si="2"/>
        <v>0</v>
      </c>
      <c r="J15" s="253"/>
      <c r="K15" s="253"/>
      <c r="L15" s="253">
        <f t="shared" si="2"/>
        <v>0</v>
      </c>
      <c r="M15" s="253">
        <f>SUM(M17*M25,M18*M26,M19*M27,M20*M28,M21*M29,M22*M30)</f>
        <v>270.29000000000002</v>
      </c>
      <c r="N15" s="254">
        <f>SUM(N17*N25,N18*N26,N19*N27,N20*N28,N21*N29,N22*N30)</f>
        <v>0</v>
      </c>
    </row>
    <row r="16" spans="1:19" s="259" customFormat="1" ht="48.75" customHeight="1" x14ac:dyDescent="0.25">
      <c r="A16" s="382" t="s">
        <v>127</v>
      </c>
      <c r="B16" s="255" t="s">
        <v>41</v>
      </c>
      <c r="C16" s="385" t="s">
        <v>22</v>
      </c>
      <c r="D16" s="256"/>
      <c r="E16" s="257"/>
      <c r="F16" s="257"/>
      <c r="G16" s="257"/>
      <c r="H16" s="257"/>
      <c r="I16" s="257"/>
      <c r="J16" s="257"/>
      <c r="K16" s="257"/>
      <c r="L16" s="257"/>
      <c r="M16" s="257"/>
      <c r="N16" s="258"/>
    </row>
    <row r="17" spans="1:14" s="259" customFormat="1" x14ac:dyDescent="0.25">
      <c r="A17" s="383"/>
      <c r="B17" s="260" t="s">
        <v>0</v>
      </c>
      <c r="C17" s="385"/>
      <c r="D17" s="261"/>
      <c r="E17" s="262"/>
      <c r="F17" s="262"/>
      <c r="G17" s="262"/>
      <c r="H17" s="262"/>
      <c r="I17" s="262"/>
      <c r="J17" s="262"/>
      <c r="K17" s="262"/>
      <c r="L17" s="262"/>
      <c r="M17" s="262"/>
      <c r="N17" s="263"/>
    </row>
    <row r="18" spans="1:14" s="259" customFormat="1" x14ac:dyDescent="0.25">
      <c r="A18" s="383"/>
      <c r="B18" s="260" t="s">
        <v>65</v>
      </c>
      <c r="C18" s="385"/>
      <c r="D18" s="261"/>
      <c r="E18" s="262"/>
      <c r="F18" s="262"/>
      <c r="G18" s="262"/>
      <c r="H18" s="262"/>
      <c r="I18" s="262"/>
      <c r="J18" s="262"/>
      <c r="K18" s="262"/>
      <c r="L18" s="262"/>
      <c r="M18" s="262"/>
      <c r="N18" s="263"/>
    </row>
    <row r="19" spans="1:14" s="259" customFormat="1" ht="18.75" customHeight="1" x14ac:dyDescent="0.25">
      <c r="A19" s="383"/>
      <c r="B19" s="264" t="s">
        <v>17</v>
      </c>
      <c r="C19" s="385"/>
      <c r="D19" s="261"/>
      <c r="E19" s="262"/>
      <c r="F19" s="262"/>
      <c r="G19" s="262"/>
      <c r="H19" s="262"/>
      <c r="I19" s="262"/>
      <c r="J19" s="262"/>
      <c r="K19" s="262"/>
      <c r="L19" s="262"/>
      <c r="M19" s="262"/>
      <c r="N19" s="263"/>
    </row>
    <row r="20" spans="1:14" s="259" customFormat="1" ht="18" x14ac:dyDescent="0.25">
      <c r="A20" s="383"/>
      <c r="B20" s="260" t="s">
        <v>129</v>
      </c>
      <c r="C20" s="385"/>
      <c r="D20" s="261">
        <v>11215</v>
      </c>
      <c r="E20" s="262"/>
      <c r="F20" s="262"/>
      <c r="G20" s="262"/>
      <c r="H20" s="262"/>
      <c r="I20" s="262"/>
      <c r="J20" s="262"/>
      <c r="K20" s="262"/>
      <c r="L20" s="262"/>
      <c r="M20" s="262">
        <v>5405.8</v>
      </c>
      <c r="N20" s="263"/>
    </row>
    <row r="21" spans="1:14" s="259" customFormat="1" ht="17.25" customHeight="1" x14ac:dyDescent="0.25">
      <c r="A21" s="383"/>
      <c r="B21" s="264" t="s">
        <v>20</v>
      </c>
      <c r="C21" s="385"/>
      <c r="D21" s="261"/>
      <c r="E21" s="262"/>
      <c r="F21" s="262"/>
      <c r="G21" s="262"/>
      <c r="H21" s="262"/>
      <c r="I21" s="262"/>
      <c r="J21" s="262"/>
      <c r="K21" s="262"/>
      <c r="L21" s="262"/>
      <c r="M21" s="262"/>
      <c r="N21" s="263"/>
    </row>
    <row r="22" spans="1:14" s="259" customFormat="1" ht="15.75" thickBot="1" x14ac:dyDescent="0.3">
      <c r="A22" s="383"/>
      <c r="B22" s="265" t="s">
        <v>67</v>
      </c>
      <c r="C22" s="386"/>
      <c r="D22" s="266"/>
      <c r="E22" s="267"/>
      <c r="F22" s="267"/>
      <c r="G22" s="267"/>
      <c r="H22" s="267"/>
      <c r="I22" s="267"/>
      <c r="J22" s="267"/>
      <c r="K22" s="267"/>
      <c r="L22" s="267"/>
      <c r="M22" s="267"/>
      <c r="N22" s="268"/>
    </row>
    <row r="23" spans="1:14" s="259" customFormat="1" ht="15.75" thickBot="1" x14ac:dyDescent="0.3">
      <c r="A23" s="383"/>
      <c r="B23" s="265" t="s">
        <v>69</v>
      </c>
      <c r="C23" s="269"/>
      <c r="D23" s="270">
        <v>30</v>
      </c>
      <c r="E23" s="271"/>
      <c r="F23" s="271"/>
      <c r="G23" s="271"/>
      <c r="H23" s="271"/>
      <c r="I23" s="271"/>
      <c r="J23" s="271"/>
      <c r="K23" s="271"/>
      <c r="L23" s="271"/>
      <c r="M23" s="271"/>
      <c r="N23" s="272"/>
    </row>
    <row r="24" spans="1:14" s="259" customFormat="1" x14ac:dyDescent="0.25">
      <c r="A24" s="383"/>
      <c r="B24" s="273" t="s">
        <v>42</v>
      </c>
      <c r="C24" s="387" t="s">
        <v>33</v>
      </c>
      <c r="D24" s="274"/>
      <c r="E24" s="275"/>
      <c r="F24" s="275"/>
      <c r="G24" s="275"/>
      <c r="H24" s="275"/>
      <c r="I24" s="275"/>
      <c r="J24" s="275"/>
      <c r="K24" s="275"/>
      <c r="L24" s="275"/>
      <c r="M24" s="275"/>
      <c r="N24" s="276"/>
    </row>
    <row r="25" spans="1:14" s="259" customFormat="1" x14ac:dyDescent="0.25">
      <c r="A25" s="383"/>
      <c r="B25" s="260" t="s">
        <v>0</v>
      </c>
      <c r="C25" s="385"/>
      <c r="D25" s="261"/>
      <c r="E25" s="262"/>
      <c r="F25" s="262"/>
      <c r="G25" s="262"/>
      <c r="H25" s="262"/>
      <c r="I25" s="262"/>
      <c r="J25" s="262"/>
      <c r="K25" s="262"/>
      <c r="L25" s="262"/>
      <c r="M25" s="262"/>
      <c r="N25" s="263"/>
    </row>
    <row r="26" spans="1:14" s="259" customFormat="1" x14ac:dyDescent="0.25">
      <c r="A26" s="383"/>
      <c r="B26" s="260" t="s">
        <v>13</v>
      </c>
      <c r="C26" s="385"/>
      <c r="D26" s="261"/>
      <c r="E26" s="262"/>
      <c r="F26" s="262"/>
      <c r="G26" s="262"/>
      <c r="H26" s="262"/>
      <c r="I26" s="262"/>
      <c r="J26" s="262"/>
      <c r="K26" s="262"/>
      <c r="L26" s="262"/>
      <c r="M26" s="262"/>
      <c r="N26" s="263"/>
    </row>
    <row r="27" spans="1:14" s="259" customFormat="1" ht="15" customHeight="1" x14ac:dyDescent="0.25">
      <c r="A27" s="383"/>
      <c r="B27" s="264" t="s">
        <v>17</v>
      </c>
      <c r="C27" s="385"/>
      <c r="D27" s="261"/>
      <c r="E27" s="262"/>
      <c r="F27" s="262"/>
      <c r="G27" s="262"/>
      <c r="H27" s="262"/>
      <c r="I27" s="262"/>
      <c r="J27" s="262"/>
      <c r="K27" s="262"/>
      <c r="L27" s="262"/>
      <c r="M27" s="262"/>
      <c r="N27" s="263"/>
    </row>
    <row r="28" spans="1:14" s="259" customFormat="1" ht="31.5" customHeight="1" x14ac:dyDescent="0.25">
      <c r="A28" s="383"/>
      <c r="B28" s="264" t="s">
        <v>19</v>
      </c>
      <c r="C28" s="385"/>
      <c r="D28" s="261">
        <v>0.05</v>
      </c>
      <c r="E28" s="262"/>
      <c r="F28" s="262"/>
      <c r="G28" s="262"/>
      <c r="H28" s="262"/>
      <c r="I28" s="262"/>
      <c r="J28" s="262"/>
      <c r="K28" s="262"/>
      <c r="L28" s="262"/>
      <c r="M28" s="262">
        <v>0.05</v>
      </c>
      <c r="N28" s="263"/>
    </row>
    <row r="29" spans="1:14" s="259" customFormat="1" ht="33" customHeight="1" x14ac:dyDescent="0.25">
      <c r="A29" s="383"/>
      <c r="B29" s="264" t="s">
        <v>21</v>
      </c>
      <c r="C29" s="385"/>
      <c r="D29" s="261"/>
      <c r="E29" s="262"/>
      <c r="F29" s="262"/>
      <c r="G29" s="262"/>
      <c r="H29" s="262"/>
      <c r="I29" s="262"/>
      <c r="J29" s="262"/>
      <c r="K29" s="262"/>
      <c r="L29" s="262"/>
      <c r="M29" s="262"/>
      <c r="N29" s="263"/>
    </row>
    <row r="30" spans="1:14" ht="15.75" thickBot="1" x14ac:dyDescent="0.3">
      <c r="A30" s="384"/>
      <c r="B30" s="265" t="s">
        <v>66</v>
      </c>
      <c r="C30" s="386"/>
      <c r="D30" s="266"/>
      <c r="E30" s="267"/>
      <c r="F30" s="267"/>
      <c r="G30" s="267"/>
      <c r="H30" s="267"/>
      <c r="I30" s="267"/>
      <c r="J30" s="267"/>
      <c r="K30" s="267"/>
      <c r="L30" s="267"/>
      <c r="M30" s="267"/>
      <c r="N30" s="268"/>
    </row>
    <row r="31" spans="1:14" ht="15.75" thickBot="1" x14ac:dyDescent="0.3">
      <c r="A31" s="277"/>
      <c r="B31" s="265" t="s">
        <v>76</v>
      </c>
      <c r="C31" s="269"/>
      <c r="D31" s="270">
        <v>50.947000000000003</v>
      </c>
      <c r="E31" s="271"/>
      <c r="F31" s="271"/>
      <c r="G31" s="271"/>
      <c r="H31" s="271"/>
      <c r="I31" s="271"/>
      <c r="J31" s="271"/>
      <c r="K31" s="271"/>
      <c r="L31" s="271"/>
      <c r="M31" s="271"/>
      <c r="N31" s="272"/>
    </row>
    <row r="32" spans="1:14" s="218" customFormat="1" ht="14.25" x14ac:dyDescent="0.2">
      <c r="A32" s="278" t="s">
        <v>34</v>
      </c>
      <c r="B32" s="279" t="s">
        <v>55</v>
      </c>
      <c r="C32" s="280"/>
      <c r="D32" s="281">
        <f t="shared" ref="D32:L32" si="3">((D35/D36)-(D33/D34))*D34</f>
        <v>25402.240546255976</v>
      </c>
      <c r="E32" s="281" t="e">
        <f t="shared" si="3"/>
        <v>#DIV/0!</v>
      </c>
      <c r="F32" s="281" t="e">
        <f t="shared" si="3"/>
        <v>#DIV/0!</v>
      </c>
      <c r="G32" s="281" t="e">
        <f t="shared" si="3"/>
        <v>#DIV/0!</v>
      </c>
      <c r="H32" s="281" t="e">
        <f t="shared" si="3"/>
        <v>#DIV/0!</v>
      </c>
      <c r="I32" s="281" t="e">
        <f t="shared" si="3"/>
        <v>#DIV/0!</v>
      </c>
      <c r="J32" s="281" t="e">
        <f t="shared" si="3"/>
        <v>#DIV/0!</v>
      </c>
      <c r="K32" s="281" t="e">
        <f t="shared" si="3"/>
        <v>#DIV/0!</v>
      </c>
      <c r="L32" s="281" t="e">
        <f t="shared" si="3"/>
        <v>#DIV/0!</v>
      </c>
      <c r="M32" s="281">
        <f>((M35/M36)-(M33/M34))*M34</f>
        <v>21965.427399971068</v>
      </c>
      <c r="N32" s="281" t="e">
        <f>((N35/N36)-(N33/N34))*N34</f>
        <v>#DIV/0!</v>
      </c>
    </row>
    <row r="33" spans="1:17" ht="45" x14ac:dyDescent="0.25">
      <c r="A33" s="371" t="s">
        <v>130</v>
      </c>
      <c r="B33" s="282" t="s">
        <v>38</v>
      </c>
      <c r="C33" s="283" t="s">
        <v>37</v>
      </c>
      <c r="D33" s="284">
        <v>71941.289999999994</v>
      </c>
      <c r="E33" s="285"/>
      <c r="F33" s="285"/>
      <c r="G33" s="286"/>
      <c r="H33" s="286"/>
      <c r="I33" s="286"/>
      <c r="J33" s="286"/>
      <c r="K33" s="286"/>
      <c r="L33" s="287"/>
      <c r="M33" s="284">
        <v>44292.26</v>
      </c>
      <c r="N33" s="288"/>
      <c r="O33" s="310">
        <f ca="1">atskaites_jedox!BQ9</f>
        <v>71941.289999999994</v>
      </c>
      <c r="P33" s="310">
        <f ca="1">atskaites_jedox!BR9</f>
        <v>44292.26</v>
      </c>
    </row>
    <row r="34" spans="1:17" x14ac:dyDescent="0.25">
      <c r="A34" s="372"/>
      <c r="B34" s="282" t="s">
        <v>54</v>
      </c>
      <c r="C34" s="283" t="s">
        <v>8</v>
      </c>
      <c r="D34" s="284">
        <v>224136.2</v>
      </c>
      <c r="E34" s="284"/>
      <c r="F34" s="284"/>
      <c r="G34" s="289"/>
      <c r="H34" s="289"/>
      <c r="I34" s="289"/>
      <c r="J34" s="289"/>
      <c r="K34" s="289"/>
      <c r="L34" s="290"/>
      <c r="M34" s="291">
        <v>75075.63</v>
      </c>
      <c r="N34" s="288"/>
      <c r="O34" s="310">
        <f ca="1">atskaites_jedox!BS9</f>
        <v>224136.2</v>
      </c>
      <c r="P34" s="310">
        <f ca="1">atskaites_jedox!BT9</f>
        <v>75075.63</v>
      </c>
      <c r="Q34" s="211" t="b">
        <f>D34=D10</f>
        <v>1</v>
      </c>
    </row>
    <row r="35" spans="1:17" ht="45" x14ac:dyDescent="0.25">
      <c r="A35" s="371" t="s">
        <v>131</v>
      </c>
      <c r="B35" s="282" t="s">
        <v>39</v>
      </c>
      <c r="C35" s="283" t="s">
        <v>37</v>
      </c>
      <c r="D35" s="284">
        <v>96677.48</v>
      </c>
      <c r="E35" s="284"/>
      <c r="F35" s="284"/>
      <c r="G35" s="289"/>
      <c r="H35" s="289"/>
      <c r="I35" s="289"/>
      <c r="J35" s="289"/>
      <c r="K35" s="289"/>
      <c r="L35" s="290"/>
      <c r="M35" s="284">
        <v>66356.36</v>
      </c>
      <c r="N35" s="288"/>
      <c r="O35" s="310">
        <f ca="1">atskaites_jedox!U9</f>
        <v>96677.48</v>
      </c>
      <c r="P35" s="310">
        <f ca="1">atskaites_jedox!V9</f>
        <v>66356.36</v>
      </c>
    </row>
    <row r="36" spans="1:17" ht="15.75" thickBot="1" x14ac:dyDescent="0.3">
      <c r="A36" s="372"/>
      <c r="B36" s="292" t="s">
        <v>40</v>
      </c>
      <c r="C36" s="293" t="s">
        <v>8</v>
      </c>
      <c r="D36" s="294">
        <v>222602.6</v>
      </c>
      <c r="E36" s="294"/>
      <c r="F36" s="294"/>
      <c r="G36" s="295"/>
      <c r="H36" s="295"/>
      <c r="I36" s="295"/>
      <c r="J36" s="295"/>
      <c r="K36" s="295"/>
      <c r="L36" s="296"/>
      <c r="M36" s="294">
        <v>75187.434500000003</v>
      </c>
      <c r="N36" s="297"/>
      <c r="O36" s="310">
        <f ca="1">atskaites_jedox!W9</f>
        <v>222602.6</v>
      </c>
      <c r="P36" s="310">
        <f ca="1">atskaites_jedox!X9</f>
        <v>75187.429999999993</v>
      </c>
    </row>
    <row r="39" spans="1:17" ht="15.75" thickBot="1" x14ac:dyDescent="0.3">
      <c r="B39" s="298" t="s">
        <v>132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</row>
    <row r="40" spans="1:17" ht="15.75" thickTop="1" x14ac:dyDescent="0.25"/>
  </sheetData>
  <mergeCells count="9">
    <mergeCell ref="A33:A34"/>
    <mergeCell ref="A35:A36"/>
    <mergeCell ref="A1:N1"/>
    <mergeCell ref="A4:A12"/>
    <mergeCell ref="C4:C8"/>
    <mergeCell ref="C9:C12"/>
    <mergeCell ref="A16:A30"/>
    <mergeCell ref="C16:C22"/>
    <mergeCell ref="C24:C30"/>
  </mergeCells>
  <pageMargins left="0.7" right="0.7" top="0.75" bottom="0.75" header="0.3" footer="0.3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8C608-39EF-429F-80E3-2C4ADA294F0F}">
  <sheetPr>
    <pageSetUpPr fitToPage="1"/>
  </sheetPr>
  <dimension ref="A3:N9"/>
  <sheetViews>
    <sheetView zoomScale="90" zoomScaleNormal="90" workbookViewId="0">
      <selection activeCell="J20" sqref="J20"/>
    </sheetView>
  </sheetViews>
  <sheetFormatPr defaultRowHeight="15" x14ac:dyDescent="0.25"/>
  <cols>
    <col min="1" max="1" width="60.5703125" bestFit="1" customWidth="1"/>
    <col min="2" max="14" width="13.42578125" customWidth="1"/>
  </cols>
  <sheetData>
    <row r="3" spans="1:14" x14ac:dyDescent="0.25">
      <c r="A3" s="207" t="s">
        <v>121</v>
      </c>
      <c r="B3" s="207" t="s">
        <v>117</v>
      </c>
    </row>
    <row r="4" spans="1:14" ht="45" x14ac:dyDescent="0.25">
      <c r="B4" s="209" t="s">
        <v>7</v>
      </c>
      <c r="C4" s="209"/>
      <c r="D4" s="209" t="s">
        <v>120</v>
      </c>
      <c r="E4" t="s">
        <v>98</v>
      </c>
      <c r="G4" s="209" t="s">
        <v>118</v>
      </c>
      <c r="H4" t="s">
        <v>103</v>
      </c>
      <c r="J4" s="209" t="s">
        <v>119</v>
      </c>
      <c r="K4" t="s">
        <v>108</v>
      </c>
      <c r="M4" t="s">
        <v>133</v>
      </c>
      <c r="N4" t="s">
        <v>116</v>
      </c>
    </row>
    <row r="5" spans="1:14" x14ac:dyDescent="0.25">
      <c r="A5" s="207" t="s">
        <v>115</v>
      </c>
      <c r="B5" t="s">
        <v>91</v>
      </c>
      <c r="C5" t="s">
        <v>114</v>
      </c>
      <c r="D5" s="209"/>
      <c r="E5" t="s">
        <v>91</v>
      </c>
      <c r="F5" t="s">
        <v>114</v>
      </c>
      <c r="G5" s="209"/>
      <c r="H5" t="s">
        <v>91</v>
      </c>
      <c r="I5" t="s">
        <v>114</v>
      </c>
      <c r="J5" s="209"/>
      <c r="K5" t="s">
        <v>91</v>
      </c>
      <c r="L5" t="s">
        <v>114</v>
      </c>
    </row>
    <row r="6" spans="1:14" ht="50.45" customHeight="1" x14ac:dyDescent="0.25">
      <c r="A6" s="307" t="s">
        <v>90</v>
      </c>
      <c r="B6" s="308">
        <v>-11096.023840000018</v>
      </c>
      <c r="C6" s="308">
        <v>0</v>
      </c>
      <c r="D6" s="309">
        <v>-11096.023840000018</v>
      </c>
      <c r="E6" s="308">
        <v>-13822.82</v>
      </c>
      <c r="F6" s="308">
        <v>0</v>
      </c>
      <c r="G6" s="309">
        <v>-13822.82</v>
      </c>
      <c r="H6" s="308">
        <v>-2094.897210000011</v>
      </c>
      <c r="I6" s="308">
        <v>0</v>
      </c>
      <c r="J6" s="309">
        <v>-2094.897210000011</v>
      </c>
      <c r="K6" s="308">
        <v>-859.19862000001035</v>
      </c>
      <c r="L6" s="308">
        <v>0</v>
      </c>
      <c r="M6" s="309">
        <v>-859.19862000001035</v>
      </c>
      <c r="N6" s="309">
        <v>-27872.939670000036</v>
      </c>
    </row>
    <row r="7" spans="1:14" ht="50.45" customHeight="1" x14ac:dyDescent="0.25">
      <c r="A7" s="307" t="s">
        <v>92</v>
      </c>
      <c r="B7" s="308">
        <v>2272.1435000000001</v>
      </c>
      <c r="C7" s="308">
        <v>978.73299999999995</v>
      </c>
      <c r="D7" s="309">
        <v>3250.8765000000003</v>
      </c>
      <c r="E7" s="308">
        <v>2912.5299999999997</v>
      </c>
      <c r="F7" s="308">
        <v>1174.0899999999999</v>
      </c>
      <c r="G7" s="309">
        <v>4086.62</v>
      </c>
      <c r="H7" s="308">
        <v>3052.2259999999997</v>
      </c>
      <c r="I7" s="308">
        <v>1204.52</v>
      </c>
      <c r="J7" s="309">
        <v>4256.7459999999992</v>
      </c>
      <c r="K7" s="308">
        <v>2089.16</v>
      </c>
      <c r="L7" s="308">
        <v>270.29000000000002</v>
      </c>
      <c r="M7" s="309">
        <v>2359.4499999999998</v>
      </c>
      <c r="N7" s="309">
        <v>13953.692500000001</v>
      </c>
    </row>
    <row r="8" spans="1:14" ht="50.45" customHeight="1" x14ac:dyDescent="0.25">
      <c r="A8" s="307" t="s">
        <v>93</v>
      </c>
      <c r="B8" s="308">
        <v>9198.6757630675147</v>
      </c>
      <c r="C8" s="308">
        <v>12539.301545147393</v>
      </c>
      <c r="D8" s="309">
        <v>21737.977308214908</v>
      </c>
      <c r="E8" s="308">
        <v>23661.231624121428</v>
      </c>
      <c r="F8" s="308">
        <v>24835.952095809793</v>
      </c>
      <c r="G8" s="309">
        <v>48497.183719931221</v>
      </c>
      <c r="H8" s="308">
        <v>29693.302461609685</v>
      </c>
      <c r="I8" s="308">
        <v>25661.886190866357</v>
      </c>
      <c r="J8" s="309">
        <v>55355.188652476041</v>
      </c>
      <c r="K8" s="308">
        <v>25402.240546255976</v>
      </c>
      <c r="L8" s="308">
        <v>21965.427399971068</v>
      </c>
      <c r="M8" s="309">
        <v>47367.66794622704</v>
      </c>
      <c r="N8" s="309">
        <v>172958.01762684921</v>
      </c>
    </row>
    <row r="9" spans="1:14" x14ac:dyDescent="0.25">
      <c r="A9" s="208" t="s">
        <v>116</v>
      </c>
      <c r="B9" s="210">
        <v>374.79542306749681</v>
      </c>
      <c r="C9" s="210">
        <v>13518.034545147393</v>
      </c>
      <c r="D9" s="210">
        <v>13892.82996821489</v>
      </c>
      <c r="E9" s="210">
        <v>12750.941624121428</v>
      </c>
      <c r="F9" s="210">
        <v>26010.042095809793</v>
      </c>
      <c r="G9" s="210">
        <v>38760.983719931217</v>
      </c>
      <c r="H9" s="210">
        <v>30650.631251609673</v>
      </c>
      <c r="I9" s="210">
        <v>26866.406190866357</v>
      </c>
      <c r="J9" s="210">
        <v>57517.03744247603</v>
      </c>
      <c r="K9" s="210">
        <v>26632.201926255966</v>
      </c>
      <c r="L9" s="210">
        <v>22235.717399971069</v>
      </c>
      <c r="M9" s="210">
        <v>48867.919326227027</v>
      </c>
      <c r="N9" s="210">
        <v>159038.77045684916</v>
      </c>
    </row>
  </sheetData>
  <pageMargins left="0.7" right="0.7" top="0.75" bottom="0.75" header="0.3" footer="0.3"/>
  <pageSetup paperSize="9" scale="57" orientation="landscape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57EFA-B64F-4032-978A-329C2B720EC5}">
  <dimension ref="B1:M271"/>
  <sheetViews>
    <sheetView tabSelected="1" zoomScale="70" zoomScaleNormal="70" workbookViewId="0">
      <pane ySplit="5" topLeftCell="A6" activePane="bottomLeft" state="frozen"/>
      <selection pane="bottomLeft" activeCell="J19" sqref="J19"/>
    </sheetView>
  </sheetViews>
  <sheetFormatPr defaultRowHeight="15" x14ac:dyDescent="0.25"/>
  <cols>
    <col min="1" max="1" width="5.42578125" customWidth="1"/>
    <col min="2" max="2" width="49.28515625" customWidth="1"/>
    <col min="3" max="3" width="37.5703125" customWidth="1"/>
    <col min="4" max="4" width="13.42578125" style="316" customWidth="1"/>
    <col min="5" max="5" width="18.42578125" style="315" bestFit="1" customWidth="1"/>
    <col min="6" max="6" width="13.7109375" style="315" customWidth="1"/>
    <col min="7" max="7" width="23" style="315" bestFit="1" customWidth="1"/>
    <col min="8" max="13" width="9.140625" style="315"/>
  </cols>
  <sheetData>
    <row r="1" spans="2:7" x14ac:dyDescent="0.25">
      <c r="B1" s="388" t="s">
        <v>56</v>
      </c>
      <c r="C1" s="388"/>
      <c r="D1" s="388"/>
      <c r="E1" s="388"/>
      <c r="F1" s="388"/>
      <c r="G1" s="388"/>
    </row>
    <row r="2" spans="2:7" x14ac:dyDescent="0.25">
      <c r="B2" s="388"/>
      <c r="C2" s="388"/>
      <c r="D2" s="388"/>
      <c r="E2" s="388"/>
      <c r="F2" s="388"/>
      <c r="G2" s="388"/>
    </row>
    <row r="5" spans="2:7" ht="15.75" x14ac:dyDescent="0.25">
      <c r="B5" s="312" t="s">
        <v>86</v>
      </c>
      <c r="C5" s="312" t="s">
        <v>5</v>
      </c>
      <c r="D5" s="317" t="s">
        <v>87</v>
      </c>
      <c r="E5" s="318" t="s">
        <v>88</v>
      </c>
      <c r="F5" s="318" t="s">
        <v>89</v>
      </c>
      <c r="G5" s="318" t="s">
        <v>4</v>
      </c>
    </row>
    <row r="6" spans="2:7" ht="42.75" x14ac:dyDescent="0.25">
      <c r="B6" s="313" t="s">
        <v>90</v>
      </c>
      <c r="C6" s="64"/>
      <c r="D6" s="319">
        <v>-11096.023840000018</v>
      </c>
      <c r="E6" s="304" t="s">
        <v>91</v>
      </c>
      <c r="F6" s="304" t="s">
        <v>113</v>
      </c>
      <c r="G6" s="304" t="s">
        <v>7</v>
      </c>
    </row>
    <row r="7" spans="2:7" x14ac:dyDescent="0.25">
      <c r="B7" s="2" t="s">
        <v>12</v>
      </c>
      <c r="C7" s="199" t="s">
        <v>6</v>
      </c>
      <c r="D7" s="320">
        <v>54</v>
      </c>
      <c r="E7" s="304" t="s">
        <v>91</v>
      </c>
      <c r="F7" s="304" t="s">
        <v>113</v>
      </c>
      <c r="G7" s="304" t="s">
        <v>7</v>
      </c>
    </row>
    <row r="8" spans="2:7" x14ac:dyDescent="0.25">
      <c r="B8" s="4" t="s">
        <v>50</v>
      </c>
      <c r="C8" s="199" t="s">
        <v>6</v>
      </c>
      <c r="D8" s="320">
        <v>20717</v>
      </c>
      <c r="E8" s="304" t="s">
        <v>91</v>
      </c>
      <c r="F8" s="304" t="s">
        <v>113</v>
      </c>
      <c r="G8" s="304" t="s">
        <v>7</v>
      </c>
    </row>
    <row r="9" spans="2:7" x14ac:dyDescent="0.25">
      <c r="B9" s="4" t="s">
        <v>51</v>
      </c>
      <c r="C9" s="199" t="s">
        <v>6</v>
      </c>
      <c r="D9" s="320">
        <v>19697</v>
      </c>
      <c r="E9" s="304" t="s">
        <v>91</v>
      </c>
      <c r="F9" s="304" t="s">
        <v>113</v>
      </c>
      <c r="G9" s="304" t="s">
        <v>7</v>
      </c>
    </row>
    <row r="10" spans="2:7" x14ac:dyDescent="0.25">
      <c r="B10" s="5" t="s">
        <v>46</v>
      </c>
      <c r="C10" s="199" t="s">
        <v>6</v>
      </c>
      <c r="D10" s="320"/>
      <c r="E10" s="304" t="s">
        <v>91</v>
      </c>
      <c r="F10" s="304" t="s">
        <v>113</v>
      </c>
      <c r="G10" s="304" t="s">
        <v>7</v>
      </c>
    </row>
    <row r="11" spans="2:7" x14ac:dyDescent="0.25">
      <c r="B11" s="5" t="s">
        <v>47</v>
      </c>
      <c r="C11" s="199" t="s">
        <v>6</v>
      </c>
      <c r="D11" s="320">
        <v>1020</v>
      </c>
      <c r="E11" s="304" t="s">
        <v>91</v>
      </c>
      <c r="F11" s="304" t="s">
        <v>113</v>
      </c>
      <c r="G11" s="304" t="s">
        <v>7</v>
      </c>
    </row>
    <row r="12" spans="2:7" x14ac:dyDescent="0.25">
      <c r="B12" s="4" t="s">
        <v>44</v>
      </c>
      <c r="C12" s="200" t="s">
        <v>8</v>
      </c>
      <c r="D12" s="320">
        <v>175440.7</v>
      </c>
      <c r="E12" s="304" t="s">
        <v>91</v>
      </c>
      <c r="F12" s="304" t="s">
        <v>113</v>
      </c>
      <c r="G12" s="304" t="s">
        <v>7</v>
      </c>
    </row>
    <row r="13" spans="2:7" x14ac:dyDescent="0.25">
      <c r="B13" s="4" t="s">
        <v>52</v>
      </c>
      <c r="C13" s="200" t="s">
        <v>8</v>
      </c>
      <c r="D13" s="320">
        <v>168396.5</v>
      </c>
      <c r="E13" s="304" t="s">
        <v>91</v>
      </c>
      <c r="F13" s="304" t="s">
        <v>113</v>
      </c>
      <c r="G13" s="304" t="s">
        <v>7</v>
      </c>
    </row>
    <row r="14" spans="2:7" x14ac:dyDescent="0.25">
      <c r="B14" s="6" t="s">
        <v>48</v>
      </c>
      <c r="C14" s="200" t="s">
        <v>8</v>
      </c>
      <c r="D14" s="320"/>
      <c r="E14" s="304" t="s">
        <v>91</v>
      </c>
      <c r="F14" s="304" t="s">
        <v>113</v>
      </c>
      <c r="G14" s="304" t="s">
        <v>7</v>
      </c>
    </row>
    <row r="15" spans="2:7" x14ac:dyDescent="0.25">
      <c r="B15" s="6" t="s">
        <v>49</v>
      </c>
      <c r="C15" s="200" t="s">
        <v>8</v>
      </c>
      <c r="D15" s="320">
        <v>7044.2</v>
      </c>
      <c r="E15" s="304" t="s">
        <v>91</v>
      </c>
      <c r="F15" s="304" t="s">
        <v>113</v>
      </c>
      <c r="G15" s="304" t="s">
        <v>7</v>
      </c>
    </row>
    <row r="16" spans="2:7" x14ac:dyDescent="0.25">
      <c r="B16" s="4" t="s">
        <v>45</v>
      </c>
      <c r="C16" s="3" t="s">
        <v>9</v>
      </c>
      <c r="D16" s="320">
        <v>1.5751999999999999</v>
      </c>
      <c r="E16" s="304" t="s">
        <v>91</v>
      </c>
      <c r="F16" s="304" t="s">
        <v>113</v>
      </c>
      <c r="G16" s="304" t="s">
        <v>7</v>
      </c>
    </row>
    <row r="17" spans="2:7" ht="57.75" x14ac:dyDescent="0.25">
      <c r="B17" s="32" t="s">
        <v>92</v>
      </c>
      <c r="C17" s="66"/>
      <c r="D17" s="321">
        <v>2272.1435000000001</v>
      </c>
      <c r="E17" s="304" t="s">
        <v>91</v>
      </c>
      <c r="F17" s="304" t="s">
        <v>113</v>
      </c>
      <c r="G17" s="304" t="s">
        <v>7</v>
      </c>
    </row>
    <row r="18" spans="2:7" ht="30" x14ac:dyDescent="0.25">
      <c r="B18" s="7" t="s">
        <v>41</v>
      </c>
      <c r="C18" s="201" t="s">
        <v>22</v>
      </c>
      <c r="D18" s="320"/>
      <c r="E18" s="304" t="s">
        <v>91</v>
      </c>
      <c r="F18" s="304" t="s">
        <v>113</v>
      </c>
      <c r="G18" s="304" t="s">
        <v>7</v>
      </c>
    </row>
    <row r="19" spans="2:7" ht="30" x14ac:dyDescent="0.25">
      <c r="B19" s="8" t="s">
        <v>0</v>
      </c>
      <c r="C19" s="201" t="s">
        <v>22</v>
      </c>
      <c r="D19" s="320"/>
      <c r="E19" s="304" t="s">
        <v>91</v>
      </c>
      <c r="F19" s="304" t="s">
        <v>113</v>
      </c>
      <c r="G19" s="304" t="s">
        <v>7</v>
      </c>
    </row>
    <row r="20" spans="2:7" ht="30" x14ac:dyDescent="0.25">
      <c r="B20" s="8" t="s">
        <v>65</v>
      </c>
      <c r="C20" s="201" t="s">
        <v>22</v>
      </c>
      <c r="D20" s="320">
        <v>13161</v>
      </c>
      <c r="E20" s="304" t="s">
        <v>91</v>
      </c>
      <c r="F20" s="304" t="s">
        <v>113</v>
      </c>
      <c r="G20" s="304" t="s">
        <v>7</v>
      </c>
    </row>
    <row r="21" spans="2:7" ht="30" x14ac:dyDescent="0.25">
      <c r="B21" s="9" t="s">
        <v>17</v>
      </c>
      <c r="C21" s="201" t="s">
        <v>22</v>
      </c>
      <c r="D21" s="320"/>
      <c r="E21" s="304" t="s">
        <v>91</v>
      </c>
      <c r="F21" s="304" t="s">
        <v>113</v>
      </c>
      <c r="G21" s="304" t="s">
        <v>7</v>
      </c>
    </row>
    <row r="22" spans="2:7" ht="30" x14ac:dyDescent="0.25">
      <c r="B22" s="8" t="s">
        <v>72</v>
      </c>
      <c r="C22" s="201" t="s">
        <v>22</v>
      </c>
      <c r="D22" s="320">
        <v>9548.7099999999991</v>
      </c>
      <c r="E22" s="304" t="s">
        <v>91</v>
      </c>
      <c r="F22" s="304" t="s">
        <v>113</v>
      </c>
      <c r="G22" s="304" t="s">
        <v>7</v>
      </c>
    </row>
    <row r="23" spans="2:7" ht="30" x14ac:dyDescent="0.25">
      <c r="B23" s="9" t="s">
        <v>20</v>
      </c>
      <c r="C23" s="201" t="s">
        <v>22</v>
      </c>
      <c r="D23" s="320"/>
      <c r="E23" s="304" t="s">
        <v>91</v>
      </c>
      <c r="F23" s="304" t="s">
        <v>113</v>
      </c>
      <c r="G23" s="304" t="s">
        <v>7</v>
      </c>
    </row>
    <row r="24" spans="2:7" ht="30" x14ac:dyDescent="0.25">
      <c r="B24" s="8" t="s">
        <v>67</v>
      </c>
      <c r="C24" s="201" t="s">
        <v>22</v>
      </c>
      <c r="D24" s="320">
        <v>2844</v>
      </c>
      <c r="E24" s="304" t="s">
        <v>91</v>
      </c>
      <c r="F24" s="304" t="s">
        <v>113</v>
      </c>
      <c r="G24" s="304" t="s">
        <v>7</v>
      </c>
    </row>
    <row r="25" spans="2:7" ht="30" x14ac:dyDescent="0.25">
      <c r="B25" s="8" t="s">
        <v>69</v>
      </c>
      <c r="C25" s="201" t="s">
        <v>22</v>
      </c>
      <c r="D25" s="320">
        <v>23</v>
      </c>
      <c r="E25" s="304" t="s">
        <v>91</v>
      </c>
      <c r="F25" s="304" t="s">
        <v>113</v>
      </c>
      <c r="G25" s="304" t="s">
        <v>7</v>
      </c>
    </row>
    <row r="26" spans="2:7" ht="30" x14ac:dyDescent="0.25">
      <c r="B26" s="7" t="s">
        <v>42</v>
      </c>
      <c r="C26" s="201" t="s">
        <v>33</v>
      </c>
      <c r="D26" s="320"/>
      <c r="E26" s="304" t="s">
        <v>91</v>
      </c>
      <c r="F26" s="304" t="s">
        <v>113</v>
      </c>
      <c r="G26" s="304" t="s">
        <v>7</v>
      </c>
    </row>
    <row r="27" spans="2:7" x14ac:dyDescent="0.25">
      <c r="B27" s="8" t="s">
        <v>0</v>
      </c>
      <c r="C27" s="201" t="s">
        <v>33</v>
      </c>
      <c r="D27" s="320"/>
      <c r="E27" s="304" t="s">
        <v>91</v>
      </c>
      <c r="F27" s="304" t="s">
        <v>113</v>
      </c>
      <c r="G27" s="304" t="s">
        <v>7</v>
      </c>
    </row>
    <row r="28" spans="2:7" x14ac:dyDescent="0.25">
      <c r="B28" s="8" t="s">
        <v>13</v>
      </c>
      <c r="C28" s="201" t="s">
        <v>33</v>
      </c>
      <c r="D28" s="320">
        <v>2.8000000000000001E-2</v>
      </c>
      <c r="E28" s="304" t="s">
        <v>91</v>
      </c>
      <c r="F28" s="304" t="s">
        <v>113</v>
      </c>
      <c r="G28" s="304" t="s">
        <v>7</v>
      </c>
    </row>
    <row r="29" spans="2:7" x14ac:dyDescent="0.25">
      <c r="B29" s="9" t="s">
        <v>17</v>
      </c>
      <c r="C29" s="201" t="s">
        <v>33</v>
      </c>
      <c r="D29" s="320"/>
      <c r="E29" s="304" t="s">
        <v>91</v>
      </c>
      <c r="F29" s="304" t="s">
        <v>113</v>
      </c>
      <c r="G29" s="304" t="s">
        <v>7</v>
      </c>
    </row>
    <row r="30" spans="2:7" ht="30" x14ac:dyDescent="0.25">
      <c r="B30" s="9" t="s">
        <v>19</v>
      </c>
      <c r="C30" s="201" t="s">
        <v>33</v>
      </c>
      <c r="D30" s="320">
        <v>0.05</v>
      </c>
      <c r="E30" s="304" t="s">
        <v>91</v>
      </c>
      <c r="F30" s="304" t="s">
        <v>113</v>
      </c>
      <c r="G30" s="304" t="s">
        <v>7</v>
      </c>
    </row>
    <row r="31" spans="2:7" ht="30" x14ac:dyDescent="0.25">
      <c r="B31" s="9" t="s">
        <v>21</v>
      </c>
      <c r="C31" s="201" t="s">
        <v>33</v>
      </c>
      <c r="D31" s="320"/>
      <c r="E31" s="304" t="s">
        <v>91</v>
      </c>
      <c r="F31" s="304" t="s">
        <v>113</v>
      </c>
      <c r="G31" s="304" t="s">
        <v>7</v>
      </c>
    </row>
    <row r="32" spans="2:7" x14ac:dyDescent="0.25">
      <c r="B32" s="8" t="s">
        <v>66</v>
      </c>
      <c r="C32" s="201" t="s">
        <v>33</v>
      </c>
      <c r="D32" s="320">
        <v>0.09</v>
      </c>
      <c r="E32" s="304" t="s">
        <v>91</v>
      </c>
      <c r="F32" s="304" t="s">
        <v>113</v>
      </c>
      <c r="G32" s="304" t="s">
        <v>7</v>
      </c>
    </row>
    <row r="33" spans="2:7" x14ac:dyDescent="0.25">
      <c r="B33" s="8" t="s">
        <v>70</v>
      </c>
      <c r="C33" s="201" t="s">
        <v>33</v>
      </c>
      <c r="D33" s="320">
        <v>50.88</v>
      </c>
      <c r="E33" s="304" t="s">
        <v>91</v>
      </c>
      <c r="F33" s="304" t="s">
        <v>113</v>
      </c>
      <c r="G33" s="304" t="s">
        <v>7</v>
      </c>
    </row>
    <row r="34" spans="2:7" ht="29.25" x14ac:dyDescent="0.25">
      <c r="B34" s="314" t="s">
        <v>93</v>
      </c>
      <c r="C34" s="29"/>
      <c r="D34" s="322">
        <v>9198.6757630675147</v>
      </c>
      <c r="E34" s="304" t="s">
        <v>91</v>
      </c>
      <c r="F34" s="304" t="s">
        <v>113</v>
      </c>
      <c r="G34" s="304" t="s">
        <v>7</v>
      </c>
    </row>
    <row r="35" spans="2:7" ht="60" x14ac:dyDescent="0.25">
      <c r="B35" s="27" t="s">
        <v>94</v>
      </c>
      <c r="C35" s="306" t="s">
        <v>37</v>
      </c>
      <c r="D35" s="323">
        <v>65274.65</v>
      </c>
      <c r="E35" s="304" t="s">
        <v>91</v>
      </c>
      <c r="F35" s="304" t="s">
        <v>113</v>
      </c>
      <c r="G35" s="304" t="s">
        <v>7</v>
      </c>
    </row>
    <row r="36" spans="2:7" x14ac:dyDescent="0.25">
      <c r="B36" s="27" t="s">
        <v>95</v>
      </c>
      <c r="C36" s="306" t="s">
        <v>8</v>
      </c>
      <c r="D36" s="323">
        <v>168396.5</v>
      </c>
      <c r="E36" s="304" t="s">
        <v>91</v>
      </c>
      <c r="F36" s="304" t="s">
        <v>113</v>
      </c>
      <c r="G36" s="304" t="s">
        <v>7</v>
      </c>
    </row>
    <row r="37" spans="2:7" ht="60" x14ac:dyDescent="0.25">
      <c r="B37" s="27" t="s">
        <v>96</v>
      </c>
      <c r="C37" s="306" t="s">
        <v>37</v>
      </c>
      <c r="D37" s="323">
        <v>76064.009999999995</v>
      </c>
      <c r="E37" s="304" t="s">
        <v>91</v>
      </c>
      <c r="F37" s="304" t="s">
        <v>113</v>
      </c>
      <c r="G37" s="304" t="s">
        <v>7</v>
      </c>
    </row>
    <row r="38" spans="2:7" x14ac:dyDescent="0.25">
      <c r="B38" s="27" t="s">
        <v>97</v>
      </c>
      <c r="C38" s="306" t="s">
        <v>8</v>
      </c>
      <c r="D38" s="323">
        <v>171993.3</v>
      </c>
      <c r="E38" s="304" t="s">
        <v>91</v>
      </c>
      <c r="F38" s="304" t="s">
        <v>113</v>
      </c>
      <c r="G38" s="304" t="s">
        <v>7</v>
      </c>
    </row>
    <row r="39" spans="2:7" ht="42.75" x14ac:dyDescent="0.25">
      <c r="B39" s="313" t="s">
        <v>90</v>
      </c>
      <c r="C39" s="64"/>
      <c r="D39" s="319">
        <v>-13822.82</v>
      </c>
      <c r="E39" s="304" t="s">
        <v>91</v>
      </c>
      <c r="F39" s="304" t="s">
        <v>113</v>
      </c>
      <c r="G39" s="304" t="s">
        <v>98</v>
      </c>
    </row>
    <row r="40" spans="2:7" x14ac:dyDescent="0.25">
      <c r="B40" s="2" t="s">
        <v>12</v>
      </c>
      <c r="C40" s="199" t="s">
        <v>6</v>
      </c>
      <c r="D40" s="320">
        <v>56</v>
      </c>
      <c r="E40" s="304" t="s">
        <v>91</v>
      </c>
      <c r="F40" s="304" t="s">
        <v>113</v>
      </c>
      <c r="G40" s="304" t="s">
        <v>98</v>
      </c>
    </row>
    <row r="41" spans="2:7" x14ac:dyDescent="0.25">
      <c r="B41" s="4" t="s">
        <v>50</v>
      </c>
      <c r="C41" s="199" t="s">
        <v>6</v>
      </c>
      <c r="D41" s="320">
        <v>26770</v>
      </c>
      <c r="E41" s="304" t="s">
        <v>91</v>
      </c>
      <c r="F41" s="304" t="s">
        <v>113</v>
      </c>
      <c r="G41" s="304" t="s">
        <v>98</v>
      </c>
    </row>
    <row r="42" spans="2:7" x14ac:dyDescent="0.25">
      <c r="B42" s="4" t="s">
        <v>51</v>
      </c>
      <c r="C42" s="199" t="s">
        <v>6</v>
      </c>
      <c r="D42" s="320">
        <v>25570</v>
      </c>
      <c r="E42" s="304" t="s">
        <v>91</v>
      </c>
      <c r="F42" s="304" t="s">
        <v>113</v>
      </c>
      <c r="G42" s="304" t="s">
        <v>98</v>
      </c>
    </row>
    <row r="43" spans="2:7" x14ac:dyDescent="0.25">
      <c r="B43" s="5" t="s">
        <v>46</v>
      </c>
      <c r="C43" s="199" t="s">
        <v>6</v>
      </c>
      <c r="D43" s="320"/>
      <c r="E43" s="304" t="s">
        <v>91</v>
      </c>
      <c r="F43" s="304" t="s">
        <v>113</v>
      </c>
      <c r="G43" s="304" t="s">
        <v>98</v>
      </c>
    </row>
    <row r="44" spans="2:7" x14ac:dyDescent="0.25">
      <c r="B44" s="5" t="s">
        <v>47</v>
      </c>
      <c r="C44" s="199" t="s">
        <v>6</v>
      </c>
      <c r="D44" s="320">
        <v>1200</v>
      </c>
      <c r="E44" s="304" t="s">
        <v>91</v>
      </c>
      <c r="F44" s="304" t="s">
        <v>113</v>
      </c>
      <c r="G44" s="304" t="s">
        <v>98</v>
      </c>
    </row>
    <row r="45" spans="2:7" x14ac:dyDescent="0.25">
      <c r="B45" s="4" t="s">
        <v>44</v>
      </c>
      <c r="C45" s="200" t="s">
        <v>8</v>
      </c>
      <c r="D45" s="320">
        <v>226386.8</v>
      </c>
      <c r="E45" s="304" t="s">
        <v>91</v>
      </c>
      <c r="F45" s="304" t="s">
        <v>113</v>
      </c>
      <c r="G45" s="304" t="s">
        <v>98</v>
      </c>
    </row>
    <row r="46" spans="2:7" x14ac:dyDescent="0.25">
      <c r="B46" s="4" t="s">
        <v>52</v>
      </c>
      <c r="C46" s="200" t="s">
        <v>8</v>
      </c>
      <c r="D46" s="320">
        <v>218059.8</v>
      </c>
      <c r="E46" s="304" t="s">
        <v>91</v>
      </c>
      <c r="F46" s="304" t="s">
        <v>113</v>
      </c>
      <c r="G46" s="304" t="s">
        <v>98</v>
      </c>
    </row>
    <row r="47" spans="2:7" x14ac:dyDescent="0.25">
      <c r="B47" s="6" t="s">
        <v>48</v>
      </c>
      <c r="C47" s="200" t="s">
        <v>8</v>
      </c>
      <c r="D47" s="320"/>
      <c r="E47" s="304" t="s">
        <v>91</v>
      </c>
      <c r="F47" s="304" t="s">
        <v>113</v>
      </c>
      <c r="G47" s="304" t="s">
        <v>98</v>
      </c>
    </row>
    <row r="48" spans="2:7" x14ac:dyDescent="0.25">
      <c r="B48" s="6" t="s">
        <v>49</v>
      </c>
      <c r="C48" s="200" t="s">
        <v>8</v>
      </c>
      <c r="D48" s="320">
        <v>8327</v>
      </c>
      <c r="E48" s="304" t="s">
        <v>91</v>
      </c>
      <c r="F48" s="304" t="s">
        <v>113</v>
      </c>
      <c r="G48" s="304" t="s">
        <v>98</v>
      </c>
    </row>
    <row r="49" spans="2:7" x14ac:dyDescent="0.25">
      <c r="B49" s="4" t="s">
        <v>45</v>
      </c>
      <c r="C49" s="3" t="s">
        <v>9</v>
      </c>
      <c r="D49" s="320">
        <v>1.66</v>
      </c>
      <c r="E49" s="304" t="s">
        <v>91</v>
      </c>
      <c r="F49" s="304" t="s">
        <v>113</v>
      </c>
      <c r="G49" s="304" t="s">
        <v>98</v>
      </c>
    </row>
    <row r="50" spans="2:7" ht="57.75" x14ac:dyDescent="0.25">
      <c r="B50" s="32" t="s">
        <v>92</v>
      </c>
      <c r="C50" s="66"/>
      <c r="D50" s="321">
        <v>2912.5299999999997</v>
      </c>
      <c r="E50" s="304" t="s">
        <v>91</v>
      </c>
      <c r="F50" s="304" t="s">
        <v>113</v>
      </c>
      <c r="G50" s="304" t="s">
        <v>98</v>
      </c>
    </row>
    <row r="51" spans="2:7" ht="30" x14ac:dyDescent="0.25">
      <c r="B51" s="7" t="s">
        <v>41</v>
      </c>
      <c r="C51" s="201" t="s">
        <v>22</v>
      </c>
      <c r="D51" s="320"/>
      <c r="E51" s="304" t="s">
        <v>91</v>
      </c>
      <c r="F51" s="304" t="s">
        <v>113</v>
      </c>
      <c r="G51" s="304" t="s">
        <v>98</v>
      </c>
    </row>
    <row r="52" spans="2:7" ht="30" x14ac:dyDescent="0.25">
      <c r="B52" s="8" t="s">
        <v>0</v>
      </c>
      <c r="C52" s="201" t="s">
        <v>22</v>
      </c>
      <c r="D52" s="320"/>
      <c r="E52" s="304" t="s">
        <v>91</v>
      </c>
      <c r="F52" s="304" t="s">
        <v>113</v>
      </c>
      <c r="G52" s="304" t="s">
        <v>98</v>
      </c>
    </row>
    <row r="53" spans="2:7" ht="30" x14ac:dyDescent="0.25">
      <c r="B53" s="8" t="s">
        <v>65</v>
      </c>
      <c r="C53" s="201" t="s">
        <v>22</v>
      </c>
      <c r="D53" s="320">
        <v>16557</v>
      </c>
      <c r="E53" s="304" t="s">
        <v>91</v>
      </c>
      <c r="F53" s="304" t="s">
        <v>113</v>
      </c>
      <c r="G53" s="304" t="s">
        <v>98</v>
      </c>
    </row>
    <row r="54" spans="2:7" ht="30" x14ac:dyDescent="0.25">
      <c r="B54" s="9" t="s">
        <v>17</v>
      </c>
      <c r="C54" s="201" t="s">
        <v>22</v>
      </c>
      <c r="D54" s="320"/>
      <c r="E54" s="304" t="s">
        <v>91</v>
      </c>
      <c r="F54" s="304" t="s">
        <v>113</v>
      </c>
      <c r="G54" s="304" t="s">
        <v>98</v>
      </c>
    </row>
    <row r="55" spans="2:7" ht="30" x14ac:dyDescent="0.25">
      <c r="B55" s="8" t="s">
        <v>75</v>
      </c>
      <c r="C55" s="201" t="s">
        <v>22</v>
      </c>
      <c r="D55" s="320">
        <v>10850</v>
      </c>
      <c r="E55" s="304" t="s">
        <v>91</v>
      </c>
      <c r="F55" s="304" t="s">
        <v>113</v>
      </c>
      <c r="G55" s="304" t="s">
        <v>98</v>
      </c>
    </row>
    <row r="56" spans="2:7" ht="30" x14ac:dyDescent="0.25">
      <c r="B56" s="9" t="s">
        <v>20</v>
      </c>
      <c r="C56" s="201" t="s">
        <v>22</v>
      </c>
      <c r="D56" s="320"/>
      <c r="E56" s="304" t="s">
        <v>91</v>
      </c>
      <c r="F56" s="304" t="s">
        <v>113</v>
      </c>
      <c r="G56" s="304" t="s">
        <v>98</v>
      </c>
    </row>
    <row r="57" spans="2:7" ht="30" x14ac:dyDescent="0.25">
      <c r="B57" s="8" t="s">
        <v>67</v>
      </c>
      <c r="C57" s="201" t="s">
        <v>22</v>
      </c>
      <c r="D57" s="320">
        <v>3833</v>
      </c>
      <c r="E57" s="304" t="s">
        <v>91</v>
      </c>
      <c r="F57" s="304" t="s">
        <v>113</v>
      </c>
      <c r="G57" s="304" t="s">
        <v>98</v>
      </c>
    </row>
    <row r="58" spans="2:7" ht="30" x14ac:dyDescent="0.25">
      <c r="B58" s="8" t="s">
        <v>69</v>
      </c>
      <c r="C58" s="201" t="s">
        <v>22</v>
      </c>
      <c r="D58" s="320">
        <v>30</v>
      </c>
      <c r="E58" s="304" t="s">
        <v>91</v>
      </c>
      <c r="F58" s="304" t="s">
        <v>113</v>
      </c>
      <c r="G58" s="304" t="s">
        <v>98</v>
      </c>
    </row>
    <row r="59" spans="2:7" ht="30" x14ac:dyDescent="0.25">
      <c r="B59" s="7" t="s">
        <v>42</v>
      </c>
      <c r="C59" s="201" t="s">
        <v>33</v>
      </c>
      <c r="D59" s="320"/>
      <c r="E59" s="304" t="s">
        <v>91</v>
      </c>
      <c r="F59" s="304" t="s">
        <v>113</v>
      </c>
      <c r="G59" s="304" t="s">
        <v>98</v>
      </c>
    </row>
    <row r="60" spans="2:7" x14ac:dyDescent="0.25">
      <c r="B60" s="8" t="s">
        <v>0</v>
      </c>
      <c r="C60" s="201" t="s">
        <v>33</v>
      </c>
      <c r="D60" s="320"/>
      <c r="E60" s="304" t="s">
        <v>91</v>
      </c>
      <c r="F60" s="304" t="s">
        <v>113</v>
      </c>
      <c r="G60" s="304" t="s">
        <v>98</v>
      </c>
    </row>
    <row r="61" spans="2:7" x14ac:dyDescent="0.25">
      <c r="B61" s="8" t="s">
        <v>13</v>
      </c>
      <c r="C61" s="201" t="s">
        <v>33</v>
      </c>
      <c r="D61" s="320">
        <v>0.03</v>
      </c>
      <c r="E61" s="304" t="s">
        <v>91</v>
      </c>
      <c r="F61" s="304" t="s">
        <v>113</v>
      </c>
      <c r="G61" s="304" t="s">
        <v>98</v>
      </c>
    </row>
    <row r="62" spans="2:7" x14ac:dyDescent="0.25">
      <c r="B62" s="9" t="s">
        <v>17</v>
      </c>
      <c r="C62" s="201" t="s">
        <v>33</v>
      </c>
      <c r="D62" s="320"/>
      <c r="E62" s="304" t="s">
        <v>91</v>
      </c>
      <c r="F62" s="304" t="s">
        <v>113</v>
      </c>
      <c r="G62" s="304" t="s">
        <v>98</v>
      </c>
    </row>
    <row r="63" spans="2:7" ht="30" x14ac:dyDescent="0.25">
      <c r="B63" s="9" t="s">
        <v>19</v>
      </c>
      <c r="C63" s="201" t="s">
        <v>33</v>
      </c>
      <c r="D63" s="320">
        <v>0.05</v>
      </c>
      <c r="E63" s="304" t="s">
        <v>91</v>
      </c>
      <c r="F63" s="304" t="s">
        <v>113</v>
      </c>
      <c r="G63" s="304" t="s">
        <v>98</v>
      </c>
    </row>
    <row r="64" spans="2:7" ht="30" x14ac:dyDescent="0.25">
      <c r="B64" s="9" t="s">
        <v>21</v>
      </c>
      <c r="C64" s="201" t="s">
        <v>33</v>
      </c>
      <c r="D64" s="320"/>
      <c r="E64" s="304" t="s">
        <v>91</v>
      </c>
      <c r="F64" s="304" t="s">
        <v>113</v>
      </c>
      <c r="G64" s="304" t="s">
        <v>98</v>
      </c>
    </row>
    <row r="65" spans="2:7" x14ac:dyDescent="0.25">
      <c r="B65" s="8" t="s">
        <v>66</v>
      </c>
      <c r="C65" s="201" t="s">
        <v>33</v>
      </c>
      <c r="D65" s="320">
        <v>0.09</v>
      </c>
      <c r="E65" s="304" t="s">
        <v>91</v>
      </c>
      <c r="F65" s="304" t="s">
        <v>113</v>
      </c>
      <c r="G65" s="304" t="s">
        <v>98</v>
      </c>
    </row>
    <row r="66" spans="2:7" x14ac:dyDescent="0.25">
      <c r="B66" s="8" t="s">
        <v>76</v>
      </c>
      <c r="C66" s="201" t="s">
        <v>33</v>
      </c>
      <c r="D66" s="320">
        <v>50.945</v>
      </c>
      <c r="E66" s="304" t="s">
        <v>91</v>
      </c>
      <c r="F66" s="304" t="s">
        <v>113</v>
      </c>
      <c r="G66" s="304" t="s">
        <v>98</v>
      </c>
    </row>
    <row r="67" spans="2:7" ht="29.25" x14ac:dyDescent="0.25">
      <c r="B67" s="314" t="s">
        <v>93</v>
      </c>
      <c r="C67" s="29"/>
      <c r="D67" s="324">
        <v>23661.231624121428</v>
      </c>
      <c r="E67" s="304" t="s">
        <v>91</v>
      </c>
      <c r="F67" s="304" t="s">
        <v>113</v>
      </c>
      <c r="G67" s="304" t="s">
        <v>98</v>
      </c>
    </row>
    <row r="68" spans="2:7" ht="60" x14ac:dyDescent="0.25">
      <c r="B68" s="27" t="s">
        <v>99</v>
      </c>
      <c r="C68" s="306" t="s">
        <v>37</v>
      </c>
      <c r="D68" s="325">
        <v>73191.240000000005</v>
      </c>
      <c r="E68" s="304" t="s">
        <v>91</v>
      </c>
      <c r="F68" s="304" t="s">
        <v>113</v>
      </c>
      <c r="G68" s="304" t="s">
        <v>98</v>
      </c>
    </row>
    <row r="69" spans="2:7" x14ac:dyDescent="0.25">
      <c r="B69" s="27" t="s">
        <v>100</v>
      </c>
      <c r="C69" s="306" t="s">
        <v>8</v>
      </c>
      <c r="D69" s="325">
        <v>218059.8</v>
      </c>
      <c r="E69" s="304" t="s">
        <v>91</v>
      </c>
      <c r="F69" s="304" t="s">
        <v>113</v>
      </c>
      <c r="G69" s="304" t="s">
        <v>98</v>
      </c>
    </row>
    <row r="70" spans="2:7" ht="60" x14ac:dyDescent="0.25">
      <c r="B70" s="27" t="s">
        <v>101</v>
      </c>
      <c r="C70" s="306" t="s">
        <v>37</v>
      </c>
      <c r="D70" s="325">
        <v>99752.23</v>
      </c>
      <c r="E70" s="304" t="s">
        <v>91</v>
      </c>
      <c r="F70" s="304" t="s">
        <v>113</v>
      </c>
      <c r="G70" s="304" t="s">
        <v>98</v>
      </c>
    </row>
    <row r="71" spans="2:7" x14ac:dyDescent="0.25">
      <c r="B71" s="27" t="s">
        <v>102</v>
      </c>
      <c r="C71" s="306" t="s">
        <v>8</v>
      </c>
      <c r="D71" s="325">
        <v>224588.5</v>
      </c>
      <c r="E71" s="304" t="s">
        <v>91</v>
      </c>
      <c r="F71" s="304" t="s">
        <v>113</v>
      </c>
      <c r="G71" s="304" t="s">
        <v>98</v>
      </c>
    </row>
    <row r="72" spans="2:7" ht="42.75" x14ac:dyDescent="0.25">
      <c r="B72" s="313" t="s">
        <v>90</v>
      </c>
      <c r="C72" s="64"/>
      <c r="D72" s="324">
        <v>-2094.897210000011</v>
      </c>
      <c r="E72" s="304" t="s">
        <v>91</v>
      </c>
      <c r="F72" s="304" t="s">
        <v>113</v>
      </c>
      <c r="G72" s="304" t="s">
        <v>103</v>
      </c>
    </row>
    <row r="73" spans="2:7" x14ac:dyDescent="0.25">
      <c r="B73" s="2" t="s">
        <v>12</v>
      </c>
      <c r="C73" s="199" t="s">
        <v>6</v>
      </c>
      <c r="D73" s="325">
        <v>58</v>
      </c>
      <c r="E73" s="304" t="s">
        <v>91</v>
      </c>
      <c r="F73" s="304" t="s">
        <v>113</v>
      </c>
      <c r="G73" s="304" t="s">
        <v>103</v>
      </c>
    </row>
    <row r="74" spans="2:7" x14ac:dyDescent="0.25">
      <c r="B74" s="4" t="s">
        <v>50</v>
      </c>
      <c r="C74" s="199" t="s">
        <v>6</v>
      </c>
      <c r="D74" s="325">
        <v>27647</v>
      </c>
      <c r="E74" s="304" t="s">
        <v>91</v>
      </c>
      <c r="F74" s="304" t="s">
        <v>113</v>
      </c>
      <c r="G74" s="304" t="s">
        <v>103</v>
      </c>
    </row>
    <row r="75" spans="2:7" x14ac:dyDescent="0.25">
      <c r="B75" s="4" t="s">
        <v>51</v>
      </c>
      <c r="C75" s="199" t="s">
        <v>6</v>
      </c>
      <c r="D75" s="325">
        <v>27605</v>
      </c>
      <c r="E75" s="304" t="s">
        <v>91</v>
      </c>
      <c r="F75" s="304" t="s">
        <v>113</v>
      </c>
      <c r="G75" s="304" t="s">
        <v>103</v>
      </c>
    </row>
    <row r="76" spans="2:7" x14ac:dyDescent="0.25">
      <c r="B76" s="5" t="s">
        <v>46</v>
      </c>
      <c r="C76" s="199" t="s">
        <v>6</v>
      </c>
      <c r="D76" s="325"/>
      <c r="E76" s="304" t="s">
        <v>91</v>
      </c>
      <c r="F76" s="304" t="s">
        <v>113</v>
      </c>
      <c r="G76" s="304" t="s">
        <v>103</v>
      </c>
    </row>
    <row r="77" spans="2:7" x14ac:dyDescent="0.25">
      <c r="B77" s="5" t="s">
        <v>47</v>
      </c>
      <c r="C77" s="199" t="s">
        <v>6</v>
      </c>
      <c r="D77" s="325">
        <v>42</v>
      </c>
      <c r="E77" s="304" t="s">
        <v>91</v>
      </c>
      <c r="F77" s="304" t="s">
        <v>113</v>
      </c>
      <c r="G77" s="304" t="s">
        <v>103</v>
      </c>
    </row>
    <row r="78" spans="2:7" x14ac:dyDescent="0.25">
      <c r="B78" s="4" t="s">
        <v>44</v>
      </c>
      <c r="C78" s="200" t="s">
        <v>8</v>
      </c>
      <c r="D78" s="325">
        <v>234233.1</v>
      </c>
      <c r="E78" s="304" t="s">
        <v>91</v>
      </c>
      <c r="F78" s="304" t="s">
        <v>113</v>
      </c>
      <c r="G78" s="304" t="s">
        <v>103</v>
      </c>
    </row>
    <row r="79" spans="2:7" x14ac:dyDescent="0.25">
      <c r="B79" s="4" t="s">
        <v>52</v>
      </c>
      <c r="C79" s="200" t="s">
        <v>8</v>
      </c>
      <c r="D79" s="325">
        <v>233130</v>
      </c>
      <c r="E79" s="304" t="s">
        <v>91</v>
      </c>
      <c r="F79" s="304" t="s">
        <v>113</v>
      </c>
      <c r="G79" s="304" t="s">
        <v>103</v>
      </c>
    </row>
    <row r="80" spans="2:7" x14ac:dyDescent="0.25">
      <c r="B80" s="6" t="s">
        <v>48</v>
      </c>
      <c r="C80" s="200" t="s">
        <v>8</v>
      </c>
      <c r="D80" s="325"/>
      <c r="E80" s="304" t="s">
        <v>91</v>
      </c>
      <c r="F80" s="304" t="s">
        <v>113</v>
      </c>
      <c r="G80" s="304" t="s">
        <v>103</v>
      </c>
    </row>
    <row r="81" spans="2:7" x14ac:dyDescent="0.25">
      <c r="B81" s="6" t="s">
        <v>49</v>
      </c>
      <c r="C81" s="200" t="s">
        <v>8</v>
      </c>
      <c r="D81" s="325">
        <v>1103.0999999999999</v>
      </c>
      <c r="E81" s="304" t="s">
        <v>91</v>
      </c>
      <c r="F81" s="304" t="s">
        <v>113</v>
      </c>
      <c r="G81" s="304" t="s">
        <v>103</v>
      </c>
    </row>
    <row r="82" spans="2:7" x14ac:dyDescent="0.25">
      <c r="B82" s="4" t="s">
        <v>45</v>
      </c>
      <c r="C82" s="3" t="s">
        <v>9</v>
      </c>
      <c r="D82" s="325">
        <v>1.8991</v>
      </c>
      <c r="E82" s="304" t="s">
        <v>91</v>
      </c>
      <c r="F82" s="304" t="s">
        <v>113</v>
      </c>
      <c r="G82" s="304" t="s">
        <v>103</v>
      </c>
    </row>
    <row r="83" spans="2:7" ht="57.75" x14ac:dyDescent="0.25">
      <c r="B83" s="32" t="s">
        <v>92</v>
      </c>
      <c r="C83" s="66"/>
      <c r="D83" s="324">
        <v>3052.2259999999997</v>
      </c>
      <c r="E83" s="304" t="s">
        <v>91</v>
      </c>
      <c r="F83" s="304" t="s">
        <v>113</v>
      </c>
      <c r="G83" s="304" t="s">
        <v>103</v>
      </c>
    </row>
    <row r="84" spans="2:7" ht="30" x14ac:dyDescent="0.25">
      <c r="B84" s="203" t="s">
        <v>41</v>
      </c>
      <c r="C84" s="204" t="s">
        <v>22</v>
      </c>
      <c r="D84" s="325"/>
      <c r="E84" s="304" t="s">
        <v>91</v>
      </c>
      <c r="F84" s="304" t="s">
        <v>113</v>
      </c>
      <c r="G84" s="304" t="s">
        <v>103</v>
      </c>
    </row>
    <row r="85" spans="2:7" ht="30" x14ac:dyDescent="0.25">
      <c r="B85" s="205" t="s">
        <v>0</v>
      </c>
      <c r="C85" s="204" t="s">
        <v>22</v>
      </c>
      <c r="D85" s="325"/>
      <c r="E85" s="304" t="s">
        <v>91</v>
      </c>
      <c r="F85" s="304" t="s">
        <v>113</v>
      </c>
      <c r="G85" s="304" t="s">
        <v>103</v>
      </c>
    </row>
    <row r="86" spans="2:7" ht="30" x14ac:dyDescent="0.25">
      <c r="B86" s="205" t="s">
        <v>65</v>
      </c>
      <c r="C86" s="204" t="s">
        <v>22</v>
      </c>
      <c r="D86" s="325">
        <v>16556</v>
      </c>
      <c r="E86" s="304" t="s">
        <v>91</v>
      </c>
      <c r="F86" s="304" t="s">
        <v>113</v>
      </c>
      <c r="G86" s="304" t="s">
        <v>103</v>
      </c>
    </row>
    <row r="87" spans="2:7" ht="30" x14ac:dyDescent="0.25">
      <c r="B87" s="206" t="s">
        <v>17</v>
      </c>
      <c r="C87" s="204" t="s">
        <v>22</v>
      </c>
      <c r="D87" s="325"/>
      <c r="E87" s="304" t="s">
        <v>91</v>
      </c>
      <c r="F87" s="304" t="s">
        <v>113</v>
      </c>
      <c r="G87" s="304" t="s">
        <v>103</v>
      </c>
    </row>
    <row r="88" spans="2:7" ht="30" x14ac:dyDescent="0.25">
      <c r="B88" s="205" t="s">
        <v>75</v>
      </c>
      <c r="C88" s="204" t="s">
        <v>22</v>
      </c>
      <c r="D88" s="325">
        <v>12625</v>
      </c>
      <c r="E88" s="304" t="s">
        <v>91</v>
      </c>
      <c r="F88" s="304" t="s">
        <v>113</v>
      </c>
      <c r="G88" s="304" t="s">
        <v>103</v>
      </c>
    </row>
    <row r="89" spans="2:7" ht="30" x14ac:dyDescent="0.25">
      <c r="B89" s="206" t="s">
        <v>20</v>
      </c>
      <c r="C89" s="204" t="s">
        <v>22</v>
      </c>
      <c r="D89" s="325"/>
      <c r="E89" s="304" t="s">
        <v>91</v>
      </c>
      <c r="F89" s="304" t="s">
        <v>113</v>
      </c>
      <c r="G89" s="304" t="s">
        <v>103</v>
      </c>
    </row>
    <row r="90" spans="2:7" ht="30" x14ac:dyDescent="0.25">
      <c r="B90" s="205" t="s">
        <v>67</v>
      </c>
      <c r="C90" s="204" t="s">
        <v>22</v>
      </c>
      <c r="D90" s="325">
        <v>3833</v>
      </c>
      <c r="E90" s="304" t="s">
        <v>91</v>
      </c>
      <c r="F90" s="304" t="s">
        <v>113</v>
      </c>
      <c r="G90" s="304" t="s">
        <v>103</v>
      </c>
    </row>
    <row r="91" spans="2:7" ht="30" x14ac:dyDescent="0.25">
      <c r="B91" s="205" t="s">
        <v>69</v>
      </c>
      <c r="C91" s="204" t="s">
        <v>22</v>
      </c>
      <c r="D91" s="325">
        <v>31</v>
      </c>
      <c r="E91" s="304" t="s">
        <v>91</v>
      </c>
      <c r="F91" s="304" t="s">
        <v>113</v>
      </c>
      <c r="G91" s="304" t="s">
        <v>103</v>
      </c>
    </row>
    <row r="92" spans="2:7" ht="30" x14ac:dyDescent="0.25">
      <c r="B92" s="203" t="s">
        <v>42</v>
      </c>
      <c r="C92" s="204" t="s">
        <v>33</v>
      </c>
      <c r="D92" s="325"/>
      <c r="E92" s="304" t="s">
        <v>91</v>
      </c>
      <c r="F92" s="304" t="s">
        <v>113</v>
      </c>
      <c r="G92" s="304" t="s">
        <v>103</v>
      </c>
    </row>
    <row r="93" spans="2:7" x14ac:dyDescent="0.25">
      <c r="B93" s="205" t="s">
        <v>0</v>
      </c>
      <c r="C93" s="204" t="s">
        <v>33</v>
      </c>
      <c r="D93" s="325"/>
      <c r="E93" s="304" t="s">
        <v>91</v>
      </c>
      <c r="F93" s="304" t="s">
        <v>113</v>
      </c>
      <c r="G93" s="304" t="s">
        <v>103</v>
      </c>
    </row>
    <row r="94" spans="2:7" x14ac:dyDescent="0.25">
      <c r="B94" s="205" t="s">
        <v>13</v>
      </c>
      <c r="C94" s="204" t="s">
        <v>33</v>
      </c>
      <c r="D94" s="325">
        <v>0.03</v>
      </c>
      <c r="E94" s="304" t="s">
        <v>91</v>
      </c>
      <c r="F94" s="304" t="s">
        <v>113</v>
      </c>
      <c r="G94" s="304" t="s">
        <v>103</v>
      </c>
    </row>
    <row r="95" spans="2:7" x14ac:dyDescent="0.25">
      <c r="B95" s="206" t="s">
        <v>17</v>
      </c>
      <c r="C95" s="204" t="s">
        <v>33</v>
      </c>
      <c r="D95" s="325"/>
      <c r="E95" s="304" t="s">
        <v>91</v>
      </c>
      <c r="F95" s="304" t="s">
        <v>113</v>
      </c>
      <c r="G95" s="304" t="s">
        <v>103</v>
      </c>
    </row>
    <row r="96" spans="2:7" ht="30" x14ac:dyDescent="0.25">
      <c r="B96" s="206" t="s">
        <v>19</v>
      </c>
      <c r="C96" s="204" t="s">
        <v>33</v>
      </c>
      <c r="D96" s="325">
        <v>0.05</v>
      </c>
      <c r="E96" s="304" t="s">
        <v>91</v>
      </c>
      <c r="F96" s="304" t="s">
        <v>113</v>
      </c>
      <c r="G96" s="304" t="s">
        <v>103</v>
      </c>
    </row>
    <row r="97" spans="2:7" ht="30" x14ac:dyDescent="0.25">
      <c r="B97" s="206" t="s">
        <v>21</v>
      </c>
      <c r="C97" s="204" t="s">
        <v>33</v>
      </c>
      <c r="D97" s="325"/>
      <c r="E97" s="304" t="s">
        <v>91</v>
      </c>
      <c r="F97" s="304" t="s">
        <v>113</v>
      </c>
      <c r="G97" s="304" t="s">
        <v>103</v>
      </c>
    </row>
    <row r="98" spans="2:7" x14ac:dyDescent="0.25">
      <c r="B98" s="205" t="s">
        <v>66</v>
      </c>
      <c r="C98" s="204" t="s">
        <v>33</v>
      </c>
      <c r="D98" s="325">
        <v>0.09</v>
      </c>
      <c r="E98" s="304" t="s">
        <v>91</v>
      </c>
      <c r="F98" s="304" t="s">
        <v>113</v>
      </c>
      <c r="G98" s="304" t="s">
        <v>103</v>
      </c>
    </row>
    <row r="99" spans="2:7" x14ac:dyDescent="0.25">
      <c r="B99" s="205" t="s">
        <v>76</v>
      </c>
      <c r="C99" s="204" t="s">
        <v>33</v>
      </c>
      <c r="D99" s="325">
        <v>50.945999999999998</v>
      </c>
      <c r="E99" s="304" t="s">
        <v>91</v>
      </c>
      <c r="F99" s="304" t="s">
        <v>113</v>
      </c>
      <c r="G99" s="304" t="s">
        <v>103</v>
      </c>
    </row>
    <row r="100" spans="2:7" ht="29.25" x14ac:dyDescent="0.25">
      <c r="B100" s="314" t="s">
        <v>93</v>
      </c>
      <c r="C100" s="29"/>
      <c r="D100" s="324">
        <v>29693.302461609685</v>
      </c>
      <c r="E100" s="304" t="s">
        <v>91</v>
      </c>
      <c r="F100" s="304" t="s">
        <v>113</v>
      </c>
      <c r="G100" s="304" t="s">
        <v>103</v>
      </c>
    </row>
    <row r="101" spans="2:7" ht="60" x14ac:dyDescent="0.25">
      <c r="B101" s="27" t="s">
        <v>104</v>
      </c>
      <c r="C101" s="306" t="s">
        <v>37</v>
      </c>
      <c r="D101" s="325">
        <v>72800.45</v>
      </c>
      <c r="E101" s="304" t="s">
        <v>91</v>
      </c>
      <c r="F101" s="304" t="s">
        <v>113</v>
      </c>
      <c r="G101" s="304" t="s">
        <v>103</v>
      </c>
    </row>
    <row r="102" spans="2:7" x14ac:dyDescent="0.25">
      <c r="B102" s="27" t="s">
        <v>105</v>
      </c>
      <c r="C102" s="306" t="s">
        <v>8</v>
      </c>
      <c r="D102" s="325">
        <v>233130</v>
      </c>
      <c r="E102" s="304" t="s">
        <v>91</v>
      </c>
      <c r="F102" s="304" t="s">
        <v>113</v>
      </c>
      <c r="G102" s="304" t="s">
        <v>103</v>
      </c>
    </row>
    <row r="103" spans="2:7" ht="60" x14ac:dyDescent="0.25">
      <c r="B103" s="27" t="s">
        <v>106</v>
      </c>
      <c r="C103" s="306" t="s">
        <v>37</v>
      </c>
      <c r="D103" s="325">
        <v>104275.27</v>
      </c>
      <c r="E103" s="304" t="s">
        <v>91</v>
      </c>
      <c r="F103" s="304" t="s">
        <v>113</v>
      </c>
      <c r="G103" s="304" t="s">
        <v>103</v>
      </c>
    </row>
    <row r="104" spans="2:7" x14ac:dyDescent="0.25">
      <c r="B104" s="27" t="s">
        <v>107</v>
      </c>
      <c r="C104" s="306" t="s">
        <v>8</v>
      </c>
      <c r="D104" s="325">
        <v>237182.2</v>
      </c>
      <c r="E104" s="304" t="s">
        <v>91</v>
      </c>
      <c r="F104" s="304" t="s">
        <v>113</v>
      </c>
      <c r="G104" s="304" t="s">
        <v>103</v>
      </c>
    </row>
    <row r="105" spans="2:7" ht="42.75" x14ac:dyDescent="0.25">
      <c r="B105" s="313" t="s">
        <v>90</v>
      </c>
      <c r="C105" s="64"/>
      <c r="D105" s="319">
        <v>0</v>
      </c>
      <c r="E105" s="304" t="s">
        <v>114</v>
      </c>
      <c r="F105" s="304" t="s">
        <v>113</v>
      </c>
      <c r="G105" s="304" t="s">
        <v>7</v>
      </c>
    </row>
    <row r="106" spans="2:7" x14ac:dyDescent="0.25">
      <c r="B106" s="2" t="s">
        <v>12</v>
      </c>
      <c r="C106" s="199" t="s">
        <v>6</v>
      </c>
      <c r="D106" s="320">
        <v>42</v>
      </c>
      <c r="E106" s="304" t="s">
        <v>114</v>
      </c>
      <c r="F106" s="304" t="s">
        <v>113</v>
      </c>
      <c r="G106" s="304" t="s">
        <v>7</v>
      </c>
    </row>
    <row r="107" spans="2:7" x14ac:dyDescent="0.25">
      <c r="B107" s="4" t="s">
        <v>50</v>
      </c>
      <c r="C107" s="199" t="s">
        <v>6</v>
      </c>
      <c r="D107" s="320">
        <v>7874</v>
      </c>
      <c r="E107" s="304" t="s">
        <v>114</v>
      </c>
      <c r="F107" s="304" t="s">
        <v>113</v>
      </c>
      <c r="G107" s="304" t="s">
        <v>7</v>
      </c>
    </row>
    <row r="108" spans="2:7" x14ac:dyDescent="0.25">
      <c r="B108" s="4" t="s">
        <v>51</v>
      </c>
      <c r="C108" s="199" t="s">
        <v>6</v>
      </c>
      <c r="D108" s="320">
        <v>7874</v>
      </c>
      <c r="E108" s="304" t="s">
        <v>114</v>
      </c>
      <c r="F108" s="304" t="s">
        <v>113</v>
      </c>
      <c r="G108" s="304" t="s">
        <v>7</v>
      </c>
    </row>
    <row r="109" spans="2:7" x14ac:dyDescent="0.25">
      <c r="B109" s="5" t="s">
        <v>46</v>
      </c>
      <c r="C109" s="199" t="s">
        <v>6</v>
      </c>
      <c r="D109" s="320"/>
      <c r="E109" s="304" t="s">
        <v>114</v>
      </c>
      <c r="F109" s="304" t="s">
        <v>113</v>
      </c>
      <c r="G109" s="304" t="s">
        <v>7</v>
      </c>
    </row>
    <row r="110" spans="2:7" x14ac:dyDescent="0.25">
      <c r="B110" s="5" t="s">
        <v>47</v>
      </c>
      <c r="C110" s="199" t="s">
        <v>6</v>
      </c>
      <c r="D110" s="320"/>
      <c r="E110" s="304" t="s">
        <v>114</v>
      </c>
      <c r="F110" s="304" t="s">
        <v>113</v>
      </c>
      <c r="G110" s="304" t="s">
        <v>7</v>
      </c>
    </row>
    <row r="111" spans="2:7" x14ac:dyDescent="0.25">
      <c r="B111" s="4" t="s">
        <v>44</v>
      </c>
      <c r="C111" s="200" t="s">
        <v>8</v>
      </c>
      <c r="D111" s="320">
        <v>61787.2575</v>
      </c>
      <c r="E111" s="304" t="s">
        <v>114</v>
      </c>
      <c r="F111" s="304" t="s">
        <v>113</v>
      </c>
      <c r="G111" s="304" t="s">
        <v>7</v>
      </c>
    </row>
    <row r="112" spans="2:7" x14ac:dyDescent="0.25">
      <c r="B112" s="4" t="s">
        <v>52</v>
      </c>
      <c r="C112" s="200" t="s">
        <v>8</v>
      </c>
      <c r="D112" s="320">
        <v>61787.2575</v>
      </c>
      <c r="E112" s="304" t="s">
        <v>114</v>
      </c>
      <c r="F112" s="304" t="s">
        <v>113</v>
      </c>
      <c r="G112" s="304" t="s">
        <v>7</v>
      </c>
    </row>
    <row r="113" spans="2:7" x14ac:dyDescent="0.25">
      <c r="B113" s="6" t="s">
        <v>48</v>
      </c>
      <c r="C113" s="200" t="s">
        <v>8</v>
      </c>
      <c r="D113" s="320"/>
      <c r="E113" s="304" t="s">
        <v>114</v>
      </c>
      <c r="F113" s="304" t="s">
        <v>113</v>
      </c>
      <c r="G113" s="304" t="s">
        <v>7</v>
      </c>
    </row>
    <row r="114" spans="2:7" x14ac:dyDescent="0.25">
      <c r="B114" s="6" t="s">
        <v>49</v>
      </c>
      <c r="C114" s="200" t="s">
        <v>8</v>
      </c>
      <c r="D114" s="320"/>
      <c r="E114" s="304" t="s">
        <v>114</v>
      </c>
      <c r="F114" s="304" t="s">
        <v>113</v>
      </c>
      <c r="G114" s="304" t="s">
        <v>7</v>
      </c>
    </row>
    <row r="115" spans="2:7" x14ac:dyDescent="0.25">
      <c r="B115" s="4" t="s">
        <v>45</v>
      </c>
      <c r="C115" s="3" t="s">
        <v>9</v>
      </c>
      <c r="D115" s="320">
        <v>3.6694</v>
      </c>
      <c r="E115" s="304" t="s">
        <v>114</v>
      </c>
      <c r="F115" s="304" t="s">
        <v>113</v>
      </c>
      <c r="G115" s="304" t="s">
        <v>7</v>
      </c>
    </row>
    <row r="116" spans="2:7" ht="57.75" x14ac:dyDescent="0.25">
      <c r="B116" s="32" t="s">
        <v>92</v>
      </c>
      <c r="C116" s="66"/>
      <c r="D116" s="321">
        <v>978.73299999999995</v>
      </c>
      <c r="E116" s="304" t="s">
        <v>114</v>
      </c>
      <c r="F116" s="304" t="s">
        <v>113</v>
      </c>
      <c r="G116" s="304" t="s">
        <v>7</v>
      </c>
    </row>
    <row r="117" spans="2:7" ht="30" x14ac:dyDescent="0.25">
      <c r="B117" s="7" t="s">
        <v>41</v>
      </c>
      <c r="C117" s="201" t="s">
        <v>22</v>
      </c>
      <c r="D117" s="320"/>
      <c r="E117" s="304" t="s">
        <v>114</v>
      </c>
      <c r="F117" s="304" t="s">
        <v>113</v>
      </c>
      <c r="G117" s="304" t="s">
        <v>7</v>
      </c>
    </row>
    <row r="118" spans="2:7" ht="30" x14ac:dyDescent="0.25">
      <c r="B118" s="8" t="s">
        <v>0</v>
      </c>
      <c r="C118" s="201" t="s">
        <v>22</v>
      </c>
      <c r="D118" s="320"/>
      <c r="E118" s="304" t="s">
        <v>114</v>
      </c>
      <c r="F118" s="304" t="s">
        <v>113</v>
      </c>
      <c r="G118" s="304" t="s">
        <v>7</v>
      </c>
    </row>
    <row r="119" spans="2:7" ht="30" x14ac:dyDescent="0.25">
      <c r="B119" s="8" t="s">
        <v>65</v>
      </c>
      <c r="C119" s="201" t="s">
        <v>22</v>
      </c>
      <c r="D119" s="320">
        <v>13161</v>
      </c>
      <c r="E119" s="304" t="s">
        <v>114</v>
      </c>
      <c r="F119" s="304" t="s">
        <v>113</v>
      </c>
      <c r="G119" s="304" t="s">
        <v>7</v>
      </c>
    </row>
    <row r="120" spans="2:7" ht="30" x14ac:dyDescent="0.25">
      <c r="B120" s="9" t="s">
        <v>17</v>
      </c>
      <c r="C120" s="201" t="s">
        <v>22</v>
      </c>
      <c r="D120" s="320"/>
      <c r="E120" s="304" t="s">
        <v>114</v>
      </c>
      <c r="F120" s="304" t="s">
        <v>113</v>
      </c>
      <c r="G120" s="304" t="s">
        <v>7</v>
      </c>
    </row>
    <row r="121" spans="2:7" ht="30" x14ac:dyDescent="0.25">
      <c r="B121" s="8" t="s">
        <v>72</v>
      </c>
      <c r="C121" s="201" t="s">
        <v>22</v>
      </c>
      <c r="D121" s="320">
        <v>8420.9</v>
      </c>
      <c r="E121" s="304" t="s">
        <v>114</v>
      </c>
      <c r="F121" s="304" t="s">
        <v>113</v>
      </c>
      <c r="G121" s="304" t="s">
        <v>7</v>
      </c>
    </row>
    <row r="122" spans="2:7" ht="30" x14ac:dyDescent="0.25">
      <c r="B122" s="9" t="s">
        <v>20</v>
      </c>
      <c r="C122" s="201" t="s">
        <v>22</v>
      </c>
      <c r="D122" s="320"/>
      <c r="E122" s="304" t="s">
        <v>114</v>
      </c>
      <c r="F122" s="304" t="s">
        <v>113</v>
      </c>
      <c r="G122" s="304" t="s">
        <v>7</v>
      </c>
    </row>
    <row r="123" spans="2:7" ht="30" x14ac:dyDescent="0.25">
      <c r="B123" s="8" t="s">
        <v>67</v>
      </c>
      <c r="C123" s="201" t="s">
        <v>22</v>
      </c>
      <c r="D123" s="320">
        <v>2102</v>
      </c>
      <c r="E123" s="304" t="s">
        <v>114</v>
      </c>
      <c r="F123" s="304" t="s">
        <v>113</v>
      </c>
      <c r="G123" s="304" t="s">
        <v>7</v>
      </c>
    </row>
    <row r="124" spans="2:7" ht="30" x14ac:dyDescent="0.25">
      <c r="B124" s="8" t="s">
        <v>69</v>
      </c>
      <c r="C124" s="201" t="s">
        <v>22</v>
      </c>
      <c r="D124" s="320"/>
      <c r="E124" s="304" t="s">
        <v>114</v>
      </c>
      <c r="F124" s="304" t="s">
        <v>113</v>
      </c>
      <c r="G124" s="304" t="s">
        <v>7</v>
      </c>
    </row>
    <row r="125" spans="2:7" ht="30" x14ac:dyDescent="0.25">
      <c r="B125" s="7" t="s">
        <v>42</v>
      </c>
      <c r="C125" s="201" t="s">
        <v>33</v>
      </c>
      <c r="D125" s="320"/>
      <c r="E125" s="304" t="s">
        <v>114</v>
      </c>
      <c r="F125" s="304" t="s">
        <v>113</v>
      </c>
      <c r="G125" s="304" t="s">
        <v>7</v>
      </c>
    </row>
    <row r="126" spans="2:7" x14ac:dyDescent="0.25">
      <c r="B126" s="8" t="s">
        <v>0</v>
      </c>
      <c r="C126" s="201" t="s">
        <v>33</v>
      </c>
      <c r="D126" s="320"/>
      <c r="E126" s="304" t="s">
        <v>114</v>
      </c>
      <c r="F126" s="304" t="s">
        <v>113</v>
      </c>
      <c r="G126" s="304" t="s">
        <v>7</v>
      </c>
    </row>
    <row r="127" spans="2:7" x14ac:dyDescent="0.25">
      <c r="B127" s="8" t="s">
        <v>13</v>
      </c>
      <c r="C127" s="201" t="s">
        <v>33</v>
      </c>
      <c r="D127" s="320">
        <v>2.8000000000000001E-2</v>
      </c>
      <c r="E127" s="304" t="s">
        <v>114</v>
      </c>
      <c r="F127" s="304" t="s">
        <v>113</v>
      </c>
      <c r="G127" s="304" t="s">
        <v>7</v>
      </c>
    </row>
    <row r="128" spans="2:7" x14ac:dyDescent="0.25">
      <c r="B128" s="9" t="s">
        <v>17</v>
      </c>
      <c r="C128" s="201" t="s">
        <v>33</v>
      </c>
      <c r="D128" s="320"/>
      <c r="E128" s="304" t="s">
        <v>114</v>
      </c>
      <c r="F128" s="304" t="s">
        <v>113</v>
      </c>
      <c r="G128" s="304" t="s">
        <v>7</v>
      </c>
    </row>
    <row r="129" spans="2:7" ht="30" x14ac:dyDescent="0.25">
      <c r="B129" s="9" t="s">
        <v>19</v>
      </c>
      <c r="C129" s="201" t="s">
        <v>33</v>
      </c>
      <c r="D129" s="320">
        <v>0.05</v>
      </c>
      <c r="E129" s="304" t="s">
        <v>114</v>
      </c>
      <c r="F129" s="304" t="s">
        <v>113</v>
      </c>
      <c r="G129" s="304" t="s">
        <v>7</v>
      </c>
    </row>
    <row r="130" spans="2:7" ht="30" x14ac:dyDescent="0.25">
      <c r="B130" s="9" t="s">
        <v>21</v>
      </c>
      <c r="C130" s="201" t="s">
        <v>33</v>
      </c>
      <c r="D130" s="320"/>
      <c r="E130" s="304" t="s">
        <v>114</v>
      </c>
      <c r="F130" s="304" t="s">
        <v>113</v>
      </c>
      <c r="G130" s="304" t="s">
        <v>7</v>
      </c>
    </row>
    <row r="131" spans="2:7" x14ac:dyDescent="0.25">
      <c r="B131" s="8" t="s">
        <v>66</v>
      </c>
      <c r="C131" s="201" t="s">
        <v>33</v>
      </c>
      <c r="D131" s="320">
        <v>0.09</v>
      </c>
      <c r="E131" s="304" t="s">
        <v>114</v>
      </c>
      <c r="F131" s="304" t="s">
        <v>113</v>
      </c>
      <c r="G131" s="304" t="s">
        <v>7</v>
      </c>
    </row>
    <row r="132" spans="2:7" x14ac:dyDescent="0.25">
      <c r="B132" s="8" t="s">
        <v>70</v>
      </c>
      <c r="C132" s="201" t="s">
        <v>33</v>
      </c>
      <c r="D132" s="320"/>
      <c r="E132" s="304" t="s">
        <v>114</v>
      </c>
      <c r="F132" s="304" t="s">
        <v>113</v>
      </c>
      <c r="G132" s="304" t="s">
        <v>7</v>
      </c>
    </row>
    <row r="133" spans="2:7" ht="29.25" x14ac:dyDescent="0.25">
      <c r="B133" s="314" t="s">
        <v>93</v>
      </c>
      <c r="C133" s="29"/>
      <c r="D133" s="322">
        <v>12539.301545147393</v>
      </c>
      <c r="E133" s="304" t="s">
        <v>114</v>
      </c>
      <c r="F133" s="304" t="s">
        <v>113</v>
      </c>
      <c r="G133" s="304" t="s">
        <v>7</v>
      </c>
    </row>
    <row r="134" spans="2:7" ht="60" x14ac:dyDescent="0.25">
      <c r="B134" s="27" t="s">
        <v>94</v>
      </c>
      <c r="C134" s="306" t="s">
        <v>37</v>
      </c>
      <c r="D134" s="323">
        <v>43382.15</v>
      </c>
      <c r="E134" s="304" t="s">
        <v>114</v>
      </c>
      <c r="F134" s="304" t="s">
        <v>113</v>
      </c>
      <c r="G134" s="304" t="s">
        <v>7</v>
      </c>
    </row>
    <row r="135" spans="2:7" x14ac:dyDescent="0.25">
      <c r="B135" s="27" t="s">
        <v>95</v>
      </c>
      <c r="C135" s="306" t="s">
        <v>8</v>
      </c>
      <c r="D135" s="323">
        <v>61787.26</v>
      </c>
      <c r="E135" s="304" t="s">
        <v>114</v>
      </c>
      <c r="F135" s="304" t="s">
        <v>113</v>
      </c>
      <c r="G135" s="304" t="s">
        <v>7</v>
      </c>
    </row>
    <row r="136" spans="2:7" ht="60" x14ac:dyDescent="0.25">
      <c r="B136" s="27" t="s">
        <v>96</v>
      </c>
      <c r="C136" s="306" t="s">
        <v>37</v>
      </c>
      <c r="D136" s="323">
        <v>56301.47</v>
      </c>
      <c r="E136" s="304" t="s">
        <v>114</v>
      </c>
      <c r="F136" s="304" t="s">
        <v>113</v>
      </c>
      <c r="G136" s="304" t="s">
        <v>7</v>
      </c>
    </row>
    <row r="137" spans="2:7" x14ac:dyDescent="0.25">
      <c r="B137" s="27" t="s">
        <v>97</v>
      </c>
      <c r="C137" s="306" t="s">
        <v>8</v>
      </c>
      <c r="D137" s="323">
        <v>62207.14</v>
      </c>
      <c r="E137" s="304" t="s">
        <v>114</v>
      </c>
      <c r="F137" s="304" t="s">
        <v>113</v>
      </c>
      <c r="G137" s="304" t="s">
        <v>7</v>
      </c>
    </row>
    <row r="138" spans="2:7" ht="42.75" x14ac:dyDescent="0.25">
      <c r="B138" s="313" t="s">
        <v>90</v>
      </c>
      <c r="C138" s="64"/>
      <c r="D138" s="324">
        <v>0</v>
      </c>
      <c r="E138" s="304" t="s">
        <v>114</v>
      </c>
      <c r="F138" s="304" t="s">
        <v>113</v>
      </c>
      <c r="G138" s="304" t="s">
        <v>98</v>
      </c>
    </row>
    <row r="139" spans="2:7" x14ac:dyDescent="0.25">
      <c r="B139" s="2" t="s">
        <v>12</v>
      </c>
      <c r="C139" s="199" t="s">
        <v>6</v>
      </c>
      <c r="D139" s="325">
        <v>42</v>
      </c>
      <c r="E139" s="304" t="s">
        <v>114</v>
      </c>
      <c r="F139" s="304" t="s">
        <v>113</v>
      </c>
      <c r="G139" s="304" t="s">
        <v>98</v>
      </c>
    </row>
    <row r="140" spans="2:7" x14ac:dyDescent="0.25">
      <c r="B140" s="4" t="s">
        <v>50</v>
      </c>
      <c r="C140" s="199" t="s">
        <v>6</v>
      </c>
      <c r="D140" s="325">
        <v>10234</v>
      </c>
      <c r="E140" s="304" t="s">
        <v>114</v>
      </c>
      <c r="F140" s="304" t="s">
        <v>113</v>
      </c>
      <c r="G140" s="304" t="s">
        <v>98</v>
      </c>
    </row>
    <row r="141" spans="2:7" x14ac:dyDescent="0.25">
      <c r="B141" s="4" t="s">
        <v>51</v>
      </c>
      <c r="C141" s="199" t="s">
        <v>6</v>
      </c>
      <c r="D141" s="325">
        <v>10234</v>
      </c>
      <c r="E141" s="304" t="s">
        <v>114</v>
      </c>
      <c r="F141" s="304" t="s">
        <v>113</v>
      </c>
      <c r="G141" s="304" t="s">
        <v>98</v>
      </c>
    </row>
    <row r="142" spans="2:7" x14ac:dyDescent="0.25">
      <c r="B142" s="5" t="s">
        <v>46</v>
      </c>
      <c r="C142" s="199" t="s">
        <v>6</v>
      </c>
      <c r="D142" s="325"/>
      <c r="E142" s="304" t="s">
        <v>114</v>
      </c>
      <c r="F142" s="304" t="s">
        <v>113</v>
      </c>
      <c r="G142" s="304" t="s">
        <v>98</v>
      </c>
    </row>
    <row r="143" spans="2:7" x14ac:dyDescent="0.25">
      <c r="B143" s="5" t="s">
        <v>47</v>
      </c>
      <c r="C143" s="199" t="s">
        <v>6</v>
      </c>
      <c r="D143" s="325"/>
      <c r="E143" s="304" t="s">
        <v>114</v>
      </c>
      <c r="F143" s="304" t="s">
        <v>113</v>
      </c>
      <c r="G143" s="304" t="s">
        <v>98</v>
      </c>
    </row>
    <row r="144" spans="2:7" x14ac:dyDescent="0.25">
      <c r="B144" s="4" t="s">
        <v>44</v>
      </c>
      <c r="C144" s="200" t="s">
        <v>8</v>
      </c>
      <c r="D144" s="325">
        <v>79477.694000000003</v>
      </c>
      <c r="E144" s="304" t="s">
        <v>114</v>
      </c>
      <c r="F144" s="304" t="s">
        <v>113</v>
      </c>
      <c r="G144" s="304" t="s">
        <v>98</v>
      </c>
    </row>
    <row r="145" spans="2:7" x14ac:dyDescent="0.25">
      <c r="B145" s="4" t="s">
        <v>52</v>
      </c>
      <c r="C145" s="200" t="s">
        <v>8</v>
      </c>
      <c r="D145" s="325">
        <v>79477.694000000003</v>
      </c>
      <c r="E145" s="304" t="s">
        <v>114</v>
      </c>
      <c r="F145" s="304" t="s">
        <v>113</v>
      </c>
      <c r="G145" s="304" t="s">
        <v>98</v>
      </c>
    </row>
    <row r="146" spans="2:7" x14ac:dyDescent="0.25">
      <c r="B146" s="6" t="s">
        <v>48</v>
      </c>
      <c r="C146" s="200" t="s">
        <v>8</v>
      </c>
      <c r="D146" s="325"/>
      <c r="E146" s="304" t="s">
        <v>114</v>
      </c>
      <c r="F146" s="304" t="s">
        <v>113</v>
      </c>
      <c r="G146" s="304" t="s">
        <v>98</v>
      </c>
    </row>
    <row r="147" spans="2:7" x14ac:dyDescent="0.25">
      <c r="B147" s="6" t="s">
        <v>49</v>
      </c>
      <c r="C147" s="200" t="s">
        <v>8</v>
      </c>
      <c r="D147" s="325">
        <v>0</v>
      </c>
      <c r="E147" s="304" t="s">
        <v>114</v>
      </c>
      <c r="F147" s="304" t="s">
        <v>113</v>
      </c>
      <c r="G147" s="304" t="s">
        <v>98</v>
      </c>
    </row>
    <row r="148" spans="2:7" x14ac:dyDescent="0.25">
      <c r="B148" s="4" t="s">
        <v>45</v>
      </c>
      <c r="C148" s="3" t="s">
        <v>9</v>
      </c>
      <c r="D148" s="325">
        <v>3.81</v>
      </c>
      <c r="E148" s="304" t="s">
        <v>114</v>
      </c>
      <c r="F148" s="304" t="s">
        <v>113</v>
      </c>
      <c r="G148" s="304" t="s">
        <v>98</v>
      </c>
    </row>
    <row r="149" spans="2:7" ht="57.75" x14ac:dyDescent="0.25">
      <c r="B149" s="32" t="s">
        <v>92</v>
      </c>
      <c r="C149" s="66"/>
      <c r="D149" s="324">
        <v>1174.0899999999999</v>
      </c>
      <c r="E149" s="304" t="s">
        <v>114</v>
      </c>
      <c r="F149" s="304" t="s">
        <v>113</v>
      </c>
      <c r="G149" s="304" t="s">
        <v>98</v>
      </c>
    </row>
    <row r="150" spans="2:7" ht="30" x14ac:dyDescent="0.25">
      <c r="B150" s="7" t="s">
        <v>41</v>
      </c>
      <c r="C150" s="201" t="s">
        <v>22</v>
      </c>
      <c r="D150" s="325"/>
      <c r="E150" s="304" t="s">
        <v>114</v>
      </c>
      <c r="F150" s="304" t="s">
        <v>113</v>
      </c>
      <c r="G150" s="304" t="s">
        <v>98</v>
      </c>
    </row>
    <row r="151" spans="2:7" ht="30" x14ac:dyDescent="0.25">
      <c r="B151" s="8" t="s">
        <v>0</v>
      </c>
      <c r="C151" s="201" t="s">
        <v>22</v>
      </c>
      <c r="D151" s="325"/>
      <c r="E151" s="304" t="s">
        <v>114</v>
      </c>
      <c r="F151" s="304" t="s">
        <v>113</v>
      </c>
      <c r="G151" s="304" t="s">
        <v>98</v>
      </c>
    </row>
    <row r="152" spans="2:7" ht="30" x14ac:dyDescent="0.25">
      <c r="B152" s="8" t="s">
        <v>65</v>
      </c>
      <c r="C152" s="201" t="s">
        <v>22</v>
      </c>
      <c r="D152" s="325">
        <v>16556</v>
      </c>
      <c r="E152" s="304" t="s">
        <v>114</v>
      </c>
      <c r="F152" s="304" t="s">
        <v>113</v>
      </c>
      <c r="G152" s="304" t="s">
        <v>98</v>
      </c>
    </row>
    <row r="153" spans="2:7" ht="30" x14ac:dyDescent="0.25">
      <c r="B153" s="9" t="s">
        <v>17</v>
      </c>
      <c r="C153" s="201" t="s">
        <v>22</v>
      </c>
      <c r="D153" s="325"/>
      <c r="E153" s="304" t="s">
        <v>114</v>
      </c>
      <c r="F153" s="304" t="s">
        <v>113</v>
      </c>
      <c r="G153" s="304" t="s">
        <v>98</v>
      </c>
    </row>
    <row r="154" spans="2:7" ht="30" x14ac:dyDescent="0.25">
      <c r="B154" s="8" t="s">
        <v>75</v>
      </c>
      <c r="C154" s="201" t="s">
        <v>22</v>
      </c>
      <c r="D154" s="325">
        <v>8448.7999999999993</v>
      </c>
      <c r="E154" s="304" t="s">
        <v>114</v>
      </c>
      <c r="F154" s="304" t="s">
        <v>113</v>
      </c>
      <c r="G154" s="304" t="s">
        <v>98</v>
      </c>
    </row>
    <row r="155" spans="2:7" ht="30" x14ac:dyDescent="0.25">
      <c r="B155" s="9" t="s">
        <v>20</v>
      </c>
      <c r="C155" s="201" t="s">
        <v>22</v>
      </c>
      <c r="D155" s="325"/>
      <c r="E155" s="304" t="s">
        <v>114</v>
      </c>
      <c r="F155" s="304" t="s">
        <v>113</v>
      </c>
      <c r="G155" s="304" t="s">
        <v>98</v>
      </c>
    </row>
    <row r="156" spans="2:7" ht="30" x14ac:dyDescent="0.25">
      <c r="B156" s="8" t="s">
        <v>67</v>
      </c>
      <c r="C156" s="201" t="s">
        <v>22</v>
      </c>
      <c r="D156" s="325">
        <v>2833</v>
      </c>
      <c r="E156" s="304" t="s">
        <v>114</v>
      </c>
      <c r="F156" s="304" t="s">
        <v>113</v>
      </c>
      <c r="G156" s="304" t="s">
        <v>98</v>
      </c>
    </row>
    <row r="157" spans="2:7" ht="30" x14ac:dyDescent="0.25">
      <c r="B157" s="8" t="s">
        <v>69</v>
      </c>
      <c r="C157" s="201" t="s">
        <v>22</v>
      </c>
      <c r="D157" s="325"/>
      <c r="E157" s="304" t="s">
        <v>114</v>
      </c>
      <c r="F157" s="304" t="s">
        <v>113</v>
      </c>
      <c r="G157" s="304" t="s">
        <v>98</v>
      </c>
    </row>
    <row r="158" spans="2:7" ht="30" x14ac:dyDescent="0.25">
      <c r="B158" s="7" t="s">
        <v>42</v>
      </c>
      <c r="C158" s="201" t="s">
        <v>33</v>
      </c>
      <c r="D158" s="325"/>
      <c r="E158" s="304" t="s">
        <v>114</v>
      </c>
      <c r="F158" s="304" t="s">
        <v>113</v>
      </c>
      <c r="G158" s="304" t="s">
        <v>98</v>
      </c>
    </row>
    <row r="159" spans="2:7" x14ac:dyDescent="0.25">
      <c r="B159" s="8" t="s">
        <v>0</v>
      </c>
      <c r="C159" s="201" t="s">
        <v>33</v>
      </c>
      <c r="D159" s="325"/>
      <c r="E159" s="304" t="s">
        <v>114</v>
      </c>
      <c r="F159" s="304" t="s">
        <v>113</v>
      </c>
      <c r="G159" s="304" t="s">
        <v>98</v>
      </c>
    </row>
    <row r="160" spans="2:7" x14ac:dyDescent="0.25">
      <c r="B160" s="8" t="s">
        <v>13</v>
      </c>
      <c r="C160" s="201" t="s">
        <v>33</v>
      </c>
      <c r="D160" s="325">
        <v>0.03</v>
      </c>
      <c r="E160" s="304" t="s">
        <v>114</v>
      </c>
      <c r="F160" s="304" t="s">
        <v>113</v>
      </c>
      <c r="G160" s="304" t="s">
        <v>98</v>
      </c>
    </row>
    <row r="161" spans="2:7" x14ac:dyDescent="0.25">
      <c r="B161" s="9" t="s">
        <v>17</v>
      </c>
      <c r="C161" s="201" t="s">
        <v>33</v>
      </c>
      <c r="D161" s="325"/>
      <c r="E161" s="304" t="s">
        <v>114</v>
      </c>
      <c r="F161" s="304" t="s">
        <v>113</v>
      </c>
      <c r="G161" s="304" t="s">
        <v>98</v>
      </c>
    </row>
    <row r="162" spans="2:7" ht="30" x14ac:dyDescent="0.25">
      <c r="B162" s="9" t="s">
        <v>19</v>
      </c>
      <c r="C162" s="201" t="s">
        <v>33</v>
      </c>
      <c r="D162" s="325">
        <v>0.05</v>
      </c>
      <c r="E162" s="304" t="s">
        <v>114</v>
      </c>
      <c r="F162" s="304" t="s">
        <v>113</v>
      </c>
      <c r="G162" s="304" t="s">
        <v>98</v>
      </c>
    </row>
    <row r="163" spans="2:7" ht="30" x14ac:dyDescent="0.25">
      <c r="B163" s="9" t="s">
        <v>21</v>
      </c>
      <c r="C163" s="201" t="s">
        <v>33</v>
      </c>
      <c r="D163" s="325"/>
      <c r="E163" s="304" t="s">
        <v>114</v>
      </c>
      <c r="F163" s="304" t="s">
        <v>113</v>
      </c>
      <c r="G163" s="304" t="s">
        <v>98</v>
      </c>
    </row>
    <row r="164" spans="2:7" x14ac:dyDescent="0.25">
      <c r="B164" s="8" t="s">
        <v>66</v>
      </c>
      <c r="C164" s="201" t="s">
        <v>33</v>
      </c>
      <c r="D164" s="325">
        <v>0.09</v>
      </c>
      <c r="E164" s="304" t="s">
        <v>114</v>
      </c>
      <c r="F164" s="304" t="s">
        <v>113</v>
      </c>
      <c r="G164" s="304" t="s">
        <v>98</v>
      </c>
    </row>
    <row r="165" spans="2:7" x14ac:dyDescent="0.25">
      <c r="B165" s="8" t="s">
        <v>76</v>
      </c>
      <c r="C165" s="201" t="s">
        <v>33</v>
      </c>
      <c r="D165" s="325"/>
      <c r="E165" s="304" t="s">
        <v>114</v>
      </c>
      <c r="F165" s="304" t="s">
        <v>113</v>
      </c>
      <c r="G165" s="304" t="s">
        <v>98</v>
      </c>
    </row>
    <row r="166" spans="2:7" ht="29.25" x14ac:dyDescent="0.25">
      <c r="B166" s="314" t="s">
        <v>93</v>
      </c>
      <c r="C166" s="29"/>
      <c r="D166" s="324">
        <v>24835.952095809793</v>
      </c>
      <c r="E166" s="304" t="s">
        <v>114</v>
      </c>
      <c r="F166" s="304" t="s">
        <v>113</v>
      </c>
      <c r="G166" s="304" t="s">
        <v>98</v>
      </c>
    </row>
    <row r="167" spans="2:7" ht="60" x14ac:dyDescent="0.25">
      <c r="B167" s="27" t="s">
        <v>99</v>
      </c>
      <c r="C167" s="306" t="s">
        <v>37</v>
      </c>
      <c r="D167" s="325">
        <v>47525.88</v>
      </c>
      <c r="E167" s="304" t="s">
        <v>114</v>
      </c>
      <c r="F167" s="304" t="s">
        <v>113</v>
      </c>
      <c r="G167" s="304" t="s">
        <v>98</v>
      </c>
    </row>
    <row r="168" spans="2:7" x14ac:dyDescent="0.25">
      <c r="B168" s="27" t="s">
        <v>100</v>
      </c>
      <c r="C168" s="306" t="s">
        <v>8</v>
      </c>
      <c r="D168" s="325">
        <v>79477.694000000003</v>
      </c>
      <c r="E168" s="304" t="s">
        <v>114</v>
      </c>
      <c r="F168" s="304" t="s">
        <v>113</v>
      </c>
      <c r="G168" s="304" t="s">
        <v>98</v>
      </c>
    </row>
    <row r="169" spans="2:7" ht="60" x14ac:dyDescent="0.25">
      <c r="B169" s="27" t="s">
        <v>101</v>
      </c>
      <c r="C169" s="306" t="s">
        <v>37</v>
      </c>
      <c r="D169" s="325">
        <v>72285.27</v>
      </c>
      <c r="E169" s="304" t="s">
        <v>114</v>
      </c>
      <c r="F169" s="304" t="s">
        <v>113</v>
      </c>
      <c r="G169" s="304" t="s">
        <v>98</v>
      </c>
    </row>
    <row r="170" spans="2:7" x14ac:dyDescent="0.25">
      <c r="B170" s="27" t="s">
        <v>102</v>
      </c>
      <c r="C170" s="306" t="s">
        <v>8</v>
      </c>
      <c r="D170" s="325">
        <v>79393.603000000003</v>
      </c>
      <c r="E170" s="304" t="s">
        <v>114</v>
      </c>
      <c r="F170" s="304" t="s">
        <v>113</v>
      </c>
      <c r="G170" s="304" t="s">
        <v>98</v>
      </c>
    </row>
    <row r="171" spans="2:7" ht="42.75" x14ac:dyDescent="0.25">
      <c r="B171" s="313" t="s">
        <v>90</v>
      </c>
      <c r="C171" s="64"/>
      <c r="D171" s="324">
        <v>0</v>
      </c>
      <c r="E171" s="304" t="s">
        <v>114</v>
      </c>
      <c r="F171" s="304" t="s">
        <v>113</v>
      </c>
      <c r="G171" s="304" t="s">
        <v>103</v>
      </c>
    </row>
    <row r="172" spans="2:7" x14ac:dyDescent="0.25">
      <c r="B172" s="2" t="s">
        <v>12</v>
      </c>
      <c r="C172" s="199" t="s">
        <v>6</v>
      </c>
      <c r="D172" s="325">
        <v>42</v>
      </c>
      <c r="E172" s="304" t="s">
        <v>114</v>
      </c>
      <c r="F172" s="304" t="s">
        <v>113</v>
      </c>
      <c r="G172" s="304" t="s">
        <v>103</v>
      </c>
    </row>
    <row r="173" spans="2:7" x14ac:dyDescent="0.25">
      <c r="B173" s="4" t="s">
        <v>50</v>
      </c>
      <c r="C173" s="199" t="s">
        <v>6</v>
      </c>
      <c r="D173" s="325">
        <v>10480</v>
      </c>
      <c r="E173" s="304" t="s">
        <v>114</v>
      </c>
      <c r="F173" s="304" t="s">
        <v>113</v>
      </c>
      <c r="G173" s="304" t="s">
        <v>103</v>
      </c>
    </row>
    <row r="174" spans="2:7" x14ac:dyDescent="0.25">
      <c r="B174" s="4" t="s">
        <v>51</v>
      </c>
      <c r="C174" s="199" t="s">
        <v>6</v>
      </c>
      <c r="D174" s="325">
        <v>10480</v>
      </c>
      <c r="E174" s="304" t="s">
        <v>114</v>
      </c>
      <c r="F174" s="304" t="s">
        <v>113</v>
      </c>
      <c r="G174" s="304" t="s">
        <v>103</v>
      </c>
    </row>
    <row r="175" spans="2:7" x14ac:dyDescent="0.25">
      <c r="B175" s="5" t="s">
        <v>46</v>
      </c>
      <c r="C175" s="199" t="s">
        <v>6</v>
      </c>
      <c r="D175" s="325"/>
      <c r="E175" s="304" t="s">
        <v>114</v>
      </c>
      <c r="F175" s="304" t="s">
        <v>113</v>
      </c>
      <c r="G175" s="304" t="s">
        <v>103</v>
      </c>
    </row>
    <row r="176" spans="2:7" x14ac:dyDescent="0.25">
      <c r="B176" s="5" t="s">
        <v>47</v>
      </c>
      <c r="C176" s="199" t="s">
        <v>6</v>
      </c>
      <c r="D176" s="325"/>
      <c r="E176" s="304" t="s">
        <v>114</v>
      </c>
      <c r="F176" s="304" t="s">
        <v>113</v>
      </c>
      <c r="G176" s="304" t="s">
        <v>103</v>
      </c>
    </row>
    <row r="177" spans="2:7" x14ac:dyDescent="0.25">
      <c r="B177" s="4" t="s">
        <v>44</v>
      </c>
      <c r="C177" s="200" t="s">
        <v>8</v>
      </c>
      <c r="D177" s="325">
        <v>80725.786500000002</v>
      </c>
      <c r="E177" s="304" t="s">
        <v>114</v>
      </c>
      <c r="F177" s="304" t="s">
        <v>113</v>
      </c>
      <c r="G177" s="304" t="s">
        <v>103</v>
      </c>
    </row>
    <row r="178" spans="2:7" x14ac:dyDescent="0.25">
      <c r="B178" s="4" t="s">
        <v>52</v>
      </c>
      <c r="C178" s="200" t="s">
        <v>8</v>
      </c>
      <c r="D178" s="325">
        <v>80725.786500000002</v>
      </c>
      <c r="E178" s="304" t="s">
        <v>114</v>
      </c>
      <c r="F178" s="304" t="s">
        <v>113</v>
      </c>
      <c r="G178" s="304" t="s">
        <v>103</v>
      </c>
    </row>
    <row r="179" spans="2:7" x14ac:dyDescent="0.25">
      <c r="B179" s="6" t="s">
        <v>48</v>
      </c>
      <c r="C179" s="200" t="s">
        <v>8</v>
      </c>
      <c r="D179" s="325"/>
      <c r="E179" s="304" t="s">
        <v>114</v>
      </c>
      <c r="F179" s="304" t="s">
        <v>113</v>
      </c>
      <c r="G179" s="304" t="s">
        <v>103</v>
      </c>
    </row>
    <row r="180" spans="2:7" x14ac:dyDescent="0.25">
      <c r="B180" s="6" t="s">
        <v>49</v>
      </c>
      <c r="C180" s="200" t="s">
        <v>8</v>
      </c>
      <c r="D180" s="325"/>
      <c r="E180" s="304" t="s">
        <v>114</v>
      </c>
      <c r="F180" s="304" t="s">
        <v>113</v>
      </c>
      <c r="G180" s="304" t="s">
        <v>103</v>
      </c>
    </row>
    <row r="181" spans="2:7" x14ac:dyDescent="0.25">
      <c r="B181" s="4" t="s">
        <v>45</v>
      </c>
      <c r="C181" s="3" t="s">
        <v>9</v>
      </c>
      <c r="D181" s="325">
        <v>3.8363999999999998</v>
      </c>
      <c r="E181" s="304" t="s">
        <v>114</v>
      </c>
      <c r="F181" s="304" t="s">
        <v>113</v>
      </c>
      <c r="G181" s="304" t="s">
        <v>103</v>
      </c>
    </row>
    <row r="182" spans="2:7" ht="57.75" x14ac:dyDescent="0.25">
      <c r="B182" s="32" t="s">
        <v>92</v>
      </c>
      <c r="C182" s="66"/>
      <c r="D182" s="324">
        <v>1204.52</v>
      </c>
      <c r="E182" s="304" t="s">
        <v>114</v>
      </c>
      <c r="F182" s="304" t="s">
        <v>113</v>
      </c>
      <c r="G182" s="304" t="s">
        <v>103</v>
      </c>
    </row>
    <row r="183" spans="2:7" ht="30" x14ac:dyDescent="0.25">
      <c r="B183" s="203" t="s">
        <v>41</v>
      </c>
      <c r="C183" s="204" t="s">
        <v>22</v>
      </c>
      <c r="D183" s="325"/>
      <c r="E183" s="304" t="s">
        <v>114</v>
      </c>
      <c r="F183" s="304" t="s">
        <v>113</v>
      </c>
      <c r="G183" s="304" t="s">
        <v>103</v>
      </c>
    </row>
    <row r="184" spans="2:7" ht="30" x14ac:dyDescent="0.25">
      <c r="B184" s="205" t="s">
        <v>0</v>
      </c>
      <c r="C184" s="204" t="s">
        <v>22</v>
      </c>
      <c r="D184" s="325"/>
      <c r="E184" s="304" t="s">
        <v>114</v>
      </c>
      <c r="F184" s="304" t="s">
        <v>113</v>
      </c>
      <c r="G184" s="304" t="s">
        <v>103</v>
      </c>
    </row>
    <row r="185" spans="2:7" ht="30" x14ac:dyDescent="0.25">
      <c r="B185" s="205" t="s">
        <v>65</v>
      </c>
      <c r="C185" s="204" t="s">
        <v>22</v>
      </c>
      <c r="D185" s="325">
        <v>16556</v>
      </c>
      <c r="E185" s="304" t="s">
        <v>114</v>
      </c>
      <c r="F185" s="304" t="s">
        <v>113</v>
      </c>
      <c r="G185" s="304" t="s">
        <v>103</v>
      </c>
    </row>
    <row r="186" spans="2:7" ht="30" x14ac:dyDescent="0.25">
      <c r="B186" s="206" t="s">
        <v>17</v>
      </c>
      <c r="C186" s="204" t="s">
        <v>22</v>
      </c>
      <c r="D186" s="325"/>
      <c r="E186" s="304" t="s">
        <v>114</v>
      </c>
      <c r="F186" s="304" t="s">
        <v>113</v>
      </c>
      <c r="G186" s="304" t="s">
        <v>103</v>
      </c>
    </row>
    <row r="187" spans="2:7" ht="30" x14ac:dyDescent="0.25">
      <c r="B187" s="205" t="s">
        <v>75</v>
      </c>
      <c r="C187" s="204" t="s">
        <v>22</v>
      </c>
      <c r="D187" s="325">
        <v>9057.4</v>
      </c>
      <c r="E187" s="304" t="s">
        <v>114</v>
      </c>
      <c r="F187" s="304" t="s">
        <v>113</v>
      </c>
      <c r="G187" s="304" t="s">
        <v>103</v>
      </c>
    </row>
    <row r="188" spans="2:7" ht="30" x14ac:dyDescent="0.25">
      <c r="B188" s="206" t="s">
        <v>20</v>
      </c>
      <c r="C188" s="204" t="s">
        <v>22</v>
      </c>
      <c r="D188" s="325"/>
      <c r="E188" s="304" t="s">
        <v>114</v>
      </c>
      <c r="F188" s="304" t="s">
        <v>113</v>
      </c>
      <c r="G188" s="304" t="s">
        <v>103</v>
      </c>
    </row>
    <row r="189" spans="2:7" ht="30" x14ac:dyDescent="0.25">
      <c r="B189" s="205" t="s">
        <v>67</v>
      </c>
      <c r="C189" s="204" t="s">
        <v>22</v>
      </c>
      <c r="D189" s="325">
        <v>2833</v>
      </c>
      <c r="E189" s="304" t="s">
        <v>114</v>
      </c>
      <c r="F189" s="304" t="s">
        <v>113</v>
      </c>
      <c r="G189" s="304" t="s">
        <v>103</v>
      </c>
    </row>
    <row r="190" spans="2:7" ht="30" x14ac:dyDescent="0.25">
      <c r="B190" s="205" t="s">
        <v>69</v>
      </c>
      <c r="C190" s="204" t="s">
        <v>22</v>
      </c>
      <c r="D190" s="325"/>
      <c r="E190" s="304" t="s">
        <v>114</v>
      </c>
      <c r="F190" s="304" t="s">
        <v>113</v>
      </c>
      <c r="G190" s="304" t="s">
        <v>103</v>
      </c>
    </row>
    <row r="191" spans="2:7" ht="30" x14ac:dyDescent="0.25">
      <c r="B191" s="203" t="s">
        <v>42</v>
      </c>
      <c r="C191" s="204" t="s">
        <v>33</v>
      </c>
      <c r="D191" s="325"/>
      <c r="E191" s="304" t="s">
        <v>114</v>
      </c>
      <c r="F191" s="304" t="s">
        <v>113</v>
      </c>
      <c r="G191" s="304" t="s">
        <v>103</v>
      </c>
    </row>
    <row r="192" spans="2:7" x14ac:dyDescent="0.25">
      <c r="B192" s="205" t="s">
        <v>0</v>
      </c>
      <c r="C192" s="204" t="s">
        <v>33</v>
      </c>
      <c r="D192" s="325"/>
      <c r="E192" s="304" t="s">
        <v>114</v>
      </c>
      <c r="F192" s="304" t="s">
        <v>113</v>
      </c>
      <c r="G192" s="304" t="s">
        <v>103</v>
      </c>
    </row>
    <row r="193" spans="2:7" x14ac:dyDescent="0.25">
      <c r="B193" s="205" t="s">
        <v>13</v>
      </c>
      <c r="C193" s="204" t="s">
        <v>33</v>
      </c>
      <c r="D193" s="325">
        <v>0.03</v>
      </c>
      <c r="E193" s="304" t="s">
        <v>114</v>
      </c>
      <c r="F193" s="304" t="s">
        <v>113</v>
      </c>
      <c r="G193" s="304" t="s">
        <v>103</v>
      </c>
    </row>
    <row r="194" spans="2:7" x14ac:dyDescent="0.25">
      <c r="B194" s="206" t="s">
        <v>17</v>
      </c>
      <c r="C194" s="204" t="s">
        <v>33</v>
      </c>
      <c r="D194" s="325"/>
      <c r="E194" s="304" t="s">
        <v>114</v>
      </c>
      <c r="F194" s="304" t="s">
        <v>113</v>
      </c>
      <c r="G194" s="304" t="s">
        <v>103</v>
      </c>
    </row>
    <row r="195" spans="2:7" ht="30" x14ac:dyDescent="0.25">
      <c r="B195" s="206" t="s">
        <v>19</v>
      </c>
      <c r="C195" s="204" t="s">
        <v>33</v>
      </c>
      <c r="D195" s="325">
        <v>0.05</v>
      </c>
      <c r="E195" s="304" t="s">
        <v>114</v>
      </c>
      <c r="F195" s="304" t="s">
        <v>113</v>
      </c>
      <c r="G195" s="304" t="s">
        <v>103</v>
      </c>
    </row>
    <row r="196" spans="2:7" ht="30" x14ac:dyDescent="0.25">
      <c r="B196" s="206" t="s">
        <v>21</v>
      </c>
      <c r="C196" s="204" t="s">
        <v>33</v>
      </c>
      <c r="D196" s="325"/>
      <c r="E196" s="304" t="s">
        <v>114</v>
      </c>
      <c r="F196" s="304" t="s">
        <v>113</v>
      </c>
      <c r="G196" s="304" t="s">
        <v>103</v>
      </c>
    </row>
    <row r="197" spans="2:7" x14ac:dyDescent="0.25">
      <c r="B197" s="205" t="s">
        <v>66</v>
      </c>
      <c r="C197" s="204" t="s">
        <v>33</v>
      </c>
      <c r="D197" s="325">
        <v>0.09</v>
      </c>
      <c r="E197" s="304" t="s">
        <v>114</v>
      </c>
      <c r="F197" s="304" t="s">
        <v>113</v>
      </c>
      <c r="G197" s="304" t="s">
        <v>103</v>
      </c>
    </row>
    <row r="198" spans="2:7" x14ac:dyDescent="0.25">
      <c r="B198" s="205" t="s">
        <v>76</v>
      </c>
      <c r="C198" s="204" t="s">
        <v>33</v>
      </c>
      <c r="D198" s="325"/>
      <c r="E198" s="304" t="s">
        <v>114</v>
      </c>
      <c r="F198" s="304" t="s">
        <v>113</v>
      </c>
      <c r="G198" s="304" t="s">
        <v>103</v>
      </c>
    </row>
    <row r="199" spans="2:7" ht="29.25" x14ac:dyDescent="0.25">
      <c r="B199" s="314" t="s">
        <v>93</v>
      </c>
      <c r="C199" s="29"/>
      <c r="D199" s="324">
        <v>25661.886190866357</v>
      </c>
      <c r="E199" s="304" t="s">
        <v>114</v>
      </c>
      <c r="F199" s="304" t="s">
        <v>113</v>
      </c>
      <c r="G199" s="304" t="s">
        <v>103</v>
      </c>
    </row>
    <row r="200" spans="2:7" ht="60" x14ac:dyDescent="0.25">
      <c r="B200" s="27" t="s">
        <v>104</v>
      </c>
      <c r="C200" s="306" t="s">
        <v>37</v>
      </c>
      <c r="D200" s="325">
        <v>46423.69</v>
      </c>
      <c r="E200" s="304" t="s">
        <v>114</v>
      </c>
      <c r="F200" s="304" t="s">
        <v>113</v>
      </c>
      <c r="G200" s="304" t="s">
        <v>103</v>
      </c>
    </row>
    <row r="201" spans="2:7" x14ac:dyDescent="0.25">
      <c r="B201" s="27" t="s">
        <v>105</v>
      </c>
      <c r="C201" s="306" t="s">
        <v>8</v>
      </c>
      <c r="D201" s="325">
        <v>80725.789999999994</v>
      </c>
      <c r="E201" s="304" t="s">
        <v>114</v>
      </c>
      <c r="F201" s="304" t="s">
        <v>113</v>
      </c>
      <c r="G201" s="304" t="s">
        <v>103</v>
      </c>
    </row>
    <row r="202" spans="2:7" ht="60" x14ac:dyDescent="0.25">
      <c r="B202" s="27" t="s">
        <v>106</v>
      </c>
      <c r="C202" s="306" t="s">
        <v>37</v>
      </c>
      <c r="D202" s="325">
        <v>73706.22</v>
      </c>
      <c r="E202" s="304" t="s">
        <v>114</v>
      </c>
      <c r="F202" s="304" t="s">
        <v>113</v>
      </c>
      <c r="G202" s="304" t="s">
        <v>103</v>
      </c>
    </row>
    <row r="203" spans="2:7" x14ac:dyDescent="0.25">
      <c r="B203" s="27" t="s">
        <v>107</v>
      </c>
      <c r="C203" s="306" t="s">
        <v>8</v>
      </c>
      <c r="D203" s="325">
        <v>82540.684999999998</v>
      </c>
      <c r="E203" s="304" t="s">
        <v>114</v>
      </c>
      <c r="F203" s="304" t="s">
        <v>113</v>
      </c>
      <c r="G203" s="304" t="s">
        <v>103</v>
      </c>
    </row>
    <row r="204" spans="2:7" ht="42.75" x14ac:dyDescent="0.25">
      <c r="B204" s="313" t="s">
        <v>90</v>
      </c>
      <c r="C204" s="64"/>
      <c r="D204" s="324">
        <v>-859.19862000001035</v>
      </c>
      <c r="E204" s="304" t="s">
        <v>91</v>
      </c>
      <c r="F204" s="304" t="s">
        <v>113</v>
      </c>
      <c r="G204" s="304" t="s">
        <v>108</v>
      </c>
    </row>
    <row r="205" spans="2:7" x14ac:dyDescent="0.25">
      <c r="B205" s="2" t="s">
        <v>12</v>
      </c>
      <c r="C205" s="199" t="s">
        <v>6</v>
      </c>
      <c r="D205" s="325">
        <v>58</v>
      </c>
      <c r="E205" s="304" t="s">
        <v>91</v>
      </c>
      <c r="F205" s="304" t="s">
        <v>113</v>
      </c>
      <c r="G205" s="304" t="s">
        <v>108</v>
      </c>
    </row>
    <row r="206" spans="2:7" x14ac:dyDescent="0.25">
      <c r="B206" s="4" t="s">
        <v>50</v>
      </c>
      <c r="C206" s="199" t="s">
        <v>6</v>
      </c>
      <c r="D206" s="325">
        <v>26440</v>
      </c>
      <c r="E206" s="304" t="s">
        <v>91</v>
      </c>
      <c r="F206" s="304" t="s">
        <v>113</v>
      </c>
      <c r="G206" s="304" t="s">
        <v>108</v>
      </c>
    </row>
    <row r="207" spans="2:7" x14ac:dyDescent="0.25">
      <c r="B207" s="4" t="s">
        <v>51</v>
      </c>
      <c r="C207" s="199" t="s">
        <v>6</v>
      </c>
      <c r="D207" s="325">
        <v>26438</v>
      </c>
      <c r="E207" s="304" t="s">
        <v>91</v>
      </c>
      <c r="F207" s="304" t="s">
        <v>113</v>
      </c>
      <c r="G207" s="304" t="s">
        <v>108</v>
      </c>
    </row>
    <row r="208" spans="2:7" x14ac:dyDescent="0.25">
      <c r="B208" s="5" t="s">
        <v>46</v>
      </c>
      <c r="C208" s="199" t="s">
        <v>6</v>
      </c>
      <c r="D208" s="325"/>
      <c r="E208" s="304" t="s">
        <v>91</v>
      </c>
      <c r="F208" s="304" t="s">
        <v>113</v>
      </c>
      <c r="G208" s="304" t="s">
        <v>108</v>
      </c>
    </row>
    <row r="209" spans="2:7" x14ac:dyDescent="0.25">
      <c r="B209" s="5" t="s">
        <v>47</v>
      </c>
      <c r="C209" s="199" t="s">
        <v>6</v>
      </c>
      <c r="D209" s="325">
        <v>2</v>
      </c>
      <c r="E209" s="304" t="s">
        <v>91</v>
      </c>
      <c r="F209" s="304" t="s">
        <v>113</v>
      </c>
      <c r="G209" s="304" t="s">
        <v>108</v>
      </c>
    </row>
    <row r="210" spans="2:7" x14ac:dyDescent="0.25">
      <c r="B210" s="4" t="s">
        <v>44</v>
      </c>
      <c r="C210" s="200" t="s">
        <v>8</v>
      </c>
      <c r="D210" s="325">
        <v>224618.3</v>
      </c>
      <c r="E210" s="304" t="s">
        <v>91</v>
      </c>
      <c r="F210" s="304" t="s">
        <v>113</v>
      </c>
      <c r="G210" s="304" t="s">
        <v>108</v>
      </c>
    </row>
    <row r="211" spans="2:7" x14ac:dyDescent="0.25">
      <c r="B211" s="4" t="s">
        <v>52</v>
      </c>
      <c r="C211" s="200" t="s">
        <v>8</v>
      </c>
      <c r="D211" s="325">
        <v>224136.19999999998</v>
      </c>
      <c r="E211" s="304" t="s">
        <v>91</v>
      </c>
      <c r="F211" s="304" t="s">
        <v>113</v>
      </c>
      <c r="G211" s="304" t="s">
        <v>108</v>
      </c>
    </row>
    <row r="212" spans="2:7" x14ac:dyDescent="0.25">
      <c r="B212" s="6" t="s">
        <v>48</v>
      </c>
      <c r="C212" s="200" t="s">
        <v>8</v>
      </c>
      <c r="D212" s="325"/>
      <c r="E212" s="304" t="s">
        <v>91</v>
      </c>
      <c r="F212" s="304" t="s">
        <v>113</v>
      </c>
      <c r="G212" s="304" t="s">
        <v>108</v>
      </c>
    </row>
    <row r="213" spans="2:7" x14ac:dyDescent="0.25">
      <c r="B213" s="6" t="s">
        <v>49</v>
      </c>
      <c r="C213" s="200" t="s">
        <v>8</v>
      </c>
      <c r="D213" s="325">
        <v>489.6</v>
      </c>
      <c r="E213" s="304" t="s">
        <v>91</v>
      </c>
      <c r="F213" s="304" t="s">
        <v>113</v>
      </c>
      <c r="G213" s="304" t="s">
        <v>108</v>
      </c>
    </row>
    <row r="214" spans="2:7" ht="30" x14ac:dyDescent="0.25">
      <c r="B214" s="305" t="s">
        <v>128</v>
      </c>
      <c r="C214" s="200"/>
      <c r="D214" s="325">
        <v>7.5</v>
      </c>
      <c r="E214" s="304"/>
      <c r="F214" s="304" t="s">
        <v>113</v>
      </c>
      <c r="G214" s="304" t="s">
        <v>108</v>
      </c>
    </row>
    <row r="215" spans="2:7" x14ac:dyDescent="0.25">
      <c r="B215" s="4" t="s">
        <v>45</v>
      </c>
      <c r="C215" s="3" t="s">
        <v>9</v>
      </c>
      <c r="D215" s="325">
        <v>1.7822</v>
      </c>
      <c r="E215" s="304" t="s">
        <v>91</v>
      </c>
      <c r="F215" s="304" t="s">
        <v>113</v>
      </c>
      <c r="G215" s="304" t="s">
        <v>108</v>
      </c>
    </row>
    <row r="216" spans="2:7" ht="57.75" x14ac:dyDescent="0.25">
      <c r="B216" s="32" t="s">
        <v>92</v>
      </c>
      <c r="C216" s="66"/>
      <c r="D216" s="324">
        <v>2089.16</v>
      </c>
      <c r="E216" s="304" t="s">
        <v>91</v>
      </c>
      <c r="F216" s="304" t="s">
        <v>113</v>
      </c>
      <c r="G216" s="304" t="s">
        <v>108</v>
      </c>
    </row>
    <row r="217" spans="2:7" ht="30" x14ac:dyDescent="0.25">
      <c r="B217" s="300" t="s">
        <v>41</v>
      </c>
      <c r="C217" s="301" t="s">
        <v>22</v>
      </c>
      <c r="D217" s="325"/>
      <c r="E217" s="304" t="s">
        <v>91</v>
      </c>
      <c r="F217" s="304" t="s">
        <v>113</v>
      </c>
      <c r="G217" s="304" t="s">
        <v>108</v>
      </c>
    </row>
    <row r="218" spans="2:7" ht="30" x14ac:dyDescent="0.25">
      <c r="B218" s="302" t="s">
        <v>0</v>
      </c>
      <c r="C218" s="301" t="s">
        <v>22</v>
      </c>
      <c r="D218" s="325"/>
      <c r="E218" s="304" t="s">
        <v>91</v>
      </c>
      <c r="F218" s="304" t="s">
        <v>113</v>
      </c>
      <c r="G218" s="304" t="s">
        <v>108</v>
      </c>
    </row>
    <row r="219" spans="2:7" ht="30" x14ac:dyDescent="0.25">
      <c r="B219" s="302" t="s">
        <v>65</v>
      </c>
      <c r="C219" s="301" t="s">
        <v>22</v>
      </c>
      <c r="D219" s="325"/>
      <c r="E219" s="304" t="s">
        <v>91</v>
      </c>
      <c r="F219" s="304" t="s">
        <v>113</v>
      </c>
      <c r="G219" s="304" t="s">
        <v>108</v>
      </c>
    </row>
    <row r="220" spans="2:7" ht="30" x14ac:dyDescent="0.25">
      <c r="B220" s="303" t="s">
        <v>17</v>
      </c>
      <c r="C220" s="301" t="s">
        <v>22</v>
      </c>
      <c r="D220" s="325"/>
      <c r="E220" s="304" t="s">
        <v>91</v>
      </c>
      <c r="F220" s="304" t="s">
        <v>113</v>
      </c>
      <c r="G220" s="304" t="s">
        <v>108</v>
      </c>
    </row>
    <row r="221" spans="2:7" ht="30" x14ac:dyDescent="0.25">
      <c r="B221" s="302" t="s">
        <v>129</v>
      </c>
      <c r="C221" s="301" t="s">
        <v>22</v>
      </c>
      <c r="D221" s="325">
        <v>11215</v>
      </c>
      <c r="E221" s="304" t="s">
        <v>91</v>
      </c>
      <c r="F221" s="304" t="s">
        <v>113</v>
      </c>
      <c r="G221" s="304" t="s">
        <v>108</v>
      </c>
    </row>
    <row r="222" spans="2:7" ht="30" x14ac:dyDescent="0.25">
      <c r="B222" s="303" t="s">
        <v>20</v>
      </c>
      <c r="C222" s="301" t="s">
        <v>22</v>
      </c>
      <c r="D222" s="325"/>
      <c r="E222" s="304" t="s">
        <v>91</v>
      </c>
      <c r="F222" s="304" t="s">
        <v>113</v>
      </c>
      <c r="G222" s="304" t="s">
        <v>108</v>
      </c>
    </row>
    <row r="223" spans="2:7" ht="30" x14ac:dyDescent="0.25">
      <c r="B223" s="302" t="s">
        <v>67</v>
      </c>
      <c r="C223" s="301" t="s">
        <v>22</v>
      </c>
      <c r="D223" s="325"/>
      <c r="E223" s="304" t="s">
        <v>91</v>
      </c>
      <c r="F223" s="304" t="s">
        <v>113</v>
      </c>
      <c r="G223" s="304" t="s">
        <v>108</v>
      </c>
    </row>
    <row r="224" spans="2:7" ht="30" x14ac:dyDescent="0.25">
      <c r="B224" s="302" t="s">
        <v>69</v>
      </c>
      <c r="C224" s="301" t="s">
        <v>22</v>
      </c>
      <c r="D224" s="325">
        <v>30</v>
      </c>
      <c r="E224" s="304" t="s">
        <v>91</v>
      </c>
      <c r="F224" s="304" t="s">
        <v>113</v>
      </c>
      <c r="G224" s="304" t="s">
        <v>108</v>
      </c>
    </row>
    <row r="225" spans="2:7" ht="30" x14ac:dyDescent="0.25">
      <c r="B225" s="300" t="s">
        <v>42</v>
      </c>
      <c r="C225" s="301" t="s">
        <v>33</v>
      </c>
      <c r="D225" s="325"/>
      <c r="E225" s="304" t="s">
        <v>91</v>
      </c>
      <c r="F225" s="304" t="s">
        <v>113</v>
      </c>
      <c r="G225" s="304" t="s">
        <v>108</v>
      </c>
    </row>
    <row r="226" spans="2:7" x14ac:dyDescent="0.25">
      <c r="B226" s="302" t="s">
        <v>0</v>
      </c>
      <c r="C226" s="301" t="s">
        <v>33</v>
      </c>
      <c r="D226" s="325"/>
      <c r="E226" s="304" t="s">
        <v>91</v>
      </c>
      <c r="F226" s="304" t="s">
        <v>113</v>
      </c>
      <c r="G226" s="304" t="s">
        <v>108</v>
      </c>
    </row>
    <row r="227" spans="2:7" x14ac:dyDescent="0.25">
      <c r="B227" s="302" t="s">
        <v>13</v>
      </c>
      <c r="C227" s="301" t="s">
        <v>33</v>
      </c>
      <c r="D227" s="325"/>
      <c r="E227" s="304" t="s">
        <v>91</v>
      </c>
      <c r="F227" s="304" t="s">
        <v>113</v>
      </c>
      <c r="G227" s="304" t="s">
        <v>108</v>
      </c>
    </row>
    <row r="228" spans="2:7" x14ac:dyDescent="0.25">
      <c r="B228" s="303" t="s">
        <v>17</v>
      </c>
      <c r="C228" s="301" t="s">
        <v>33</v>
      </c>
      <c r="D228" s="325"/>
      <c r="E228" s="304" t="s">
        <v>91</v>
      </c>
      <c r="F228" s="304" t="s">
        <v>113</v>
      </c>
      <c r="G228" s="304" t="s">
        <v>108</v>
      </c>
    </row>
    <row r="229" spans="2:7" ht="30" x14ac:dyDescent="0.25">
      <c r="B229" s="303" t="s">
        <v>19</v>
      </c>
      <c r="C229" s="301" t="s">
        <v>33</v>
      </c>
      <c r="D229" s="325">
        <v>0.05</v>
      </c>
      <c r="E229" s="304" t="s">
        <v>91</v>
      </c>
      <c r="F229" s="304" t="s">
        <v>113</v>
      </c>
      <c r="G229" s="304" t="s">
        <v>108</v>
      </c>
    </row>
    <row r="230" spans="2:7" ht="30" x14ac:dyDescent="0.25">
      <c r="B230" s="303" t="s">
        <v>21</v>
      </c>
      <c r="C230" s="301" t="s">
        <v>33</v>
      </c>
      <c r="D230" s="325"/>
      <c r="E230" s="304" t="s">
        <v>91</v>
      </c>
      <c r="F230" s="304" t="s">
        <v>113</v>
      </c>
      <c r="G230" s="304" t="s">
        <v>108</v>
      </c>
    </row>
    <row r="231" spans="2:7" x14ac:dyDescent="0.25">
      <c r="B231" s="302" t="s">
        <v>66</v>
      </c>
      <c r="C231" s="301" t="s">
        <v>33</v>
      </c>
      <c r="D231" s="325"/>
      <c r="E231" s="304" t="s">
        <v>91</v>
      </c>
      <c r="F231" s="304" t="s">
        <v>113</v>
      </c>
      <c r="G231" s="304" t="s">
        <v>108</v>
      </c>
    </row>
    <row r="232" spans="2:7" x14ac:dyDescent="0.25">
      <c r="B232" s="302" t="s">
        <v>76</v>
      </c>
      <c r="C232" s="301" t="s">
        <v>33</v>
      </c>
      <c r="D232" s="325">
        <v>50.947000000000003</v>
      </c>
      <c r="E232" s="304" t="s">
        <v>91</v>
      </c>
      <c r="F232" s="304" t="s">
        <v>113</v>
      </c>
      <c r="G232" s="304" t="s">
        <v>108</v>
      </c>
    </row>
    <row r="233" spans="2:7" ht="30" x14ac:dyDescent="0.25">
      <c r="B233" s="27" t="s">
        <v>93</v>
      </c>
      <c r="C233" s="26"/>
      <c r="D233" s="324">
        <v>25402.240546255976</v>
      </c>
      <c r="E233" s="304" t="s">
        <v>91</v>
      </c>
      <c r="F233" s="304" t="s">
        <v>113</v>
      </c>
      <c r="G233" s="304" t="s">
        <v>108</v>
      </c>
    </row>
    <row r="234" spans="2:7" ht="60" x14ac:dyDescent="0.25">
      <c r="B234" s="27" t="s">
        <v>109</v>
      </c>
      <c r="C234" s="306" t="s">
        <v>37</v>
      </c>
      <c r="D234" s="325">
        <v>71941.289999999994</v>
      </c>
      <c r="E234" s="304" t="s">
        <v>91</v>
      </c>
      <c r="F234" s="304" t="s">
        <v>113</v>
      </c>
      <c r="G234" s="304" t="s">
        <v>108</v>
      </c>
    </row>
    <row r="235" spans="2:7" x14ac:dyDescent="0.25">
      <c r="B235" s="27" t="s">
        <v>110</v>
      </c>
      <c r="C235" s="306" t="s">
        <v>8</v>
      </c>
      <c r="D235" s="325">
        <v>224136.2</v>
      </c>
      <c r="E235" s="304" t="s">
        <v>91</v>
      </c>
      <c r="F235" s="304" t="s">
        <v>113</v>
      </c>
      <c r="G235" s="304" t="s">
        <v>108</v>
      </c>
    </row>
    <row r="236" spans="2:7" ht="60" x14ac:dyDescent="0.25">
      <c r="B236" s="27" t="s">
        <v>111</v>
      </c>
      <c r="C236" s="306" t="s">
        <v>37</v>
      </c>
      <c r="D236" s="325">
        <v>96677.48</v>
      </c>
      <c r="E236" s="304" t="s">
        <v>91</v>
      </c>
      <c r="F236" s="304" t="s">
        <v>113</v>
      </c>
      <c r="G236" s="304" t="s">
        <v>108</v>
      </c>
    </row>
    <row r="237" spans="2:7" x14ac:dyDescent="0.25">
      <c r="B237" s="27" t="s">
        <v>112</v>
      </c>
      <c r="C237" s="306" t="s">
        <v>8</v>
      </c>
      <c r="D237" s="325">
        <v>222602.6</v>
      </c>
      <c r="E237" s="304" t="s">
        <v>91</v>
      </c>
      <c r="F237" s="304" t="s">
        <v>113</v>
      </c>
      <c r="G237" s="304" t="s">
        <v>108</v>
      </c>
    </row>
    <row r="238" spans="2:7" ht="42.75" x14ac:dyDescent="0.25">
      <c r="B238" s="313" t="s">
        <v>90</v>
      </c>
      <c r="C238" s="64"/>
      <c r="D238" s="324">
        <v>0</v>
      </c>
      <c r="E238" s="304" t="s">
        <v>114</v>
      </c>
      <c r="F238" s="304" t="s">
        <v>113</v>
      </c>
      <c r="G238" s="304" t="s">
        <v>108</v>
      </c>
    </row>
    <row r="239" spans="2:7" x14ac:dyDescent="0.25">
      <c r="B239" s="2" t="s">
        <v>12</v>
      </c>
      <c r="C239" s="199" t="s">
        <v>6</v>
      </c>
      <c r="D239" s="325">
        <v>42</v>
      </c>
      <c r="E239" s="304" t="s">
        <v>114</v>
      </c>
      <c r="F239" s="304" t="s">
        <v>113</v>
      </c>
      <c r="G239" s="304" t="s">
        <v>108</v>
      </c>
    </row>
    <row r="240" spans="2:7" x14ac:dyDescent="0.25">
      <c r="B240" s="4" t="s">
        <v>50</v>
      </c>
      <c r="C240" s="199" t="s">
        <v>6</v>
      </c>
      <c r="D240" s="325">
        <v>10204</v>
      </c>
      <c r="E240" s="304" t="s">
        <v>114</v>
      </c>
      <c r="F240" s="304" t="s">
        <v>113</v>
      </c>
      <c r="G240" s="304" t="s">
        <v>108</v>
      </c>
    </row>
    <row r="241" spans="2:7" x14ac:dyDescent="0.25">
      <c r="B241" s="4" t="s">
        <v>51</v>
      </c>
      <c r="C241" s="199" t="s">
        <v>6</v>
      </c>
      <c r="D241" s="325">
        <v>10204</v>
      </c>
      <c r="E241" s="304" t="s">
        <v>114</v>
      </c>
      <c r="F241" s="304" t="s">
        <v>113</v>
      </c>
      <c r="G241" s="304" t="s">
        <v>108</v>
      </c>
    </row>
    <row r="242" spans="2:7" x14ac:dyDescent="0.25">
      <c r="B242" s="5" t="s">
        <v>46</v>
      </c>
      <c r="C242" s="199" t="s">
        <v>6</v>
      </c>
      <c r="D242" s="325"/>
      <c r="E242" s="304" t="s">
        <v>114</v>
      </c>
      <c r="F242" s="304" t="s">
        <v>113</v>
      </c>
      <c r="G242" s="304" t="s">
        <v>108</v>
      </c>
    </row>
    <row r="243" spans="2:7" x14ac:dyDescent="0.25">
      <c r="B243" s="5" t="s">
        <v>47</v>
      </c>
      <c r="C243" s="199" t="s">
        <v>6</v>
      </c>
      <c r="D243" s="325"/>
      <c r="E243" s="304" t="s">
        <v>114</v>
      </c>
      <c r="F243" s="304" t="s">
        <v>113</v>
      </c>
      <c r="G243" s="304" t="s">
        <v>108</v>
      </c>
    </row>
    <row r="244" spans="2:7" x14ac:dyDescent="0.25">
      <c r="B244" s="4" t="s">
        <v>44</v>
      </c>
      <c r="C244" s="200" t="s">
        <v>8</v>
      </c>
      <c r="D244" s="325">
        <v>75075.63</v>
      </c>
      <c r="E244" s="304" t="s">
        <v>114</v>
      </c>
      <c r="F244" s="304" t="s">
        <v>113</v>
      </c>
      <c r="G244" s="304" t="s">
        <v>108</v>
      </c>
    </row>
    <row r="245" spans="2:7" x14ac:dyDescent="0.25">
      <c r="B245" s="4" t="s">
        <v>52</v>
      </c>
      <c r="C245" s="200" t="s">
        <v>8</v>
      </c>
      <c r="D245" s="325">
        <v>75075.63</v>
      </c>
      <c r="E245" s="304" t="s">
        <v>114</v>
      </c>
      <c r="F245" s="304" t="s">
        <v>113</v>
      </c>
      <c r="G245" s="304" t="s">
        <v>108</v>
      </c>
    </row>
    <row r="246" spans="2:7" x14ac:dyDescent="0.25">
      <c r="B246" s="6" t="s">
        <v>48</v>
      </c>
      <c r="C246" s="200" t="s">
        <v>8</v>
      </c>
      <c r="D246" s="325"/>
      <c r="E246" s="304" t="s">
        <v>114</v>
      </c>
      <c r="F246" s="304" t="s">
        <v>113</v>
      </c>
      <c r="G246" s="304" t="s">
        <v>108</v>
      </c>
    </row>
    <row r="247" spans="2:7" x14ac:dyDescent="0.25">
      <c r="B247" s="6" t="s">
        <v>49</v>
      </c>
      <c r="C247" s="200" t="s">
        <v>8</v>
      </c>
      <c r="D247" s="325"/>
      <c r="E247" s="304" t="s">
        <v>114</v>
      </c>
      <c r="F247" s="304" t="s">
        <v>113</v>
      </c>
      <c r="G247" s="304" t="s">
        <v>108</v>
      </c>
    </row>
    <row r="248" spans="2:7" ht="30" x14ac:dyDescent="0.25">
      <c r="B248" s="305" t="s">
        <v>128</v>
      </c>
      <c r="C248" s="200"/>
      <c r="D248" s="325"/>
      <c r="E248" s="304" t="s">
        <v>114</v>
      </c>
      <c r="F248" s="304" t="s">
        <v>113</v>
      </c>
      <c r="G248" s="304" t="s">
        <v>108</v>
      </c>
    </row>
    <row r="249" spans="2:7" x14ac:dyDescent="0.25">
      <c r="B249" s="4" t="s">
        <v>45</v>
      </c>
      <c r="C249" s="3" t="s">
        <v>9</v>
      </c>
      <c r="D249" s="325">
        <v>3.9287999999999998</v>
      </c>
      <c r="E249" s="304" t="s">
        <v>114</v>
      </c>
      <c r="F249" s="304" t="s">
        <v>113</v>
      </c>
      <c r="G249" s="304" t="s">
        <v>108</v>
      </c>
    </row>
    <row r="250" spans="2:7" ht="57.75" x14ac:dyDescent="0.25">
      <c r="B250" s="32" t="s">
        <v>92</v>
      </c>
      <c r="C250" s="66"/>
      <c r="D250" s="324">
        <v>270.29000000000002</v>
      </c>
      <c r="E250" s="304" t="s">
        <v>114</v>
      </c>
      <c r="F250" s="304" t="s">
        <v>113</v>
      </c>
      <c r="G250" s="304" t="s">
        <v>108</v>
      </c>
    </row>
    <row r="251" spans="2:7" ht="30" x14ac:dyDescent="0.25">
      <c r="B251" s="300" t="s">
        <v>41</v>
      </c>
      <c r="C251" s="301" t="s">
        <v>22</v>
      </c>
      <c r="D251" s="325"/>
      <c r="E251" s="304" t="s">
        <v>114</v>
      </c>
      <c r="F251" s="304" t="s">
        <v>113</v>
      </c>
      <c r="G251" s="304" t="s">
        <v>108</v>
      </c>
    </row>
    <row r="252" spans="2:7" ht="30" x14ac:dyDescent="0.25">
      <c r="B252" s="302" t="s">
        <v>0</v>
      </c>
      <c r="C252" s="301" t="s">
        <v>22</v>
      </c>
      <c r="D252" s="325"/>
      <c r="E252" s="304" t="s">
        <v>114</v>
      </c>
      <c r="F252" s="304" t="s">
        <v>113</v>
      </c>
      <c r="G252" s="304" t="s">
        <v>108</v>
      </c>
    </row>
    <row r="253" spans="2:7" ht="30" x14ac:dyDescent="0.25">
      <c r="B253" s="302" t="s">
        <v>65</v>
      </c>
      <c r="C253" s="301" t="s">
        <v>22</v>
      </c>
      <c r="D253" s="325"/>
      <c r="E253" s="304" t="s">
        <v>114</v>
      </c>
      <c r="F253" s="304" t="s">
        <v>113</v>
      </c>
      <c r="G253" s="304" t="s">
        <v>108</v>
      </c>
    </row>
    <row r="254" spans="2:7" ht="30" x14ac:dyDescent="0.25">
      <c r="B254" s="303" t="s">
        <v>17</v>
      </c>
      <c r="C254" s="301" t="s">
        <v>22</v>
      </c>
      <c r="D254" s="325"/>
      <c r="E254" s="304" t="s">
        <v>114</v>
      </c>
      <c r="F254" s="304" t="s">
        <v>113</v>
      </c>
      <c r="G254" s="304" t="s">
        <v>108</v>
      </c>
    </row>
    <row r="255" spans="2:7" ht="30" x14ac:dyDescent="0.25">
      <c r="B255" s="302" t="s">
        <v>129</v>
      </c>
      <c r="C255" s="301" t="s">
        <v>22</v>
      </c>
      <c r="D255" s="325">
        <v>5405.8</v>
      </c>
      <c r="E255" s="304" t="s">
        <v>114</v>
      </c>
      <c r="F255" s="304" t="s">
        <v>113</v>
      </c>
      <c r="G255" s="304" t="s">
        <v>108</v>
      </c>
    </row>
    <row r="256" spans="2:7" ht="30" x14ac:dyDescent="0.25">
      <c r="B256" s="303" t="s">
        <v>20</v>
      </c>
      <c r="C256" s="301" t="s">
        <v>22</v>
      </c>
      <c r="D256" s="325"/>
      <c r="E256" s="304" t="s">
        <v>114</v>
      </c>
      <c r="F256" s="304" t="s">
        <v>113</v>
      </c>
      <c r="G256" s="304" t="s">
        <v>108</v>
      </c>
    </row>
    <row r="257" spans="2:7" ht="30" x14ac:dyDescent="0.25">
      <c r="B257" s="302" t="s">
        <v>67</v>
      </c>
      <c r="C257" s="301" t="s">
        <v>22</v>
      </c>
      <c r="D257" s="325"/>
      <c r="E257" s="304" t="s">
        <v>114</v>
      </c>
      <c r="F257" s="304" t="s">
        <v>113</v>
      </c>
      <c r="G257" s="304" t="s">
        <v>108</v>
      </c>
    </row>
    <row r="258" spans="2:7" ht="30" x14ac:dyDescent="0.25">
      <c r="B258" s="302" t="s">
        <v>69</v>
      </c>
      <c r="C258" s="301" t="s">
        <v>22</v>
      </c>
      <c r="D258" s="325"/>
      <c r="E258" s="304" t="s">
        <v>114</v>
      </c>
      <c r="F258" s="304" t="s">
        <v>113</v>
      </c>
      <c r="G258" s="304" t="s">
        <v>108</v>
      </c>
    </row>
    <row r="259" spans="2:7" ht="30" x14ac:dyDescent="0.25">
      <c r="B259" s="300" t="s">
        <v>42</v>
      </c>
      <c r="C259" s="301" t="s">
        <v>33</v>
      </c>
      <c r="D259" s="325"/>
      <c r="E259" s="304" t="s">
        <v>114</v>
      </c>
      <c r="F259" s="304" t="s">
        <v>113</v>
      </c>
      <c r="G259" s="304" t="s">
        <v>108</v>
      </c>
    </row>
    <row r="260" spans="2:7" x14ac:dyDescent="0.25">
      <c r="B260" s="302" t="s">
        <v>0</v>
      </c>
      <c r="C260" s="301" t="s">
        <v>33</v>
      </c>
      <c r="D260" s="325"/>
      <c r="E260" s="304" t="s">
        <v>114</v>
      </c>
      <c r="F260" s="304" t="s">
        <v>113</v>
      </c>
      <c r="G260" s="304" t="s">
        <v>108</v>
      </c>
    </row>
    <row r="261" spans="2:7" x14ac:dyDescent="0.25">
      <c r="B261" s="302" t="s">
        <v>13</v>
      </c>
      <c r="C261" s="301" t="s">
        <v>33</v>
      </c>
      <c r="D261" s="325"/>
      <c r="E261" s="304" t="s">
        <v>114</v>
      </c>
      <c r="F261" s="304" t="s">
        <v>113</v>
      </c>
      <c r="G261" s="304" t="s">
        <v>108</v>
      </c>
    </row>
    <row r="262" spans="2:7" x14ac:dyDescent="0.25">
      <c r="B262" s="303" t="s">
        <v>17</v>
      </c>
      <c r="C262" s="301" t="s">
        <v>33</v>
      </c>
      <c r="D262" s="325"/>
      <c r="E262" s="304" t="s">
        <v>114</v>
      </c>
      <c r="F262" s="304" t="s">
        <v>113</v>
      </c>
      <c r="G262" s="304" t="s">
        <v>108</v>
      </c>
    </row>
    <row r="263" spans="2:7" ht="30" x14ac:dyDescent="0.25">
      <c r="B263" s="303" t="s">
        <v>19</v>
      </c>
      <c r="C263" s="301" t="s">
        <v>33</v>
      </c>
      <c r="D263" s="325">
        <v>0.05</v>
      </c>
      <c r="E263" s="304" t="s">
        <v>114</v>
      </c>
      <c r="F263" s="304" t="s">
        <v>113</v>
      </c>
      <c r="G263" s="304" t="s">
        <v>108</v>
      </c>
    </row>
    <row r="264" spans="2:7" ht="30" x14ac:dyDescent="0.25">
      <c r="B264" s="303" t="s">
        <v>21</v>
      </c>
      <c r="C264" s="301" t="s">
        <v>33</v>
      </c>
      <c r="D264" s="325"/>
      <c r="E264" s="304" t="s">
        <v>114</v>
      </c>
      <c r="F264" s="304" t="s">
        <v>113</v>
      </c>
      <c r="G264" s="304" t="s">
        <v>108</v>
      </c>
    </row>
    <row r="265" spans="2:7" x14ac:dyDescent="0.25">
      <c r="B265" s="302" t="s">
        <v>66</v>
      </c>
      <c r="C265" s="301" t="s">
        <v>33</v>
      </c>
      <c r="D265" s="325"/>
      <c r="E265" s="304" t="s">
        <v>114</v>
      </c>
      <c r="F265" s="304" t="s">
        <v>113</v>
      </c>
      <c r="G265" s="304" t="s">
        <v>108</v>
      </c>
    </row>
    <row r="266" spans="2:7" x14ac:dyDescent="0.25">
      <c r="B266" s="302" t="s">
        <v>76</v>
      </c>
      <c r="C266" s="301" t="s">
        <v>33</v>
      </c>
      <c r="D266" s="325"/>
      <c r="E266" s="304" t="s">
        <v>114</v>
      </c>
      <c r="F266" s="304" t="s">
        <v>113</v>
      </c>
      <c r="G266" s="304" t="s">
        <v>108</v>
      </c>
    </row>
    <row r="267" spans="2:7" ht="30" x14ac:dyDescent="0.25">
      <c r="B267" s="27" t="s">
        <v>93</v>
      </c>
      <c r="C267" s="26"/>
      <c r="D267" s="324">
        <v>21965.427399971068</v>
      </c>
      <c r="E267" s="304" t="s">
        <v>114</v>
      </c>
      <c r="F267" s="304" t="s">
        <v>113</v>
      </c>
      <c r="G267" s="304" t="s">
        <v>108</v>
      </c>
    </row>
    <row r="268" spans="2:7" ht="60" x14ac:dyDescent="0.25">
      <c r="B268" s="27" t="s">
        <v>109</v>
      </c>
      <c r="C268" s="306" t="s">
        <v>37</v>
      </c>
      <c r="D268" s="325">
        <v>44292.26</v>
      </c>
      <c r="E268" s="304" t="s">
        <v>114</v>
      </c>
      <c r="F268" s="304" t="s">
        <v>113</v>
      </c>
      <c r="G268" s="304" t="s">
        <v>108</v>
      </c>
    </row>
    <row r="269" spans="2:7" x14ac:dyDescent="0.25">
      <c r="B269" s="27" t="s">
        <v>110</v>
      </c>
      <c r="C269" s="306" t="s">
        <v>8</v>
      </c>
      <c r="D269" s="325">
        <v>75075.63</v>
      </c>
      <c r="E269" s="304" t="s">
        <v>114</v>
      </c>
      <c r="F269" s="304" t="s">
        <v>113</v>
      </c>
      <c r="G269" s="304" t="s">
        <v>108</v>
      </c>
    </row>
    <row r="270" spans="2:7" ht="60" x14ac:dyDescent="0.25">
      <c r="B270" s="27" t="s">
        <v>111</v>
      </c>
      <c r="C270" s="306" t="s">
        <v>37</v>
      </c>
      <c r="D270" s="325">
        <v>66356.36</v>
      </c>
      <c r="E270" s="304" t="s">
        <v>114</v>
      </c>
      <c r="F270" s="304" t="s">
        <v>113</v>
      </c>
      <c r="G270" s="304" t="s">
        <v>108</v>
      </c>
    </row>
    <row r="271" spans="2:7" x14ac:dyDescent="0.25">
      <c r="B271" s="27" t="s">
        <v>112</v>
      </c>
      <c r="C271" s="306" t="s">
        <v>8</v>
      </c>
      <c r="D271" s="325">
        <v>75187.434500000003</v>
      </c>
      <c r="E271" s="304" t="s">
        <v>114</v>
      </c>
      <c r="F271" s="304" t="s">
        <v>113</v>
      </c>
      <c r="G271" s="304" t="s">
        <v>108</v>
      </c>
    </row>
  </sheetData>
  <mergeCells count="1">
    <mergeCell ref="B1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A2DAC-C6C1-453D-90B6-367A0C2588FC}">
  <dimension ref="B2:BV9"/>
  <sheetViews>
    <sheetView topLeftCell="Q1" workbookViewId="0">
      <selection activeCell="BE14" sqref="BE14"/>
    </sheetView>
  </sheetViews>
  <sheetFormatPr defaultColWidth="9.140625" defaultRowHeight="15" x14ac:dyDescent="0.25"/>
  <cols>
    <col min="1" max="1" width="3.7109375" style="115" customWidth="1"/>
    <col min="2" max="2" width="21.85546875" style="115" bestFit="1" customWidth="1"/>
    <col min="3" max="74" width="14.7109375" style="115" customWidth="1"/>
    <col min="75" max="16384" width="9.140625" style="115"/>
  </cols>
  <sheetData>
    <row r="2" spans="2:74" x14ac:dyDescent="0.25">
      <c r="B2" s="114" t="s">
        <v>79</v>
      </c>
      <c r="D2" s="116" t="str">
        <f ca="1">_xll.PALO.VIEW.DIMNAME($B$2,$B$3,0,0)</f>
        <v>ContractNo</v>
      </c>
      <c r="E2" s="116" t="str">
        <f ca="1">_xll.PALO.VIEW.DIMNAME($B$2,$B$3,0,1)</f>
        <v>Region</v>
      </c>
      <c r="F2" s="116" t="str">
        <f ca="1">_xll.PALO.VIEW.DIMNAME($B$2,$B$3,0,2)</f>
        <v>Period_type</v>
      </c>
      <c r="G2" s="116" t="str">
        <f ca="1">_xll.PALO.VIEW.DIMNAME($B$2,$B$3,0,3)</f>
        <v>Report_type</v>
      </c>
      <c r="H2" s="116" t="str">
        <f ca="1">_xll.PALO.VIEW.DIMNAME($B$2,$B$3,0,4)</f>
        <v>Vertibas</v>
      </c>
      <c r="I2" s="116" t="str">
        <f ca="1">_xll.PALO.VIEW.DIMNAME($B$2,$B$3,0,5)</f>
        <v>Traffic</v>
      </c>
    </row>
    <row r="3" spans="2:74" x14ac:dyDescent="0.25">
      <c r="B3" s="117" t="str">
        <f ca="1">_xll.PALO.CUBE($B$2,"PnL_")</f>
        <v xml:space="preserve">	7b74743edfe971f27da99866c79c4378ef11758c</v>
      </c>
      <c r="D3" s="118" t="str">
        <f ca="1">_xll.PALO.ENAME($B$2,$B$3,0,0,0)</f>
        <v>Visi_ligumi</v>
      </c>
      <c r="E3" s="118" t="str">
        <f ca="1">_xll.PALO.ENAME($B$2,$B$3,0,1,0)</f>
        <v>Visi regioni</v>
      </c>
      <c r="F3" s="119" t="str">
        <f ca="1">_xll.PALO.ENAME($B$2,$B$3,0,2,0)</f>
        <v>MONTH</v>
      </c>
      <c r="G3" s="119" t="str">
        <f ca="1">_xll.PALO.ENAME($B$2,$B$3,0,3,0)</f>
        <v>FACTUAL</v>
      </c>
      <c r="H3" s="118" t="str">
        <f ca="1">_xll.PALO.ENAME($B$2,$B$3,0,4,0)</f>
        <v>EUR [+]</v>
      </c>
      <c r="I3" s="118" t="str">
        <f ca="1">_xll.PALO.ENAME($B$2,$B$3,0,5,0)</f>
        <v>Visi marsruti</v>
      </c>
    </row>
    <row r="4" spans="2:74" x14ac:dyDescent="0.25">
      <c r="B4" s="120" t="s">
        <v>80</v>
      </c>
    </row>
    <row r="5" spans="2:74" x14ac:dyDescent="0.25">
      <c r="B5" s="121" t="s">
        <v>81</v>
      </c>
    </row>
    <row r="6" spans="2:74" x14ac:dyDescent="0.25">
      <c r="C6" s="122" t="str">
        <f ca="1">_xll.PALO.ENAME($B$2,$B$3,2,0,0)</f>
        <v>2019-03</v>
      </c>
      <c r="D6" s="123" t="str">
        <f ca="1">_xll.PALO.ENAME($B$2,$B$3,2,0,1)</f>
        <v>2019-03</v>
      </c>
      <c r="E6" s="123" t="str">
        <f ca="1">_xll.PALO.ENAME($B$2,$B$3,2,0,2)</f>
        <v>2019-03</v>
      </c>
      <c r="F6" s="123" t="str">
        <f ca="1">_xll.PALO.ENAME($B$2,$B$3,2,0,3)</f>
        <v>2019-03</v>
      </c>
      <c r="G6" s="123" t="str">
        <f ca="1">_xll.PALO.ENAME($B$2,$B$3,2,0,4)</f>
        <v>2019-03</v>
      </c>
      <c r="H6" s="123" t="str">
        <f ca="1">_xll.PALO.ENAME($B$2,$B$3,2,0,5)</f>
        <v>2019-03</v>
      </c>
      <c r="I6" s="122" t="str">
        <f ca="1">_xll.PALO.ENAME($B$2,$B$3,2,0,6)</f>
        <v>2019-04</v>
      </c>
      <c r="J6" s="123" t="str">
        <f ca="1">_xll.PALO.ENAME($B$2,$B$3,2,0,7)</f>
        <v>2019-04</v>
      </c>
      <c r="K6" s="123" t="str">
        <f ca="1">_xll.PALO.ENAME($B$2,$B$3,2,0,8)</f>
        <v>2019-04</v>
      </c>
      <c r="L6" s="123" t="str">
        <f ca="1">_xll.PALO.ENAME($B$2,$B$3,2,0,9)</f>
        <v>2019-04</v>
      </c>
      <c r="M6" s="123" t="str">
        <f ca="1">_xll.PALO.ENAME($B$2,$B$3,2,0,10)</f>
        <v>2019-04</v>
      </c>
      <c r="N6" s="123" t="str">
        <f ca="1">_xll.PALO.ENAME($B$2,$B$3,2,0,11)</f>
        <v>2019-04</v>
      </c>
      <c r="O6" s="122" t="str">
        <f ca="1">_xll.PALO.ENAME($B$2,$B$3,2,0,12)</f>
        <v>2019-05</v>
      </c>
      <c r="P6" s="123" t="str">
        <f ca="1">_xll.PALO.ENAME($B$2,$B$3,2,0,13)</f>
        <v>2019-05</v>
      </c>
      <c r="Q6" s="123" t="str">
        <f ca="1">_xll.PALO.ENAME($B$2,$B$3,2,0,14)</f>
        <v>2019-05</v>
      </c>
      <c r="R6" s="123" t="str">
        <f ca="1">_xll.PALO.ENAME($B$2,$B$3,2,0,15)</f>
        <v>2019-05</v>
      </c>
      <c r="S6" s="123" t="str">
        <f ca="1">_xll.PALO.ENAME($B$2,$B$3,2,0,16)</f>
        <v>2019-05</v>
      </c>
      <c r="T6" s="123" t="str">
        <f ca="1">_xll.PALO.ENAME($B$2,$B$3,2,0,17)</f>
        <v>2019-05</v>
      </c>
      <c r="U6" s="122" t="str">
        <f ca="1">_xll.PALO.ENAME($B$2,$B$3,2,0,18)</f>
        <v>2019-06</v>
      </c>
      <c r="V6" s="123" t="str">
        <f ca="1">_xll.PALO.ENAME($B$2,$B$3,2,0,19)</f>
        <v>2019-06</v>
      </c>
      <c r="W6" s="123" t="str">
        <f ca="1">_xll.PALO.ENAME($B$2,$B$3,2,0,20)</f>
        <v>2019-06</v>
      </c>
      <c r="X6" s="123" t="str">
        <f ca="1">_xll.PALO.ENAME($B$2,$B$3,2,0,21)</f>
        <v>2019-06</v>
      </c>
      <c r="Y6" s="123" t="str">
        <f ca="1">_xll.PALO.ENAME($B$2,$B$3,2,0,22)</f>
        <v>2019-06</v>
      </c>
      <c r="Z6" s="123" t="str">
        <f ca="1">_xll.PALO.ENAME($B$2,$B$3,2,0,23)</f>
        <v>2019-06</v>
      </c>
      <c r="AA6" s="122" t="str">
        <f ca="1">_xll.PALO.ENAME($B$2,$B$3,2,0,24)</f>
        <v>2020-03</v>
      </c>
      <c r="AB6" s="123" t="str">
        <f ca="1">_xll.PALO.ENAME($B$2,$B$3,2,0,25)</f>
        <v>2020-03</v>
      </c>
      <c r="AC6" s="123" t="str">
        <f ca="1">_xll.PALO.ENAME($B$2,$B$3,2,0,26)</f>
        <v>2020-03</v>
      </c>
      <c r="AD6" s="123" t="str">
        <f ca="1">_xll.PALO.ENAME($B$2,$B$3,2,0,27)</f>
        <v>2020-03</v>
      </c>
      <c r="AE6" s="123" t="str">
        <f ca="1">_xll.PALO.ENAME($B$2,$B$3,2,0,28)</f>
        <v>2020-03</v>
      </c>
      <c r="AF6" s="123" t="str">
        <f ca="1">_xll.PALO.ENAME($B$2,$B$3,2,0,29)</f>
        <v>2020-03</v>
      </c>
      <c r="AG6" s="122" t="str">
        <f ca="1">_xll.PALO.ENAME($B$2,$B$3,2,0,30)</f>
        <v>2020-04</v>
      </c>
      <c r="AH6" s="123" t="str">
        <f ca="1">_xll.PALO.ENAME($B$2,$B$3,2,0,31)</f>
        <v>2020-04</v>
      </c>
      <c r="AI6" s="123" t="str">
        <f ca="1">_xll.PALO.ENAME($B$2,$B$3,2,0,32)</f>
        <v>2020-04</v>
      </c>
      <c r="AJ6" s="123" t="str">
        <f ca="1">_xll.PALO.ENAME($B$2,$B$3,2,0,33)</f>
        <v>2020-04</v>
      </c>
      <c r="AK6" s="123" t="str">
        <f ca="1">_xll.PALO.ENAME($B$2,$B$3,2,0,34)</f>
        <v>2020-04</v>
      </c>
      <c r="AL6" s="123" t="str">
        <f ca="1">_xll.PALO.ENAME($B$2,$B$3,2,0,35)</f>
        <v>2020-04</v>
      </c>
      <c r="AM6" s="122" t="str">
        <f ca="1">_xll.PALO.ENAME($B$2,$B$3,2,0,36)</f>
        <v>2020-05</v>
      </c>
      <c r="AN6" s="123" t="str">
        <f ca="1">_xll.PALO.ENAME($B$2,$B$3,2,0,37)</f>
        <v>2020-05</v>
      </c>
      <c r="AO6" s="123" t="str">
        <f ca="1">_xll.PALO.ENAME($B$2,$B$3,2,0,38)</f>
        <v>2020-05</v>
      </c>
      <c r="AP6" s="123" t="str">
        <f ca="1">_xll.PALO.ENAME($B$2,$B$3,2,0,39)</f>
        <v>2020-05</v>
      </c>
      <c r="AQ6" s="123" t="str">
        <f ca="1">_xll.PALO.ENAME($B$2,$B$3,2,0,40)</f>
        <v>2020-05</v>
      </c>
      <c r="AR6" s="123" t="str">
        <f ca="1">_xll.PALO.ENAME($B$2,$B$3,2,0,41)</f>
        <v>2020-05</v>
      </c>
      <c r="AS6" s="122" t="str">
        <f ca="1">_xll.PALO.ENAME($B$2,$B$3,2,0,42)</f>
        <v>2020-06</v>
      </c>
      <c r="AT6" s="123" t="str">
        <f ca="1">_xll.PALO.ENAME($B$2,$B$3,2,0,43)</f>
        <v>2020-06</v>
      </c>
      <c r="AU6" s="123" t="str">
        <f ca="1">_xll.PALO.ENAME($B$2,$B$3,2,0,44)</f>
        <v>2020-06</v>
      </c>
      <c r="AV6" s="123" t="str">
        <f ca="1">_xll.PALO.ENAME($B$2,$B$3,2,0,45)</f>
        <v>2020-06</v>
      </c>
      <c r="AW6" s="123" t="str">
        <f ca="1">_xll.PALO.ENAME($B$2,$B$3,2,0,46)</f>
        <v>2020-06</v>
      </c>
      <c r="AX6" s="123" t="str">
        <f ca="1">_xll.PALO.ENAME($B$2,$B$3,2,0,47)</f>
        <v>2020-06</v>
      </c>
      <c r="AY6" s="122" t="str">
        <f ca="1">_xll.PALO.ENAME($B$2,$B$3,2,0,48)</f>
        <v>2021-03</v>
      </c>
      <c r="AZ6" s="123" t="str">
        <f ca="1">_xll.PALO.ENAME($B$2,$B$3,2,0,49)</f>
        <v>2021-03</v>
      </c>
      <c r="BA6" s="123" t="str">
        <f ca="1">_xll.PALO.ENAME($B$2,$B$3,2,0,50)</f>
        <v>2021-03</v>
      </c>
      <c r="BB6" s="123" t="str">
        <f ca="1">_xll.PALO.ENAME($B$2,$B$3,2,0,51)</f>
        <v>2021-03</v>
      </c>
      <c r="BC6" s="123" t="str">
        <f ca="1">_xll.PALO.ENAME($B$2,$B$3,2,0,52)</f>
        <v>2021-03</v>
      </c>
      <c r="BD6" s="123" t="str">
        <f ca="1">_xll.PALO.ENAME($B$2,$B$3,2,0,53)</f>
        <v>2021-03</v>
      </c>
      <c r="BE6" s="122" t="str">
        <f ca="1">_xll.PALO.ENAME($B$2,$B$3,2,0,54)</f>
        <v>2021-04</v>
      </c>
      <c r="BF6" s="123" t="str">
        <f ca="1">_xll.PALO.ENAME($B$2,$B$3,2,0,55)</f>
        <v>2021-04</v>
      </c>
      <c r="BG6" s="123" t="str">
        <f ca="1">_xll.PALO.ENAME($B$2,$B$3,2,0,56)</f>
        <v>2021-04</v>
      </c>
      <c r="BH6" s="123" t="str">
        <f ca="1">_xll.PALO.ENAME($B$2,$B$3,2,0,57)</f>
        <v>2021-04</v>
      </c>
      <c r="BI6" s="123" t="str">
        <f ca="1">_xll.PALO.ENAME($B$2,$B$3,2,0,58)</f>
        <v>2021-04</v>
      </c>
      <c r="BJ6" s="123" t="str">
        <f ca="1">_xll.PALO.ENAME($B$2,$B$3,2,0,59)</f>
        <v>2021-04</v>
      </c>
      <c r="BK6" s="122" t="str">
        <f ca="1">_xll.PALO.ENAME($B$2,$B$3,2,0,60)</f>
        <v>2021-05</v>
      </c>
      <c r="BL6" s="123" t="str">
        <f ca="1">_xll.PALO.ENAME($B$2,$B$3,2,0,61)</f>
        <v>2021-05</v>
      </c>
      <c r="BM6" s="123" t="str">
        <f ca="1">_xll.PALO.ENAME($B$2,$B$3,2,0,62)</f>
        <v>2021-05</v>
      </c>
      <c r="BN6" s="123" t="str">
        <f ca="1">_xll.PALO.ENAME($B$2,$B$3,2,0,63)</f>
        <v>2021-05</v>
      </c>
      <c r="BO6" s="123" t="str">
        <f ca="1">_xll.PALO.ENAME($B$2,$B$3,2,0,64)</f>
        <v>2021-05</v>
      </c>
      <c r="BP6" s="123" t="str">
        <f ca="1">_xll.PALO.ENAME($B$2,$B$3,2,0,65)</f>
        <v>2021-05</v>
      </c>
      <c r="BQ6" s="122" t="str">
        <f ca="1">_xll.PALO.ENAME($B$2,$B$3,2,0,66)</f>
        <v>2021-06</v>
      </c>
      <c r="BR6" s="123" t="str">
        <f ca="1">_xll.PALO.ENAME($B$2,$B$3,2,0,67)</f>
        <v>2021-06</v>
      </c>
      <c r="BS6" s="123" t="str">
        <f ca="1">_xll.PALO.ENAME($B$2,$B$3,2,0,68)</f>
        <v>2021-06</v>
      </c>
      <c r="BT6" s="123" t="str">
        <f ca="1">_xll.PALO.ENAME($B$2,$B$3,2,0,69)</f>
        <v>2021-06</v>
      </c>
      <c r="BU6" s="123" t="str">
        <f ca="1">_xll.PALO.ENAME($B$2,$B$3,2,0,70)</f>
        <v>2021-06</v>
      </c>
      <c r="BV6" s="123" t="str">
        <f ca="1">_xll.PALO.ENAME($B$2,$B$3,2,0,71)</f>
        <v>2021-06</v>
      </c>
    </row>
    <row r="7" spans="2:74" ht="24.75" x14ac:dyDescent="0.25">
      <c r="C7" s="124" t="str">
        <f ca="1">_xll.PALO.ENAME($B$2,$B$3,2,1,0)</f>
        <v>Ieņēmumi</v>
      </c>
      <c r="D7" s="125" t="str">
        <f ca="1">_xll.PALO.ENAME($B$2,$B$3,2,1,1)</f>
        <v>Ieņēmumi</v>
      </c>
      <c r="E7" s="124" t="str">
        <f ca="1">_xll.PALO.ENAME($B$2,$B$3,2,1,2)</f>
        <v>Nobraukums maršrutu tīklā</v>
      </c>
      <c r="F7" s="125" t="str">
        <f ca="1">_xll.PALO.ENAME($B$2,$B$3,2,1,3)</f>
        <v>Nobraukums maršrutu tīklā</v>
      </c>
      <c r="G7" s="124" t="str">
        <f ca="1">_xll.PALO.ENAME($B$2,$B$3,2,1,4)</f>
        <v>Viena kilometra pašizmaksa (EUR)</v>
      </c>
      <c r="H7" s="125" t="str">
        <f ca="1">_xll.PALO.ENAME($B$2,$B$3,2,1,5)</f>
        <v>Viena kilometra pašizmaksa (EUR)</v>
      </c>
      <c r="I7" s="124" t="str">
        <f ca="1">_xll.PALO.ENAME($B$2,$B$3,2,1,6)</f>
        <v>Ieņēmumi</v>
      </c>
      <c r="J7" s="125" t="str">
        <f ca="1">_xll.PALO.ENAME($B$2,$B$3,2,1,7)</f>
        <v>Ieņēmumi</v>
      </c>
      <c r="K7" s="124" t="str">
        <f ca="1">_xll.PALO.ENAME($B$2,$B$3,2,1,8)</f>
        <v>Nobraukums maršrutu tīklā</v>
      </c>
      <c r="L7" s="125" t="str">
        <f ca="1">_xll.PALO.ENAME($B$2,$B$3,2,1,9)</f>
        <v>Nobraukums maršrutu tīklā</v>
      </c>
      <c r="M7" s="124" t="str">
        <f ca="1">_xll.PALO.ENAME($B$2,$B$3,2,1,10)</f>
        <v>Viena kilometra pašizmaksa (EUR)</v>
      </c>
      <c r="N7" s="125" t="str">
        <f ca="1">_xll.PALO.ENAME($B$2,$B$3,2,1,11)</f>
        <v>Viena kilometra pašizmaksa (EUR)</v>
      </c>
      <c r="O7" s="124" t="str">
        <f ca="1">_xll.PALO.ENAME($B$2,$B$3,2,1,12)</f>
        <v>Ieņēmumi</v>
      </c>
      <c r="P7" s="125" t="str">
        <f ca="1">_xll.PALO.ENAME($B$2,$B$3,2,1,13)</f>
        <v>Ieņēmumi</v>
      </c>
      <c r="Q7" s="124" t="str">
        <f ca="1">_xll.PALO.ENAME($B$2,$B$3,2,1,14)</f>
        <v>Nobraukums maršrutu tīklā</v>
      </c>
      <c r="R7" s="125" t="str">
        <f ca="1">_xll.PALO.ENAME($B$2,$B$3,2,1,15)</f>
        <v>Nobraukums maršrutu tīklā</v>
      </c>
      <c r="S7" s="124" t="str">
        <f ca="1">_xll.PALO.ENAME($B$2,$B$3,2,1,16)</f>
        <v>Viena kilometra pašizmaksa (EUR)</v>
      </c>
      <c r="T7" s="125" t="str">
        <f ca="1">_xll.PALO.ENAME($B$2,$B$3,2,1,17)</f>
        <v>Viena kilometra pašizmaksa (EUR)</v>
      </c>
      <c r="U7" s="124" t="str">
        <f ca="1">_xll.PALO.ENAME($B$2,$B$3,2,1,18)</f>
        <v>Ieņēmumi</v>
      </c>
      <c r="V7" s="125" t="str">
        <f ca="1">_xll.PALO.ENAME($B$2,$B$3,2,1,19)</f>
        <v>Ieņēmumi</v>
      </c>
      <c r="W7" s="124" t="str">
        <f ca="1">_xll.PALO.ENAME($B$2,$B$3,2,1,20)</f>
        <v>Nobraukums maršrutu tīklā</v>
      </c>
      <c r="X7" s="125" t="str">
        <f ca="1">_xll.PALO.ENAME($B$2,$B$3,2,1,21)</f>
        <v>Nobraukums maršrutu tīklā</v>
      </c>
      <c r="Y7" s="124" t="str">
        <f ca="1">_xll.PALO.ENAME($B$2,$B$3,2,1,22)</f>
        <v>Viena kilometra pašizmaksa (EUR)</v>
      </c>
      <c r="Z7" s="125" t="str">
        <f ca="1">_xll.PALO.ENAME($B$2,$B$3,2,1,23)</f>
        <v>Viena kilometra pašizmaksa (EUR)</v>
      </c>
      <c r="AA7" s="124" t="str">
        <f ca="1">_xll.PALO.ENAME($B$2,$B$3,2,1,24)</f>
        <v>Ieņēmumi</v>
      </c>
      <c r="AB7" s="125" t="str">
        <f ca="1">_xll.PALO.ENAME($B$2,$B$3,2,1,25)</f>
        <v>Ieņēmumi</v>
      </c>
      <c r="AC7" s="124" t="str">
        <f ca="1">_xll.PALO.ENAME($B$2,$B$3,2,1,26)</f>
        <v>Nobraukums maršrutu tīklā</v>
      </c>
      <c r="AD7" s="125" t="str">
        <f ca="1">_xll.PALO.ENAME($B$2,$B$3,2,1,27)</f>
        <v>Nobraukums maršrutu tīklā</v>
      </c>
      <c r="AE7" s="124" t="str">
        <f ca="1">_xll.PALO.ENAME($B$2,$B$3,2,1,28)</f>
        <v>Viena kilometra pašizmaksa (EUR)</v>
      </c>
      <c r="AF7" s="125" t="str">
        <f ca="1">_xll.PALO.ENAME($B$2,$B$3,2,1,29)</f>
        <v>Viena kilometra pašizmaksa (EUR)</v>
      </c>
      <c r="AG7" s="124" t="str">
        <f ca="1">_xll.PALO.ENAME($B$2,$B$3,2,1,30)</f>
        <v>Ieņēmumi</v>
      </c>
      <c r="AH7" s="125" t="str">
        <f ca="1">_xll.PALO.ENAME($B$2,$B$3,2,1,31)</f>
        <v>Ieņēmumi</v>
      </c>
      <c r="AI7" s="124" t="str">
        <f ca="1">_xll.PALO.ENAME($B$2,$B$3,2,1,32)</f>
        <v>Nobraukums maršrutu tīklā</v>
      </c>
      <c r="AJ7" s="125" t="str">
        <f ca="1">_xll.PALO.ENAME($B$2,$B$3,2,1,33)</f>
        <v>Nobraukums maršrutu tīklā</v>
      </c>
      <c r="AK7" s="124" t="str">
        <f ca="1">_xll.PALO.ENAME($B$2,$B$3,2,1,34)</f>
        <v>Viena kilometra pašizmaksa (EUR)</v>
      </c>
      <c r="AL7" s="125" t="str">
        <f ca="1">_xll.PALO.ENAME($B$2,$B$3,2,1,35)</f>
        <v>Viena kilometra pašizmaksa (EUR)</v>
      </c>
      <c r="AM7" s="124" t="str">
        <f ca="1">_xll.PALO.ENAME($B$2,$B$3,2,1,36)</f>
        <v>Ieņēmumi</v>
      </c>
      <c r="AN7" s="125" t="str">
        <f ca="1">_xll.PALO.ENAME($B$2,$B$3,2,1,37)</f>
        <v>Ieņēmumi</v>
      </c>
      <c r="AO7" s="124" t="str">
        <f ca="1">_xll.PALO.ENAME($B$2,$B$3,2,1,38)</f>
        <v>Nobraukums maršrutu tīklā</v>
      </c>
      <c r="AP7" s="125" t="str">
        <f ca="1">_xll.PALO.ENAME($B$2,$B$3,2,1,39)</f>
        <v>Nobraukums maršrutu tīklā</v>
      </c>
      <c r="AQ7" s="124" t="str">
        <f ca="1">_xll.PALO.ENAME($B$2,$B$3,2,1,40)</f>
        <v>Viena kilometra pašizmaksa (EUR)</v>
      </c>
      <c r="AR7" s="125" t="str">
        <f ca="1">_xll.PALO.ENAME($B$2,$B$3,2,1,41)</f>
        <v>Viena kilometra pašizmaksa (EUR)</v>
      </c>
      <c r="AS7" s="124" t="str">
        <f ca="1">_xll.PALO.ENAME($B$2,$B$3,2,1,42)</f>
        <v>Ieņēmumi</v>
      </c>
      <c r="AT7" s="125" t="str">
        <f ca="1">_xll.PALO.ENAME($B$2,$B$3,2,1,43)</f>
        <v>Ieņēmumi</v>
      </c>
      <c r="AU7" s="124" t="str">
        <f ca="1">_xll.PALO.ENAME($B$2,$B$3,2,1,44)</f>
        <v>Nobraukums maršrutu tīklā</v>
      </c>
      <c r="AV7" s="125" t="str">
        <f ca="1">_xll.PALO.ENAME($B$2,$B$3,2,1,45)</f>
        <v>Nobraukums maršrutu tīklā</v>
      </c>
      <c r="AW7" s="124" t="str">
        <f ca="1">_xll.PALO.ENAME($B$2,$B$3,2,1,46)</f>
        <v>Viena kilometra pašizmaksa (EUR)</v>
      </c>
      <c r="AX7" s="125" t="str">
        <f ca="1">_xll.PALO.ENAME($B$2,$B$3,2,1,47)</f>
        <v>Viena kilometra pašizmaksa (EUR)</v>
      </c>
      <c r="AY7" s="124" t="str">
        <f ca="1">_xll.PALO.ENAME($B$2,$B$3,2,1,48)</f>
        <v>Ieņēmumi</v>
      </c>
      <c r="AZ7" s="125" t="str">
        <f ca="1">_xll.PALO.ENAME($B$2,$B$3,2,1,49)</f>
        <v>Ieņēmumi</v>
      </c>
      <c r="BA7" s="124" t="str">
        <f ca="1">_xll.PALO.ENAME($B$2,$B$3,2,1,50)</f>
        <v>Nobraukums maršrutu tīklā</v>
      </c>
      <c r="BB7" s="125" t="str">
        <f ca="1">_xll.PALO.ENAME($B$2,$B$3,2,1,51)</f>
        <v>Nobraukums maršrutu tīklā</v>
      </c>
      <c r="BC7" s="124" t="str">
        <f ca="1">_xll.PALO.ENAME($B$2,$B$3,2,1,52)</f>
        <v>Viena kilometra pašizmaksa (EUR)</v>
      </c>
      <c r="BD7" s="125" t="str">
        <f ca="1">_xll.PALO.ENAME($B$2,$B$3,2,1,53)</f>
        <v>Viena kilometra pašizmaksa (EUR)</v>
      </c>
      <c r="BE7" s="124" t="str">
        <f ca="1">_xll.PALO.ENAME($B$2,$B$3,2,1,54)</f>
        <v>Ieņēmumi</v>
      </c>
      <c r="BF7" s="125" t="str">
        <f ca="1">_xll.PALO.ENAME($B$2,$B$3,2,1,55)</f>
        <v>Ieņēmumi</v>
      </c>
      <c r="BG7" s="124" t="str">
        <f ca="1">_xll.PALO.ENAME($B$2,$B$3,2,1,56)</f>
        <v>Nobraukums maršrutu tīklā</v>
      </c>
      <c r="BH7" s="125" t="str">
        <f ca="1">_xll.PALO.ENAME($B$2,$B$3,2,1,57)</f>
        <v>Nobraukums maršrutu tīklā</v>
      </c>
      <c r="BI7" s="124" t="str">
        <f ca="1">_xll.PALO.ENAME($B$2,$B$3,2,1,58)</f>
        <v>Viena kilometra pašizmaksa (EUR)</v>
      </c>
      <c r="BJ7" s="125" t="str">
        <f ca="1">_xll.PALO.ENAME($B$2,$B$3,2,1,59)</f>
        <v>Viena kilometra pašizmaksa (EUR)</v>
      </c>
      <c r="BK7" s="124" t="str">
        <f ca="1">_xll.PALO.ENAME($B$2,$B$3,2,1,60)</f>
        <v>Ieņēmumi</v>
      </c>
      <c r="BL7" s="125" t="str">
        <f ca="1">_xll.PALO.ENAME($B$2,$B$3,2,1,61)</f>
        <v>Ieņēmumi</v>
      </c>
      <c r="BM7" s="124" t="str">
        <f ca="1">_xll.PALO.ENAME($B$2,$B$3,2,1,62)</f>
        <v>Nobraukums maršrutu tīklā</v>
      </c>
      <c r="BN7" s="125" t="str">
        <f ca="1">_xll.PALO.ENAME($B$2,$B$3,2,1,63)</f>
        <v>Nobraukums maršrutu tīklā</v>
      </c>
      <c r="BO7" s="124" t="str">
        <f ca="1">_xll.PALO.ENAME($B$2,$B$3,2,1,64)</f>
        <v>Viena kilometra pašizmaksa (EUR)</v>
      </c>
      <c r="BP7" s="125" t="str">
        <f ca="1">_xll.PALO.ENAME($B$2,$B$3,2,1,65)</f>
        <v>Viena kilometra pašizmaksa (EUR)</v>
      </c>
      <c r="BQ7" s="124" t="str">
        <f ca="1">_xll.PALO.ENAME($B$2,$B$3,2,1,66)</f>
        <v>Ieņēmumi</v>
      </c>
      <c r="BR7" s="125" t="str">
        <f ca="1">_xll.PALO.ENAME($B$2,$B$3,2,1,67)</f>
        <v>Ieņēmumi</v>
      </c>
      <c r="BS7" s="124" t="str">
        <f ca="1">_xll.PALO.ENAME($B$2,$B$3,2,1,68)</f>
        <v>Nobraukums maršrutu tīklā</v>
      </c>
      <c r="BT7" s="125" t="str">
        <f ca="1">_xll.PALO.ENAME($B$2,$B$3,2,1,69)</f>
        <v>Nobraukums maršrutu tīklā</v>
      </c>
      <c r="BU7" s="124" t="str">
        <f ca="1">_xll.PALO.ENAME($B$2,$B$3,2,1,70)</f>
        <v>Viena kilometra pašizmaksa (EUR)</v>
      </c>
      <c r="BV7" s="125" t="str">
        <f ca="1">_xll.PALO.ENAME($B$2,$B$3,2,1,71)</f>
        <v>Viena kilometra pašizmaksa (EUR)</v>
      </c>
    </row>
    <row r="8" spans="2:74" x14ac:dyDescent="0.25">
      <c r="C8" s="126" t="str">
        <f ca="1">_xll.PALO.ENAME($B$2,$B$3,2,2,0)</f>
        <v>Bus</v>
      </c>
      <c r="D8" s="126" t="str">
        <f ca="1">_xll.PALO.ENAME($B$2,$B$3,2,2,1)</f>
        <v>Tram</v>
      </c>
      <c r="E8" s="126" t="str">
        <f ca="1">_xll.PALO.ENAME($B$2,$B$3,2,2,2)</f>
        <v>Bus</v>
      </c>
      <c r="F8" s="126" t="str">
        <f ca="1">_xll.PALO.ENAME($B$2,$B$3,2,2,3)</f>
        <v>Tram</v>
      </c>
      <c r="G8" s="126" t="str">
        <f ca="1">_xll.PALO.ENAME($B$2,$B$3,2,2,4)</f>
        <v>Bus</v>
      </c>
      <c r="H8" s="126" t="str">
        <f ca="1">_xll.PALO.ENAME($B$2,$B$3,2,2,5)</f>
        <v>Tram</v>
      </c>
      <c r="I8" s="126" t="str">
        <f ca="1">_xll.PALO.ENAME($B$2,$B$3,2,2,6)</f>
        <v>Bus</v>
      </c>
      <c r="J8" s="126" t="str">
        <f ca="1">_xll.PALO.ENAME($B$2,$B$3,2,2,7)</f>
        <v>Tram</v>
      </c>
      <c r="K8" s="126" t="str">
        <f ca="1">_xll.PALO.ENAME($B$2,$B$3,2,2,8)</f>
        <v>Bus</v>
      </c>
      <c r="L8" s="126" t="str">
        <f ca="1">_xll.PALO.ENAME($B$2,$B$3,2,2,9)</f>
        <v>Tram</v>
      </c>
      <c r="M8" s="126" t="str">
        <f ca="1">_xll.PALO.ENAME($B$2,$B$3,2,2,10)</f>
        <v>Bus</v>
      </c>
      <c r="N8" s="126" t="str">
        <f ca="1">_xll.PALO.ENAME($B$2,$B$3,2,2,11)</f>
        <v>Tram</v>
      </c>
      <c r="O8" s="126" t="str">
        <f ca="1">_xll.PALO.ENAME($B$2,$B$3,2,2,12)</f>
        <v>Bus</v>
      </c>
      <c r="P8" s="126" t="str">
        <f ca="1">_xll.PALO.ENAME($B$2,$B$3,2,2,13)</f>
        <v>Tram</v>
      </c>
      <c r="Q8" s="126" t="str">
        <f ca="1">_xll.PALO.ENAME($B$2,$B$3,2,2,14)</f>
        <v>Bus</v>
      </c>
      <c r="R8" s="126" t="str">
        <f ca="1">_xll.PALO.ENAME($B$2,$B$3,2,2,15)</f>
        <v>Tram</v>
      </c>
      <c r="S8" s="126" t="str">
        <f ca="1">_xll.PALO.ENAME($B$2,$B$3,2,2,16)</f>
        <v>Bus</v>
      </c>
      <c r="T8" s="126" t="str">
        <f ca="1">_xll.PALO.ENAME($B$2,$B$3,2,2,17)</f>
        <v>Tram</v>
      </c>
      <c r="U8" s="126" t="str">
        <f ca="1">_xll.PALO.ENAME($B$2,$B$3,2,2,18)</f>
        <v>Bus</v>
      </c>
      <c r="V8" s="126" t="str">
        <f ca="1">_xll.PALO.ENAME($B$2,$B$3,2,2,19)</f>
        <v>Tram</v>
      </c>
      <c r="W8" s="126" t="str">
        <f ca="1">_xll.PALO.ENAME($B$2,$B$3,2,2,20)</f>
        <v>Bus</v>
      </c>
      <c r="X8" s="126" t="str">
        <f ca="1">_xll.PALO.ENAME($B$2,$B$3,2,2,21)</f>
        <v>Tram</v>
      </c>
      <c r="Y8" s="126" t="str">
        <f ca="1">_xll.PALO.ENAME($B$2,$B$3,2,2,22)</f>
        <v>Bus</v>
      </c>
      <c r="Z8" s="126" t="str">
        <f ca="1">_xll.PALO.ENAME($B$2,$B$3,2,2,23)</f>
        <v>Tram</v>
      </c>
      <c r="AA8" s="126" t="str">
        <f ca="1">_xll.PALO.ENAME($B$2,$B$3,2,2,24)</f>
        <v>Bus</v>
      </c>
      <c r="AB8" s="126" t="str">
        <f ca="1">_xll.PALO.ENAME($B$2,$B$3,2,2,25)</f>
        <v>Tram</v>
      </c>
      <c r="AC8" s="126" t="str">
        <f ca="1">_xll.PALO.ENAME($B$2,$B$3,2,2,26)</f>
        <v>Bus</v>
      </c>
      <c r="AD8" s="126" t="str">
        <f ca="1">_xll.PALO.ENAME($B$2,$B$3,2,2,27)</f>
        <v>Tram</v>
      </c>
      <c r="AE8" s="126" t="str">
        <f ca="1">_xll.PALO.ENAME($B$2,$B$3,2,2,28)</f>
        <v>Bus</v>
      </c>
      <c r="AF8" s="126" t="str">
        <f ca="1">_xll.PALO.ENAME($B$2,$B$3,2,2,29)</f>
        <v>Tram</v>
      </c>
      <c r="AG8" s="126" t="str">
        <f ca="1">_xll.PALO.ENAME($B$2,$B$3,2,2,30)</f>
        <v>Bus</v>
      </c>
      <c r="AH8" s="126" t="str">
        <f ca="1">_xll.PALO.ENAME($B$2,$B$3,2,2,31)</f>
        <v>Tram</v>
      </c>
      <c r="AI8" s="126" t="str">
        <f ca="1">_xll.PALO.ENAME($B$2,$B$3,2,2,32)</f>
        <v>Bus</v>
      </c>
      <c r="AJ8" s="126" t="str">
        <f ca="1">_xll.PALO.ENAME($B$2,$B$3,2,2,33)</f>
        <v>Tram</v>
      </c>
      <c r="AK8" s="126" t="str">
        <f ca="1">_xll.PALO.ENAME($B$2,$B$3,2,2,34)</f>
        <v>Bus</v>
      </c>
      <c r="AL8" s="126" t="str">
        <f ca="1">_xll.PALO.ENAME($B$2,$B$3,2,2,35)</f>
        <v>Tram</v>
      </c>
      <c r="AM8" s="126" t="str">
        <f ca="1">_xll.PALO.ENAME($B$2,$B$3,2,2,36)</f>
        <v>Bus</v>
      </c>
      <c r="AN8" s="126" t="str">
        <f ca="1">_xll.PALO.ENAME($B$2,$B$3,2,2,37)</f>
        <v>Tram</v>
      </c>
      <c r="AO8" s="126" t="str">
        <f ca="1">_xll.PALO.ENAME($B$2,$B$3,2,2,38)</f>
        <v>Bus</v>
      </c>
      <c r="AP8" s="126" t="str">
        <f ca="1">_xll.PALO.ENAME($B$2,$B$3,2,2,39)</f>
        <v>Tram</v>
      </c>
      <c r="AQ8" s="126" t="str">
        <f ca="1">_xll.PALO.ENAME($B$2,$B$3,2,2,40)</f>
        <v>Bus</v>
      </c>
      <c r="AR8" s="126" t="str">
        <f ca="1">_xll.PALO.ENAME($B$2,$B$3,2,2,41)</f>
        <v>Tram</v>
      </c>
      <c r="AS8" s="126" t="str">
        <f ca="1">_xll.PALO.ENAME($B$2,$B$3,2,2,42)</f>
        <v>Bus</v>
      </c>
      <c r="AT8" s="126" t="str">
        <f ca="1">_xll.PALO.ENAME($B$2,$B$3,2,2,43)</f>
        <v>Tram</v>
      </c>
      <c r="AU8" s="126" t="str">
        <f ca="1">_xll.PALO.ENAME($B$2,$B$3,2,2,44)</f>
        <v>Bus</v>
      </c>
      <c r="AV8" s="126" t="str">
        <f ca="1">_xll.PALO.ENAME($B$2,$B$3,2,2,45)</f>
        <v>Tram</v>
      </c>
      <c r="AW8" s="126" t="str">
        <f ca="1">_xll.PALO.ENAME($B$2,$B$3,2,2,46)</f>
        <v>Bus</v>
      </c>
      <c r="AX8" s="126" t="str">
        <f ca="1">_xll.PALO.ENAME($B$2,$B$3,2,2,47)</f>
        <v>Tram</v>
      </c>
      <c r="AY8" s="126" t="str">
        <f ca="1">_xll.PALO.ENAME($B$2,$B$3,2,2,48)</f>
        <v>Bus</v>
      </c>
      <c r="AZ8" s="126" t="str">
        <f ca="1">_xll.PALO.ENAME($B$2,$B$3,2,2,49)</f>
        <v>Tram</v>
      </c>
      <c r="BA8" s="126" t="str">
        <f ca="1">_xll.PALO.ENAME($B$2,$B$3,2,2,50)</f>
        <v>Bus</v>
      </c>
      <c r="BB8" s="126" t="str">
        <f ca="1">_xll.PALO.ENAME($B$2,$B$3,2,2,51)</f>
        <v>Tram</v>
      </c>
      <c r="BC8" s="126" t="str">
        <f ca="1">_xll.PALO.ENAME($B$2,$B$3,2,2,52)</f>
        <v>Bus</v>
      </c>
      <c r="BD8" s="126" t="str">
        <f ca="1">_xll.PALO.ENAME($B$2,$B$3,2,2,53)</f>
        <v>Tram</v>
      </c>
      <c r="BE8" s="126" t="str">
        <f ca="1">_xll.PALO.ENAME($B$2,$B$3,2,2,54)</f>
        <v>Bus</v>
      </c>
      <c r="BF8" s="126" t="str">
        <f ca="1">_xll.PALO.ENAME($B$2,$B$3,2,2,55)</f>
        <v>Tram</v>
      </c>
      <c r="BG8" s="126" t="str">
        <f ca="1">_xll.PALO.ENAME($B$2,$B$3,2,2,56)</f>
        <v>Bus</v>
      </c>
      <c r="BH8" s="126" t="str">
        <f ca="1">_xll.PALO.ENAME($B$2,$B$3,2,2,57)</f>
        <v>Tram</v>
      </c>
      <c r="BI8" s="126" t="str">
        <f ca="1">_xll.PALO.ENAME($B$2,$B$3,2,2,58)</f>
        <v>Bus</v>
      </c>
      <c r="BJ8" s="126" t="str">
        <f ca="1">_xll.PALO.ENAME($B$2,$B$3,2,2,59)</f>
        <v>Tram</v>
      </c>
      <c r="BK8" s="126" t="str">
        <f ca="1">_xll.PALO.ENAME($B$2,$B$3,2,2,60)</f>
        <v>Bus</v>
      </c>
      <c r="BL8" s="126" t="str">
        <f ca="1">_xll.PALO.ENAME($B$2,$B$3,2,2,61)</f>
        <v>Tram</v>
      </c>
      <c r="BM8" s="126" t="str">
        <f ca="1">_xll.PALO.ENAME($B$2,$B$3,2,2,62)</f>
        <v>Bus</v>
      </c>
      <c r="BN8" s="126" t="str">
        <f ca="1">_xll.PALO.ENAME($B$2,$B$3,2,2,63)</f>
        <v>Tram</v>
      </c>
      <c r="BO8" s="126" t="str">
        <f ca="1">_xll.PALO.ENAME($B$2,$B$3,2,2,64)</f>
        <v>Bus</v>
      </c>
      <c r="BP8" s="126" t="str">
        <f ca="1">_xll.PALO.ENAME($B$2,$B$3,2,2,65)</f>
        <v>Tram</v>
      </c>
      <c r="BQ8" s="126" t="str">
        <f ca="1">_xll.PALO.ENAME($B$2,$B$3,2,2,66)</f>
        <v>Bus</v>
      </c>
      <c r="BR8" s="126" t="str">
        <f ca="1">_xll.PALO.ENAME($B$2,$B$3,2,2,67)</f>
        <v>Tram</v>
      </c>
      <c r="BS8" s="126" t="str">
        <f ca="1">_xll.PALO.ENAME($B$2,$B$3,2,2,68)</f>
        <v>Bus</v>
      </c>
      <c r="BT8" s="126" t="str">
        <f ca="1">_xll.PALO.ENAME($B$2,$B$3,2,2,69)</f>
        <v>Tram</v>
      </c>
      <c r="BU8" s="126" t="str">
        <f ca="1">_xll.PALO.ENAME($B$2,$B$3,2,2,70)</f>
        <v>Bus</v>
      </c>
      <c r="BV8" s="126" t="str">
        <f ca="1">_xll.PALO.ENAME($B$2,$B$3,2,2,71)</f>
        <v>Tram</v>
      </c>
    </row>
    <row r="9" spans="2:74" x14ac:dyDescent="0.25">
      <c r="B9" s="127" t="str">
        <f ca="1">_xll.PALO.ENAME($B$2,$B$3,1,0,0)</f>
        <v>Daugavpils pilsētas dome</v>
      </c>
      <c r="C9" s="128">
        <f ca="1">_xll.PALO.DATA($B$2,$B$3,_xll.PALO.EL("Time",C$6),_xll.PALO.EL("Partner",$B9),_xll.PALO.EL($D$2,$D$3),_xll.PALO.EL($E$2,$E$3),_xll.PALO.EL($I$2,$I$3),_xll.PALO.EL($F$2,$F$3),_xll.PALO.EL($G$2,$G$3),_xll.PALO.EL("Transport",C$8),_xll.PALO.EL($H$2,$H$3),_xll.PALO.EL("Position",C$7))</f>
        <v>102521.06</v>
      </c>
      <c r="D9" s="128">
        <f ca="1">_xll.PALO.DATA($B$2,$B$3,_xll.PALO.EL("Time",D$6),_xll.PALO.EL("Partner",$B9),_xll.PALO.EL($D$2,$D$3),_xll.PALO.EL($E$2,$E$3),_xll.PALO.EL($I$2,$I$3),_xll.PALO.EL($F$2,$F$3),_xll.PALO.EL($G$2,$G$3),_xll.PALO.EL("Transport",D$8),_xll.PALO.EL($H$2,$H$3),_xll.PALO.EL("Position",D$7))</f>
        <v>75884.490000000005</v>
      </c>
      <c r="E9" s="128">
        <f ca="1">_xll.PALO.DATA($B$2,$B$3,_xll.PALO.EL("Time",E$6),_xll.PALO.EL("Partner",$B9),_xll.PALO.EL($D$2,$D$3),_xll.PALO.EL($E$2,$E$3),_xll.PALO.EL($I$2,$I$3),_xll.PALO.EL($F$2,$F$3),_xll.PALO.EL($G$2,$G$3),_xll.PALO.EL("Transport",E$8),_xll.PALO.EL($H$2,$H$3),_xll.PALO.EL("Position",E$7))</f>
        <v>232830.9</v>
      </c>
      <c r="F9" s="128">
        <f ca="1">_xll.PALO.DATA($B$2,$B$3,_xll.PALO.EL("Time",F$6),_xll.PALO.EL("Partner",$B9),_xll.PALO.EL($D$2,$D$3),_xll.PALO.EL($E$2,$E$3),_xll.PALO.EL($I$2,$I$3),_xll.PALO.EL($F$2,$F$3),_xll.PALO.EL($G$2,$G$3),_xll.PALO.EL("Transport",F$8),_xll.PALO.EL($H$2,$H$3),_xll.PALO.EL("Position",F$7))</f>
        <v>84026.45</v>
      </c>
      <c r="G9" s="128">
        <f ca="1">_xll.PALO.DATA($B$2,$B$3,_xll.PALO.EL("Time",G$6),_xll.PALO.EL("Partner",$B9),_xll.PALO.EL($D$2,$D$3),_xll.PALO.EL($E$2,$E$3),_xll.PALO.EL($I$2,$I$3),_xll.PALO.EL($F$2,$F$3),_xll.PALO.EL($G$2,$G$3),_xll.PALO.EL("Transport",G$8),_xll.PALO.EL($H$2,$H$3),_xll.PALO.EL("Position",G$7))</f>
        <v>1.46</v>
      </c>
      <c r="H9" s="128">
        <f ca="1">_xll.PALO.DATA($B$2,$B$3,_xll.PALO.EL("Time",H$6),_xll.PALO.EL("Partner",$B9),_xll.PALO.EL($D$2,$D$3),_xll.PALO.EL($E$2,$E$3),_xll.PALO.EL($I$2,$I$3),_xll.PALO.EL($F$2,$F$3),_xll.PALO.EL($G$2,$G$3),_xll.PALO.EL("Transport",H$8),_xll.PALO.EL($H$2,$H$3),_xll.PALO.EL("Position",H$7))</f>
        <v>3.2800000000000002</v>
      </c>
      <c r="I9" s="128">
        <f ca="1">_xll.PALO.DATA($B$2,$B$3,_xll.PALO.EL("Time",I$6),_xll.PALO.EL("Partner",$B9),_xll.PALO.EL($D$2,$D$3),_xll.PALO.EL($E$2,$E$3),_xll.PALO.EL($I$2,$I$3),_xll.PALO.EL($F$2,$F$3),_xll.PALO.EL($G$2,$G$3),_xll.PALO.EL("Transport",I$8),_xll.PALO.EL($H$2,$H$3),_xll.PALO.EL("Position",I$7))</f>
        <v>99752.23</v>
      </c>
      <c r="J9" s="128">
        <f ca="1">_xll.PALO.DATA($B$2,$B$3,_xll.PALO.EL("Time",J$6),_xll.PALO.EL("Partner",$B9),_xll.PALO.EL($D$2,$D$3),_xll.PALO.EL($E$2,$E$3),_xll.PALO.EL($I$2,$I$3),_xll.PALO.EL($F$2,$F$3),_xll.PALO.EL($G$2,$G$3),_xll.PALO.EL("Transport",J$8),_xll.PALO.EL($H$2,$H$3),_xll.PALO.EL("Position",J$7))</f>
        <v>72285.27</v>
      </c>
      <c r="K9" s="128">
        <f ca="1">_xll.PALO.DATA($B$2,$B$3,_xll.PALO.EL("Time",K$6),_xll.PALO.EL("Partner",$B9),_xll.PALO.EL($D$2,$D$3),_xll.PALO.EL($E$2,$E$3),_xll.PALO.EL($I$2,$I$3),_xll.PALO.EL($F$2,$F$3),_xll.PALO.EL($G$2,$G$3),_xll.PALO.EL("Transport",K$8),_xll.PALO.EL($H$2,$H$3),_xll.PALO.EL("Position",K$7))</f>
        <v>224588.5</v>
      </c>
      <c r="L9" s="128">
        <f ca="1">_xll.PALO.DATA($B$2,$B$3,_xll.PALO.EL("Time",L$6),_xll.PALO.EL("Partner",$B9),_xll.PALO.EL($D$2,$D$3),_xll.PALO.EL($E$2,$E$3),_xll.PALO.EL($I$2,$I$3),_xll.PALO.EL($F$2,$F$3),_xll.PALO.EL($G$2,$G$3),_xll.PALO.EL("Transport",L$8),_xll.PALO.EL($H$2,$H$3),_xll.PALO.EL("Position",L$7))</f>
        <v>79393.600000000006</v>
      </c>
      <c r="M9" s="128">
        <f ca="1">_xll.PALO.DATA($B$2,$B$3,_xll.PALO.EL("Time",M$6),_xll.PALO.EL("Partner",$B9),_xll.PALO.EL($D$2,$D$3),_xll.PALO.EL($E$2,$E$3),_xll.PALO.EL($I$2,$I$3),_xll.PALO.EL($F$2,$F$3),_xll.PALO.EL($G$2,$G$3),_xll.PALO.EL("Transport",M$8),_xll.PALO.EL($H$2,$H$3),_xll.PALO.EL("Position",M$7))</f>
        <v>1.5459000000000001</v>
      </c>
      <c r="N9" s="128">
        <f ca="1">_xll.PALO.DATA($B$2,$B$3,_xll.PALO.EL("Time",N$6),_xll.PALO.EL("Partner",$B9),_xll.PALO.EL($D$2,$D$3),_xll.PALO.EL($E$2,$E$3),_xll.PALO.EL($I$2,$I$3),_xll.PALO.EL($F$2,$F$3),_xll.PALO.EL($G$2,$G$3),_xll.PALO.EL("Transport",N$8),_xll.PALO.EL($H$2,$H$3),_xll.PALO.EL("Position",N$7))</f>
        <v>3.83</v>
      </c>
      <c r="O9" s="128">
        <f ca="1">_xll.PALO.DATA($B$2,$B$3,_xll.PALO.EL("Time",O$6),_xll.PALO.EL("Partner",$B9),_xll.PALO.EL($D$2,$D$3),_xll.PALO.EL($E$2,$E$3),_xll.PALO.EL($I$2,$I$3),_xll.PALO.EL($F$2,$F$3),_xll.PALO.EL($G$2,$G$3),_xll.PALO.EL("Transport",O$8),_xll.PALO.EL($H$2,$H$3),_xll.PALO.EL("Position",O$7))</f>
        <v>104275.27</v>
      </c>
      <c r="P9" s="128">
        <f ca="1">_xll.PALO.DATA($B$2,$B$3,_xll.PALO.EL("Time",P$6),_xll.PALO.EL("Partner",$B9),_xll.PALO.EL($D$2,$D$3),_xll.PALO.EL($E$2,$E$3),_xll.PALO.EL($I$2,$I$3),_xll.PALO.EL($F$2,$F$3),_xll.PALO.EL($G$2,$G$3),_xll.PALO.EL("Transport",P$8),_xll.PALO.EL($H$2,$H$3),_xll.PALO.EL("Position",P$7))</f>
        <v>73706.22</v>
      </c>
      <c r="Q9" s="128">
        <f ca="1">_xll.PALO.DATA($B$2,$B$3,_xll.PALO.EL("Time",Q$6),_xll.PALO.EL("Partner",$B9),_xll.PALO.EL($D$2,$D$3),_xll.PALO.EL($E$2,$E$3),_xll.PALO.EL($I$2,$I$3),_xll.PALO.EL($F$2,$F$3),_xll.PALO.EL($G$2,$G$3),_xll.PALO.EL("Transport",Q$8),_xll.PALO.EL($H$2,$H$3),_xll.PALO.EL("Position",Q$7))</f>
        <v>237182.2</v>
      </c>
      <c r="R9" s="128">
        <f ca="1">_xll.PALO.DATA($B$2,$B$3,_xll.PALO.EL("Time",R$6),_xll.PALO.EL("Partner",$B9),_xll.PALO.EL($D$2,$D$3),_xll.PALO.EL($E$2,$E$3),_xll.PALO.EL($I$2,$I$3),_xll.PALO.EL($F$2,$F$3),_xll.PALO.EL($G$2,$G$3),_xll.PALO.EL("Transport",R$8),_xll.PALO.EL($H$2,$H$3),_xll.PALO.EL("Position",R$7))</f>
        <v>82540.69</v>
      </c>
      <c r="S9" s="128">
        <f ca="1">_xll.PALO.DATA($B$2,$B$3,_xll.PALO.EL("Time",S$6),_xll.PALO.EL("Partner",$B9),_xll.PALO.EL($D$2,$D$3),_xll.PALO.EL($E$2,$E$3),_xll.PALO.EL($I$2,$I$3),_xll.PALO.EL($F$2,$F$3),_xll.PALO.EL($G$2,$G$3),_xll.PALO.EL("Transport",S$8),_xll.PALO.EL($H$2,$H$3),_xll.PALO.EL("Position",S$7))</f>
        <v>1.51</v>
      </c>
      <c r="T9" s="128">
        <f ca="1">_xll.PALO.DATA($B$2,$B$3,_xll.PALO.EL("Time",T$6),_xll.PALO.EL("Partner",$B9),_xll.PALO.EL($D$2,$D$3),_xll.PALO.EL($E$2,$E$3),_xll.PALO.EL($I$2,$I$3),_xll.PALO.EL($F$2,$F$3),_xll.PALO.EL($G$2,$G$3),_xll.PALO.EL("Transport",T$8),_xll.PALO.EL($H$2,$H$3),_xll.PALO.EL("Position",T$7))</f>
        <v>3.23</v>
      </c>
      <c r="U9" s="128">
        <f ca="1">_xll.PALO.DATA($B$2,$B$3,_xll.PALO.EL("Time",U$6),_xll.PALO.EL("Partner",$B9),_xll.PALO.EL($D$2,$D$3),_xll.PALO.EL($E$2,$E$3),_xll.PALO.EL($I$2,$I$3),_xll.PALO.EL($F$2,$F$3),_xll.PALO.EL($G$2,$G$3),_xll.PALO.EL("Transport",U$8),_xll.PALO.EL($H$2,$H$3),_xll.PALO.EL("Position",U$7))</f>
        <v>96677.48</v>
      </c>
      <c r="V9" s="128">
        <f ca="1">_xll.PALO.DATA($B$2,$B$3,_xll.PALO.EL("Time",V$6),_xll.PALO.EL("Partner",$B9),_xll.PALO.EL($D$2,$D$3),_xll.PALO.EL($E$2,$E$3),_xll.PALO.EL($I$2,$I$3),_xll.PALO.EL($F$2,$F$3),_xll.PALO.EL($G$2,$G$3),_xll.PALO.EL("Transport",V$8),_xll.PALO.EL($H$2,$H$3),_xll.PALO.EL("Position",V$7))</f>
        <v>66356.36</v>
      </c>
      <c r="W9" s="128">
        <f ca="1">_xll.PALO.DATA($B$2,$B$3,_xll.PALO.EL("Time",W$6),_xll.PALO.EL("Partner",$B9),_xll.PALO.EL($D$2,$D$3),_xll.PALO.EL($E$2,$E$3),_xll.PALO.EL($I$2,$I$3),_xll.PALO.EL($F$2,$F$3),_xll.PALO.EL($G$2,$G$3),_xll.PALO.EL("Transport",W$8),_xll.PALO.EL($H$2,$H$3),_xll.PALO.EL("Position",W$7))</f>
        <v>222602.6</v>
      </c>
      <c r="X9" s="128">
        <f ca="1">_xll.PALO.DATA($B$2,$B$3,_xll.PALO.EL("Time",X$6),_xll.PALO.EL("Partner",$B9),_xll.PALO.EL($D$2,$D$3),_xll.PALO.EL($E$2,$E$3),_xll.PALO.EL($I$2,$I$3),_xll.PALO.EL($F$2,$F$3),_xll.PALO.EL($G$2,$G$3),_xll.PALO.EL("Transport",X$8),_xll.PALO.EL($H$2,$H$3),_xll.PALO.EL("Position",X$7))</f>
        <v>75187.429999999993</v>
      </c>
      <c r="Y9" s="128">
        <f ca="1">_xll.PALO.DATA($B$2,$B$3,_xll.PALO.EL("Time",Y$6),_xll.PALO.EL("Partner",$B9),_xll.PALO.EL($D$2,$D$3),_xll.PALO.EL($E$2,$E$3),_xll.PALO.EL($I$2,$I$3),_xll.PALO.EL($F$2,$F$3),_xll.PALO.EL($G$2,$G$3),_xll.PALO.EL("Transport",Y$8),_xll.PALO.EL($H$2,$H$3),_xll.PALO.EL("Position",Y$7))</f>
        <v>1.6600000000000001</v>
      </c>
      <c r="Z9" s="128">
        <f ca="1">_xll.PALO.DATA($B$2,$B$3,_xll.PALO.EL("Time",Z$6),_xll.PALO.EL("Partner",$B9),_xll.PALO.EL($D$2,$D$3),_xll.PALO.EL($E$2,$E$3),_xll.PALO.EL($I$2,$I$3),_xll.PALO.EL($F$2,$F$3),_xll.PALO.EL($G$2,$G$3),_xll.PALO.EL("Transport",Z$8),_xll.PALO.EL($H$2,$H$3),_xll.PALO.EL("Position",Z$7))</f>
        <v>3.5700000000000003</v>
      </c>
      <c r="AA9" s="128">
        <f ca="1">_xll.PALO.DATA($B$2,$B$3,_xll.PALO.EL("Time",AA$6),_xll.PALO.EL("Partner",$B9),_xll.PALO.EL($D$2,$D$3),_xll.PALO.EL($E$2,$E$3),_xll.PALO.EL($I$2,$I$3),_xll.PALO.EL($F$2,$F$3),_xll.PALO.EL($G$2,$G$3),_xll.PALO.EL("Transport",AA$8),_xll.PALO.EL($H$2,$H$3),_xll.PALO.EL("Position",AA$7))</f>
        <v>89307.67</v>
      </c>
      <c r="AB9" s="128">
        <f ca="1">_xll.PALO.DATA($B$2,$B$3,_xll.PALO.EL("Time",AB$6),_xll.PALO.EL("Partner",$B9),_xll.PALO.EL($D$2,$D$3),_xll.PALO.EL($E$2,$E$3),_xll.PALO.EL($I$2,$I$3),_xll.PALO.EL($F$2,$F$3),_xll.PALO.EL($G$2,$G$3),_xll.PALO.EL("Transport",AB$8),_xll.PALO.EL($H$2,$H$3),_xll.PALO.EL("Position",AB$7))</f>
        <v>56292.160000000003</v>
      </c>
      <c r="AC9" s="128">
        <f ca="1">_xll.PALO.DATA($B$2,$B$3,_xll.PALO.EL("Time",AC$6),_xll.PALO.EL("Partner",$B9),_xll.PALO.EL($D$2,$D$3),_xll.PALO.EL($E$2,$E$3),_xll.PALO.EL($I$2,$I$3),_xll.PALO.EL($F$2,$F$3),_xll.PALO.EL($G$2,$G$3),_xll.PALO.EL("Transport",AC$8),_xll.PALO.EL($H$2,$H$3),_xll.PALO.EL("Position",AC$7))</f>
        <v>234300.79999999999</v>
      </c>
      <c r="AD9" s="128">
        <f ca="1">_xll.PALO.DATA($B$2,$B$3,_xll.PALO.EL("Time",AD$6),_xll.PALO.EL("Partner",$B9),_xll.PALO.EL($D$2,$D$3),_xll.PALO.EL($E$2,$E$3),_xll.PALO.EL($I$2,$I$3),_xll.PALO.EL($F$2,$F$3),_xll.PALO.EL($G$2,$G$3),_xll.PALO.EL("Transport",AD$8),_xll.PALO.EL($H$2,$H$3),_xll.PALO.EL("Position",AD$7))</f>
        <v>76855.990000000005</v>
      </c>
      <c r="AE9" s="128">
        <f ca="1">_xll.PALO.DATA($B$2,$B$3,_xll.PALO.EL("Time",AE$6),_xll.PALO.EL("Partner",$B9),_xll.PALO.EL($D$2,$D$3),_xll.PALO.EL($E$2,$E$3),_xll.PALO.EL($I$2,$I$3),_xll.PALO.EL($F$2,$F$3),_xll.PALO.EL($G$2,$G$3),_xll.PALO.EL("Transport",AE$8),_xll.PALO.EL($H$2,$H$3),_xll.PALO.EL("Position",AE$7))</f>
        <v>1.52</v>
      </c>
      <c r="AF9" s="128">
        <f ca="1">_xll.PALO.DATA($B$2,$B$3,_xll.PALO.EL("Time",AF$6),_xll.PALO.EL("Partner",$B9),_xll.PALO.EL($D$2,$D$3),_xll.PALO.EL($E$2,$E$3),_xll.PALO.EL($I$2,$I$3),_xll.PALO.EL($F$2,$F$3),_xll.PALO.EL($G$2,$G$3),_xll.PALO.EL("Transport",AF$8),_xll.PALO.EL($H$2,$H$3),_xll.PALO.EL("Position",AF$7))</f>
        <v>3.47</v>
      </c>
      <c r="AG9" s="128">
        <f ca="1">_xll.PALO.DATA($B$2,$B$3,_xll.PALO.EL("Time",AG$6),_xll.PALO.EL("Partner",$B9),_xll.PALO.EL($D$2,$D$3),_xll.PALO.EL($E$2,$E$3),_xll.PALO.EL($I$2,$I$3),_xll.PALO.EL($F$2,$F$3),_xll.PALO.EL($G$2,$G$3),_xll.PALO.EL("Transport",AG$8),_xll.PALO.EL($H$2,$H$3),_xll.PALO.EL("Position",AG$7))</f>
        <v>84013.36</v>
      </c>
      <c r="AH9" s="128">
        <f ca="1">_xll.PALO.DATA($B$2,$B$3,_xll.PALO.EL("Time",AH$6),_xll.PALO.EL("Partner",$B9),_xll.PALO.EL($D$2,$D$3),_xll.PALO.EL($E$2,$E$3),_xll.PALO.EL($I$2,$I$3),_xll.PALO.EL($F$2,$F$3),_xll.PALO.EL($G$2,$G$3),_xll.PALO.EL("Transport",AH$8),_xll.PALO.EL($H$2,$H$3),_xll.PALO.EL("Position",AH$7))</f>
        <v>43522.31</v>
      </c>
      <c r="AI9" s="128">
        <f ca="1">_xll.PALO.DATA($B$2,$B$3,_xll.PALO.EL("Time",AI$6),_xll.PALO.EL("Partner",$B9),_xll.PALO.EL($D$2,$D$3),_xll.PALO.EL($E$2,$E$3),_xll.PALO.EL($I$2,$I$3),_xll.PALO.EL($F$2,$F$3),_xll.PALO.EL($G$2,$G$3),_xll.PALO.EL("Transport",AI$8),_xll.PALO.EL($H$2,$H$3),_xll.PALO.EL("Position",AI$7))</f>
        <v>224763.6</v>
      </c>
      <c r="AJ9" s="128">
        <f ca="1">_xll.PALO.DATA($B$2,$B$3,_xll.PALO.EL("Time",AJ$6),_xll.PALO.EL("Partner",$B9),_xll.PALO.EL($D$2,$D$3),_xll.PALO.EL($E$2,$E$3),_xll.PALO.EL($I$2,$I$3),_xll.PALO.EL($F$2,$F$3),_xll.PALO.EL($G$2,$G$3),_xll.PALO.EL("Transport",AJ$8),_xll.PALO.EL($H$2,$H$3),_xll.PALO.EL("Position",AJ$7))</f>
        <v>68876.61</v>
      </c>
      <c r="AK9" s="128">
        <f ca="1">_xll.PALO.DATA($B$2,$B$3,_xll.PALO.EL("Time",AK$6),_xll.PALO.EL("Partner",$B9),_xll.PALO.EL($D$2,$D$3),_xll.PALO.EL($E$2,$E$3),_xll.PALO.EL($I$2,$I$3),_xll.PALO.EL($F$2,$F$3),_xll.PALO.EL($G$2,$G$3),_xll.PALO.EL("Transport",AK$8),_xll.PALO.EL($H$2,$H$3),_xll.PALO.EL("Position",AK$7))</f>
        <v>1.5982000000000001</v>
      </c>
      <c r="AL9" s="128">
        <f ca="1">_xll.PALO.DATA($B$2,$B$3,_xll.PALO.EL("Time",AL$6),_xll.PALO.EL("Partner",$B9),_xll.PALO.EL($D$2,$D$3),_xll.PALO.EL($E$2,$E$3),_xll.PALO.EL($I$2,$I$3),_xll.PALO.EL($F$2,$F$3),_xll.PALO.EL($G$2,$G$3),_xll.PALO.EL("Transport",AL$8),_xll.PALO.EL($H$2,$H$3),_xll.PALO.EL("Position",AL$7))</f>
        <v>3.85</v>
      </c>
      <c r="AM9" s="128">
        <f ca="1">_xll.PALO.DATA($B$2,$B$3,_xll.PALO.EL("Time",AM$6),_xll.PALO.EL("Partner",$B9),_xll.PALO.EL($D$2,$D$3),_xll.PALO.EL($E$2,$E$3),_xll.PALO.EL($I$2,$I$3),_xll.PALO.EL($F$2,$F$3),_xll.PALO.EL($G$2,$G$3),_xll.PALO.EL("Transport",AM$8),_xll.PALO.EL($H$2,$H$3),_xll.PALO.EL("Position",AM$7))</f>
        <v>87187.74</v>
      </c>
      <c r="AN9" s="128">
        <f ca="1">_xll.PALO.DATA($B$2,$B$3,_xll.PALO.EL("Time",AN$6),_xll.PALO.EL("Partner",$B9),_xll.PALO.EL($D$2,$D$3),_xll.PALO.EL($E$2,$E$3),_xll.PALO.EL($I$2,$I$3),_xll.PALO.EL($F$2,$F$3),_xll.PALO.EL($G$2,$G$3),_xll.PALO.EL("Transport",AN$8),_xll.PALO.EL($H$2,$H$3),_xll.PALO.EL("Position",AN$7))</f>
        <v>43303.31</v>
      </c>
      <c r="AO9" s="128">
        <f ca="1">_xll.PALO.DATA($B$2,$B$3,_xll.PALO.EL("Time",AO$6),_xll.PALO.EL("Partner",$B9),_xll.PALO.EL($D$2,$D$3),_xll.PALO.EL($E$2,$E$3),_xll.PALO.EL($I$2,$I$3),_xll.PALO.EL($F$2,$F$3),_xll.PALO.EL($G$2,$G$3),_xll.PALO.EL("Transport",AO$8),_xll.PALO.EL($H$2,$H$3),_xll.PALO.EL("Position",AO$7))</f>
        <v>232306.9</v>
      </c>
      <c r="AP9" s="128">
        <f ca="1">_xll.PALO.DATA($B$2,$B$3,_xll.PALO.EL("Time",AP$6),_xll.PALO.EL("Partner",$B9),_xll.PALO.EL($D$2,$D$3),_xll.PALO.EL($E$2,$E$3),_xll.PALO.EL($I$2,$I$3),_xll.PALO.EL($F$2,$F$3),_xll.PALO.EL($G$2,$G$3),_xll.PALO.EL("Transport",AP$8),_xll.PALO.EL($H$2,$H$3),_xll.PALO.EL("Position",AP$7))</f>
        <v>71135.81</v>
      </c>
      <c r="AQ9" s="128">
        <f ca="1">_xll.PALO.DATA($B$2,$B$3,_xll.PALO.EL("Time",AQ$6),_xll.PALO.EL("Partner",$B9),_xll.PALO.EL($D$2,$D$3),_xll.PALO.EL($E$2,$E$3),_xll.PALO.EL($I$2,$I$3),_xll.PALO.EL($F$2,$F$3),_xll.PALO.EL($G$2,$G$3),_xll.PALO.EL("Transport",AQ$8),_xll.PALO.EL($H$2,$H$3),_xll.PALO.EL("Position",AQ$7))</f>
        <v>1.4986000000000002</v>
      </c>
      <c r="AR9" s="128">
        <f ca="1">_xll.PALO.DATA($B$2,$B$3,_xll.PALO.EL("Time",AR$6),_xll.PALO.EL("Partner",$B9),_xll.PALO.EL($D$2,$D$3),_xll.PALO.EL($E$2,$E$3),_xll.PALO.EL($I$2,$I$3),_xll.PALO.EL($F$2,$F$3),_xll.PALO.EL($G$2,$G$3),_xll.PALO.EL("Transport",AR$8),_xll.PALO.EL($H$2,$H$3),_xll.PALO.EL("Position",AR$7))</f>
        <v>3.76</v>
      </c>
      <c r="AS9" s="128">
        <f ca="1">_xll.PALO.DATA($B$2,$B$3,_xll.PALO.EL("Time",AS$6),_xll.PALO.EL("Partner",$B9),_xll.PALO.EL($D$2,$D$3),_xll.PALO.EL($E$2,$E$3),_xll.PALO.EL($I$2,$I$3),_xll.PALO.EL($F$2,$F$3),_xll.PALO.EL($G$2,$G$3),_xll.PALO.EL("Transport",AS$8),_xll.PALO.EL($H$2,$H$3),_xll.PALO.EL("Position",AS$7))</f>
        <v>73403.259999999995</v>
      </c>
      <c r="AT9" s="128">
        <f ca="1">_xll.PALO.DATA($B$2,$B$3,_xll.PALO.EL("Time",AT$6),_xll.PALO.EL("Partner",$B9),_xll.PALO.EL($D$2,$D$3),_xll.PALO.EL($E$2,$E$3),_xll.PALO.EL($I$2,$I$3),_xll.PALO.EL($F$2,$F$3),_xll.PALO.EL($G$2,$G$3),_xll.PALO.EL("Transport",AT$8),_xll.PALO.EL($H$2,$H$3),_xll.PALO.EL("Position",AT$7))</f>
        <v>37625.85</v>
      </c>
      <c r="AU9" s="128">
        <f ca="1">_xll.PALO.DATA($B$2,$B$3,_xll.PALO.EL("Time",AU$6),_xll.PALO.EL("Partner",$B9),_xll.PALO.EL($D$2,$D$3),_xll.PALO.EL($E$2,$E$3),_xll.PALO.EL($I$2,$I$3),_xll.PALO.EL($F$2,$F$3),_xll.PALO.EL($G$2,$G$3),_xll.PALO.EL("Transport",AU$8),_xll.PALO.EL($H$2,$H$3),_xll.PALO.EL("Position",AU$7))</f>
        <v>224166.6</v>
      </c>
      <c r="AV9" s="128">
        <f ca="1">_xll.PALO.DATA($B$2,$B$3,_xll.PALO.EL("Time",AV$6),_xll.PALO.EL("Partner",$B9),_xll.PALO.EL($D$2,$D$3),_xll.PALO.EL($E$2,$E$3),_xll.PALO.EL($I$2,$I$3),_xll.PALO.EL($F$2,$F$3),_xll.PALO.EL($G$2,$G$3),_xll.PALO.EL("Transport",AV$8),_xll.PALO.EL($H$2,$H$3),_xll.PALO.EL("Position",AV$7))</f>
        <v>64586.5</v>
      </c>
      <c r="AW9" s="128">
        <f ca="1">_xll.PALO.DATA($B$2,$B$3,_xll.PALO.EL("Time",AW$6),_xll.PALO.EL("Partner",$B9),_xll.PALO.EL($D$2,$D$3),_xll.PALO.EL($E$2,$E$3),_xll.PALO.EL($I$2,$I$3),_xll.PALO.EL($F$2,$F$3),_xll.PALO.EL($G$2,$G$3),_xll.PALO.EL("Transport",AW$8),_xll.PALO.EL($H$2,$H$3),_xll.PALO.EL("Position",AW$7))</f>
        <v>1.69</v>
      </c>
      <c r="AX9" s="128">
        <f ca="1">_xll.PALO.DATA($B$2,$B$3,_xll.PALO.EL("Time",AX$6),_xll.PALO.EL("Partner",$B9),_xll.PALO.EL($D$2,$D$3),_xll.PALO.EL($E$2,$E$3),_xll.PALO.EL($I$2,$I$3),_xll.PALO.EL($F$2,$F$3),_xll.PALO.EL($G$2,$G$3),_xll.PALO.EL("Transport",AX$8),_xll.PALO.EL($H$2,$H$3),_xll.PALO.EL("Position",AX$7))</f>
        <v>4.17</v>
      </c>
      <c r="AY9" s="128">
        <f ca="1">_xll.PALO.DATA($B$2,$B$3,_xll.PALO.EL("Time",AY$6),_xll.PALO.EL("Partner",$B9),_xll.PALO.EL($D$2,$D$3),_xll.PALO.EL($E$2,$E$3),_xll.PALO.EL($I$2,$I$3),_xll.PALO.EL($F$2,$F$3),_xll.PALO.EL($G$2,$G$3),_xll.PALO.EL("Transport",AY$8),_xll.PALO.EL($H$2,$H$3),_xll.PALO.EL("Position",AY$7))</f>
        <v>87990.42</v>
      </c>
      <c r="AZ9" s="128">
        <f ca="1">_xll.PALO.DATA($B$2,$B$3,_xll.PALO.EL("Time",AZ$6),_xll.PALO.EL("Partner",$B9),_xll.PALO.EL($D$2,$D$3),_xll.PALO.EL($E$2,$E$3),_xll.PALO.EL($I$2,$I$3),_xll.PALO.EL($F$2,$F$3),_xll.PALO.EL($G$2,$G$3),_xll.PALO.EL("Transport",AZ$8),_xll.PALO.EL($H$2,$H$3),_xll.PALO.EL("Position",AZ$7))</f>
        <v>58278.79</v>
      </c>
      <c r="BA9" s="128">
        <f ca="1">_xll.PALO.DATA($B$2,$B$3,_xll.PALO.EL("Time",BA$6),_xll.PALO.EL("Partner",$B9),_xll.PALO.EL($D$2,$D$3),_xll.PALO.EL($E$2,$E$3),_xll.PALO.EL($I$2,$I$3),_xll.PALO.EL($F$2,$F$3),_xll.PALO.EL($G$2,$G$3),_xll.PALO.EL("Transport",BA$8),_xll.PALO.EL($H$2,$H$3),_xll.PALO.EL("Position",BA$7))</f>
        <v>227037.7</v>
      </c>
      <c r="BB9" s="128">
        <f ca="1">_xll.PALO.DATA($B$2,$B$3,_xll.PALO.EL("Time",BB$6),_xll.PALO.EL("Partner",$B9),_xll.PALO.EL($D$2,$D$3),_xll.PALO.EL($E$2,$E$3),_xll.PALO.EL($I$2,$I$3),_xll.PALO.EL($F$2,$F$3),_xll.PALO.EL($G$2,$G$3),_xll.PALO.EL("Transport",BB$8),_xll.PALO.EL($H$2,$H$3),_xll.PALO.EL("Position",BB$7))</f>
        <v>83209.149999999994</v>
      </c>
      <c r="BC9" s="128">
        <f ca="1">_xll.PALO.DATA($B$2,$B$3,_xll.PALO.EL("Time",BC$6),_xll.PALO.EL("Partner",$B9),_xll.PALO.EL($D$2,$D$3),_xll.PALO.EL($E$2,$E$3),_xll.PALO.EL($I$2,$I$3),_xll.PALO.EL($F$2,$F$3),_xll.PALO.EL($G$2,$G$3),_xll.PALO.EL("Transport",BC$8),_xll.PALO.EL($H$2,$H$3),_xll.PALO.EL("Position",BC$7))</f>
        <v>1.5899999999999999</v>
      </c>
      <c r="BD9" s="128">
        <f ca="1">_xll.PALO.DATA($B$2,$B$3,_xll.PALO.EL("Time",BD$6),_xll.PALO.EL("Partner",$B9),_xll.PALO.EL($D$2,$D$3),_xll.PALO.EL($E$2,$E$3),_xll.PALO.EL($I$2,$I$3),_xll.PALO.EL($F$2,$F$3),_xll.PALO.EL($G$2,$G$3),_xll.PALO.EL("Transport",BD$8),_xll.PALO.EL($H$2,$H$3),_xll.PALO.EL("Position",BD$7))</f>
        <v>3.68</v>
      </c>
      <c r="BE9" s="128">
        <f ca="1">_xll.PALO.DATA($B$2,$B$3,_xll.PALO.EL("Time",BE$6),_xll.PALO.EL("Partner",$B9),_xll.PALO.EL($D$2,$D$3),_xll.PALO.EL($E$2,$E$3),_xll.PALO.EL($I$2,$I$3),_xll.PALO.EL($F$2,$F$3),_xll.PALO.EL($G$2,$G$3),_xll.PALO.EL("Transport",BE$8),_xll.PALO.EL($H$2,$H$3),_xll.PALO.EL("Position",BE$7))</f>
        <v>73191.240000000005</v>
      </c>
      <c r="BF9" s="128">
        <f ca="1">_xll.PALO.DATA($B$2,$B$3,_xll.PALO.EL("Time",BF$6),_xll.PALO.EL("Partner",$B9),_xll.PALO.EL($D$2,$D$3),_xll.PALO.EL($E$2,$E$3),_xll.PALO.EL($I$2,$I$3),_xll.PALO.EL($F$2,$F$3),_xll.PALO.EL($G$2,$G$3),_xll.PALO.EL("Transport",BF$8),_xll.PALO.EL($H$2,$H$3),_xll.PALO.EL("Position",BF$7))</f>
        <v>47525.88</v>
      </c>
      <c r="BG9" s="128">
        <f ca="1">_xll.PALO.DATA($B$2,$B$3,_xll.PALO.EL("Time",BG$6),_xll.PALO.EL("Partner",$B9),_xll.PALO.EL($D$2,$D$3),_xll.PALO.EL($E$2,$E$3),_xll.PALO.EL($I$2,$I$3),_xll.PALO.EL($F$2,$F$3),_xll.PALO.EL($G$2,$G$3),_xll.PALO.EL("Transport",BG$8),_xll.PALO.EL($H$2,$H$3),_xll.PALO.EL("Position",BG$7))</f>
        <v>218059.8</v>
      </c>
      <c r="BH9" s="128">
        <f ca="1">_xll.PALO.DATA($B$2,$B$3,_xll.PALO.EL("Time",BH$6),_xll.PALO.EL("Partner",$B9),_xll.PALO.EL($D$2,$D$3),_xll.PALO.EL($E$2,$E$3),_xll.PALO.EL($I$2,$I$3),_xll.PALO.EL($F$2,$F$3),_xll.PALO.EL($G$2,$G$3),_xll.PALO.EL("Transport",BH$8),_xll.PALO.EL($H$2,$H$3),_xll.PALO.EL("Position",BH$7))</f>
        <v>79477.69</v>
      </c>
      <c r="BI9" s="128">
        <f ca="1">_xll.PALO.DATA($B$2,$B$3,_xll.PALO.EL("Time",BI$6),_xll.PALO.EL("Partner",$B9),_xll.PALO.EL($D$2,$D$3),_xll.PALO.EL($E$2,$E$3),_xll.PALO.EL($I$2,$I$3),_xll.PALO.EL($F$2,$F$3),_xll.PALO.EL($G$2,$G$3),_xll.PALO.EL("Transport",BI$8),_xll.PALO.EL($H$2,$H$3),_xll.PALO.EL("Position",BI$7))</f>
        <v>1.67</v>
      </c>
      <c r="BJ9" s="128">
        <f ca="1">_xll.PALO.DATA($B$2,$B$3,_xll.PALO.EL("Time",BJ$6),_xll.PALO.EL("Partner",$B9),_xll.PALO.EL($D$2,$D$3),_xll.PALO.EL($E$2,$E$3),_xll.PALO.EL($I$2,$I$3),_xll.PALO.EL($F$2,$F$3),_xll.PALO.EL($G$2,$G$3),_xll.PALO.EL("Transport",BJ$8),_xll.PALO.EL($H$2,$H$3),_xll.PALO.EL("Position",BJ$7))</f>
        <v>3.8200000000000003</v>
      </c>
      <c r="BK9" s="128">
        <f ca="1">_xll.PALO.DATA($B$2,$B$3,_xll.PALO.EL("Time",BK$6),_xll.PALO.EL("Partner",$B9),_xll.PALO.EL($D$2,$D$3),_xll.PALO.EL($E$2,$E$3),_xll.PALO.EL($I$2,$I$3),_xll.PALO.EL($F$2,$F$3),_xll.PALO.EL($G$2,$G$3),_xll.PALO.EL("Transport",BK$8),_xll.PALO.EL($H$2,$H$3),_xll.PALO.EL("Position",BK$7))</f>
        <v>72800.45</v>
      </c>
      <c r="BL9" s="128">
        <f ca="1">_xll.PALO.DATA($B$2,$B$3,_xll.PALO.EL("Time",BL$6),_xll.PALO.EL("Partner",$B9),_xll.PALO.EL($D$2,$D$3),_xll.PALO.EL($E$2,$E$3),_xll.PALO.EL($I$2,$I$3),_xll.PALO.EL($F$2,$F$3),_xll.PALO.EL($G$2,$G$3),_xll.PALO.EL("Transport",BL$8),_xll.PALO.EL($H$2,$H$3),_xll.PALO.EL("Position",BL$7))</f>
        <v>46423.69</v>
      </c>
      <c r="BM9" s="128">
        <f ca="1">_xll.PALO.DATA($B$2,$B$3,_xll.PALO.EL("Time",BM$6),_xll.PALO.EL("Partner",$B9),_xll.PALO.EL($D$2,$D$3),_xll.PALO.EL($E$2,$E$3),_xll.PALO.EL($I$2,$I$3),_xll.PALO.EL($F$2,$F$3),_xll.PALO.EL($G$2,$G$3),_xll.PALO.EL("Transport",BM$8),_xll.PALO.EL($H$2,$H$3),_xll.PALO.EL("Position",BM$7))</f>
        <v>233130</v>
      </c>
      <c r="BN9" s="128">
        <f ca="1">_xll.PALO.DATA($B$2,$B$3,_xll.PALO.EL("Time",BN$6),_xll.PALO.EL("Partner",$B9),_xll.PALO.EL($D$2,$D$3),_xll.PALO.EL($E$2,$E$3),_xll.PALO.EL($I$2,$I$3),_xll.PALO.EL($F$2,$F$3),_xll.PALO.EL($G$2,$G$3),_xll.PALO.EL("Transport",BN$8),_xll.PALO.EL($H$2,$H$3),_xll.PALO.EL("Position",BN$7))</f>
        <v>80725.789999999994</v>
      </c>
      <c r="BO9" s="128">
        <f ca="1">_xll.PALO.DATA($B$2,$B$3,_xll.PALO.EL("Time",BO$6),_xll.PALO.EL("Partner",$B9),_xll.PALO.EL($D$2,$D$3),_xll.PALO.EL($E$2,$E$3),_xll.PALO.EL($I$2,$I$3),_xll.PALO.EL($F$2,$F$3),_xll.PALO.EL($G$2,$G$3),_xll.PALO.EL("Transport",BO$8),_xll.PALO.EL($H$2,$H$3),_xll.PALO.EL("Position",BO$7))</f>
        <v>1.9100000000000001</v>
      </c>
      <c r="BP9" s="128">
        <f ca="1">_xll.PALO.DATA($B$2,$B$3,_xll.PALO.EL("Time",BP$6),_xll.PALO.EL("Partner",$B9),_xll.PALO.EL($D$2,$D$3),_xll.PALO.EL($E$2,$E$3),_xll.PALO.EL($I$2,$I$3),_xll.PALO.EL($F$2,$F$3),_xll.PALO.EL($G$2,$G$3),_xll.PALO.EL("Transport",BP$8),_xll.PALO.EL($H$2,$H$3),_xll.PALO.EL("Position",BP$7))</f>
        <v>3.85</v>
      </c>
      <c r="BQ9" s="128">
        <f ca="1">_xll.PALO.DATA($B$2,$B$3,_xll.PALO.EL("Time",BQ$6),_xll.PALO.EL("Partner",$B9),_xll.PALO.EL($D$2,$D$3),_xll.PALO.EL($E$2,$E$3),_xll.PALO.EL($I$2,$I$3),_xll.PALO.EL($F$2,$F$3),_xll.PALO.EL($G$2,$G$3),_xll.PALO.EL("Transport",BQ$8),_xll.PALO.EL($H$2,$H$3),_xll.PALO.EL("Position",BQ$7))</f>
        <v>71941.289999999994</v>
      </c>
      <c r="BR9" s="128">
        <f ca="1">_xll.PALO.DATA($B$2,$B$3,_xll.PALO.EL("Time",BR$6),_xll.PALO.EL("Partner",$B9),_xll.PALO.EL($D$2,$D$3),_xll.PALO.EL($E$2,$E$3),_xll.PALO.EL($I$2,$I$3),_xll.PALO.EL($F$2,$F$3),_xll.PALO.EL($G$2,$G$3),_xll.PALO.EL("Transport",BR$8),_xll.PALO.EL($H$2,$H$3),_xll.PALO.EL("Position",BR$7))</f>
        <v>44292.26</v>
      </c>
      <c r="BS9" s="128">
        <f ca="1">_xll.PALO.DATA($B$2,$B$3,_xll.PALO.EL("Time",BS$6),_xll.PALO.EL("Partner",$B9),_xll.PALO.EL($D$2,$D$3),_xll.PALO.EL($E$2,$E$3),_xll.PALO.EL($I$2,$I$3),_xll.PALO.EL($F$2,$F$3),_xll.PALO.EL($G$2,$G$3),_xll.PALO.EL("Transport",BS$8),_xll.PALO.EL($H$2,$H$3),_xll.PALO.EL("Position",BS$7))</f>
        <v>224136.2</v>
      </c>
      <c r="BT9" s="128">
        <f ca="1">_xll.PALO.DATA($B$2,$B$3,_xll.PALO.EL("Time",BT$6),_xll.PALO.EL("Partner",$B9),_xll.PALO.EL($D$2,$D$3),_xll.PALO.EL($E$2,$E$3),_xll.PALO.EL($I$2,$I$3),_xll.PALO.EL($F$2,$F$3),_xll.PALO.EL($G$2,$G$3),_xll.PALO.EL("Transport",BT$8),_xll.PALO.EL($H$2,$H$3),_xll.PALO.EL("Position",BT$7))</f>
        <v>75075.63</v>
      </c>
      <c r="BU9" s="128">
        <f ca="1">_xll.PALO.DATA($B$2,$B$3,_xll.PALO.EL("Time",BU$6),_xll.PALO.EL("Partner",$B9),_xll.PALO.EL($D$2,$D$3),_xll.PALO.EL($E$2,$E$3),_xll.PALO.EL($I$2,$I$3),_xll.PALO.EL($F$2,$F$3),_xll.PALO.EL($G$2,$G$3),_xll.PALO.EL("Transport",BU$8),_xll.PALO.EL($H$2,$H$3),_xll.PALO.EL("Position",BU$7))</f>
        <v>1.79</v>
      </c>
      <c r="BV9" s="128">
        <f ca="1">_xll.PALO.DATA($B$2,$B$3,_xll.PALO.EL("Time",BV$6),_xll.PALO.EL("Partner",$B9),_xll.PALO.EL($D$2,$D$3),_xll.PALO.EL($E$2,$E$3),_xll.PALO.EL($I$2,$I$3),_xll.PALO.EL($F$2,$F$3),_xll.PALO.EL($G$2,$G$3),_xll.PALO.EL("Transport",BV$8),_xll.PALO.EL($H$2,$H$3),_xll.PALO.EL("Position",BV$7))</f>
        <v>3.93</v>
      </c>
    </row>
  </sheetData>
  <dataValidations count="1">
    <dataValidation type="custom" allowBlank="1" showInputMessage="1" error="6757fb7732c54cb1b3a73f759ac14859" sqref="B3" xr:uid="{BEA6E803-2D4E-4D73-81E1-A13173D5F6B5}">
      <formula1>TRUE</formula1>
    </dataValidation>
  </dataValidations>
  <pageMargins left="0.7" right="0.7" top="0.75" bottom="0.75" header="0.3" footer="0.3"/>
  <pageSetup orientation="portrait" r:id="rId1"/>
  <customProperties>
    <customPr name="jedoxview_6757fb7732c54cb1b3a73f759ac14859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piemērs</vt:lpstr>
      <vt:lpstr>marts</vt:lpstr>
      <vt:lpstr>aprīlis</vt:lpstr>
      <vt:lpstr>maijs</vt:lpstr>
      <vt:lpstr>jūnijs</vt:lpstr>
      <vt:lpstr>PIVOT_atskaite</vt:lpstr>
      <vt:lpstr>PIVOT</vt:lpstr>
      <vt:lpstr>atskaites_jedox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Grīviņa</dc:creator>
  <cp:lastModifiedBy>Ilze Pence</cp:lastModifiedBy>
  <cp:lastPrinted>2021-08-06T11:38:14Z</cp:lastPrinted>
  <dcterms:created xsi:type="dcterms:W3CDTF">2021-03-26T09:43:50Z</dcterms:created>
  <dcterms:modified xsi:type="dcterms:W3CDTF">2021-08-06T12:16:07Z</dcterms:modified>
</cp:coreProperties>
</file>